
<file path=[Content_Types].xml><?xml version="1.0" encoding="utf-8"?>
<Types xmlns="http://schemas.openxmlformats.org/package/2006/content-types">
  <Default Extension="vml" ContentType="application/vnd.openxmlformats-officedocument.vmlDrawi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ustomStorage/customStorage.xml" ContentType="application/vnd.wps-officedocument.customStorage+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000" windowHeight="8430" activeTab="1"/>
  </bookViews>
  <sheets>
    <sheet name="archive_Quote Types" sheetId="1" state="hidden" r:id="rId1"/>
    <sheet name="ProRates" sheetId="2" r:id="rId2"/>
    <sheet name="Sheet17" sheetId="12" state="hidden" r:id="rId3"/>
    <sheet name="Categories" sheetId="13" state="hidden" r:id="rId4"/>
    <sheet name="v3 Quote Types" sheetId="14" state="hidden" r:id="rId5"/>
    <sheet name="v3 Quote Templates" sheetId="15" state="hidden" r:id="rId6"/>
    <sheet name="Presentations" sheetId="16" state="hidden" r:id="rId7"/>
    <sheet name="v3 Presentations" sheetId="17" state="hidden" r:id="rId8"/>
    <sheet name="arhcive_The Top 25" sheetId="18" state="hidden" r:id="rId9"/>
    <sheet name="archQuote Templates" sheetId="19" state="hidden" r:id="rId10"/>
    <sheet name="Production Rates" sheetId="20" state="hidden" r:id="rId11"/>
    <sheet name="Products_archivestudy" sheetId="21" state="hidden" r:id="rId12"/>
    <sheet name="Line Items" sheetId="22" state="hidden" r:id="rId13"/>
    <sheet name="Sheet14" sheetId="23" state="hidden" r:id="rId14"/>
    <sheet name="Sheet13" sheetId="24" state="hidden" r:id="rId15"/>
    <sheet name="gables-grove-painting-line-item" sheetId="25" state="hidden" r:id="rId16"/>
    <sheet name="arc_Rate Categories + Area Name" sheetId="26" state="hidden" r:id="rId17"/>
    <sheet name="Sheet12" sheetId="27" state="hidden" r:id="rId18"/>
    <sheet name="Copy of PPG Paints" sheetId="28" state="hidden" r:id="rId19"/>
    <sheet name="Charge Rate" sheetId="29" state="hidden" r:id="rId20"/>
    <sheet name="Labor Rates" sheetId="30" state="hidden" r:id="rId21"/>
    <sheet name="PPC Standards" sheetId="31" state="hidden" r:id="rId22"/>
    <sheet name="SurePaint" sheetId="32" state="hidden" r:id="rId23"/>
    <sheet name="DYB" sheetId="33" state="hidden" r:id="rId24"/>
    <sheet name="SW v BM v PPG" sheetId="34" state="hidden" r:id="rId25"/>
    <sheet name="BM Product List" sheetId="35" state="hidden" r:id="rId26"/>
    <sheet name="From old spread Production Rate" sheetId="36" state="hidden" r:id="rId27"/>
    <sheet name="Brush Strokes" sheetId="37" state="hidden" r:id="rId28"/>
    <sheet name="painttalk.com rates" sheetId="38" state="hidden" r:id="rId29"/>
    <sheet name="Medina Calculator" sheetId="39" state="hidden" r:id="rId30"/>
    <sheet name="Boris Apt - Medina Calc" sheetId="40" state="hidden" r:id="rId31"/>
    <sheet name="Medina Exterior" sheetId="41" state="hidden" r:id="rId32"/>
    <sheet name="Arclight Interior" sheetId="42" state="hidden" r:id="rId33"/>
    <sheet name="Arclight Exterior" sheetId="43" state="hidden" r:id="rId34"/>
    <sheet name="Copy of Lists" sheetId="44" state="hidden" r:id="rId35"/>
    <sheet name="Copy of Markup vs Margin" sheetId="45" state="hidden" r:id="rId36"/>
    <sheet name="UF Rates" sheetId="46" state="hidden" r:id="rId37"/>
  </sheets>
  <externalReferences>
    <externalReference r:id="rId38"/>
  </externalReferences>
  <definedNames>
    <definedName name="_xlnm._FilterDatabase" localSheetId="26" hidden="1">'From old spread Production Rate'!$G$1:$G$110</definedName>
    <definedName name="ComboCodeDesc" localSheetId="34">'Copy of Lists'!$E$2:$E$9</definedName>
    <definedName name="Grade" localSheetId="34">'Copy of Lists'!$D$13:$D$30</definedName>
    <definedName name="PREP">Categories!$D$1:$D$10</definedName>
    <definedName name="ComboSpaceType" localSheetId="34">'Copy of Lists'!$I$2:$I$36</definedName>
    <definedName name="sex" localSheetId="34">'Copy of Lists'!$I$2:$I$36</definedName>
    <definedName name="ComboDoor" localSheetId="34">'Copy of Lists'!$K$1:$K$5</definedName>
    <definedName name="CARP">Categories!$F$1:$F$9</definedName>
    <definedName name="ComboRoom" localSheetId="34">'Copy of Lists'!$I$2:$I$31</definedName>
    <definedName name="MASK">Categories!$H$1:$H$6</definedName>
    <definedName name="PrepLevels" localSheetId="34">#REF!</definedName>
    <definedName name="ComboCodeData" localSheetId="34">'Copy of Lists'!$E$2:$E$9</definedName>
    <definedName name="SheenCodes" localSheetId="34">'Copy of Lists'!$D$2:$D$9</definedName>
    <definedName name="MaterialCalc" localSheetId="34">#REF!</definedName>
    <definedName name="Units" localSheetId="34">'Copy of Lists'!$K$1:$K$5</definedName>
    <definedName name="UnitsTypes" localSheetId="34">'Copy of Lists'!$K$2:$K$5</definedName>
    <definedName name="PW">Categories!$E$1:$E$7</definedName>
    <definedName name="ComboINTCodes" localSheetId="34">'Copy of Lists'!$D$2:$D$9</definedName>
    <definedName name="Interior_Painting">Categories!$B$1:$B$9</definedName>
    <definedName name="Exterior_Painting">Categories!$C$1:$C$8</definedName>
    <definedName name="MISC">Categories!$I$1:$I$8</definedName>
    <definedName name="SPEC">Categories!$G$1:$G$9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T2" authorId="0">
      <text>
        <r>
          <rPr>
            <sz val="10"/>
            <rFont val="SimSun"/>
            <charset val="134"/>
          </rPr>
          <t>Per coat algorithm = Rate/Coat*(1+Rate Decrease/Coat)
Example: =A1/2*(1+A2)  Where A1 = 1 coat rate and A2 = the % of decrease per coat (for additional coats being easier)</t>
        </r>
      </text>
    </comment>
    <comment ref="U2" authorId="0">
      <text>
        <r>
          <rPr>
            <sz val="10"/>
            <rFont val="SimSun"/>
            <charset val="134"/>
          </rPr>
          <t>Per coat algorithm = Rate/Coat*(1+Rate Decrease/Coat)
Example: =A1/2*(1+A2)  Where A1 = 1 coat rate and A2 = the % of decrease per coat (for additional coats being easier)</t>
        </r>
      </text>
    </comment>
    <comment ref="AF203" authorId="0">
      <text>
        <r>
          <rPr>
            <sz val="10"/>
            <rFont val="SimSun"/>
            <charset val="134"/>
          </rPr>
          <t xml:space="preserve">High Strength Bonding Agent
• $11.00/gallon, 200sqft coverage per gallon
Traditional Stucco Core Mix - scratch and brown coats
• $13.00/bag, 150sqft coverage per bag
• 2 coats
Traditional Stucco Core Mix - scratch and brown coats
• $19.00/bag, 180sqft coverage per bag					</t>
        </r>
      </text>
    </comment>
  </commentList>
</comments>
</file>

<file path=xl/comments2.xml><?xml version="1.0" encoding="utf-8"?>
<comments xmlns="http://schemas.openxmlformats.org/spreadsheetml/2006/main">
  <authors>
    <author/>
  </authors>
  <commentList>
    <comment ref="CD2" authorId="0">
      <text>
        <r>
          <rPr>
            <sz val="10"/>
            <rFont val="SimSun"/>
            <charset val="134"/>
          </rPr>
          <t>Why It Matters: The median production rate gives you the middle value when your data is ordered from smallest to largest, providing insight into the central tendency of your data that isn't skewed by extreme values.</t>
        </r>
      </text>
    </comment>
    <comment ref="CG2" authorId="0">
      <text>
        <r>
          <rPr>
            <sz val="10"/>
            <rFont val="SimSun"/>
            <charset val="134"/>
          </rPr>
          <t>Why It Matters: The range (difference between the highest and lowest production rates) can help you understand the variability and potential inconsistencies in production efficiency.</t>
        </r>
      </text>
    </comment>
    <comment ref="CJ2" authorId="0">
      <text>
        <r>
          <rPr>
            <sz val="10"/>
            <rFont val="SimSun"/>
            <charset val="134"/>
          </rPr>
          <t>Why It Matters: These measures of dispersion show how much your data varies from the average production rate, indicating the consistency of production rates among the companies analyzed.</t>
        </r>
      </text>
    </comment>
    <comment ref="CM2" authorId="0">
      <text>
        <r>
          <rPr>
            <sz val="10"/>
            <rFont val="SimSun"/>
            <charset val="134"/>
          </rPr>
          <t>Why It Matters: CV is a standardized measure of dispersion that allows you to compare the relative variability of production rates across datasets with different units or scales.</t>
        </r>
      </text>
    </comment>
    <comment ref="X3" authorId="0">
      <text>
        <r>
          <rPr>
            <sz val="10"/>
            <rFont val="SimSun"/>
            <charset val="134"/>
          </rPr>
          <t>Outside Unit types are normalized to the PaintScout options</t>
        </r>
      </text>
    </comment>
    <comment ref="AH3" authorId="0">
      <text>
        <r>
          <rPr>
            <sz val="10"/>
            <rFont val="SimSun"/>
            <charset val="134"/>
          </rPr>
          <t>Per coat algorithm = Rate/Coat*(1+Rate Decrease/Coat)
Example: =A1/2*(1+A2)  Where A1 = 1 coat rate and A2 = the % of decrease per coat (for additional coats being easier)</t>
        </r>
      </text>
    </comment>
    <comment ref="AI3" authorId="0">
      <text>
        <r>
          <rPr>
            <sz val="10"/>
            <rFont val="SimSun"/>
            <charset val="134"/>
          </rPr>
          <t>Per coat algorithm = Rate/Coat*(1+Rate Decrease/Coat)
Example: =A1/2*(1+A2)  Where A1 = 1 coat rate and A2 = the % of decrease per coat (for additional coats being easier)</t>
        </r>
      </text>
    </comment>
    <comment ref="AM56" authorId="0">
      <text>
        <r>
          <rPr>
            <sz val="10"/>
            <rFont val="SimSun"/>
            <charset val="134"/>
          </rPr>
          <t>Using Medium only</t>
        </r>
      </text>
    </comment>
    <comment ref="AM57" authorId="0">
      <text>
        <r>
          <rPr>
            <sz val="10"/>
            <rFont val="SimSun"/>
            <charset val="134"/>
          </rPr>
          <t>Using Medium only</t>
        </r>
      </text>
    </comment>
    <comment ref="AM60" authorId="0">
      <text>
        <r>
          <rPr>
            <sz val="10"/>
            <rFont val="SimSun"/>
            <charset val="134"/>
          </rPr>
          <t>combo Medium + Blown</t>
        </r>
      </text>
    </comment>
    <comment ref="AM61" authorId="0">
      <text>
        <r>
          <rPr>
            <sz val="10"/>
            <rFont val="SimSun"/>
            <charset val="134"/>
          </rPr>
          <t>combo Medium + Blown</t>
        </r>
      </text>
    </comment>
    <comment ref="AG115" authorId="0">
      <text>
        <r>
          <rPr>
            <sz val="10"/>
            <rFont val="SimSun"/>
            <charset val="134"/>
          </rPr>
          <t>Should be: =0.24/60 (or .004) but PaintScout doesn't offer three decimals, so it's set at .01</t>
        </r>
      </text>
    </comment>
    <comment ref="AG133" authorId="0">
      <text>
        <r>
          <rPr>
            <sz val="10"/>
            <rFont val="SimSun"/>
            <charset val="134"/>
          </rPr>
          <t>1 coat
Hector: 300/hr
CJC: 350/hr</t>
        </r>
      </text>
    </comment>
    <comment ref="N205" authorId="0">
      <text>
        <r>
          <rPr>
            <sz val="10"/>
            <rFont val="SimSun"/>
            <charset val="134"/>
          </rPr>
          <t xml:space="preserve">High Strength Bonding Agent
• $11.00/gallon, 200sqft coverage per gallon
Traditional Stucco Core Mix - scratch and brown coats
• $13.00/bag, 150sqft coverage per bag
• 2 coats
Traditional Stucco Core Mix - scratch and brown coats
• $19.00/bag, 180sqft coverage per bag					</t>
        </r>
      </text>
    </comment>
  </commentList>
</comments>
</file>

<file path=xl/comments3.xml><?xml version="1.0" encoding="utf-8"?>
<comments xmlns="http://schemas.openxmlformats.org/spreadsheetml/2006/main">
  <authors>
    <author/>
  </authors>
  <commentList>
    <comment ref="AJ1" authorId="0">
      <text>
        <r>
          <rPr>
            <sz val="10"/>
            <rFont val="SimSun"/>
            <charset val="134"/>
          </rPr>
          <t xml:space="preserve">Price to Customer
</t>
        </r>
      </text>
    </comment>
    <comment ref="AO1" authorId="0">
      <text>
        <r>
          <rPr>
            <sz val="10"/>
            <rFont val="SimSun"/>
            <charset val="134"/>
          </rPr>
          <t>Price to Customer</t>
        </r>
      </text>
    </comment>
    <comment ref="N2" authorId="0">
      <text>
        <r>
          <rPr>
            <sz val="10"/>
            <rFont val="SimSun"/>
            <charset val="134"/>
          </rPr>
          <t>Only PDS for Flat, 1G</t>
        </r>
      </text>
    </comment>
    <comment ref="U2" authorId="0">
      <text>
        <r>
          <rPr>
            <sz val="10"/>
            <rFont val="SimSun"/>
            <charset val="134"/>
          </rPr>
          <t xml:space="preserve">http://help.paintscout.com/en/articles/6063072-coverage-rates#h_87aa5a7f20 </t>
        </r>
      </text>
    </comment>
    <comment ref="AJ2" authorId="0">
      <text>
        <r>
          <rPr>
            <sz val="10"/>
            <rFont val="SimSun"/>
            <charset val="134"/>
          </rPr>
          <t>For a 50% GP you need 100% MARKUP!</t>
        </r>
      </text>
    </comment>
    <comment ref="AO2" authorId="0">
      <text>
        <r>
          <rPr>
            <sz val="10"/>
            <rFont val="SimSun"/>
            <charset val="134"/>
          </rPr>
          <t>For a 33% GP you need 50% MARKUP!</t>
        </r>
      </text>
    </comment>
    <comment ref="AQ2" authorId="0">
      <text>
        <r>
          <rPr>
            <sz val="10"/>
            <rFont val="SimSun"/>
            <charset val="134"/>
          </rPr>
          <t xml:space="preserve">"Red Pin Prices"
</t>
        </r>
      </text>
    </comment>
    <comment ref="C12" authorId="0">
      <text>
        <r>
          <rPr>
            <sz val="10"/>
            <rFont val="SimSun"/>
            <charset val="134"/>
          </rPr>
          <t xml:space="preserve">High Strength Bonding Agent
• $11.00/gallon, 200sqft coverage per gallon
Traditional Stucco Core Mix - scratch and brown coats
• $13.00/bag, 150sqft coverage per bag
• 2 coats
Traditional Stucco Core Mix - scratch and brown coats
• $19.00/bag, 180sqft coverage per bag					</t>
        </r>
      </text>
    </comment>
    <comment ref="V234" authorId="0">
      <text>
        <r>
          <rPr>
            <sz val="10"/>
            <rFont val="SimSun"/>
            <charset val="134"/>
          </rPr>
          <t>Amazon</t>
        </r>
      </text>
    </comment>
    <comment ref="Z234" authorId="0">
      <text>
        <r>
          <rPr>
            <sz val="10"/>
            <rFont val="SimSun"/>
            <charset val="134"/>
          </rPr>
          <t>Amazon</t>
        </r>
      </text>
    </comment>
  </commentList>
</comments>
</file>

<file path=xl/comments4.xml><?xml version="1.0" encoding="utf-8"?>
<comments xmlns="http://schemas.openxmlformats.org/spreadsheetml/2006/main">
  <authors>
    <author/>
  </authors>
  <commentList>
    <comment ref="AK2" authorId="0">
      <text>
        <r>
          <rPr>
            <sz val="10"/>
            <rFont val="SimSun"/>
            <charset val="134"/>
          </rPr>
          <t xml:space="preserve">Retail cost
</t>
        </r>
      </text>
    </comment>
    <comment ref="AL2" authorId="0">
      <text>
        <r>
          <rPr>
            <sz val="10"/>
            <rFont val="SimSun"/>
            <charset val="134"/>
          </rPr>
          <t>Cost found online portal or direct from distributors (Miami)</t>
        </r>
      </text>
    </comment>
    <comment ref="AM2" authorId="0">
      <text>
        <r>
          <rPr>
            <sz val="10"/>
            <rFont val="SimSun"/>
            <charset val="134"/>
          </rPr>
          <t xml:space="preserve">The price we put in PS
</t>
        </r>
      </text>
    </comment>
    <comment ref="AN2" authorId="0">
      <text>
        <r>
          <rPr>
            <sz val="10"/>
            <rFont val="SimSun"/>
            <charset val="134"/>
          </rPr>
          <t>How many material units are need to complete the SLPR</t>
        </r>
      </text>
    </comment>
  </commentList>
</comments>
</file>

<file path=xl/comments5.xml><?xml version="1.0" encoding="utf-8"?>
<comments xmlns="http://schemas.openxmlformats.org/spreadsheetml/2006/main">
  <authors>
    <author/>
  </authors>
  <commentList>
    <comment ref="D10" authorId="0">
      <text>
        <r>
          <rPr>
            <sz val="10"/>
            <rFont val="SimSun"/>
            <charset val="134"/>
          </rPr>
          <t>1.5 hours per frame or per door for a standard 3x7 door or frame both sides. 1 primer and 2 finish coats</t>
        </r>
      </text>
    </comment>
    <comment ref="J10" authorId="0">
      <text>
        <r>
          <rPr>
            <sz val="10"/>
            <rFont val="SimSun"/>
            <charset val="134"/>
          </rPr>
          <t>We can produce about 75sq an hour brushing and rolling doors, if we are spraying them, then we can produce about 300sq an hour. We spray most of our commercial doors with primer and first coat then brush and roll final.
	-Ryan Gill</t>
        </r>
      </text>
    </comment>
    <comment ref="J11" authorId="0">
      <text>
        <r>
          <rPr>
            <sz val="10"/>
            <rFont val="SimSun"/>
            <charset val="134"/>
          </rPr>
          <t>We can produce about the same 75sq an hour brushing and rolling casings, if we are spraying them, then we can produce about 300sq an hour. We spray most of our commercial doors with primer and first coat then brush and roll final. this is assuming there is 8.5Sq ft per casing.
	-Ryan Gill</t>
        </r>
      </text>
    </comment>
  </commentList>
</comments>
</file>

<file path=xl/comments6.xml><?xml version="1.0" encoding="utf-8"?>
<comments xmlns="http://schemas.openxmlformats.org/spreadsheetml/2006/main">
  <authors>
    <author/>
  </authors>
  <commentList>
    <comment ref="B1" authorId="0">
      <text>
        <r>
          <rPr>
            <sz val="10"/>
            <rFont val="SimSun"/>
            <charset val="134"/>
          </rPr>
          <t xml:space="preserve">Lowering this number slows down the 2nd - 4th coats production rates, raising it speeds them up.
</t>
        </r>
      </text>
    </comment>
    <comment ref="J1" authorId="0">
      <text>
        <r>
          <rPr>
            <sz val="10"/>
            <rFont val="SimSun"/>
            <charset val="134"/>
          </rPr>
          <t>Changing to Level 4 slows down production rates, changing to Levels 1 or 2 speeds up productions rates.  Factors of change are located at "Lists" tab
I27 - I30.  This "Level" change would correspond to the Level of Prep &amp; Finish Standard on the Word Proposals.</t>
        </r>
      </text>
    </comment>
    <comment ref="B3" authorId="0">
      <text>
        <r>
          <rPr>
            <sz val="10"/>
            <rFont val="SimSun"/>
            <charset val="134"/>
          </rPr>
          <t xml:space="preserve">Change the rates below &amp; the 2nd - 4th coats will change automatically by the factor in cell B1
</t>
        </r>
      </text>
    </comment>
    <comment ref="I3" authorId="0">
      <text>
        <r>
          <rPr>
            <sz val="10"/>
            <rFont val="SimSun"/>
            <charset val="134"/>
          </rPr>
          <t>Materials per unit</t>
        </r>
      </text>
    </comment>
    <comment ref="J3" authorId="0">
      <text>
        <r>
          <rPr>
            <sz val="10"/>
            <rFont val="SimSun"/>
            <charset val="134"/>
          </rPr>
          <t>You can change the production rates in column D individually by typing the % factor you want to change it by in the corresponding cell in column K.  The 1 - 4 coat rates will change automatically.  A negative # speeds up the rates &amp; a positive # slows them down.</t>
        </r>
      </text>
    </comment>
    <comment ref="I73" authorId="0">
      <text>
        <r>
          <rPr>
            <sz val="10"/>
            <rFont val="SimSun"/>
            <charset val="134"/>
          </rPr>
          <t>includes labor (install caulk &amp; putty) + up to 3" mdf trim (no painting)</t>
        </r>
      </text>
    </comment>
    <comment ref="I74" authorId="0">
      <text>
        <r>
          <rPr>
            <sz val="10"/>
            <rFont val="SimSun"/>
            <charset val="134"/>
          </rPr>
          <t>includes labor (install caulk &amp; putty) + up to 4" mdf baseboards (no painting)</t>
        </r>
      </text>
    </comment>
    <comment ref="I75" authorId="0">
      <text>
        <r>
          <rPr>
            <sz val="10"/>
            <rFont val="SimSun"/>
            <charset val="134"/>
          </rPr>
          <t xml:space="preserve">includes labor (install caulk &amp; putty), + material (no painting)    </t>
        </r>
      </text>
    </comment>
    <comment ref="I76" authorId="0">
      <text>
        <r>
          <rPr>
            <sz val="10"/>
            <rFont val="SimSun"/>
            <charset val="134"/>
          </rPr>
          <t xml:space="preserve">includes labor (install caulk &amp; putty), + material (no painting)    </t>
        </r>
      </text>
    </comment>
  </commentList>
</comments>
</file>

<file path=xl/comments7.xml><?xml version="1.0" encoding="utf-8"?>
<comments xmlns="http://schemas.openxmlformats.org/spreadsheetml/2006/main">
  <authors>
    <author/>
  </authors>
  <commentList>
    <comment ref="B1" authorId="0">
      <text>
        <r>
          <rPr>
            <sz val="10"/>
            <rFont val="SimSun"/>
            <charset val="134"/>
          </rPr>
          <t xml:space="preserve">Lowering this number slows down the 2nd - 4th coats production rates, raising it speeds them up.
</t>
        </r>
      </text>
    </comment>
    <comment ref="J1" authorId="0">
      <text>
        <r>
          <rPr>
            <sz val="10"/>
            <rFont val="SimSun"/>
            <charset val="134"/>
          </rPr>
          <t>Changing to Level 4 slows down production rates, changing to Levels 1 or 2 speeds up productions rates.  Factors of change are located at "Lists" tab
I27 - I30.  This "Level" change would correspond to the Level of Prep &amp; Finish Standard on the Word Proposals.</t>
        </r>
      </text>
    </comment>
    <comment ref="B3" authorId="0">
      <text>
        <r>
          <rPr>
            <sz val="10"/>
            <rFont val="SimSun"/>
            <charset val="134"/>
          </rPr>
          <t xml:space="preserve">Change the rates below &amp; the 2nd - 4th coats will change automatically by the factor in cell B1
</t>
        </r>
      </text>
    </comment>
    <comment ref="I3" authorId="0">
      <text>
        <r>
          <rPr>
            <sz val="10"/>
            <rFont val="SimSun"/>
            <charset val="134"/>
          </rPr>
          <t>Materials per unit</t>
        </r>
      </text>
    </comment>
    <comment ref="J3" authorId="0">
      <text>
        <r>
          <rPr>
            <sz val="10"/>
            <rFont val="SimSun"/>
            <charset val="134"/>
          </rPr>
          <t>You can change the production rates in column D individually by typing the % factor you want to change it by in the corresponding cell in column K.  The 1 - 4 coat rates will change automatically.  A negative # speeds up the rates &amp; a positive # slows them down.</t>
        </r>
      </text>
    </comment>
    <comment ref="I67" authorId="0">
      <text>
        <r>
          <rPr>
            <sz val="10"/>
            <rFont val="SimSun"/>
            <charset val="134"/>
          </rPr>
          <t>includes labor (install caulk &amp; putty) + up to 6" outdoor trim (no painting)</t>
        </r>
      </text>
    </comment>
    <comment ref="I68" authorId="0">
      <text>
        <r>
          <rPr>
            <sz val="10"/>
            <rFont val="SimSun"/>
            <charset val="134"/>
          </rPr>
          <t>includes labor (remove &amp; install) + up to 2x12" outdoor trim (no painting)</t>
        </r>
      </text>
    </comment>
  </commentList>
</comments>
</file>

<file path=xl/comments8.xml><?xml version="1.0" encoding="utf-8"?>
<comments xmlns="http://schemas.openxmlformats.org/spreadsheetml/2006/main">
  <authors>
    <author/>
  </authors>
  <commentList>
    <comment ref="E1" authorId="0">
      <text>
        <r>
          <rPr>
            <sz val="10"/>
            <rFont val="SimSun"/>
            <charset val="134"/>
          </rPr>
          <t>Descriptions in this coloumn can be typed over to fit your sheen types, however, list cannot be added to easily</t>
        </r>
      </text>
    </comment>
    <comment ref="I1" authorId="0">
      <text>
        <r>
          <rPr>
            <sz val="10"/>
            <rFont val="SimSun"/>
            <charset val="134"/>
          </rPr>
          <t>Descriptions in this coloumn can be typed over to fit your rooms or areas, however, list cannot be added to easily</t>
        </r>
      </text>
    </comment>
    <comment ref="B8" authorId="0">
      <text>
        <r>
          <rPr>
            <sz val="10"/>
            <rFont val="SimSun"/>
            <charset val="134"/>
          </rPr>
          <t>Enter a price in this cell to to change the "mileage" (per mile) rate calculated on the Summary page.</t>
        </r>
      </text>
    </comment>
    <comment ref="A10" authorId="0">
      <text>
        <r>
          <rPr>
            <sz val="10"/>
            <rFont val="SimSun"/>
            <charset val="134"/>
          </rPr>
          <t>Negative #'s speed up the production rates, positive #'s slow them down.  The % factor is how much slower or faster than a Level 3 do you want for the other Levels.</t>
        </r>
      </text>
    </comment>
  </commentList>
</comments>
</file>

<file path=xl/comments9.xml><?xml version="1.0" encoding="utf-8"?>
<comments xmlns="http://schemas.openxmlformats.org/spreadsheetml/2006/main">
  <authors>
    <author/>
  </authors>
  <commentList>
    <comment ref="A1" authorId="0">
      <text>
        <r>
          <rPr>
            <sz val="10"/>
            <rFont val="SimSun"/>
            <charset val="134"/>
          </rPr>
          <t xml:space="preserve">This includes all cost of the job: Labour, materials, rentals, dump fees, etc.
</t>
        </r>
      </text>
    </comment>
    <comment ref="B1" authorId="0">
      <text>
        <r>
          <rPr>
            <sz val="10"/>
            <rFont val="SimSun"/>
            <charset val="134"/>
          </rPr>
          <t xml:space="preserve">Multiplying your Direct Jobs Costs by 1.3 is equivalent to a 30% Mark-up, for example, but will only give you 23% Gross Profit </t>
        </r>
      </text>
    </comment>
  </commentList>
</comments>
</file>

<file path=xl/sharedStrings.xml><?xml version="1.0" encoding="utf-8"?>
<sst xmlns="http://schemas.openxmlformats.org/spreadsheetml/2006/main" count="13143" uniqueCount="2825">
  <si>
    <t>Label</t>
  </si>
  <si>
    <t>Hourly Rate (if different than Default)</t>
  </si>
  <si>
    <t>Default Area Type</t>
  </si>
  <si>
    <t>Default Presentation</t>
  </si>
  <si>
    <t>Default Terms</t>
  </si>
  <si>
    <t>Terms Link</t>
  </si>
  <si>
    <t>In PS</t>
  </si>
  <si>
    <t>NEED ASAP</t>
  </si>
  <si>
    <t>GETMO</t>
  </si>
  <si>
    <t>Perfect</t>
  </si>
  <si>
    <t>All Types</t>
  </si>
  <si>
    <t>The $105/hr Charge Rate "Miami"</t>
  </si>
  <si>
    <t>GG 💎 Residential Interior "Basics" SFHTH - Sherwin</t>
  </si>
  <si>
    <t>-</t>
  </si>
  <si>
    <t>Room</t>
  </si>
  <si>
    <t>Create New + Reassign!</t>
  </si>
  <si>
    <t>Residential</t>
  </si>
  <si>
    <t>2024 Scout Residential Terms</t>
  </si>
  <si>
    <t>GG 💎 Residential Interior SFH/TH - Ben</t>
  </si>
  <si>
    <t>GG 💎 Residential Interior Condo/Apt - Sherwin</t>
  </si>
  <si>
    <t>GG 💎 Residential Interior Condo/Apt - Ben</t>
  </si>
  <si>
    <t>GG 💎 Residential Interior + Exterior - Sherwin/Sherwin</t>
  </si>
  <si>
    <t>GG 💎 Residential Interior + Exterior - Ben/Sherwin</t>
  </si>
  <si>
    <t>GG 💎 Residential Interior + Exterior - Ben/Ben</t>
  </si>
  <si>
    <t>GG 💎 Cabinets Condo/Apt</t>
  </si>
  <si>
    <t>Surface</t>
  </si>
  <si>
    <t>GG 💎 Cabinets SFH/TH</t>
  </si>
  <si>
    <t>GG 💎 Residential Interior + Cabinets SFH/TH - Sherwin</t>
  </si>
  <si>
    <t>GG 💎 Residential Interior + Cabinets Condo/Apt - Sherwin</t>
  </si>
  <si>
    <t>GG 💎 Residential Interior + Cabinets SFH/TH - Ben</t>
  </si>
  <si>
    <t>GG 💎 Residential Interior + Cabinets Condo/Apt - Ben</t>
  </si>
  <si>
    <t>GG 💎 Carpentry + Interior - Sherwin</t>
  </si>
  <si>
    <t>GG 💎 Carpentry + Interior - Ben</t>
  </si>
  <si>
    <t>GG 💎 Residential Exterior - Sherwin</t>
  </si>
  <si>
    <t>GG 💎 Residential Exterior - Ben</t>
  </si>
  <si>
    <t>GG 💎 Metal Objects</t>
  </si>
  <si>
    <t>GG 💎 Residential Stucco + Exterior - Sherwin</t>
  </si>
  <si>
    <t>GG 💎 Residential Stucco + Exterior - Ben</t>
  </si>
  <si>
    <t>GG 💎 Pressure Cleaning + Surface Sealing</t>
  </si>
  <si>
    <t>GG 💎 Roof Painting</t>
  </si>
  <si>
    <t>Roof</t>
  </si>
  <si>
    <t>GG 💎 Commercial Interior</t>
  </si>
  <si>
    <t>Commercial</t>
  </si>
  <si>
    <t>2024 Scout Commercial Terms</t>
  </si>
  <si>
    <t>GG 💎 Commercial Exterior</t>
  </si>
  <si>
    <t>GG 💎 Commercial Stucco + Exterior</t>
  </si>
  <si>
    <t>GG 💎🔮 VQ Residential Interior SFH/TH - Sherwin</t>
  </si>
  <si>
    <t>GG 💎🔮 VQ Residential Interior SFH/TH - Ben</t>
  </si>
  <si>
    <t>GG 💎🔮 VQ Residential Interior Condo/Apt - Sherwin</t>
  </si>
  <si>
    <t>GG 💎🔮 VQ Residential Interior Condo/Apt - Ben</t>
  </si>
  <si>
    <t>GG 💎🔮 VQ Residential Exterior</t>
  </si>
  <si>
    <t>GG 💎🔮 VQ Cabinets</t>
  </si>
  <si>
    <t>GG 💎🔮 VQ Residential Interior + Cabinets SFH/TH - Sherwin</t>
  </si>
  <si>
    <t>GG 💎🔮 VQ Residential Interior + Cabinets SFH/TH - Ben</t>
  </si>
  <si>
    <t>GG 💎🔮 VQ Residential Interior + Cabinets Condo/Apt - Sherwin</t>
  </si>
  <si>
    <t>GG 💎🔮 VQ Residential Interior + Cabinets Condo/Apt - Ben</t>
  </si>
  <si>
    <t>GG 💎 NC Interior</t>
  </si>
  <si>
    <t>NC</t>
  </si>
  <si>
    <t>GG 💎 NC Exterior</t>
  </si>
  <si>
    <t>GG 💎 NC Interior + Exterior</t>
  </si>
  <si>
    <t>GG 💎 NC Systexx Installation + IP</t>
  </si>
  <si>
    <t>Customer-facing name displayed on quotes/proposals. Simple, clear, and professional for client understanding.</t>
  </si>
  <si>
    <t>Detailed description or clarification of the task, including exceptions, best practices, or important details.</t>
  </si>
  <si>
    <t>Keywords or conditions SellX AI uses to automatically detect when this production rate applies (e.g., “high ceilings”).</t>
  </si>
  <si>
    <t>Primary service grouping (e.g., Interior Painting, Exterior Painting, Cabinet Painting) used to organize tasks clearly.</t>
  </si>
  <si>
    <t>Specific tasks within the primary category (e.g., Walls, Trim, Doors). Enables more granular estimates.</t>
  </si>
  <si>
    <t>Indicates appropriate usage (Residential, Commercial, New Construction, etc.) for accurate project-specific estimates.</t>
  </si>
  <si>
    <t>Adjustment factor to modify production rates specifically for residential projects (e.g., 1.0 = standard, 1.1 = slower).</t>
  </si>
  <si>
    <t>Adjustment factor for commercial project scenarios (e.g., tighter timelines, larger crews may impact rate).</t>
  </si>
  <si>
    <t>Adjustment factor applied specifically to New Construction projects, accommodating typical productivity impacts.</t>
  </si>
  <si>
    <t>Adjustment factor for projects requiring extensive prep (e.g., repainting older homes with damaged surfaces).</t>
  </si>
  <si>
    <t>Method of application (Brush, Roll, Spray) to assist AI in selecting appropriate tasks and adjusting estimates.</t>
  </si>
  <si>
    <t>Indicator (Low/Med/High) showing how frequently this production rate is used, aiding AI’s selection accuracy.</t>
  </si>
  <si>
    <t>The standard number of coats typically recommended or included for the task.</t>
  </si>
  <si>
    <t>Production rate for completing one coat, expressed as sq ft/hour, linear ft/hour, or items/hour, depending on the task.</t>
  </si>
  <si>
    <t>Production rate for two coats—usually slower to account for drying and recoating time, ensuring accurate labor hours.</t>
  </si>
  <si>
    <t>Production rate for three coats or special scenarios (e.g., severe color changes or coverage issues).</t>
  </si>
  <si>
    <t>Unit of measure (Square Feet, Linear Feet, Items, Gallons) used to calculate rates and ensure accurate estimating.</t>
  </si>
  <si>
    <t>Recommended default paint/product for this task, matched to the “Products for SellX” sheet for accurate material costs.</t>
  </si>
  <si>
    <t>Standard coverage rate (sq ft/gallon) for the recommended product, used to accurately calculate required gallons/material.</t>
  </si>
  <si>
    <t>In Quote Types</t>
  </si>
  <si>
    <t>Default # coats</t>
  </si>
  <si>
    <t>Default Product</t>
  </si>
  <si>
    <t>Area View Desc</t>
  </si>
  <si>
    <t>Surf View Desc</t>
  </si>
  <si>
    <t>Crew Note</t>
  </si>
  <si>
    <t>Adv Opt</t>
  </si>
  <si>
    <t>Internal Label</t>
  </si>
  <si>
    <t>External Label</t>
  </si>
  <si>
    <t>Definition / Notes</t>
  </si>
  <si>
    <t>AI Hints/Triggers</t>
  </si>
  <si>
    <t>Service Category</t>
  </si>
  <si>
    <t>Sub-services</t>
  </si>
  <si>
    <t>Project Type(s)</t>
  </si>
  <si>
    <t>Residential Multiplier</t>
  </si>
  <si>
    <t>Commercial Multiplier</t>
  </si>
  <si>
    <t>HOA/Board/PM Multiplier</t>
  </si>
  <si>
    <t>NC Multiplier</t>
  </si>
  <si>
    <t>Fresh Start Multiplier</t>
  </si>
  <si>
    <t>Application Method</t>
  </si>
  <si>
    <t>Popularity</t>
  </si>
  <si>
    <t>Default # Coats</t>
  </si>
  <si>
    <t>Prod Rate (1C)</t>
  </si>
  <si>
    <t>Prod Rate (2C)</t>
  </si>
  <si>
    <t>Prod Rate (3C)</t>
  </si>
  <si>
    <t>Unit</t>
  </si>
  <si>
    <t>Default Surface</t>
  </si>
  <si>
    <t>Coverage of Default Product</t>
  </si>
  <si>
    <t>Base</t>
  </si>
  <si>
    <t>Comm Repaints</t>
  </si>
  <si>
    <t>HOA/Condo/PM</t>
  </si>
  <si>
    <t>NewCon</t>
  </si>
  <si>
    <t>⭐️ ➡️ Pressure Wash | Basic Cleaning</t>
  </si>
  <si>
    <t>➡️ Pressure Wash siding (basic cleaning)</t>
  </si>
  <si>
    <t>Exterior Painting</t>
  </si>
  <si>
    <t>R, C</t>
  </si>
  <si>
    <t>1 Essential/Core</t>
  </si>
  <si>
    <t>N/A</t>
  </si>
  <si>
    <t>Sqft [wall]/hr</t>
  </si>
  <si>
    <t>n/a</t>
  </si>
  <si>
    <t>Improve</t>
  </si>
  <si>
    <t>⭐️ ➡️ Roll smooth stucco walls</t>
  </si>
  <si>
    <t>➡️ Roll smooth stucco walls</t>
  </si>
  <si>
    <t>R</t>
  </si>
  <si>
    <t>Roll</t>
  </si>
  <si>
    <t>SuperPaint Flat</t>
  </si>
  <si>
    <t>default</t>
  </si>
  <si>
    <t>⭐️ ➡️ Spray smooth stucco walls</t>
  </si>
  <si>
    <t>➡️ Spray smooth stucco walls</t>
  </si>
  <si>
    <t>Spray</t>
  </si>
  <si>
    <t>➡️ Roll med/rough stucco walls</t>
  </si>
  <si>
    <t>➡️ Spray med/rough stucco walls</t>
  </si>
  <si>
    <t>➡️ Roll (Prime) smooth stucco walls</t>
  </si>
  <si>
    <t>Sherwin Williams LOXON Concrete &amp; Masonry Primer/Sealer</t>
  </si>
  <si>
    <t>➡️ Spray (Prime) smooth stucco walls</t>
  </si>
  <si>
    <t>➡️ Roll (Prime) med/rough stucco walls</t>
  </si>
  <si>
    <t>➡️ Spray (Prime) med/rough stucco walls</t>
  </si>
  <si>
    <t>⭐️ ➡️ Roll ceilings</t>
  </si>
  <si>
    <t>➡️ Roll ceilings</t>
  </si>
  <si>
    <t>Interior Painting</t>
  </si>
  <si>
    <t>Cut/Roll</t>
  </si>
  <si>
    <t>Sqft [ceiling]/hr</t>
  </si>
  <si>
    <t>All Set</t>
  </si>
  <si>
    <t>➡️ Prime ceiling | Roll</t>
  </si>
  <si>
    <t>➡️ Prime ceiling (roll)</t>
  </si>
  <si>
    <t>➡️ Prime ceiling | Spray</t>
  </si>
  <si>
    <t>➡️ Prime ceiling (spray)</t>
  </si>
  <si>
    <t>➡️ Paint ceilings | Spray</t>
  </si>
  <si>
    <t>➡️ Paint ceilings (spray)</t>
  </si>
  <si>
    <t>Pressure Wash: Remove Loose Paint (up to 5000psi)</t>
  </si>
  <si>
    <t>Uses high-pressure washer to blast off loose paint from exterior surfaces. Ideal for pre-paint prep or standalone cleaning.</t>
  </si>
  <si>
    <t>Pressure Washing</t>
  </si>
  <si>
    <t>Pressure Washer</t>
  </si>
  <si>
    <t>2 Common</t>
  </si>
  <si>
    <t>1️⃣ Cabinet masking prep</t>
  </si>
  <si>
    <t>➡️ Specific cabinet masking prep</t>
  </si>
  <si>
    <t>Every cabinet job requires $200 of masking</t>
  </si>
  <si>
    <t>Hand</t>
  </si>
  <si>
    <t>3 Occasional</t>
  </si>
  <si>
    <t>$/item</t>
  </si>
  <si>
    <t>Spray Prime + Paint Regular Cabinet Drawers</t>
  </si>
  <si>
    <t>➡️ Prime regular-sized cabinets doors (spray)</t>
  </si>
  <si>
    <t>Spray Prime + Paint Regular Cabinet Doors</t>
  </si>
  <si>
    <t>➡️ Prime regular-sized cabinets drawers (spray)</t>
  </si>
  <si>
    <t>Spray Prime + Paint Oversized Cabinet Drawers</t>
  </si>
  <si>
    <t>➡️ Prime cabinet trim (spray)</t>
  </si>
  <si>
    <t>Spray Prime + Paint Oversized Cabinet Doors</t>
  </si>
  <si>
    <t>➡️ Prime cabinet boxes/open faces (spray)</t>
  </si>
  <si>
    <t>Spray Prime + Paint Oversized Cabinet Open Faces</t>
  </si>
  <si>
    <t>➡️ Prime and paint cabinet boxes/open faces (spray)</t>
  </si>
  <si>
    <t>$/sqft</t>
  </si>
  <si>
    <t>Skim Coat Drywall - Wall</t>
  </si>
  <si>
    <t>Specialty Finishes</t>
  </si>
  <si>
    <t>Skim Coat Drywall - Ceiling</t>
  </si>
  <si>
    <t>➡️ Soft Wash walls</t>
  </si>
  <si>
    <t>➡️ Pressure Wash Horizontal (deck, patio, floor, concrete, etc.)</t>
  </si>
  <si>
    <t>➡️ Pressure Wash horizontal surface</t>
  </si>
  <si>
    <t>Sqft [floor]/hr</t>
  </si>
  <si>
    <t>➡️ Pressure Wash Roof</t>
  </si>
  <si>
    <t>Popcorn Ceiling: Prep + Remove (Part 1) | Residential</t>
  </si>
  <si>
    <t>Popcorn Ceiling: Prep + Remove (Part 1)</t>
  </si>
  <si>
    <t>Install</t>
  </si>
  <si>
    <t>4 Rare</t>
  </si>
  <si>
    <t>Popcorn Ceiling: Smooth + Prime + Systexx (Part 2) | Residential (copy)</t>
  </si>
  <si>
    <t>Popcorn Ceiling: Smooth + Prime + Systexx (Part 2)</t>
  </si>
  <si>
    <t>Walls | Systexx V22 Installation/L5 Drywall Finishing | NCSystexx V22 Installation/L5 Drywall Finishing | NC</t>
  </si>
  <si>
    <t>Walls - Systexx V22 Installation - L5 Drywall Finishing</t>
  </si>
  <si>
    <t>Ceilings | Systexx V22 Installation/L5 Drywall Finishing | NCSystexx V22 Installation/L5 Drywall Finishing | NC</t>
  </si>
  <si>
    <t>Ceilings - Systexx V22 Installation - L5 Drywall Finishing</t>
  </si>
  <si>
    <t>➡️ Fascia Repair 1"x6" PTL | 1st Floor</t>
  </si>
  <si>
    <t>➡️ 1st Floor Fascia Repair 1"x6" (Pressure Treated Lumber)</t>
  </si>
  <si>
    <t>Carpentry / Installations</t>
  </si>
  <si>
    <t>$/LF</t>
  </si>
  <si>
    <t>1"x6" Appearance Grade Pressure Treated Southern Pine</t>
  </si>
  <si>
    <t>➡️ Fascia Repair 1"x8" PTL | 1st Floor</t>
  </si>
  <si>
    <t>➡️ 1st Floor Fascia Repair 1"x8" (Pressure Treated Lumber)</t>
  </si>
  <si>
    <t>1"x8" Appearance Grade Pressure Treated Southern Pine</t>
  </si>
  <si>
    <t>➡️ Fascia Repair 1"x6/8" Hardie | 1st Floor</t>
  </si>
  <si>
    <t>➡️ 1st Floor Fascia Repair 1"x6/8" (Hardie Trim)</t>
  </si>
  <si>
    <t>Hardie Trim 1"x6" Primed Smooth Fiber Cement Trim Board</t>
  </si>
  <si>
    <t>➡️ Fascia Repair 1"x6" PTL | 2nd Floor</t>
  </si>
  <si>
    <t>➡️ 2nd Floor Fascia Repair 1"x6" (Pressure Treated Lumber)</t>
  </si>
  <si>
    <t>➡️ 2nd Floor Fascia Repair 1"x8" (Pressure Treated Lumber)</t>
  </si>
  <si>
    <t>➡️ Fascia Repair 1"x6/8" Hardie | 2nd Floor</t>
  </si>
  <si>
    <t>➡️ 2nd Floor Fascia Repair 1"x6/8" (Hardie Trim)</t>
  </si>
  <si>
    <t>➡️ Fascia Repair - Furring Replace | 1st Floor</t>
  </si>
  <si>
    <t>➡️ 1st Floor Fascia Repair - Replace Furring Strip (Pressure Treated Lumber)</t>
  </si>
  <si>
    <t>1"x2" (Furring Strip) Pressure Treated Board</t>
  </si>
  <si>
    <t>➡️ Fascia Repair - Furring Replace | 2nd Floor</t>
  </si>
  <si>
    <t>➡️ 2nd Floor Fascia Repair - Replace Furring Strip (Pressure Treated Lumber)</t>
  </si>
  <si>
    <t>2️⃣ Cabinet crack repair</t>
  </si>
  <si>
    <t>➡️ Repair minor cracks or divots</t>
  </si>
  <si>
    <t>3️⃣🅰️ Replace handle | Same hole(s)</t>
  </si>
  <si>
    <t>➡️ Replace handle, reusing same hole(s)</t>
  </si>
  <si>
    <t>3️⃣🅱️ Replace handle | Same hole(s) Replace handle | Different hole(s)</t>
  </si>
  <si>
    <t>➡️ Replace handle, patching closed 1-2 holes OR drilling new</t>
  </si>
  <si>
    <t>Boom</t>
  </si>
  <si>
    <t>Misc. Services</t>
  </si>
  <si>
    <t>Scaffold</t>
  </si>
  <si>
    <t>Tape Joints | Hand | High Volume</t>
  </si>
  <si>
    <t>➡️ Hand wash</t>
  </si>
  <si>
    <t>➡️ Hand washing</t>
  </si>
  <si>
    <t>➡️ SP-1 | Solvent Cleaning</t>
  </si>
  <si>
    <t>➡️ SP-2 | Handtool Cleaning</t>
  </si>
  <si>
    <t>Sand, Sponge, Pointup | Hand | High Volume</t>
  </si>
  <si>
    <t>➡️ Brush Prime regular-sized cabinet doors | Brush</t>
  </si>
  <si>
    <t>Brush/Roll</t>
  </si>
  <si>
    <t>5 Never</t>
  </si>
  <si>
    <t>➡️ Brush Prime regular-sized cabinet drawers | Brush</t>
  </si>
  <si>
    <t>➡️ Brush Prime cabinet trim | Brush</t>
  </si>
  <si>
    <t>➡️ Brush Prime cabinet open faces | Brush</t>
  </si>
  <si>
    <t>➡️ Brush Paint regular-sized cabinet doors | Brush</t>
  </si>
  <si>
    <t>➡️ Brush Paint regular-sized cabinet drawers | Brush</t>
  </si>
  <si>
    <t>➡️ Brush Paint cabinet trim | Brush</t>
  </si>
  <si>
    <t>➡️ Brush Paint cabinet open faces | Brush</t>
  </si>
  <si>
    <t>Stage</t>
  </si>
  <si>
    <t>➡️ SP-3 | Powertool Cleaning</t>
  </si>
  <si>
    <t>➡️ SP-11 | Powertool Cleaning to Bare</t>
  </si>
  <si>
    <t>➡️ SP-11 | Commercial Grade Powertool Cleaning</t>
  </si>
  <si>
    <t>Block (elastomeric)</t>
  </si>
  <si>
    <t>Hardie (smooth)</t>
  </si>
  <si>
    <t>Stucco</t>
  </si>
  <si>
    <t>Aluminum Siding</t>
  </si>
  <si>
    <t>Cedar Siding (rough)</t>
  </si>
  <si>
    <t>Wood Shingles</t>
  </si>
  <si>
    <t>Soft Wash Siding</t>
  </si>
  <si>
    <t>R, C, FS</t>
  </si>
  <si>
    <t>Deck, Stain</t>
  </si>
  <si>
    <t>Fences, Wood</t>
  </si>
  <si>
    <t>Scrape &amp; Sand</t>
  </si>
  <si>
    <t>Ceilings/Soffits/Eaves</t>
  </si>
  <si>
    <t>Remove/Replace Downspouts</t>
  </si>
  <si>
    <t>Remove/Replace Shutters</t>
  </si>
  <si>
    <t>Remove Doors/Windows</t>
  </si>
  <si>
    <t>Brush Shingles</t>
  </si>
  <si>
    <t>➡️ 1x4 Trim | 1Story</t>
  </si>
  <si>
    <t>➡️ Paint other trim - first story</t>
  </si>
  <si>
    <t>LF/hr</t>
  </si>
  <si>
    <t>SW SuperPaint Exterior, Satin</t>
  </si>
  <si>
    <t>➡️ 1x4 Trim | 2Story</t>
  </si>
  <si>
    <t>➡️ Paint other trim - second story</t>
  </si>
  <si>
    <t>➡️ Fascia | 1Story</t>
  </si>
  <si>
    <t>➡️ Paint fascia - first story</t>
  </si>
  <si>
    <t>➡️ Fascia | 2Story</t>
  </si>
  <si>
    <t>➡️ Paint fascia - second story</t>
  </si>
  <si>
    <t>➡️ Fascia | 3Story</t>
  </si>
  <si>
    <t>➡️ Paint fascia - third story</t>
  </si>
  <si>
    <t>➡️ Gutters=Fascia color | 1-2story</t>
  </si>
  <si>
    <t>➡️ Paint gutters same as fascia color - 1-2 story</t>
  </si>
  <si>
    <t>➡️ Gutters≠Fascia color | 1-2story</t>
  </si>
  <si>
    <t>➡️ Paint gutters different from fascia color - 1-2 story</t>
  </si>
  <si>
    <t>➡️ Gutters=Fascia color | 3story</t>
  </si>
  <si>
    <t>➡️ Paint gutters same as fascia color - third story</t>
  </si>
  <si>
    <t>➡️ Gutters≠Fascia color | 3story</t>
  </si>
  <si>
    <t>➡️ Paint gutters different from fascia color - 3rd story</t>
  </si>
  <si>
    <t>➡️ Downspouts/posts | w/3-4 sides</t>
  </si>
  <si>
    <t>➡️ Paint Downspouts/posts</t>
  </si>
  <si>
    <t>➡️ Flashing (if separate from fascia)</t>
  </si>
  <si>
    <t>➡️ Paint Flashing (separately from fascia)</t>
  </si>
  <si>
    <t>➡️ Soffits/eaves=body and/or fascia color | 1-2story</t>
  </si>
  <si>
    <t>➡️ Paint soffits/eaves same as body and/or fascia color - 1-2story</t>
  </si>
  <si>
    <t>➡️ Soffits/Eaves≠body and/or fascia color | 1-2story</t>
  </si>
  <si>
    <t>➡️ Paint soffits/eaves different body and/or fascia color - 1-2story</t>
  </si>
  <si>
    <t>➡️ Soffits/Eaves=body and/or fascia color | 3story</t>
  </si>
  <si>
    <t>➡️ Paint soffits/eaves same as body and/or fascia color - 3story</t>
  </si>
  <si>
    <t>➡️ Soffits/Eaves≠body and/or fascia color | 3story</t>
  </si>
  <si>
    <t>➡️ Paint soffits/eaves different body and/or fascia color - 3story</t>
  </si>
  <si>
    <t>Caulk: Small Window</t>
  </si>
  <si>
    <t>Caulk Small Window(s)</t>
  </si>
  <si>
    <t>Items/hr</t>
  </si>
  <si>
    <t>Caulk: Medium Window</t>
  </si>
  <si>
    <t>Caulk Medium Window(s)</t>
  </si>
  <si>
    <t>Caulk: Large Window</t>
  </si>
  <si>
    <t>Caulk Large Window(s)</t>
  </si>
  <si>
    <t>➡️ DTM Paint HMD 1-side</t>
  </si>
  <si>
    <t>DTM</t>
  </si>
  <si>
    <t>➡️ DTM Paint Aluminum | Large Window</t>
  </si>
  <si>
    <t>➡️ DTM Paint Large Window (Aluminum)</t>
  </si>
  <si>
    <t>➡️ DTM Paint Aluminum | Medium Window</t>
  </si>
  <si>
    <t>➡️ DTM Paint Medium Window (Aluminum)</t>
  </si>
  <si>
    <t>➡️ DTM Paint Aluminum | Small Window</t>
  </si>
  <si>
    <t>➡️ DTM Paint Small Window (Aluminum)</t>
  </si>
  <si>
    <t>➡️ DTM Paint "Solid" Fence, Railing, Gate or Door</t>
  </si>
  <si>
    <t>➡️ DTM Paint "Open" Fence, Railing, Gate or Door</t>
  </si>
  <si>
    <t>➡️ DTM Paint Spiral Staircase</t>
  </si>
  <si>
    <t>➡️ DTM Paint Ornate Front Door - Metal</t>
  </si>
  <si>
    <t>➡️ DTM Paint Front Door - Metal</t>
  </si>
  <si>
    <t>➡️ Paint Window Wood Frames | Small</t>
  </si>
  <si>
    <t>➡️ Paint Window Wood Frames - Small</t>
  </si>
  <si>
    <t>SW ProClassic, Satin</t>
  </si>
  <si>
    <t>➡️ Paint Window Wood Frames | Medium</t>
  </si>
  <si>
    <t>➡️ Paint Window Wood Frames - Medium</t>
  </si>
  <si>
    <t>➡️ Paint Window Wood Frames | Large</t>
  </si>
  <si>
    <t>➡️ Paint Window Wood Frames - Large</t>
  </si>
  <si>
    <t>➡️ DTM Paint Aluminum | French Door</t>
  </si>
  <si>
    <t>➡️ DTM Paint French Door (Aluminum)</t>
  </si>
  <si>
    <t>Window Trim</t>
  </si>
  <si>
    <t>Caulking</t>
  </si>
  <si>
    <t>Mask (Paper &amp; Tape)</t>
  </si>
  <si>
    <t>Prep/Repairs</t>
  </si>
  <si>
    <t>Front Door</t>
  </si>
  <si>
    <t>Hours/item</t>
  </si>
  <si>
    <t>marketing plan, hero sheets, qc process, budget</t>
  </si>
  <si>
    <t>Garage Door</t>
  </si>
  <si>
    <t>Door, Flat</t>
  </si>
  <si>
    <t>Door, Paneled</t>
  </si>
  <si>
    <t>Door Frame</t>
  </si>
  <si>
    <t>Mask (Window)</t>
  </si>
  <si>
    <t>Rot Repair</t>
  </si>
  <si>
    <t>➡️ New baseboards prep: putty+sand+caulk</t>
  </si>
  <si>
    <t>➡️ Caulk door casing(s) for fresh finish</t>
  </si>
  <si>
    <t>➡️ Caulk interior trim | LF</t>
  </si>
  <si>
    <t>➡️ Caulk interior trim</t>
  </si>
  <si>
    <t>➡️ Pole sand walls</t>
  </si>
  <si>
    <t>➡️ Patch drywall (over 1")</t>
  </si>
  <si>
    <t>➡️ Spot prime/seal stains</t>
  </si>
  <si>
    <t>➡️ Remove wallpaper</t>
  </si>
  <si>
    <t>➡️ Repair drywall hairline crack(s)</t>
  </si>
  <si>
    <t>➡️ 15 minute time blocks</t>
  </si>
  <si>
    <t>🔝 Tongue&amp;Groove Ceilings | 2C [Prep calculated separately]</t>
  </si>
  <si>
    <t>Paint Tongue &amp; Groove Ceiling</t>
  </si>
  <si>
    <t>🔝 Tongue&amp;Groove Ceilings - BEAMS | 2C</t>
  </si>
  <si>
    <t>Paint Tongue &amp; Groove Ceiling - Beams</t>
  </si>
  <si>
    <t>🔝 Ceilings: Paint (popcorn)</t>
  </si>
  <si>
    <t>🔝 Ceiings: cut lines</t>
  </si>
  <si>
    <t xml:space="preserve">Cut </t>
  </si>
  <si>
    <t>➡️ Paint ceiling over 12' | Roll</t>
  </si>
  <si>
    <t>➡️ Paint ceiling over 12'</t>
  </si>
  <si>
    <t>⭐️ ➡️ Paint smooth 8'-10' walls | Roll</t>
  </si>
  <si>
    <t>➡️ Paint smooth 8'-10' walls (roll)</t>
  </si>
  <si>
    <t>SuperPaint</t>
  </si>
  <si>
    <t>➡️ Paint smooth 10'-13' walls | Roll</t>
  </si>
  <si>
    <t>➡️ Paint smooth 10'-13' walls (roll)</t>
  </si>
  <si>
    <t>➡️ Paint smooth 13'+ walls | Roll</t>
  </si>
  <si>
    <t>➡️ Paint smooth 13'+ walls (roll)</t>
  </si>
  <si>
    <t>➡️ Paint smooth 8'-10' walls | Spray</t>
  </si>
  <si>
    <t>➡️ Paint smooth 8'-10' walls (spray)</t>
  </si>
  <si>
    <t>➡️ Paint smooth 10+' walls | Spray</t>
  </si>
  <si>
    <t>➡️ Paint smooth 10+' walls (spray)</t>
  </si>
  <si>
    <t>➡️ Prime smooth 8'-10' walls | Roll</t>
  </si>
  <si>
    <t>➡️ Prime smooth 8'-10' walls (roll)</t>
  </si>
  <si>
    <t>➡️ Prime smooth 8'-10' walls | Spray</t>
  </si>
  <si>
    <t>➡️ Prime smooth 8'-10' walls (spray)</t>
  </si>
  <si>
    <t>➡️ Prime smooth 10'+ walls | Roll</t>
  </si>
  <si>
    <t>➡️ Prime smooth 10'+ walls (roll)</t>
  </si>
  <si>
    <t>➡️ Prime smooth 10'+ walls | Spray</t>
  </si>
  <si>
    <t>➡️ Prime smooth 10'+ walls (spray)</t>
  </si>
  <si>
    <t>➡️ Cut Lines | Same Color | Walls/Walls to Ceiling</t>
  </si>
  <si>
    <t>➡️ Cut Lines | Change Color | Walls/Walls to Ceiling</t>
  </si>
  <si>
    <t>Cut lines: openings</t>
  </si>
  <si>
    <t>Each</t>
  </si>
  <si>
    <t>Cut lines: per stair riser</t>
  </si>
  <si>
    <t>Windows: Sills</t>
  </si>
  <si>
    <t>Windows: Casement</t>
  </si>
  <si>
    <t>Windows: per pane</t>
  </si>
  <si>
    <t>Windows: french</t>
  </si>
  <si>
    <t>Column</t>
  </si>
  <si>
    <t>Stair rail (per baluster)</t>
  </si>
  <si>
    <t>Wainscott</t>
  </si>
  <si>
    <t>➡️ Paint baseboard</t>
  </si>
  <si>
    <t>➡️ Brush baseboard</t>
  </si>
  <si>
    <t>Brush</t>
  </si>
  <si>
    <t>ProClassic, Satin</t>
  </si>
  <si>
    <t>➡️ Paint crown molding</t>
  </si>
  <si>
    <t>➡️ Brush crown molding</t>
  </si>
  <si>
    <t>➡️ Paint chair rail</t>
  </si>
  <si>
    <t>➡️ Brush chair rail</t>
  </si>
  <si>
    <t>➡️ Brush standard frame | 2x sides</t>
  </si>
  <si>
    <t>➡️ Brush standard frame</t>
  </si>
  <si>
    <t>➡️ Spray standard frame | 2x sides</t>
  </si>
  <si>
    <t>➡️ Spray standard frame</t>
  </si>
  <si>
    <t>🖼️ Door Frame - Standard Size | 1 Side | Brush | 2C</t>
  </si>
  <si>
    <t>Paint Door Frame - Brush</t>
  </si>
  <si>
    <t>🖼️ Door Frame - Standard Size | 1 Side | Spray | 2C</t>
  </si>
  <si>
    <t>Paint Door Frame - Spray</t>
  </si>
  <si>
    <t>⭐️ ➡️ Roll standard flat door | 2x sides</t>
  </si>
  <si>
    <t>➡️ Roll standard flat door</t>
  </si>
  <si>
    <t>⭐️ ➡️ Roll standard flat door + frame | 2x sides</t>
  </si>
  <si>
    <t>➡️ Roll standard flat door + frame</t>
  </si>
  <si>
    <t>➡️ Brush/roll standard 4/6 panel door | 2x sides</t>
  </si>
  <si>
    <t>➡️ Brush/roll standard 4/6 panel door</t>
  </si>
  <si>
    <t>➡️ Brush/roll standard 4/6 panel door + frame | 2x sides</t>
  </si>
  <si>
    <t>➡️ Brush/roll standard 4/6 panel door + frame</t>
  </si>
  <si>
    <t>➡️ Brush/roll 8-15 lite door | 2x sides</t>
  </si>
  <si>
    <t>➡️ Brush/roll 8-15 lite door</t>
  </si>
  <si>
    <t>➡️ Brush/roll 8-15 lite door + frame | 2x sides</t>
  </si>
  <si>
    <t>➡️ Brush/roll 8-15 lite door + frame</t>
  </si>
  <si>
    <t>➡️ Roll XL flat door | 2x sides</t>
  </si>
  <si>
    <t>➡️ Roll XL flat door</t>
  </si>
  <si>
    <t>➡️ Brush/Roll XL flat door + frame | 2x sides | Brush/Roll</t>
  </si>
  <si>
    <t>➡️ Brush/Roll XL flat door + frame</t>
  </si>
  <si>
    <t>➡️ Paint standard flat door | 1x side | Roll</t>
  </si>
  <si>
    <t>➡️ Paint standard flat door (1 side)</t>
  </si>
  <si>
    <t>➡️ Paint standard flat door + frame | 1x side | Brush/Roll</t>
  </si>
  <si>
    <t>➡️ Paint standard flat door + frame (1 side)</t>
  </si>
  <si>
    <t>🚪 Door: XL Flat | 1 Face | Roll | 2C</t>
  </si>
  <si>
    <t>Paint Flat Door - Roll</t>
  </si>
  <si>
    <t>🚪 Door: Standard 4/6 Panel | 1 Face | Brush/Roll | 2C</t>
  </si>
  <si>
    <t>Paint Paneled Door - Brush/Roll</t>
  </si>
  <si>
    <t>🚪 Door: Standard French | 1 Face | Brush| 2C</t>
  </si>
  <si>
    <t>Paint French Door - Brush</t>
  </si>
  <si>
    <t>❓ How many small closets W/O shelf cuts? (Broom, AC, Linen, etc)</t>
  </si>
  <si>
    <t>Paint Small Closet (Broom, AC, Linen, etc)</t>
  </si>
  <si>
    <t>❓ How many small closets WITH shelf cuts? (Broom, AC, Linen, etc)</t>
  </si>
  <si>
    <t>❓ How many medium closets W/O shelf cuts? (BR, Halls, etc)</t>
  </si>
  <si>
    <t>Paint Medium Closet (BR, Halls, etc)</t>
  </si>
  <si>
    <t>❓ How many medium closets WITH shelf cuts? (BR, Halls, etc)</t>
  </si>
  <si>
    <t>Paint Medium Closet</t>
  </si>
  <si>
    <t>❓ How many large/walk-in closets W/O shelf cuts?</t>
  </si>
  <si>
    <t>Paint Large/WI Closet</t>
  </si>
  <si>
    <t>❓ How many large/walk-in closets WITH shelf cuts?</t>
  </si>
  <si>
    <t>Accent Wall Cutting | LF</t>
  </si>
  <si>
    <t>Accent Wall Cutting</t>
  </si>
  <si>
    <t>🤿 Tape line (LnFt)</t>
  </si>
  <si>
    <t>Interior Painting, Exterior Painting</t>
  </si>
  <si>
    <t>🤿 Masking flooring (SqFt)</t>
  </si>
  <si>
    <t>➡️ Volume coverup (bulk sheeting)</t>
  </si>
  <si>
    <t>➡️ Basic dropcloth use (USE THEM!)</t>
  </si>
  <si>
    <t>➡️ Protect with dropcloths</t>
  </si>
  <si>
    <t>➡️ Protect floors w red rosin paper + tape edges</t>
  </si>
  <si>
    <t>➡️ Mask with paper &amp; tape</t>
  </si>
  <si>
    <t>➡️ Protect walls and/or cabinets with lightweight plastic</t>
  </si>
  <si>
    <t>➡️ Protect walls/cabinets</t>
  </si>
  <si>
    <t>➡️ Mask door + casing hinges</t>
  </si>
  <si>
    <t>➡️ Mask SGDs</t>
  </si>
  <si>
    <t>➡️ Mask Sliding Glass Door(s)</t>
  </si>
  <si>
    <t>🤿 Liquid Masking Windows | Brush (incl removal)</t>
  </si>
  <si>
    <t>🤿 Liquid Masking Windows | Spray (incl removal)</t>
  </si>
  <si>
    <t>🤿 Mask Sprinkler Heads (incl removal) | 1-10' AFF</t>
  </si>
  <si>
    <t>🤿 Mask Sprinkler Heads (incl removal) | 10-20' AFF</t>
  </si>
  <si>
    <t>🤿 Mask Sprinkler Heads (incl removal) | 20-30' AFF</t>
  </si>
  <si>
    <t>🤿 Remove + Replace Standard Door Handle/Lockset</t>
  </si>
  <si>
    <t>➡️ Remove + replace plug/switch plate(s)</t>
  </si>
  <si>
    <t>🤿 Number, Remove + Reinstall Hinged Doors from Casing</t>
  </si>
  <si>
    <t>🤿 Mask Window Lites (per window) | 1 side</t>
  </si>
  <si>
    <t>🤿 Mask Window Frame | 1 side</t>
  </si>
  <si>
    <t>🤿 Mask: Windows</t>
  </si>
  <si>
    <t>Mask Window(s)</t>
  </si>
  <si>
    <t>🤿 Mask: Doors</t>
  </si>
  <si>
    <t>Mask Door(s)</t>
  </si>
  <si>
    <t>🤿 Mask: Lights + Small Objects</t>
  </si>
  <si>
    <t>Mask Lights/Small Objects</t>
  </si>
  <si>
    <t>Tape line with Caulking (LnFt)</t>
  </si>
  <si>
    <t>🗿 NC Stucco Installation</t>
  </si>
  <si>
    <t>NC Stucco Installation</t>
  </si>
  <si>
    <t>🗿 Stucco Installation (excl.corner beads)</t>
  </si>
  <si>
    <t>Stucco Installation | Residential</t>
  </si>
  <si>
    <t>All Stucco Materials (Bonding Agent, Stucco Core Mix)</t>
  </si>
  <si>
    <t>🗿 Corner bead installation (stucco projects)</t>
  </si>
  <si>
    <t>Stucco Repair - SF | 1st Floor</t>
  </si>
  <si>
    <t>Repairs | Residential</t>
  </si>
  <si>
    <t>Fence Staining</t>
  </si>
  <si>
    <t>Replace wall sconce</t>
  </si>
  <si>
    <t>Replace fan</t>
  </si>
  <si>
    <t>T&amp;G Ceiling</t>
  </si>
  <si>
    <t>SuperDeck Exterior Waterborne Clear Sealer</t>
  </si>
  <si>
    <t>Crack Repair - LF</t>
  </si>
  <si>
    <t>Stucco Float</t>
  </si>
  <si>
    <t>Color Consult</t>
  </si>
  <si>
    <t>Stucco - Elastomeric</t>
  </si>
  <si>
    <t>Strip Stain</t>
  </si>
  <si>
    <t>Brighten Wood</t>
  </si>
  <si>
    <t>Clean Gutters</t>
  </si>
  <si>
    <t>Patch Stucco</t>
  </si>
  <si>
    <t>Bondo</t>
  </si>
  <si>
    <t>Caulk siding (per sq ft.)</t>
  </si>
  <si>
    <t>Caulk seams (per linear. ft.)</t>
  </si>
  <si>
    <t>Remove/Reset (Fixtures)</t>
  </si>
  <si>
    <t>Mask (Openings)</t>
  </si>
  <si>
    <t>Mask (Other) - 10 mins.</t>
  </si>
  <si>
    <t>Ladder Time - 30 mins.</t>
  </si>
  <si>
    <t>Full Prime</t>
  </si>
  <si>
    <t>Spot Prime</t>
  </si>
  <si>
    <t>Peel Bond</t>
  </si>
  <si>
    <t>Clean and Touchup</t>
  </si>
  <si>
    <t>Siding (vertical)</t>
  </si>
  <si>
    <t>Shingles</t>
  </si>
  <si>
    <t>Windows (wood)</t>
  </si>
  <si>
    <t>Windows (per pane)</t>
  </si>
  <si>
    <t>Front Door (HVLP)</t>
  </si>
  <si>
    <t>Decking</t>
  </si>
  <si>
    <t>Fencing</t>
  </si>
  <si>
    <t>Railing (per balustrade)</t>
  </si>
  <si>
    <t>Install window/door trim</t>
  </si>
  <si>
    <t>Replace fascia</t>
  </si>
  <si>
    <t>Prep Spot</t>
  </si>
  <si>
    <t>Feather Sand Spot</t>
  </si>
  <si>
    <t>Area Soffits - Easy</t>
  </si>
  <si>
    <t>Area Soffits - Hard</t>
  </si>
  <si>
    <t>Area Siding - Easy Scrape</t>
  </si>
  <si>
    <t>Area Siding - Mid Scrape</t>
  </si>
  <si>
    <t>Area Siding - Hard Scrape</t>
  </si>
  <si>
    <t>Area Sand</t>
  </si>
  <si>
    <t>Minor Maint. - Spot Filler</t>
  </si>
  <si>
    <t>Minor Maint. - Linear Filler</t>
  </si>
  <si>
    <t>Minor Maint. - Linear Caulk</t>
  </si>
  <si>
    <t>Minor Maint. - Bushes/Trees</t>
  </si>
  <si>
    <t>Spot Priming</t>
  </si>
  <si>
    <t>Easy Roll</t>
  </si>
  <si>
    <t>Hard Roll</t>
  </si>
  <si>
    <t>Brushwork</t>
  </si>
  <si>
    <t>Drywall Surface Priming | Spray | High Volume</t>
  </si>
  <si>
    <t>Drywall Patch, 1'x1' Area | Hand</t>
  </si>
  <si>
    <t>Staining</t>
  </si>
  <si>
    <t>Waterproofing</t>
  </si>
  <si>
    <t>Supply - Edge Protection</t>
  </si>
  <si>
    <t>Supply - Elevated Work Platform</t>
  </si>
  <si>
    <t>Supply - Furniture Removal Assistance</t>
  </si>
  <si>
    <t>Supply - Height Access Equipment</t>
  </si>
  <si>
    <t>Supply - Light Weight Patio Support</t>
  </si>
  <si>
    <t>Supply - Mini Skip</t>
  </si>
  <si>
    <t>Supply - Outside Of Business Hours</t>
  </si>
  <si>
    <t>Supply - Portable Toilet</t>
  </si>
  <si>
    <t>Supply - Powerlines Safety Certificate</t>
  </si>
  <si>
    <t>Supply - Return Trip Skirting Boards</t>
  </si>
  <si>
    <t>Supply - Return Trip To Site</t>
  </si>
  <si>
    <t>Supply - Roof Harness System</t>
  </si>
  <si>
    <t>Supply - Scaffold</t>
  </si>
  <si>
    <t>Supply - Stairwell Access Equipment</t>
  </si>
  <si>
    <t>Limewash on Walls</t>
  </si>
  <si>
    <t>Masonry Brush</t>
  </si>
  <si>
    <t>Limewash on Ceilings</t>
  </si>
  <si>
    <t>Exterior Limewash Application</t>
  </si>
  <si>
    <t>Roller + Masonry Brush</t>
  </si>
  <si>
    <t>Limewash Mineral Priming</t>
  </si>
  <si>
    <t xml:space="preserve">Roller  </t>
  </si>
  <si>
    <t>Product Name</t>
  </si>
  <si>
    <t>Customer-Facing Label</t>
  </si>
  <si>
    <t>ADVANCE® WATERBORNE INTERIOR ALKYD SATIN 792</t>
  </si>
  <si>
    <t>BM_Advance_Int_Alkyd_Satin_792</t>
  </si>
  <si>
    <t>Benjamin Moore Advance Waterborne Interior Alkyd Satin 792</t>
  </si>
  <si>
    <t>ADVANCE® WATERBORNE INTERIOR ALKYD SEMI GLOSS 793</t>
  </si>
  <si>
    <t>BM_Advance_Int_Alkyd_SemiGloss_793</t>
  </si>
  <si>
    <t>Benjamin Moore Advance Waterborne Interior Alkyd Semi-Gloss 793</t>
  </si>
  <si>
    <t>ADVANCE® WATERBORNE INTERIOR/EXTERIOR ALKYD HIGH GLOSS N794</t>
  </si>
  <si>
    <t>BM_Advance_IntExt_Alkyd_HighGloss_N794</t>
  </si>
  <si>
    <t>Benjamin Moore Advance Waterborne Interior/Exterior Alkyd High Gloss N794</t>
  </si>
  <si>
    <t>ALIPHATIC ACRYLIC URETHANE GLOSS V500</t>
  </si>
  <si>
    <t>BM_Aliphatic_AcrylicUrethane_Gloss_V500</t>
  </si>
  <si>
    <t>Benjamin Moore Aliphatic Acrylic Urethane Gloss V500</t>
  </si>
  <si>
    <t>100% SOLIDS EPOXY PRE-PRIMER V155</t>
  </si>
  <si>
    <t>BM_SolidsEpoxy_PrePrimer_V155</t>
  </si>
  <si>
    <t>Benjamin Moore 100% Solids Epoxy Pre-Primer V155</t>
  </si>
  <si>
    <t>AQUA LOCK® PLUS 100% ACRYLIC PRIMER SEALER AQ-0XXX</t>
  </si>
  <si>
    <t>BM_AquaLock_AcrylicPrimer_Sealer_AQ0XXX</t>
  </si>
  <si>
    <t>Benjamin Moore Aqua Lock Plus 100% Acrylic Primer Sealer AQ-0XXX</t>
  </si>
  <si>
    <t>ARBORCOAT® WATERBORNE EXTERIOR STAIN SEMI SOLID 639</t>
  </si>
  <si>
    <t>BM_Arborcoat_Ext_Stain_SemiSolid_639</t>
  </si>
  <si>
    <t>Benjamin Moore Arborcoat Waterborne Exterior Stain Semi-Solid 639</t>
  </si>
  <si>
    <t>ARBORCOAT® WATERBORNE EXTERIOR STAIN SEMI TRANSPARENT N638</t>
  </si>
  <si>
    <t>BM_Arborcoat_Ext_Stain_SemiTransparent_N638</t>
  </si>
  <si>
    <t>Benjamin Moore Arborcoat Waterborne Exterior Stain Semi-Transparent N638</t>
  </si>
  <si>
    <t>ARBORCOAT® WATERBORNE EXTERIOR STAIN SOLID COLOR 640</t>
  </si>
  <si>
    <t>BM_Arborcoat_Ext_Stain_Solid_640</t>
  </si>
  <si>
    <t>Benjamin Moore Arborcoat Waterborne Exterior Stain Solid Color 640</t>
  </si>
  <si>
    <t>ARBORCOAT® WATERBORNE EXTERIOR STAIN TRANSLUCENT W623</t>
  </si>
  <si>
    <t>BM_Arborcoat_Ext_Stain_Translucent_W623</t>
  </si>
  <si>
    <t>Benjamin Moore Arborcoat Waterborne Exterior Stain Translucent W623</t>
  </si>
  <si>
    <t>ARBORCOAT® WATERBORNE ULTRA FLAT SOLID STAIN 610</t>
  </si>
  <si>
    <t>BM_Arborcoat_Ext_Stain_UltraFlat_Solid_610</t>
  </si>
  <si>
    <t>Benjamin Moore Arborcoat Waterborne Ultra Flat Solid Stain 610</t>
  </si>
  <si>
    <t>Aura</t>
  </si>
  <si>
    <t>AURA® GRAND ENTRANCE® HIGH GLOSS 148</t>
  </si>
  <si>
    <t>BM_Aura_GrandEntrance_HighGloss_148</t>
  </si>
  <si>
    <t>Benjamin Moore Aura Grand Entrance High Gloss 148</t>
  </si>
  <si>
    <t>AURA® WATERBORNE INTERIOR PAINT &amp; PRIMER EGGSHELL N524</t>
  </si>
  <si>
    <t>BM_Aura_Int_PaintPrimer_Eggshell_N524</t>
  </si>
  <si>
    <t>Benjamin Moore Aura Waterborne Interior Paint &amp; Primer Eggshell N524</t>
  </si>
  <si>
    <t>AURA® WATERBORNE INTERIOR PAINT &amp; PRIMER SATIN N526</t>
  </si>
  <si>
    <t>BM_Aura_Int_PaintPrimer_Satin_N526</t>
  </si>
  <si>
    <t>Benjamin Moore Aura Waterborne Interior Paint &amp; Primer Satin N526</t>
  </si>
  <si>
    <t>AURA® WATERBORNE INTERIOR PAINT &amp; PRIMER SEMI‐GLOSS N528</t>
  </si>
  <si>
    <t>BM_Aura_Int_PaintPrimer_SemiGloss_N528</t>
  </si>
  <si>
    <t>Benjamin Moore Aura Waterborne Interior Paint &amp; Primer Semi-Gloss N528</t>
  </si>
  <si>
    <t>AURA® BATH &amp; SPA WATERBORNE INTERIOR PAINT MATTE FINISH 532</t>
  </si>
  <si>
    <t>BM_Aura_BathSpa_Int_Matte_532</t>
  </si>
  <si>
    <t>Benjamin Moore Aura Bath &amp; Spa Waterborne Interior Paint Matte Finish 532</t>
  </si>
  <si>
    <t>AURA® WATERBORNE EXTERIOR FLAT N629</t>
  </si>
  <si>
    <t>BM_Aura_Ext_Flat_N629</t>
  </si>
  <si>
    <t>Benjamin Moore Aura Waterborne Exterior Flat N629</t>
  </si>
  <si>
    <t>AURA® WATERBORNE EXTERIOR LOW LUSTRE N634</t>
  </si>
  <si>
    <t>BM_Aura_Ext_LowLustre_N634</t>
  </si>
  <si>
    <t>Benjamin Moore Aura Waterborne Exterior Low Lustre N634</t>
  </si>
  <si>
    <t>AURA® Waterborne Exterior Paint – Soft Gloss N632</t>
  </si>
  <si>
    <t>BM_Aura_Ext_SoftGloss_N632</t>
  </si>
  <si>
    <t>Benjamin Moore Aura Waterborne Exterior Paint Soft Gloss N632</t>
  </si>
  <si>
    <t>AURA® WATERBORNE EXTERIOR SATIN N631</t>
  </si>
  <si>
    <t>BM_Aura_Ext_Satin_N631</t>
  </si>
  <si>
    <t>Benjamin Moore Aura Waterborne Exterior Satin N631</t>
  </si>
  <si>
    <t>AURA® WATERBORNE INTERIOR PAINT &amp; PRIMER MATTE N522</t>
  </si>
  <si>
    <t>BM_Aura_Int_PaintPrimer_Matte_N522</t>
  </si>
  <si>
    <t>Benjamin Moore Aura Waterborne Interior Paint &amp; Primer Matte N522</t>
  </si>
  <si>
    <t>ben® PREMIUM INTERIOR ACRYLIC PAINT &amp; PRIMER EGGSHELL N626</t>
  </si>
  <si>
    <t>BM_Ben_Int_Acrylic_PaintPrimer_Eggshell_N626</t>
  </si>
  <si>
    <t>Benjamin Moore ben Premium Interior Acrylic Paint &amp; Primer Eggshell N626</t>
  </si>
  <si>
    <t>ben® PREMIUM INTERIOR ACRYLIC PAINT &amp; PRIMER MATTE N624</t>
  </si>
  <si>
    <t>BM_Ben_Int_Acrylic_PaintPrimer_Matte_N624</t>
  </si>
  <si>
    <t>Benjamin Moore ben Premium Interior Acrylic Paint &amp; Primer Matte N624</t>
  </si>
  <si>
    <t>ben® PREMIUM INTERIOR ACRYLIC PAINT &amp; PRIMER SATIN / PEARL N628</t>
  </si>
  <si>
    <t>BM_Ben_Int_Acrylic_PaintPrimer_SatinPearl_N628</t>
  </si>
  <si>
    <t>Benjamin Moore ben Premium Interior Acrylic Paint &amp; Primer Satin/Pearl N628</t>
  </si>
  <si>
    <t>ben® PREMIUM INTERIOR ACRYLIC PAINT &amp; PRIMER SEMI-GLOSS N627</t>
  </si>
  <si>
    <t>BM_Ben_Int_Acrylic_PaintPrimer_SemiGloss_N627</t>
  </si>
  <si>
    <t>Benjamin Moore ben Premium Interior Acrylic Paint &amp; Primer Semi-Gloss N627</t>
  </si>
  <si>
    <t>BM LATEX EGGSHELL DRY FALL WHITE</t>
  </si>
  <si>
    <t>CABINET COAT TRIM &amp; CABINET ENAMEL SATIN FINISH CC-45XX</t>
  </si>
  <si>
    <t>BM_CabinetCoat_Trim_CabinetEnamel_Satin_CC45XX</t>
  </si>
  <si>
    <t>Cabinet Coat Trim &amp; Cabinet Enamel Satin Finish CC-45XX</t>
  </si>
  <si>
    <t>COMMAND™ WATERBORNE ACRYLIC URETHANE GLOSS V390</t>
  </si>
  <si>
    <t>BM_Command_AcrylicUrethane_Gloss_V390</t>
  </si>
  <si>
    <t>Benjamin Moore Command Waterborne Acrylic Urethane Gloss V390</t>
  </si>
  <si>
    <t>COMMAND™ WATERBORNE ACRYLIC URETHANE SATIN V392</t>
  </si>
  <si>
    <t>BM_Command_AcrylicUrethane_Satin_V392</t>
  </si>
  <si>
    <t>Benjamin Moore Command Waterborne Acrylic Urethane Satin V392</t>
  </si>
  <si>
    <t>CORONADO® DOOR, TRIM &amp; CABINET ENAMEL SATIN 1203</t>
  </si>
  <si>
    <t>BM_Coronado_DoorTrim_CabinetEnamel_Satin_1203</t>
  </si>
  <si>
    <t>Coronado Door, Trim &amp; Cabinet Enamel Satin 1203</t>
  </si>
  <si>
    <t>CORONADO® DOOR, TRIM &amp; CABINET ENAMEL SEMI‐GLOSS 1204</t>
  </si>
  <si>
    <t>BM_Coronado_DoorTrim_CabinetEnamel_SemiGloss_1204</t>
  </si>
  <si>
    <t>Coronado Door, Trim &amp; Cabinet Enamel Semi-Gloss 1204</t>
  </si>
  <si>
    <t>CORONADO® PVA PRIMER FINISH 100.11</t>
  </si>
  <si>
    <t>BM_Coronado_PVA_Primer_10011</t>
  </si>
  <si>
    <t>Coronado PVA Primer Finish 100.11</t>
  </si>
  <si>
    <t>DRYWALL PRIMER 380</t>
  </si>
  <si>
    <t>BM_Drywall_Primer_380</t>
  </si>
  <si>
    <t>Benjamin Moore Drywall Primer 380</t>
  </si>
  <si>
    <t>ECO SPEC® WB INTERIOR LATEX EGGSHELL FINISH N374</t>
  </si>
  <si>
    <t>BM_EcoSpec_Int_Latex_Eggshell_N374</t>
  </si>
  <si>
    <t>Benjamin Moore Eco Spec WB Interior Latex Eggshell Finish N374</t>
  </si>
  <si>
    <t>ECO SPEC® WB INTERIOR LATEX FLAT FINISH N373</t>
  </si>
  <si>
    <t>BM_EcoSpec_Int_Latex_Flat_N373</t>
  </si>
  <si>
    <t>Benjamin Moore Eco Spec WB Interior Latex Flat Finish N373</t>
  </si>
  <si>
    <t>ECO SPEC® WB INTERIOR LATEX PRIMER N372</t>
  </si>
  <si>
    <t>BM_EcoSpec_Int_Latex_Primer_N372</t>
  </si>
  <si>
    <t>Benjamin Moore Eco Spec WB Interior Latex Primer N372</t>
  </si>
  <si>
    <t>ECO SPEC® WB INTERIOR LATEX SEMI-GLOSS FINISH N376</t>
  </si>
  <si>
    <t>BM_EcoSpec_Int_Latex_SemiGloss_N376</t>
  </si>
  <si>
    <t>Benjamin Moore Eco Spec WB Interior Latex Semi-Gloss Finish N376</t>
  </si>
  <si>
    <t>ELEMENT GUARD™ EXTERIOR FLAT FINISH 763</t>
  </si>
  <si>
    <t>BM_ElementGuard_Ext_Flat_763</t>
  </si>
  <si>
    <t>Benjamin Moore Element Guard Exterior Flat Finish 763</t>
  </si>
  <si>
    <t>ELEMENT GUARD™ EXTERIOR LOW LUSTRE FINISH 764</t>
  </si>
  <si>
    <t>BM_ElementGuard_Ext_LowLustre_764</t>
  </si>
  <si>
    <t>Benjamin Moore Element Guard Exterior Low Lustre Finish 764</t>
  </si>
  <si>
    <t>ELEMENT GUARD™ EXTERIOR SOFT GLOSS FINISH 765</t>
  </si>
  <si>
    <t>BM_ElementGuard_Ext_SoftGloss_765</t>
  </si>
  <si>
    <t>Benjamin Moore Element Guard Exterior Soft Gloss Finish 765</t>
  </si>
  <si>
    <t>FAST SANDING PRIMER 507</t>
  </si>
  <si>
    <t>BM_FastSanding_Primer_507</t>
  </si>
  <si>
    <t>Benjamin Moore Fast Sanding Primer 507</t>
  </si>
  <si>
    <t>FRESH START® HIGH-HIDING ALL PURPOSE PRIMER 046</t>
  </si>
  <si>
    <t>BM_FreshStart_HighHiding_AllPurpose_046</t>
  </si>
  <si>
    <t>Benjamin Moore Fresh Start High-Hiding All Purpose Primer 046</t>
  </si>
  <si>
    <t>FRESH START® UNDERCOATER AND PRIMER / SEALER 032</t>
  </si>
  <si>
    <t>BM_FreshStart_Undercoater_Sealer_032</t>
  </si>
  <si>
    <t>Benjamin Moore Fresh Start Undercoater and Primer/Sealer 032</t>
  </si>
  <si>
    <t>INSL-X® LATEX TRAFFIC PAINT - BLACK</t>
  </si>
  <si>
    <t>BM_INSLX_LatexTraffic_Black</t>
  </si>
  <si>
    <t>INSL-X Latex Traffic Paint - Black</t>
  </si>
  <si>
    <t>INSL-X® LATEX TRAFFIC PAINT - HANDI BLUE</t>
  </si>
  <si>
    <t>BM_INSLX_LatexTraffic_Blue</t>
  </si>
  <si>
    <t>INSL-X Latex Traffic Paint - Handi Blue</t>
  </si>
  <si>
    <t>INSL-X® LATEX TRAFFIC PAINT - RED</t>
  </si>
  <si>
    <t>BM_INSLX_LatexTraffic_Red</t>
  </si>
  <si>
    <t>INSL-X Latex Traffic Paint - Red</t>
  </si>
  <si>
    <t>INSL-X® LATEX TRAFFIC PAINT - WHITE</t>
  </si>
  <si>
    <t>BM_INSLX_LatexTraffic_White</t>
  </si>
  <si>
    <t>INSL-X Latex Traffic Paint - White</t>
  </si>
  <si>
    <t>INSL-X® LATEX TRAFFIC PAINT - YELLOW</t>
  </si>
  <si>
    <t>BM_INSLX_LatexTraffic_Yellow</t>
  </si>
  <si>
    <t>INSL-X Latex Traffic Paint - Yellow</t>
  </si>
  <si>
    <t>MULTAPPLY ™ WATERBORNE ACRYLIC GLOSS ENAMEL 1180</t>
  </si>
  <si>
    <t>BM_Multapply_AcrylicGloss_1180</t>
  </si>
  <si>
    <t>Benjamin Moore Multapply Waterborne Acrylic Gloss Enamel 1180</t>
  </si>
  <si>
    <t>MULTAPPLY ™ WATERBORNE ACRYLIC SEMI‐GLOSS ENAMEL 1190</t>
  </si>
  <si>
    <t>BM_Multapply_AcrylicSemiGloss_1190</t>
  </si>
  <si>
    <t>Benjamin Moore Multapply Waterborne Acrylic Semi-Gloss Enamel 1190</t>
  </si>
  <si>
    <t>Multi Purpose Primer</t>
  </si>
  <si>
    <t>MULTI-PURPOSE PRIMER 067</t>
  </si>
  <si>
    <t>BM_MultiPurpose_Primer_067</t>
  </si>
  <si>
    <t>Benjamin Moore Multi-Purpose Primer 067</t>
  </si>
  <si>
    <t>MURESCO® CEILING WHITE 258</t>
  </si>
  <si>
    <t>BM_Muresco_CeilingWhite_258</t>
  </si>
  <si>
    <t>Benjamin Moore Muresco Ceiling White 258</t>
  </si>
  <si>
    <t>ORGANIC ZINC RICH PRIMER V170</t>
  </si>
  <si>
    <t>BM_Organic_ZincRich_Primer_V170</t>
  </si>
  <si>
    <t>Benjamin Moore Organic Zinc Rich Primer V170</t>
  </si>
  <si>
    <t>POLYAMIDE EPOXY COATING GLOSS/SEMI-GLOSS V400</t>
  </si>
  <si>
    <t>BM_Polyamide_Epoxy_GlossV400</t>
  </si>
  <si>
    <t>Benjamin Moore Polyamide Epoxy Coating Gloss/Semi-Gloss V400</t>
  </si>
  <si>
    <t>PRE-CATALYZED WATERBORNE EPOXY EGGSHELL V342</t>
  </si>
  <si>
    <t>BM_PreCat_Waterborne_EpoxyEggshell_V342</t>
  </si>
  <si>
    <t>Benjamin Moore Pre-Catalyzed Waterborne Epoxy Eggshell V342</t>
  </si>
  <si>
    <t>PRE-CATALYZED WATERBORNE EPOXY SEMI-GLOSS V341</t>
  </si>
  <si>
    <t>BM_PreCat_Waterborne_EpoxySemiGloss_V341</t>
  </si>
  <si>
    <t>Benjamin Moore Pre-Catalyzed Waterborne Epoxy Semi-Gloss V341</t>
  </si>
  <si>
    <t>PRIME ALL™ MULTI‐SURFACE LATEX PRIMER SEALER AP‐1000</t>
  </si>
  <si>
    <t>BM_PrimeAll_LatexPrimerSealer_AP1000</t>
  </si>
  <si>
    <t>Benjamin Moore Prime All Multi-Surface Latex Primer Sealer AP-1000</t>
  </si>
  <si>
    <t>Regal Moorgard</t>
  </si>
  <si>
    <t>Regal Moorlife</t>
  </si>
  <si>
    <t>Regal Select</t>
  </si>
  <si>
    <t>REGAL® SELECT EXTERIOR PAINT - HIGH BUILD FLAT FINISH N400</t>
  </si>
  <si>
    <t>BM_RegalSelect_Ext_HighBuildFlat_N400</t>
  </si>
  <si>
    <t>Benjamin Moore Regal Select Exterior Paint High Build Flat Finish N400</t>
  </si>
  <si>
    <t>REGAL® SELECT EXTERIOR PAINT - HIGH BUILD LOW LUSTRE FINISH N401</t>
  </si>
  <si>
    <t>BM_RegalSelect_Ext_HighBuildLowLustre_N401</t>
  </si>
  <si>
    <t>Benjamin Moore Regal Select Exterior Paint High Build Low Lustre Finish N401</t>
  </si>
  <si>
    <t>REGAL® SELECT EXTERIOR PAINT - HIGH BUILD SOFT GLOSS FINISH N403</t>
  </si>
  <si>
    <t>BM_RegalSelect_Ext_HighBuildSoftGloss_N403</t>
  </si>
  <si>
    <t>Benjamin Moore Regal Select Exterior Paint High Build Soft Gloss Finish N403</t>
  </si>
  <si>
    <t>REGAL® SELECT EXTERIOR PAINT – MOORGLO® SOFT GLOSS FINISH W096</t>
  </si>
  <si>
    <t>BM_RegalSelect_Ext_Moorglo_SoftGloss_W096</t>
  </si>
  <si>
    <t>Benjamin Moore Regal Select Exterior Paint Moorglo Soft Gloss Finish W096</t>
  </si>
  <si>
    <t>REGAL® SELECT PREMIUM INTERIOR PAINT &amp; PRIMER SEMI-GLOSS N551</t>
  </si>
  <si>
    <t>BM_RegalSelect_Int_PaintPrimer_SemiGloss_N551</t>
  </si>
  <si>
    <t>Benjamin Moore Regal Select Premium Interior Paint &amp; Primer Semi-Gloss N551</t>
  </si>
  <si>
    <t>RUST ARRESTOR V180</t>
  </si>
  <si>
    <t>BM_RustArrestor_V180</t>
  </si>
  <si>
    <t>Benjamin Moore Rust Arrestor V180</t>
  </si>
  <si>
    <t>RUST‐A‐VOID™ ALKYD POLYURETHANE GLOSS ENAMEL R31</t>
  </si>
  <si>
    <t>BM_RustAvoid_Alkyd_Gloss_R31</t>
  </si>
  <si>
    <t>Benjamin Moore Rust-A-Void Alkyd Polyurethane Gloss Enamel R31</t>
  </si>
  <si>
    <t>RUST‐A‐VOID™ ALKYD POLYURETHANE SATIN ENAMEL R651</t>
  </si>
  <si>
    <t>BM_RustAvoid_Alkyd_Satin_R651</t>
  </si>
  <si>
    <t>Benjamin Moore Rust-A-Void Alkyd Polyurethane Satin Enamel R651</t>
  </si>
  <si>
    <t>RUST‐A‐VOID™ ALKYD POLYURETHANE SEMI‐GLOSS ENAMEL R13</t>
  </si>
  <si>
    <t>BM_RustAvoid_Alkyd_SemiGloss_R13</t>
  </si>
  <si>
    <t>Benjamin Moore Rust-A-Void Alkyd Polyurethane Semi-Gloss Enamel R13</t>
  </si>
  <si>
    <t>Scuff-X</t>
  </si>
  <si>
    <t>SCUFF‐X® INTERIOR SATIN N486</t>
  </si>
  <si>
    <t>BM_ScuffX_Int_Satin_N486</t>
  </si>
  <si>
    <t>Benjamin Moore Scuff-X Interior Satin N486</t>
  </si>
  <si>
    <t>INT_Paint_Walls</t>
  </si>
  <si>
    <t>EXT_Paint_Siding (Stucco, Wood, Aluminum, etc.)</t>
  </si>
  <si>
    <t>PREP_Int_DrywallTaping</t>
  </si>
  <si>
    <t>PW_HouseWash</t>
  </si>
  <si>
    <t>CARP_FasciaRepair</t>
  </si>
  <si>
    <t>SPEC_Faux_Finishes</t>
  </si>
  <si>
    <t>MASK_Windows</t>
  </si>
  <si>
    <t>MISC_ColorConsulting</t>
  </si>
  <si>
    <t>INT_Paint_Ceilings</t>
  </si>
  <si>
    <t>EXT_Paint_Trim (Fascia, Soffits, Eaves, Gutters)</t>
  </si>
  <si>
    <t>PREP_Int_SkimCoat</t>
  </si>
  <si>
    <t>PW_DeckFenceWash</t>
  </si>
  <si>
    <t>CARP_SoffitRepair</t>
  </si>
  <si>
    <t>SPEC_VenetianPlaster</t>
  </si>
  <si>
    <t>MASK_Floors</t>
  </si>
  <si>
    <t>MISC_SampleTesting</t>
  </si>
  <si>
    <t>Prep + Repairs</t>
  </si>
  <si>
    <t>INT_Paint_Trim</t>
  </si>
  <si>
    <t>EXT_Paint_DeckFence (Deck, Fence, Railing)</t>
  </si>
  <si>
    <t>PREP_Int_HolePatch</t>
  </si>
  <si>
    <t>PW_Driveway</t>
  </si>
  <si>
    <t>CARP_RotRepair</t>
  </si>
  <si>
    <t>SPEC_Limewash</t>
  </si>
  <si>
    <t>MASK_Furniture</t>
  </si>
  <si>
    <t>MISC_LightCarpentry</t>
  </si>
  <si>
    <t>INT_Paint_Doors</t>
  </si>
  <si>
    <t>EXT_Paint_Windows</t>
  </si>
  <si>
    <t>PREP_Ext_ScrapeSand</t>
  </si>
  <si>
    <t>PW_Walkways_Patios</t>
  </si>
  <si>
    <t>CARP_InstallTrim</t>
  </si>
  <si>
    <t>SPEC_Metallics</t>
  </si>
  <si>
    <t>MASK_Landscaping</t>
  </si>
  <si>
    <t>MISC_GraffitiRemoval</t>
  </si>
  <si>
    <t>INT_Paint_Cabinets</t>
  </si>
  <si>
    <t>EXT_Paint_Doors</t>
  </si>
  <si>
    <t>PREP_Ext_PowerWash</t>
  </si>
  <si>
    <t>PW_RoofWash</t>
  </si>
  <si>
    <t>CARP_Install_Wainscoting</t>
  </si>
  <si>
    <t>SPEC_Cabinet_Refinishing</t>
  </si>
  <si>
    <t>MASK_Cars</t>
  </si>
  <si>
    <t>MISC_MaintenancePlans</t>
  </si>
  <si>
    <t>INT_Paint_BuiltIns</t>
  </si>
  <si>
    <t>EXT_Paint_Metal (Gates, Railings, etc.)</t>
  </si>
  <si>
    <t>PREP_Ext_WoodRepair</t>
  </si>
  <si>
    <t>PW_Gutters</t>
  </si>
  <si>
    <t>CARP_Install_BuiltIns</t>
  </si>
  <si>
    <t>SPEC_Staining</t>
  </si>
  <si>
    <t>MASK_Containment</t>
  </si>
  <si>
    <t>MISC_MinorTouchUps</t>
  </si>
  <si>
    <t>Masking &amp; Protection</t>
  </si>
  <si>
    <t>INT_Paint_Banisters_Railings</t>
  </si>
  <si>
    <t>EXT_Paint_GarageDoors</t>
  </si>
  <si>
    <t>PREP_Ext_Caulking</t>
  </si>
  <si>
    <t>PW_PrePaintPrep</t>
  </si>
  <si>
    <t>CARP_Replace_Siding</t>
  </si>
  <si>
    <t>SPEC_EpoxyFloors</t>
  </si>
  <si>
    <t>MISC_MovingFurniture</t>
  </si>
  <si>
    <t>INT_Paint_Closets</t>
  </si>
  <si>
    <t>EXT_Paint_Faux_Finishes</t>
  </si>
  <si>
    <t>PREP_StainBlocking</t>
  </si>
  <si>
    <t>CARP_Replace_Windows</t>
  </si>
  <si>
    <t>SPEC_Concrete_Staining</t>
  </si>
  <si>
    <t>MISC_Handyman_Services</t>
  </si>
  <si>
    <t>INT_Paint_Faux_Finishes</t>
  </si>
  <si>
    <t>PREP_Priming</t>
  </si>
  <si>
    <t>CARP_GarageDoorRepair</t>
  </si>
  <si>
    <t>SPEC_Whitewash_Brick</t>
  </si>
  <si>
    <t>PREP_LeadSafe_Containment</t>
  </si>
  <si>
    <t>Assigned Templates</t>
  </si>
  <si>
    <t>v3 GG 💎 Residential Interior</t>
  </si>
  <si>
    <t xml:space="preserve">v3 GG 💎 Res Int "Basics" ✅ SFHTH - Sherwin
</t>
  </si>
  <si>
    <t>Create New &amp; Assign</t>
  </si>
  <si>
    <t>2025 T&amp;C</t>
  </si>
  <si>
    <t>Reformatted OG 2025 Scout Residential Terms</t>
  </si>
  <si>
    <t>v3 GG 💎 Residential Exterior</t>
  </si>
  <si>
    <t>v3 GG 💎 Res Stucco + Ext "No Surprises" ✅ Sherwin</t>
  </si>
  <si>
    <t>v3 GG 💎 Residential Int + Ext</t>
  </si>
  <si>
    <t>v3 GG 💎 Residential Cabinets</t>
  </si>
  <si>
    <t>v3 GG 💎 Carpentry</t>
  </si>
  <si>
    <t>v3 GG 💎 Commercial Interior</t>
  </si>
  <si>
    <t>Assigned</t>
  </si>
  <si>
    <t>v3 GG 💎 Commercial Exterior</t>
  </si>
  <si>
    <t>v3 GG 💎 Commercial Int + Ext</t>
  </si>
  <si>
    <t>v3 GG 💎 NC Interior</t>
  </si>
  <si>
    <t>v3 GG 💎 NC Exterior</t>
  </si>
  <si>
    <t>Preferred Location</t>
  </si>
  <si>
    <t>Coco Notes</t>
  </si>
  <si>
    <t>Smart?</t>
  </si>
  <si>
    <t>Improve ASAP</t>
  </si>
  <si>
    <t>What are the stock Line Items and Areas?</t>
  </si>
  <si>
    <t>What does this template need ASAP?</t>
  </si>
  <si>
    <t>Menu: FU</t>
  </si>
  <si>
    <t>Calcs</t>
  </si>
  <si>
    <t>Pres</t>
  </si>
  <si>
    <t>Contract Terms</t>
  </si>
  <si>
    <t>Advanced</t>
  </si>
  <si>
    <t>Payments &amp; Lending</t>
  </si>
  <si>
    <t>Work Order: Area/Surf/Options</t>
  </si>
  <si>
    <t>Project Description, "What happens if I accept this quote?", Notes for the Project Supervisor + Crew Lead (Interior), ...then Areas...</t>
  </si>
  <si>
    <t>All Room Areas</t>
  </si>
  <si>
    <t>v3 GG 💎 Res Int "No Surprises" ✅ SFHTH - Sherwin</t>
  </si>
  <si>
    <t>LINK</t>
  </si>
  <si>
    <t>On The Spot</t>
  </si>
  <si>
    <t>improve line items</t>
  </si>
  <si>
    <t>v3 GG 💎 Res Int "No Surprises" ✅ SFH/TH - Ben</t>
  </si>
  <si>
    <t>All set</t>
  </si>
  <si>
    <t>v3 GG 💎 Res Int "Basics" ✅ Condo/Apt - Sherwin</t>
  </si>
  <si>
    <t>Fix Content</t>
  </si>
  <si>
    <t>v3 GG 💎 Res Int "Basics" ✅ Condo/Apt - Ben</t>
  </si>
  <si>
    <t>v3 GG 💎 Res Int + Ext "Basics" ✅ Sherwin/Sherwin</t>
  </si>
  <si>
    <t>v3 GG 💎 Res Int + Ext "Basics" ✅ Ben/Sherwin</t>
  </si>
  <si>
    <t>v3 GG 💎 Res Int + Ext "Basics" ✅ Ben/Ben</t>
  </si>
  <si>
    <t>v3 GG 💎 Cabinets "Basics" ✅ Condo/Apt</t>
  </si>
  <si>
    <t>v3 GG 💎 Cabinets "Basics" ✅ SFH/TH</t>
  </si>
  <si>
    <t>v3 GG 💎 Res Int + Cabinets "Basics" ✅ SFH/TH - Sherwin</t>
  </si>
  <si>
    <t>v3 GG 💎 Res Int + Cabinets "Basics" ✅ Condo/Apt - Sherwin</t>
  </si>
  <si>
    <t>v3 GG 💎 Res Int + Cabinets "Basics" ✅ SFH/TH - Ben</t>
  </si>
  <si>
    <t>v3 GG 💎 Res Int + Cabinets "Basics" ✅ Condo/Apt - Ben</t>
  </si>
  <si>
    <t>v3 GG 💎 Carpentry + Int "Basics" ✅ SFH/TH - Sherwin</t>
  </si>
  <si>
    <t>Office</t>
  </si>
  <si>
    <t>v3 GG 💎 Carpentry + Int "Basics" ✅ Condo/Apt - Sherwin</t>
  </si>
  <si>
    <t>v3 GG 💎 Carpentry + Int "Basics" ✅ SFH/TH - Ben</t>
  </si>
  <si>
    <t>v3 GG 💎 Carpentry + Int "Basics" ✅ Condo/Apt - Ben</t>
  </si>
  <si>
    <t>v3 GG 💎 Res Ext "No Surprises" ✅ Sherwin</t>
  </si>
  <si>
    <t>v3 GG 💎 Res Ext "No Surprises" ✅ Ben</t>
  </si>
  <si>
    <t xml:space="preserve">v3 GG 💎 Metal Objects "No Surprises" ✅ </t>
  </si>
  <si>
    <t>v3 GG 💎 Res Stucco + Ext "No Surprises" ✅ Ben</t>
  </si>
  <si>
    <t xml:space="preserve">v3 GG 💎 Pressure Cleaning + Surface Sealing "No Surprises" ✅ </t>
  </si>
  <si>
    <t xml:space="preserve">v3 GG 💎 Roof Painting "No Surprises" ✅ </t>
  </si>
  <si>
    <t xml:space="preserve">v3 GG 💎 Comm Int "Basics" ✅ </t>
  </si>
  <si>
    <t xml:space="preserve">v3 GG 💎 Comm Ext "Basics" ✅ </t>
  </si>
  <si>
    <t xml:space="preserve">v3 GG 💎 Comm Stuco + Ext "Basics" ✅ </t>
  </si>
  <si>
    <t>v3 GG 💎🔮 VQ Res Int "Basics" ✅ SFH/TH - Sherwin</t>
  </si>
  <si>
    <t>v3 GG 💎🔮 VQ Res Int "Basics" ✅ SFH/TH - Ben</t>
  </si>
  <si>
    <t>v3 GG 💎🔮 VQ Res Int "Basics" ✅ Condo/Apt - Sherwin</t>
  </si>
  <si>
    <t>v3 GG 💎🔮 VQ Res Int "Basics" ✅ Condo/Apt - Ben</t>
  </si>
  <si>
    <t>v3 GG 💎🔮 VQ Res Int + Ext "Basics" ✅ Sherwin/Sherwin</t>
  </si>
  <si>
    <t>v3 GG 💎🔮 VQ Res Int + Ext "Basics" ✅ Ben/Sherwin</t>
  </si>
  <si>
    <t>v3 GG 💎🔮 VQ Res Int + Ext "Basics" ✅ Ben/Ben</t>
  </si>
  <si>
    <t>v3 GG 💎🔮 VQ Cabinets "Basics" ✅ Condo/Apt</t>
  </si>
  <si>
    <t>v3 GG 💎🔮 VQ Cabinets "Basics" ✅ SFH/TH</t>
  </si>
  <si>
    <t>v3 GG 💎🔮 VQ Res Int + Cabinets "Basics" ✅ SFH/TH - Sherwin</t>
  </si>
  <si>
    <t>v3 GG 💎🔮 VQ Res Int + Cabinets "Basics" ✅ Condo/Apt - Sherwin</t>
  </si>
  <si>
    <t>v3 GG 💎🔮 VQ Res Int + Cabinets "Basics" ✅ SFH/TH - Ben</t>
  </si>
  <si>
    <t>v3 GG 💎🔮 VQ Res Int + Cabinets "Basics" ✅ Condo/Apt - Ben</t>
  </si>
  <si>
    <t>v3 GG 💎🔮 VQ Res Ext "Basics" ✅ Sherwin</t>
  </si>
  <si>
    <t>v3 GG 💎🔮 VQ Res Ext "Basics" ✅ Ben</t>
  </si>
  <si>
    <t xml:space="preserve">v3 GG 💎🔮 VQ Metal Objects "Basics" ✅ </t>
  </si>
  <si>
    <t>v3 GG 💎🔮 VQ Res Stucco + Ext "Basics" ✅ Sherwin</t>
  </si>
  <si>
    <t>v3 GG 💎🔮 VQ Res Stucco + Ext "Basics" ✅ Ben</t>
  </si>
  <si>
    <t xml:space="preserve">v3 GG 💎🔮 VQ Pressure Cleaning + Surface Sealing "Basics" ✅ </t>
  </si>
  <si>
    <t xml:space="preserve">v3 GG 💎🔮 VQ Roof Painting "Basics" ✅ </t>
  </si>
  <si>
    <t xml:space="preserve">v3 GG 💎 NC Int "Basics" ✅ </t>
  </si>
  <si>
    <t xml:space="preserve">v3 GG 💎 NC Ext "Basics" ✅ </t>
  </si>
  <si>
    <t xml:space="preserve">v3 GG 💎 NC Int + Ext "Basics" ✅ </t>
  </si>
  <si>
    <t xml:space="preserve">v3 GG 💎 NC Systexx Installation + Int "Basics" ✅ </t>
  </si>
  <si>
    <t>Section Titles</t>
  </si>
  <si>
    <t>Quote Types Set</t>
  </si>
  <si>
    <t>Quote Types</t>
  </si>
  <si>
    <t>Universal Needs</t>
  </si>
  <si>
    <t>Page Title 1</t>
  </si>
  <si>
    <t>Needs:</t>
  </si>
  <si>
    <t>Is it a Page?</t>
  </si>
  <si>
    <t>Section Perfect?</t>
  </si>
  <si>
    <t>Section 2</t>
  </si>
  <si>
    <t>Section 3</t>
  </si>
  <si>
    <t>Section 4</t>
  </si>
  <si>
    <t>Section 5</t>
  </si>
  <si>
    <t>Section 6</t>
  </si>
  <si>
    <t>GG 💎 Residential Interior Presentation</t>
  </si>
  <si>
    <t>ResInt, ResInt+Cab, ResInt Bpk, Testing</t>
  </si>
  <si>
    <t>Safety Plan, Video intro, Services, Improved CJ graphic, B&amp;A, social links, Core Values</t>
  </si>
  <si>
    <t>About Us</t>
  </si>
  <si>
    <t>Remove white space above Owner Hello</t>
  </si>
  <si>
    <t>Introduction</t>
  </si>
  <si>
    <t>Better video, less text, more about us</t>
  </si>
  <si>
    <t>Testimonials</t>
  </si>
  <si>
    <t>Quote/Pics/Terms</t>
  </si>
  <si>
    <t>STOCK</t>
  </si>
  <si>
    <t>Quote Checklist PDF</t>
  </si>
  <si>
    <t>updating from Goldhie</t>
  </si>
  <si>
    <t>GG 💎 Residential Exterior Presentation</t>
  </si>
  <si>
    <t>GG 💎 Cabinets Presentation</t>
  </si>
  <si>
    <t>GG 💎 Residential Interior + Cabinets Presentation</t>
  </si>
  <si>
    <t>GG 💎 Metal Objects Presentation</t>
  </si>
  <si>
    <t>GG 💎 Residential Stucco + Exterior Presentation</t>
  </si>
  <si>
    <t>GG 💎 Carpentry Presentation</t>
  </si>
  <si>
    <t>GG 💎 Commercial Presentation</t>
  </si>
  <si>
    <t>GG 💎 Commercial Interior Presentation</t>
  </si>
  <si>
    <t>GG 💎 Commercial Exterior Presentation</t>
  </si>
  <si>
    <t>GG 💎 Commercial Stucco + Exterior Presentation</t>
  </si>
  <si>
    <t>GG 💎 NC Interior Presentation</t>
  </si>
  <si>
    <t>GG 💎 NC Exterior Presentation</t>
  </si>
  <si>
    <t>GG 💎 NC Interior + Exterior Presentation</t>
  </si>
  <si>
    <t>GG 💎 NC Systexx Installation + IP Presentation</t>
  </si>
  <si>
    <t>GG 💎 Residential Interior Ballpark Presentation</t>
  </si>
  <si>
    <t>GG 💎 Residential Exterior Ballpark Presentation</t>
  </si>
  <si>
    <t>GG 💎 Cabinets Ballpark Presentation</t>
  </si>
  <si>
    <t>Update Servies to incl Remodels in ALL Presentations!</t>
  </si>
  <si>
    <t>T&amp;Cs in "No Surprises"</t>
  </si>
  <si>
    <t>Services</t>
  </si>
  <si>
    <t>v3 GG 💎 Res Int "Basics" ✅ SFHTH - Sherwin</t>
  </si>
  <si>
    <t>All</t>
  </si>
  <si>
    <t>v3 GG 💎 Res Int "Basics" ✅ SFH/TH - Ben</t>
  </si>
  <si>
    <t>v3 GG 💎 Res Ext "Basics" ✅ Sherwin</t>
  </si>
  <si>
    <t>v3 GG 💎 Res Ext "Basics" ✅ Ben</t>
  </si>
  <si>
    <t xml:space="preserve">v3 GG 💎 Metal Objects "Basics" ✅ </t>
  </si>
  <si>
    <t>v3 GG 💎 Res Stucco + Ext "Basics" ✅ Ben</t>
  </si>
  <si>
    <t xml:space="preserve">v3 GG 💎 Pressure Cleaning + Surface Sealing "Basics" ✅ </t>
  </si>
  <si>
    <t xml:space="preserve">v3 GG 💎 Roof Painting "Basics" ✅ </t>
  </si>
  <si>
    <t xml:space="preserve">v3 GG 💎 Comm Int + Ext "No Surprises" ✅ </t>
  </si>
  <si>
    <t>Types</t>
  </si>
  <si>
    <t>Templates</t>
  </si>
  <si>
    <t>Presentations</t>
  </si>
  <si>
    <t>ProRates</t>
  </si>
  <si>
    <t>Products</t>
  </si>
  <si>
    <t>Ceilings</t>
  </si>
  <si>
    <t>Ben Moore ben</t>
  </si>
  <si>
    <t>Walls</t>
  </si>
  <si>
    <t>Ben Moore Regal</t>
  </si>
  <si>
    <t>Baseboards</t>
  </si>
  <si>
    <t>Sherwin Super</t>
  </si>
  <si>
    <t>Doors</t>
  </si>
  <si>
    <t>Sherwin Emeral</t>
  </si>
  <si>
    <t>GG 💎 Residential Interior</t>
  </si>
  <si>
    <t>Residential Interior</t>
  </si>
  <si>
    <t>GG 💎 Residential Exterior</t>
  </si>
  <si>
    <t>GG 💎 Cabinets</t>
  </si>
  <si>
    <t>GG 💎 Residential Interior + Cabinets</t>
  </si>
  <si>
    <t>GG 💎 Residential Stucco + Exterior</t>
  </si>
  <si>
    <t>GG 💎 Pressure Cleaning</t>
  </si>
  <si>
    <t>GG 💎 Carpentry</t>
  </si>
  <si>
    <t>Commercial Interior</t>
  </si>
  <si>
    <t>Commercial Exterior</t>
  </si>
  <si>
    <t>GG 💎 Residential Interior Ballpark</t>
  </si>
  <si>
    <t>GG 💎 Residential Exterior Ballpark</t>
  </si>
  <si>
    <t>Residential Exterior</t>
  </si>
  <si>
    <t>GG 💎 Cabinets Ballpark</t>
  </si>
  <si>
    <t>GG 🔮 VQ Residential Interior</t>
  </si>
  <si>
    <t>GG 💎 Condo/Apartment Interior</t>
  </si>
  <si>
    <t>conc</t>
  </si>
  <si>
    <t>Rate Calculation (PaintScout fields)</t>
  </si>
  <si>
    <t>Production Rates (by # of coats)</t>
  </si>
  <si>
    <t>AVERAGE</t>
  </si>
  <si>
    <t>GG</t>
  </si>
  <si>
    <t>PS</t>
  </si>
  <si>
    <t>PCA</t>
  </si>
  <si>
    <t>Arclight</t>
  </si>
  <si>
    <t>Medina</t>
  </si>
  <si>
    <t>SurePaint</t>
  </si>
  <si>
    <t>DYB</t>
  </si>
  <si>
    <t>NEPR</t>
  </si>
  <si>
    <t>SDPP</t>
  </si>
  <si>
    <t>Roll-On</t>
  </si>
  <si>
    <t>Brush Strokes</t>
  </si>
  <si>
    <t>Renu</t>
  </si>
  <si>
    <t>Pride</t>
  </si>
  <si>
    <t>VanHorn</t>
  </si>
  <si>
    <t>BTA Krew Average</t>
  </si>
  <si>
    <t>PPC Standards</t>
  </si>
  <si>
    <t>Last Updated</t>
  </si>
  <si>
    <t>MEDIAN</t>
  </si>
  <si>
    <t>RANGE</t>
  </si>
  <si>
    <t>Standard Deviation</t>
  </si>
  <si>
    <t>Coeff. of Var. (CV)</t>
  </si>
  <si>
    <t>Emoji</t>
  </si>
  <si>
    <t>Rate Category</t>
  </si>
  <si>
    <t>Client Label</t>
  </si>
  <si>
    <t>Technical</t>
  </si>
  <si>
    <t>Int/Ext</t>
  </si>
  <si>
    <t>Project Type</t>
  </si>
  <si>
    <t>Enter To PS ASAP</t>
  </si>
  <si>
    <t>IMPROVE!</t>
  </si>
  <si>
    <t>Default Product + Coverage Assigned</t>
  </si>
  <si>
    <t>Surafce View Desc</t>
  </si>
  <si>
    <t>Crew Notes</t>
  </si>
  <si>
    <t>Advanced Options</t>
  </si>
  <si>
    <t>Originates with...</t>
  </si>
  <si>
    <t>Variable 1</t>
  </si>
  <si>
    <t>Variable 2</t>
  </si>
  <si>
    <t>All Rates In?</t>
  </si>
  <si>
    <t>Needs ProRate Reset in PS</t>
  </si>
  <si>
    <t>Priority Item</t>
  </si>
  <si>
    <t>🧼</t>
  </si>
  <si>
    <t xml:space="preserve"> Pressure Cleaning | Residential/Commercial</t>
  </si>
  <si>
    <t>Exterior</t>
  </si>
  <si>
    <t>R/C</t>
  </si>
  <si>
    <t>sqft (Walls)</t>
  </si>
  <si>
    <t>per</t>
  </si>
  <si>
    <t>Hour</t>
  </si>
  <si>
    <t>🌵 Systexx + Drywall Installation | Residential/Commercial</t>
  </si>
  <si>
    <t>Interior</t>
  </si>
  <si>
    <t>$</t>
  </si>
  <si>
    <t>sqft (Ceilings)</t>
  </si>
  <si>
    <t>🧰</t>
  </si>
  <si>
    <t>🧰 Exterior Carpentry</t>
  </si>
  <si>
    <t>Linear Feet</t>
  </si>
  <si>
    <t>🚕</t>
  </si>
  <si>
    <t>🚕 CABINETS</t>
  </si>
  <si>
    <t>Item</t>
  </si>
  <si>
    <t>4️⃣-1️⃣ Prime regular-sized cabinet doors | Spray</t>
  </si>
  <si>
    <t>4️⃣-2️⃣ Prime regular-sized cabinet drawers | Spray</t>
  </si>
  <si>
    <t>4️⃣-3️⃣ Prime cabinet trim | Spray</t>
  </si>
  <si>
    <t>4️⃣-4️⃣ Prime cabinet open faces | Spray</t>
  </si>
  <si>
    <t>5️⃣-1️⃣ Paint regular-sized cabinet doors | Spray</t>
  </si>
  <si>
    <t>➡️ Prime and paint regular-sized cabinet doors (spray)</t>
  </si>
  <si>
    <t>5️⃣-2️⃣ Paint regular-sized cabinet drawers | Spray</t>
  </si>
  <si>
    <t>➡️ Prime and paint regular-sized cabinets drawers (spray)</t>
  </si>
  <si>
    <t>5️⃣-3️⃣ Paint cabinet trim | Spray</t>
  </si>
  <si>
    <t>➡️ Prime and paint cabinet trim (spray)</t>
  </si>
  <si>
    <t>5️⃣-4️⃣ Paint cabinet open faces | Spray</t>
  </si>
  <si>
    <t>Hours</t>
  </si>
  <si>
    <t>🪜</t>
  </si>
  <si>
    <t>Access Items</t>
  </si>
  <si>
    <t>Drywall Prep</t>
  </si>
  <si>
    <t>First Coat, Topping | Hand | High Volume</t>
  </si>
  <si>
    <t>Second Coat, Skim | Hand | High Volume</t>
  </si>
  <si>
    <t>EXT 2️⃣ | Surface Prep</t>
  </si>
  <si>
    <t>Arc</t>
  </si>
  <si>
    <t>sqft (Floor)</t>
  </si>
  <si>
    <t>⭐️ ➡️ Roll smooth stucco walls (SW)</t>
  </si>
  <si>
    <t>EXT 3️⃣ | Exterior Siding</t>
  </si>
  <si>
    <t>⭐️ ➡️ Roll smooth stucco walls (BM)</t>
  </si>
  <si>
    <t>ben Flat</t>
  </si>
  <si>
    <t>BTA Krew</t>
  </si>
  <si>
    <t>✂️</t>
  </si>
  <si>
    <t>EXT 4️⃣ | Exterior Trim</t>
  </si>
  <si>
    <t>PPC</t>
  </si>
  <si>
    <t>🔒</t>
  </si>
  <si>
    <t>EXT 5️⃣ | Windows + Doors (for Caulking)</t>
  </si>
  <si>
    <t>Items</t>
  </si>
  <si>
    <t>🪙</t>
  </si>
  <si>
    <t>EXT/INT 5️⃣ | Exterior Windows + Doors + MO</t>
  </si>
  <si>
    <t>🪵</t>
  </si>
  <si>
    <t>🪥</t>
  </si>
  <si>
    <t>INT 2️⃣ | Surface Prep</t>
  </si>
  <si>
    <t>➡️ Skim walls | 2 coats incl sanding</t>
  </si>
  <si>
    <t>➡️ Skim walls (2 coats incl sanding)</t>
  </si>
  <si>
    <t>➡️ Skim ceilings | 2 coats incl sanding</t>
  </si>
  <si>
    <t>➡️ Skim ceilings (2 coats incl sanding)</t>
  </si>
  <si>
    <t>🔝</t>
  </si>
  <si>
    <t>INT 3️⃣ | Interior Ceilings | Residential/Commercial</t>
  </si>
  <si>
    <t>📐</t>
  </si>
  <si>
    <t>INT 4️⃣ | Interior Walls | Residential/Commercial</t>
  </si>
  <si>
    <t>GWB Walls 8-10'</t>
  </si>
  <si>
    <t>GWB Walls 10-12'</t>
  </si>
  <si>
    <t>GWB Walls 14' and up</t>
  </si>
  <si>
    <t>💈</t>
  </si>
  <si>
    <t>INT 5️⃣ | Interior Cuts</t>
  </si>
  <si>
    <t>INT 6️⃣ | Interior Trim</t>
  </si>
  <si>
    <t>🖼️</t>
  </si>
  <si>
    <t>INT 7️⃣ | Interior Doors &amp; Frames</t>
  </si>
  <si>
    <t>🚪</t>
  </si>
  <si>
    <t>🚪🖼️</t>
  </si>
  <si>
    <t>🎁</t>
  </si>
  <si>
    <t>INT 8️⃣ | Misc Items | Residential/Commercial</t>
  </si>
  <si>
    <t>🤿</t>
  </si>
  <si>
    <t>INT/EXT 1️⃣ | Masking</t>
  </si>
  <si>
    <t>➡️ Volume Coverup (Bulk Sheeting)</t>
  </si>
  <si>
    <t>INT/EXT 1️⃣ | Masking | 🤿</t>
  </si>
  <si>
    <t>🚪 Door: Standard French | Whole Door | Brush| 2C</t>
  </si>
  <si>
    <t>Interior Doors &amp; Frames | Residential/Commercial</t>
  </si>
  <si>
    <t>NC Stucco !!!</t>
  </si>
  <si>
    <t>🗿</t>
  </si>
  <si>
    <t>Stucco Installation | Residential/Commercial</t>
  </si>
  <si>
    <t>archive_➡️ Soffits/eaves=fascia color | 1-2story</t>
  </si>
  <si>
    <t>zarchive_EXT 4️⃣ | Exterior Trim</t>
  </si>
  <si>
    <t>➡️ Paint soffits/eaves same as fascia color - 1-2story</t>
  </si>
  <si>
    <t>archive_Soffits/Eaves=Trim Color | 3Story | 2C</t>
  </si>
  <si>
    <t>Paint Soffits/Eaves Same As Trim Color - 3Story</t>
  </si>
  <si>
    <t>archive_❓ How many lf of trim (any) require caulking?</t>
  </si>
  <si>
    <t>zarchive_INT 2️⃣ | Surface Prep</t>
  </si>
  <si>
    <t>Caulk interior trim</t>
  </si>
  <si>
    <t>📐 Paint 8' Wall | Spray/BackRoll | 2C</t>
  </si>
  <si>
    <t xml:space="preserve">Paint Walls  </t>
  </si>
  <si>
    <t>Spray/BackRoll</t>
  </si>
  <si>
    <t>Third Coat, 2nd Skim | Hand | High Volume</t>
  </si>
  <si>
    <t>Skim Entire Drywall Surface | Hand | High Volume</t>
  </si>
  <si>
    <t>Location</t>
  </si>
  <si>
    <t>Needs assigning</t>
  </si>
  <si>
    <t>Our Cost</t>
  </si>
  <si>
    <t>BM National Price</t>
  </si>
  <si>
    <t>List Price</t>
  </si>
  <si>
    <t>Gallon</t>
  </si>
  <si>
    <t>Buckt</t>
  </si>
  <si>
    <t>GP%: Our-&gt;List</t>
  </si>
  <si>
    <t>Sell to Cust Price</t>
  </si>
  <si>
    <t>Markup</t>
  </si>
  <si>
    <t>50% GP on Mats</t>
  </si>
  <si>
    <t>Variance: List-Price to Customer</t>
  </si>
  <si>
    <t>33% GP on Mats</t>
  </si>
  <si>
    <t>Coverage</t>
  </si>
  <si>
    <t>Brand</t>
  </si>
  <si>
    <t>Model</t>
  </si>
  <si>
    <t>Type</t>
  </si>
  <si>
    <t>Sheen</t>
  </si>
  <si>
    <t>NEED IN SCOUT ASAP</t>
  </si>
  <si>
    <t>NEED PRICE ASAP</t>
  </si>
  <si>
    <t>PRICE EDIT!</t>
  </si>
  <si>
    <t>Assign to Prod Rate</t>
  </si>
  <si>
    <t>Sell Sheet in GD</t>
  </si>
  <si>
    <t>PDS in GD</t>
  </si>
  <si>
    <t>PaintScout Label/Name</t>
  </si>
  <si>
    <t>Coverage (Sqft/Gal)</t>
  </si>
  <si>
    <t>Coverage (LF/Gal)</t>
  </si>
  <si>
    <t>Price ($/gal)</t>
  </si>
  <si>
    <t>Coverage (Gal/Item</t>
  </si>
  <si>
    <t>Bucket</t>
  </si>
  <si>
    <t>"Stein is ___ more than Natl"</t>
  </si>
  <si>
    <t>Gallon Variance</t>
  </si>
  <si>
    <t>Bucket Variance</t>
  </si>
  <si>
    <t>Saving 1x5G vs 5x1G</t>
  </si>
  <si>
    <t>33% Markup Price in PS</t>
  </si>
  <si>
    <t>True Coverage</t>
  </si>
  <si>
    <t>Average</t>
  </si>
  <si>
    <t>Min</t>
  </si>
  <si>
    <t>Max</t>
  </si>
  <si>
    <t>Coats Needed</t>
  </si>
  <si>
    <t>WFT (mm)</t>
  </si>
  <si>
    <t>DFT (mm)</t>
  </si>
  <si>
    <t>Smooth - 1c</t>
  </si>
  <si>
    <t>Smooth - 2c</t>
  </si>
  <si>
    <t>2-coat avg</t>
  </si>
  <si>
    <t>2nd Coat efcy%</t>
  </si>
  <si>
    <t>Textured - 1c</t>
  </si>
  <si>
    <t>Textured - 2c</t>
  </si>
  <si>
    <t>Best Source</t>
  </si>
  <si>
    <t>Link to Online Res</t>
  </si>
  <si>
    <t>Link to GD</t>
  </si>
  <si>
    <t>Price Set With</t>
  </si>
  <si>
    <t>Latest Price Check Date</t>
  </si>
  <si>
    <t>Agent</t>
  </si>
  <si>
    <t>Surfaces</t>
  </si>
  <si>
    <t>Setting</t>
  </si>
  <si>
    <t>Product Description</t>
  </si>
  <si>
    <t>True Name</t>
  </si>
  <si>
    <t>Home Depot</t>
  </si>
  <si>
    <t>1 in. x 2 in. x 10 ft. #2 Pressure-Treated Board</t>
  </si>
  <si>
    <t>Lumber</t>
  </si>
  <si>
    <t>item</t>
  </si>
  <si>
    <t>1 in. x 6 in. x 12 ft. Appearance Grade Pressure Treated Ground Contact Southern Pine Lumber</t>
  </si>
  <si>
    <t>1 in. x 8 in. x 10 ft. Appearance Grade Pressure Treated Ground Contact Southern Pine Lumber</t>
  </si>
  <si>
    <t>BM</t>
  </si>
  <si>
    <t>100% SOLIDS EPOXY
PRE-PRIMER V155</t>
  </si>
  <si>
    <t>Corotech ..... name tbd</t>
  </si>
  <si>
    <t>Primer</t>
  </si>
  <si>
    <t>2-1/2 in. x 2-1/2 in. x 120 in. Vinyl Stucco Corner Bead</t>
  </si>
  <si>
    <t>Paint</t>
  </si>
  <si>
    <t>Satin</t>
  </si>
  <si>
    <t>Benjamin Moore Advance Interior, Satin</t>
  </si>
  <si>
    <t>gal</t>
  </si>
  <si>
    <t>Acrylic Latex</t>
  </si>
  <si>
    <t>ADVANCE WB SATIN -BASE 1</t>
  </si>
  <si>
    <t>Benjamin Moore Advance Interior, Semi-Gloss</t>
  </si>
  <si>
    <t>Benjamin Moore Advance Interior, High Gloss</t>
  </si>
  <si>
    <t>ALIPHATIC ACRYLIC URETHANE
GLOSS V500</t>
  </si>
  <si>
    <t>other</t>
  </si>
  <si>
    <t>SEMI SOLID</t>
  </si>
  <si>
    <t xml:space="preserve">ARBORCOAT® WATERBORNE EXTERIOR STAIN SEMI TRANSPARENT N638 </t>
  </si>
  <si>
    <t xml:space="preserve">SEMI TRANSPARENT </t>
  </si>
  <si>
    <t>STAIN SOLID COLOR</t>
  </si>
  <si>
    <t xml:space="preserve">ARBORCOAT® WATERBORNE EXTERIOR STAIN TRANSLUCENT W623 </t>
  </si>
  <si>
    <t>TRANSLUCENT</t>
  </si>
  <si>
    <t>ULTRA FLAT</t>
  </si>
  <si>
    <t>Flat</t>
  </si>
  <si>
    <t>Benjamin Moore Aura Interior Paint, Flat</t>
  </si>
  <si>
    <t>AURA®
GRAND ENTRANCE®
HIGH GLOSS 148</t>
  </si>
  <si>
    <t>HIGH GLOSS</t>
  </si>
  <si>
    <t>Benjamin Moore Aura Grand Entrance, High Gloss</t>
  </si>
  <si>
    <t>quart</t>
  </si>
  <si>
    <t>AURA®
WATERBORNE INTERIOR PAINT &amp; PRIMER EGGSHELL N524</t>
  </si>
  <si>
    <t>Eggshell</t>
  </si>
  <si>
    <t>AURA®
WATERBORNE INTERIOR PAINT &amp; PRIMER SATIN N526</t>
  </si>
  <si>
    <t>AURA®
WATERBORNE INTERIOR PAINT &amp; PRIMER SEMI‐GLOSS N528</t>
  </si>
  <si>
    <t>SG</t>
  </si>
  <si>
    <t xml:space="preserve">AURA® BATH &amp; SPA WATERBORNE INTERIOR PAINT MATTE FINISH 532 </t>
  </si>
  <si>
    <t>MATTE</t>
  </si>
  <si>
    <t>Benjamin Moore Aura Exterior Paint, Flat</t>
  </si>
  <si>
    <t>Low Lustre</t>
  </si>
  <si>
    <t>Benjamin Moore Aura Exterior Paint, Low Lustre</t>
  </si>
  <si>
    <t xml:space="preserve">AURA® Waterborne Exterior Paint – Soft Gloss N632 </t>
  </si>
  <si>
    <t>Soft Gloss</t>
  </si>
  <si>
    <t>Benjamin Moore Aura Exterior Paint, Soft Gloss</t>
  </si>
  <si>
    <t>Benjamin Moore Aura Exterior Paint, Satin</t>
  </si>
  <si>
    <t>Matte</t>
  </si>
  <si>
    <t xml:space="preserve">ben® PREMIUM INTERIOR ACRYLIC PAINT &amp; PRIMER EGGSHELL N626 </t>
  </si>
  <si>
    <t>Benjamin Moore ben Interior Latex Paint, Eggshell</t>
  </si>
  <si>
    <t>BEN INT EGGSHELL - BASE 1</t>
  </si>
  <si>
    <t>Benjamin Moore ben Interior Latex Paint, Matte</t>
  </si>
  <si>
    <t>BEN INT MATTE - BASE 1</t>
  </si>
  <si>
    <t>Satin/Pearl</t>
  </si>
  <si>
    <t>Benjamin Moore ben Interior Latex Paint, Satin/Pearl</t>
  </si>
  <si>
    <t>Semi-Gloss</t>
  </si>
  <si>
    <t>EGGSHELL</t>
  </si>
  <si>
    <t>CABINET COAT
TRIM &amp; CABINET ENAMEL
SATIN FINISH CC-45XX</t>
  </si>
  <si>
    <t>INSL-X</t>
  </si>
  <si>
    <t>SW</t>
  </si>
  <si>
    <t>Cashmere</t>
  </si>
  <si>
    <t>Egg-Shell</t>
  </si>
  <si>
    <t>Pearl</t>
  </si>
  <si>
    <t>Medium Lustre</t>
  </si>
  <si>
    <t xml:space="preserve">COMMAND™ WATERBORNE ACRYLIC URETHANE GLOSS V390 </t>
  </si>
  <si>
    <t>GLOSS</t>
  </si>
  <si>
    <t>SATIN</t>
  </si>
  <si>
    <t>Concrete &amp; Masonry Elastomeric Patch - Smooth</t>
  </si>
  <si>
    <t>Elastomeric</t>
  </si>
  <si>
    <t>https://www.sherwin-williams.com/homeowners/products/concrete-masonry-patch</t>
  </si>
  <si>
    <t>Concrete &amp; Masonry Elastomeric Patch - Textured</t>
  </si>
  <si>
    <t>SEMI-GLOSS</t>
  </si>
  <si>
    <t>Cortec</t>
  </si>
  <si>
    <t>Cortec CorrVerter Rust Converter Primer</t>
  </si>
  <si>
    <t>DTM (Direct To Metal) Paint</t>
  </si>
  <si>
    <t>DTM (Direct To Metal) Paint, Satin</t>
  </si>
  <si>
    <t>Duration</t>
  </si>
  <si>
    <t>Sherwin Williams Duration Exterior Acrylic Latex, Flat</t>
  </si>
  <si>
    <t>Duration Exterior Acrylic Latex</t>
  </si>
  <si>
    <t>Sherwin Williams Duration Exterior Acrylic Latex, Low Lustre</t>
  </si>
  <si>
    <t>Sherwin Williams Duration Exterior Acrylic Latex, Satin</t>
  </si>
  <si>
    <t>Gloss</t>
  </si>
  <si>
    <t>Sherwin Williams Duration Exterior Acrylic Latex, Gloss</t>
  </si>
  <si>
    <t>Duration Home</t>
  </si>
  <si>
    <t>Sherwin Williams Duration Home, Satin</t>
  </si>
  <si>
    <t>Duration Home Interior Acrylic Latex, Satin</t>
  </si>
  <si>
    <t>Duration Home Interior Acrylic Latex, Matte</t>
  </si>
  <si>
    <t>Duration Home Interior Acrylic Latex, Semi-Gloss</t>
  </si>
  <si>
    <t>Sherwin Williams Duration Home Interior Acrylic Latex, Flat</t>
  </si>
  <si>
    <t>Duration Home Interior Acrylic Latex, Flat</t>
  </si>
  <si>
    <t>FLAT</t>
  </si>
  <si>
    <t xml:space="preserve">ELEMENT GUARD™ EXTERIOR FLAT FINISH 763 </t>
  </si>
  <si>
    <t>Benjamin Moore Element Guard Exterior Paint, Flat</t>
  </si>
  <si>
    <t xml:space="preserve">LOW LUSTRE </t>
  </si>
  <si>
    <t>Benjamin Moore Element Guard Exterior Paint, Low Lustre</t>
  </si>
  <si>
    <t>SOFT GLOSS</t>
  </si>
  <si>
    <t>Benjamin Moore Element Guard Exterior Paint, Soft Gloss</t>
  </si>
  <si>
    <t>Emerald</t>
  </si>
  <si>
    <t>Emerald Exterior Acrylic Latex Paint</t>
  </si>
  <si>
    <t>Emerald Interior Acrylic Latex Paint</t>
  </si>
  <si>
    <t>Emerald Trim Enamel</t>
  </si>
  <si>
    <t>Sherwin Williams Emerald Interior Acrylic Latex Paint, Satin</t>
  </si>
  <si>
    <t>Urethane Enamel</t>
  </si>
  <si>
    <t>Emerald Urethane Trim Enamel</t>
  </si>
  <si>
    <t>Sherwin Williams Emerald Interior Acrylic Latex Paint, Semi-Gloss</t>
  </si>
  <si>
    <t>Sherwin Williams Emerald Interior Acrylic Latex Paint, Gloss</t>
  </si>
  <si>
    <t>Eminence High Performance Ceiling Paint</t>
  </si>
  <si>
    <t>Sherwin Williams Eminence High Performance Ceiling Paint</t>
  </si>
  <si>
    <t>Exterior Latex Wood Primer</t>
  </si>
  <si>
    <t>Sherwin-Williams Exterior Latex Wood Primer</t>
  </si>
  <si>
    <t>https://www.sherwin-williams.com/homeowners/products/exterior-latex-wood-primer</t>
  </si>
  <si>
    <t>Zinsser</t>
  </si>
  <si>
    <t>Extreme Adhesion Interior/Exterior Primer</t>
  </si>
  <si>
    <t>Zinsser Extreme Adhesion Interior/Exterior Primer</t>
  </si>
  <si>
    <t>F1 paints</t>
  </si>
  <si>
    <t>F&amp;B</t>
  </si>
  <si>
    <t>Farrow &amp; Ball Full Gloss</t>
  </si>
  <si>
    <t>Full Gloss</t>
  </si>
  <si>
    <t>Farrow &amp; Ball Modern Eggshell</t>
  </si>
  <si>
    <t>Modern Eggshell</t>
  </si>
  <si>
    <t>H&amp;C ClariShield Water-Based Natural Look Sealer</t>
  </si>
  <si>
    <t>H&amp;C</t>
  </si>
  <si>
    <t>H&amp;C Colortop Solvent-Based Concrete Sealer</t>
  </si>
  <si>
    <t>Horizontal surfaces</t>
  </si>
  <si>
    <t>https://www.sherwin-williams.com/painting-contractors/products/hc-colortop-solventbased-solid-color-concrete-sealer</t>
  </si>
  <si>
    <t>H&amp;C Colortop Solvent-Based Concrete Sealer (5G)</t>
  </si>
  <si>
    <t>5gal</t>
  </si>
  <si>
    <t>H&amp;C ConcreteReady Single-component Quick Patch and Repair</t>
  </si>
  <si>
    <t>H&amp;C Heavy Shield Water-Based Solid Color Concrete &amp; Driveway Enamel/Stain</t>
  </si>
  <si>
    <t>James Hardie</t>
  </si>
  <si>
    <t>Hardie Trim HZ10 0.75 in. x 5.5 in. x 12 ft. Primed Smooth Fiber Cement Trim Board</t>
  </si>
  <si>
    <t>High Strength Bonding Agent</t>
  </si>
  <si>
    <t xml:space="preserve">INSL-X® LATEX TRAFFIC PAINT - WHITE </t>
  </si>
  <si>
    <t>Kilz</t>
  </si>
  <si>
    <t>Kilz Adhesion Interior/Exterior Primer</t>
  </si>
  <si>
    <t>Amazon</t>
  </si>
  <si>
    <t>KILZ</t>
  </si>
  <si>
    <t>Kilz PVA White Interior Drywall Primer</t>
  </si>
  <si>
    <t>https://www.homedepot.com/p/KILZ-PVA-5-Gal-White-Interior-Drywall-Primer-PX01005/202665645?source=shoppingads&amp;locale=en-US&amp;pla&amp;mtc=SHOPPING-BF-CDP-GGL-D24-024_022_PRIMERS-NA-Multi-NA-PLALIA-NA-NA-NA-NA-NBR-NA-NA-NA-FY21_Multi_PLALIA&amp;cm_mmc=SHOPPING-BF-CDP-GGL-D24-024_022_PRIMERS-NA-Multi-NA-PLALIA-NA-NA-NA-NA-NBR-NA-NA-NA-FY21_Multi_PLALIA-71700000075826637-58700006498654198-92700058683659550&amp;gad_source=1&amp;gclid=CjwKCAjwuJ2xBhA3EiwAMVjkVI9Xd8eKwkc4nPicYdGu7PUeOAyh8KMKLyceupARCxzA0B1AYKYc4hoCUMMQAvD_BwE&amp;gclsrc=aw.ds</t>
  </si>
  <si>
    <t>Latitude</t>
  </si>
  <si>
    <t>Latitude Exterior Acrylic Latex</t>
  </si>
  <si>
    <t>Loxon Acrylic</t>
  </si>
  <si>
    <t>Sherwin Williams Loxon Acrylic Conditioner</t>
  </si>
  <si>
    <t>LOXON Acrylic Conditioner</t>
  </si>
  <si>
    <t>Loxon Primer</t>
  </si>
  <si>
    <t>Sherwin Williams Loxon Concrete &amp; Masonry Primer/Sealer</t>
  </si>
  <si>
    <t>Loxon Self-Cleaning</t>
  </si>
  <si>
    <t>Sherwin Williams Loxon Self-Cleaning Acrylic Coating, Flat</t>
  </si>
  <si>
    <t>LOXON Self-Cleaning Acrylic Coating, Flat</t>
  </si>
  <si>
    <t>Sherwin Williams Loxon Self-Cleaning Acrylic Coating, Satin</t>
  </si>
  <si>
    <t>LOXON Self-Cleaning Acrylic Coating, Satin</t>
  </si>
  <si>
    <t>Loxon Vertical Stain</t>
  </si>
  <si>
    <t>Tint Base</t>
  </si>
  <si>
    <t>LOXON Vertical Semi-Transparent Concrete Stain</t>
  </si>
  <si>
    <t>Loxon XP</t>
  </si>
  <si>
    <t>Sherwin Williams Loxon XP Waterproofing Masonry Coating</t>
  </si>
  <si>
    <t>Primer/Topcoat</t>
  </si>
  <si>
    <t>LOXON XP Waterproofing Masonry Coating</t>
  </si>
  <si>
    <t>MH Ready Patch Spackling and Patching Compound</t>
  </si>
  <si>
    <t>Wood Patch</t>
  </si>
  <si>
    <t>Modern Masters</t>
  </si>
  <si>
    <t>Modern Masters MasterClear Supreme</t>
  </si>
  <si>
    <t>Stain + Varnish</t>
  </si>
  <si>
    <t>ACE</t>
  </si>
  <si>
    <t>https://www.acehardware.com/departments/paint-and-supplies/specialty-paints/chalk-paint/1814615?store=18506</t>
  </si>
  <si>
    <t>MSMC paints</t>
  </si>
  <si>
    <t>Enamel</t>
  </si>
  <si>
    <t>Multi- Purpose B51-450 Series</t>
  </si>
  <si>
    <t>ORGANIC ZINC RICH PRIMER
V170</t>
  </si>
  <si>
    <t xml:space="preserve">Ospho Metal Rust Treatment - $60/gal </t>
  </si>
  <si>
    <t>HPP Industrial</t>
  </si>
  <si>
    <t>Perfection Futurac</t>
  </si>
  <si>
    <t>POLYAMIDE EPOXY COATING GLOSS/SEMI-GLOSS
V400</t>
  </si>
  <si>
    <t>PowerHouse Siliconized Acrylic Latex Sealant</t>
  </si>
  <si>
    <t>Caulk</t>
  </si>
  <si>
    <t>cartridge</t>
  </si>
  <si>
    <t>This elastomeric sealant was designed specifically for the demanding expansion and contraction of crown molding joints and interior/exterior wood trim packages. It features excellent flexibility and its heavy body keeps it in place when gunned.</t>
  </si>
  <si>
    <t>Premium Ceiling Paint</t>
  </si>
  <si>
    <t>Sherwin Williams Premium Ceiling Paint</t>
  </si>
  <si>
    <t>Pro Industrial DTM Acrylic</t>
  </si>
  <si>
    <t>Sherwin Williams Pro Industrial DTM Acrylic, Semi-Gloss</t>
  </si>
  <si>
    <t>Sherwin Williams Pro Industrial DTM Acrylic, Gloss</t>
  </si>
  <si>
    <t>Sherwin Williams Pro Industrial DTM Acrylic, Eggshell</t>
  </si>
  <si>
    <t>Pro Industrial Pre-Catalyzed Waterbased Urethane</t>
  </si>
  <si>
    <t>Pro Industrial Pro-Cryl Universal Acrylic Primer</t>
  </si>
  <si>
    <t>Low Gloss Primer</t>
  </si>
  <si>
    <t>Sherwin Williams Pro Industrial Pro-Cryl Universal Acrylic Primer</t>
  </si>
  <si>
    <t>Pro-Industrial Pre-Cat Waterbase Urethane</t>
  </si>
  <si>
    <t>2.2-4</t>
  </si>
  <si>
    <t>ProClassic</t>
  </si>
  <si>
    <t>Sherwin Williams ProClassic, Satin</t>
  </si>
  <si>
    <t>ProClassic Waterborne Interior Acrylic Enamel</t>
  </si>
  <si>
    <t>Sherwin Williams ProClassic, Gloss</t>
  </si>
  <si>
    <t>High Gloss</t>
  </si>
  <si>
    <t>Sherwin Williams ProClassic, High Gloss</t>
  </si>
  <si>
    <t>Sherwin Williams ProClassic, Semi-Gloss</t>
  </si>
  <si>
    <t>ProKryl</t>
  </si>
  <si>
    <t xml:space="preserve"> </t>
  </si>
  <si>
    <t>Promar 200</t>
  </si>
  <si>
    <t>Sherwin Williams ProMar Interior Latex Ceiling Paint</t>
  </si>
  <si>
    <t>Promar 400</t>
  </si>
  <si>
    <t>ProMar Interior Latex Ceiling Paint</t>
  </si>
  <si>
    <t>PVA Primer</t>
  </si>
  <si>
    <t>Sherwin Williams PVA Drywall Primer &amp; Sealer (Gal)</t>
  </si>
  <si>
    <t>Latex</t>
  </si>
  <si>
    <t>PVA Drywall Primer &amp; Sealer</t>
  </si>
  <si>
    <t>Sherwin Williams PVA Drywall Primer &amp; Sealer (Bucket)</t>
  </si>
  <si>
    <t>Benjamin Moore Regal Moorgard Exterior Paint, Flat</t>
  </si>
  <si>
    <t>REGAL EXT MOORGARD -PASTEL BSE</t>
  </si>
  <si>
    <t>Benjamin Moore Regal Moorgard Exterior Paint, Low Lustre</t>
  </si>
  <si>
    <t>Benjamin Moore Regal Moorlife Exterior Paint, Flat</t>
  </si>
  <si>
    <t>REGAL EXT MOORLIFE -PASTEL BSE</t>
  </si>
  <si>
    <t>Benjamin Moore Regal Select Interior Paint, Matte</t>
  </si>
  <si>
    <t>REGAL SELECT MATTE -BASE 1</t>
  </si>
  <si>
    <t>Benjamin Moore Regal Select Interior Paint, Eggshell</t>
  </si>
  <si>
    <t>REGAL SELECT EGGSHL-BASE 1</t>
  </si>
  <si>
    <t>SATIN/Pearl</t>
  </si>
  <si>
    <t>Benjamin Moore Regal Select Interior Paint, Pearl</t>
  </si>
  <si>
    <t>Benjamin Moore Regal Select Interior Paint, Flat</t>
  </si>
  <si>
    <t>REGAL SELECT FLAT -BASE 1</t>
  </si>
  <si>
    <t>Benjamin Moore Regal Select Exterior High Build, Flat</t>
  </si>
  <si>
    <t>LOW LUSTRE</t>
  </si>
  <si>
    <t>Benjamin Moore Regal Select Exterior High Build, Low Lustre</t>
  </si>
  <si>
    <t>Benjamin Moore Regal Select Exterior High Build, Soft Gloss</t>
  </si>
  <si>
    <t>Benjamin Moore Regal Moorglo Exterior Paint, Soft Gloss</t>
  </si>
  <si>
    <t>Benjamin Moore Regal Select Interior Paint, Semi-Gloss</t>
  </si>
  <si>
    <t>RUST ARRESTOR
V180</t>
  </si>
  <si>
    <t>Benjamin Moore Scuff-X Interior Paint, Matte</t>
  </si>
  <si>
    <t>Scuff‐X® INTERIOR MATTE FINISH N484</t>
  </si>
  <si>
    <t>Benjamin Moore Scuff-X Interior Paint, Eggshell</t>
  </si>
  <si>
    <t>Scuff‐X® INTERIOR EGGSHELL FINISH N485</t>
  </si>
  <si>
    <t>Benjamin Moore Scuff-X Interior Paint, Satin</t>
  </si>
  <si>
    <t>Scuff‐X® INTERIOR SATIN N486</t>
  </si>
  <si>
    <t>Benjamin Moore Scuff-X Interior Paint, Semi-Gloss</t>
  </si>
  <si>
    <t>Scuff‐X® INTERIOR SEMI‐GLOSS FINISH N487</t>
  </si>
  <si>
    <t>SheKryl</t>
  </si>
  <si>
    <t>Sher-Cryl HPA High Performance Acrylic Semi-Gloss Coating</t>
  </si>
  <si>
    <t>2-3.3</t>
  </si>
  <si>
    <t>https://www.sherwin-williams.com/painting-contractors/products/pro-industrial-shercryl-hpa-high-performance-acrylic</t>
  </si>
  <si>
    <t>Sherwin Williams 950A Siliconized Acrylic Latex Caulk</t>
  </si>
  <si>
    <t>SHERWIN WILLIAMS CONCRETE &amp; MASONRY ELASTOMERIC PATCH</t>
  </si>
  <si>
    <t>Sherwin Williams Kool Seal Premium Roof Paint - Barrel Tile</t>
  </si>
  <si>
    <t>Sherwin Williams Kool Seal Premium Roof Paint - Flat Tile</t>
  </si>
  <si>
    <t>Sherwin Williams Kool Seal Premium Roof Paint - Metal</t>
  </si>
  <si>
    <t>Sherwin-Williams Loxon H1</t>
  </si>
  <si>
    <t>Sherwin-Williams Loxon S1</t>
  </si>
  <si>
    <t>Sherwin-Williams Loxon S1 One Component Smooth Polyurethane Sealant</t>
  </si>
  <si>
    <t>https://www.sherwin-williams.com/painting-contractors/products/loxon-s1-one-component-smooth-polyurethane-sealant</t>
  </si>
  <si>
    <t>Loxon S1 One Component Smooth Polyurethane Sealant</t>
  </si>
  <si>
    <t>Sherwin-Williams Loxon SL1 One Component Self-Leveling</t>
  </si>
  <si>
    <t>Sherwin-Williams White Lightning All Purpose Silicone Ultra</t>
  </si>
  <si>
    <t>Stain</t>
  </si>
  <si>
    <t>Stix Primer</t>
  </si>
  <si>
    <t>Benjamin Moore Stix Bonding Primer</t>
  </si>
  <si>
    <t>STIX PRIMER 1GAL</t>
  </si>
  <si>
    <t>STIX® WATERBORNE BONDING PRIMER SXA-110</t>
  </si>
  <si>
    <t>SUPER HIDE® LATEX EGGSHELL ENAMEL C286</t>
  </si>
  <si>
    <t xml:space="preserve">SUPER HIDE® LATEX FLAT 282 </t>
  </si>
  <si>
    <t xml:space="preserve">SUPER HIDE® LATEX SEMI-GLOSS ENAMEL 283 </t>
  </si>
  <si>
    <t>SUPER HIDE® ZERO VOC INTERIOR EGGSHELL 357</t>
  </si>
  <si>
    <t>SUPER HIDE® ZERO VOC INTERIOR FLAT 355</t>
  </si>
  <si>
    <t>SUPER HIDE® ZERO VOC INTERIOR LATEX PRIMER 354</t>
  </si>
  <si>
    <t xml:space="preserve">SUPER HIDE® ZERO VOC INTERIOR LOW SHEEN 356 </t>
  </si>
  <si>
    <t>LOW SHEEN</t>
  </si>
  <si>
    <t>SUPER HIDE® ZERO VOC INTERIOR SEMI-GLOSS 358</t>
  </si>
  <si>
    <t xml:space="preserve">BM LATEX FLAT DRY FALL WHITE </t>
  </si>
  <si>
    <t xml:space="preserve">SUPER KOTE 5000® DRY FALL ACRYLIC LATEX FLAT N110 </t>
  </si>
  <si>
    <t>SUPER SPEC HP® ALKYD METAL PRIMER P06</t>
  </si>
  <si>
    <t>METAL</t>
  </si>
  <si>
    <t>Sherwin Williams SuperPaint Exterior Latex Paint, Flat</t>
  </si>
  <si>
    <t>Sherwin Williams SuperPaint Exterior Latex Paint, Low Lustre</t>
  </si>
  <si>
    <t>Sherwin Williams SuperPaint Exterior Latex Paint, Satin</t>
  </si>
  <si>
    <t>Velvet</t>
  </si>
  <si>
    <t>Sherwin Williams SuperPaint Interior Acrylic Latex, Velvet</t>
  </si>
  <si>
    <t>Sherwin Williams SuperPaint Interior Acrylic Latex, Flat</t>
  </si>
  <si>
    <t>Sherwin Williams SuperPaint Exterior Latex Paint</t>
  </si>
  <si>
    <t>Sherwin Williams SuperPaint Interior Acrylic Latex, Satin</t>
  </si>
  <si>
    <t>Sherwin Williams SuperPaint Interior Acrylic Latex, Semi-Gloss</t>
  </si>
  <si>
    <t>SURFACE TOLERANT
EPOXY MASTIC COATING
V160</t>
  </si>
  <si>
    <t>SurfaceLogix</t>
  </si>
  <si>
    <t>SurfaceLogix Cobble Strip Paint Stripper</t>
  </si>
  <si>
    <t>Stripper</t>
  </si>
  <si>
    <t>Vitrulan</t>
  </si>
  <si>
    <t>Systexx: Pure Fleece V22 (for NC application)</t>
  </si>
  <si>
    <t>roll</t>
  </si>
  <si>
    <t>Nordic Look</t>
  </si>
  <si>
    <t>Systexx: Pure Fleece V22 (for R/C application)</t>
  </si>
  <si>
    <t>That new commercial highbuild Aaron mentioned</t>
  </si>
  <si>
    <t>Traditional Stucco Core Mix - scratch and brown coats</t>
  </si>
  <si>
    <t>TUFFCRETE WATERBORNE</t>
  </si>
  <si>
    <t>TuffCrete Waterproofing Concrete Stain</t>
  </si>
  <si>
    <t>INSL-X TuffCrete Waterproofing Concrete Stain</t>
  </si>
  <si>
    <t>TuffCrete® Waterproofing Concrete Stain is a solvent acrylic designed for deep penetration into concrete surfaces. This produces the necessary adhesion by penetrating porous surfaces for outstanding durability. The low sheen finish provides good slip resistance on floors and helps hide surface defects. The application of Waterproofing Concrete Stain on concrete surfaces will retard spalling and substrate deterioration. Waterproofing Concrete Stain is excellent in preventing the penetration of water, which helps reduce chipping and peeling.</t>
  </si>
  <si>
    <t>TUFFCRETE XYLENE</t>
  </si>
  <si>
    <t>Ultra Spec</t>
  </si>
  <si>
    <t>UNAVAIL</t>
  </si>
  <si>
    <t>Benjamin Moore Ultra Spec Exterior Paint, Low Lustre</t>
  </si>
  <si>
    <t>ULTRA SPEC EXT LO LUS FIN BASE</t>
  </si>
  <si>
    <t>Ultra Spec 500</t>
  </si>
  <si>
    <t>Benjamin Moore Ultra Spec 500 Interior Paint, Flat</t>
  </si>
  <si>
    <t>ULTRA SPEC 500 FLAT - Base 1</t>
  </si>
  <si>
    <t>Low Sheen</t>
  </si>
  <si>
    <t>Benjamin Moore Ultra Spec 500 Interior Paint, Low Sheen Eggshell</t>
  </si>
  <si>
    <t>ULTRA SPEC 500 INT LS - Base 1</t>
  </si>
  <si>
    <t>Benjamin Moore Ultra Spec 500 Interior Paint, Eggshell</t>
  </si>
  <si>
    <t>ULTRA SPEC 500 INT EGG - Base 1</t>
  </si>
  <si>
    <t>Benjamin Moore Ultra Spec 500 Interior Paint, Satin/Pearl</t>
  </si>
  <si>
    <t>ULTRA SPEC 500 SATIN/PEARL - BASE 1</t>
  </si>
  <si>
    <t>Benjamin Moore Ultra Spec 500 Interior Paint, Semi-Gloss</t>
  </si>
  <si>
    <t>ULTRA SPEC 500 SEMI-GLOSS - BASE 1</t>
  </si>
  <si>
    <t>Ultra Spec Masonry Elastomeric Waterproof Coating</t>
  </si>
  <si>
    <t>Benjamin Moore Ultra Spec Masonry Elastomeric Waterproof Coating</t>
  </si>
  <si>
    <t>US MSRY ELAST FLAT -BASE 1</t>
  </si>
  <si>
    <t>ULTRA SPEC® 500 INTERIOR LATEX PRIMER N534</t>
  </si>
  <si>
    <t>Benjamin Moore Ultra Spec 500 Interior Latex, Primer</t>
  </si>
  <si>
    <t>ULTRA SPEC® EXT
FLAT FINISH N447</t>
  </si>
  <si>
    <t>Benjamin Moore Ultra Spec Exterior Paint, Flat</t>
  </si>
  <si>
    <t>ULTRA SPEC® EXT GLOSS FINISH N449</t>
  </si>
  <si>
    <t>Benjamin Moore Ultra Spec Exterior Paint, Gloss</t>
  </si>
  <si>
    <t>ULTRA SPEC® EXT LOW LUSTRE FINISH N455</t>
  </si>
  <si>
    <t>ULTRA SPEC® EXT SATIN FINISH N448</t>
  </si>
  <si>
    <t>Benjamin Moore Ultra Spec Exterior Paint, Satin</t>
  </si>
  <si>
    <t xml:space="preserve">ULTRA SPEC® HIGH BUILD MASONRY PRIMER N609 </t>
  </si>
  <si>
    <t>ULTRA SPEC® HP ACRYLIC METAL PRIMER HP04</t>
  </si>
  <si>
    <t>Benjamin Moore Ultra Spec HP Acrylic Metal Primer</t>
  </si>
  <si>
    <t>ULTRA SPEC® HP D.T.M. ACRYLIC GLOSS ENAMEL HP28</t>
  </si>
  <si>
    <t>Benjamin Moore Ultra Spec DTM Acrylic Gloss Enamel</t>
  </si>
  <si>
    <t xml:space="preserve">ULTRA SPEC® HP D.T.M. ACRYLIC GLOSS ENAMEL WH28 </t>
  </si>
  <si>
    <t>ULTRA SPEC® HP D.T.M. ACRYLIC LOW LUSTRE ENAMEL WH25</t>
  </si>
  <si>
    <t>ULTRA SPEC® HP D.T.M. ACRYLIC SEMI-GLOSS HP29</t>
  </si>
  <si>
    <t>ULTRA SPEC® HP D.T.M. ACRYLIC SEMI-GLOSS WH29</t>
  </si>
  <si>
    <t>ULTRA SPEC® MASONRY INTERIOR/EXTERIOR 100% ACRYLIC SEALER 608</t>
  </si>
  <si>
    <t>Varathane</t>
  </si>
  <si>
    <t>Varathane Classic Wood Stain</t>
  </si>
  <si>
    <t>https://www.homedepot.com/p/Varathane-1-Gal-Dark-Walnut-Classic-Wood-Interior-Stain-340614/305502034?source=shoppingads&amp;locale=en-US&amp;pla&amp;mtc=SHOPPING-BF-CDP-GGL-D24-024_013_INT_STAIN_CL-NA-Multi-NA-PLALIA-NA-NA-NA-NA-NBR-NA-NA-NA-FY21_Interior_PLALIA&amp;cm_mmc=SHOPPING-BF-CDP-GGL-D24-024_013_INT_STAIN_CL-NA-Multi-NA-PLALIA-NA-NA-NA-NA-NBR-NA-NA-NA-FY21_Interior_PLALIA-71700000075826925-58700006496910117-92700058691144869&amp;gad_source=1&amp;gclid=CjwKCAiA_5WvBhBAEiwAZtCU7zDVzwQDcY7kMFuXHxaWi9BikYhIH_-ATs3UZu0SYQ8z833PmttaYRoCta8QAvD_BwE&amp;gclsrc=aw.ds</t>
  </si>
  <si>
    <t>WATER REDUCIBLE ALKYD ENAMEL V210</t>
  </si>
  <si>
    <t>WATERBORNE BONDING
PRIMER V175</t>
  </si>
  <si>
    <t>VARIES! see PDS</t>
  </si>
  <si>
    <t xml:space="preserve">Waterborne Ceiling  </t>
  </si>
  <si>
    <t>Ceiling Flat</t>
  </si>
  <si>
    <t>Benjamin Moore Waterborne Ceiling Paint, Ceiling Flat</t>
  </si>
  <si>
    <t>WATERBORNE CEILING -BASE 1</t>
  </si>
  <si>
    <t>WATERBORNE CEILING PAINT 508</t>
  </si>
  <si>
    <t>White B-I-N Shellac-Based Interior Primer and Sealer</t>
  </si>
  <si>
    <t>Zinsser White B-I-N Shellac-Based Interior Primer and Sealer</t>
  </si>
  <si>
    <t>Shellac-Based Primer</t>
  </si>
  <si>
    <t>X-I-M</t>
  </si>
  <si>
    <t>XIM UMA Acrylic Bonder and Primer/Sealer</t>
  </si>
  <si>
    <t xml:space="preserve">Zinsser Bondz Interior/Exterior Maximum Adhesion Primer </t>
  </si>
  <si>
    <t>Zinsser Mold &amp; Mildew Killing Interior/Exterior Primer</t>
  </si>
  <si>
    <t>Zinsser Mold &amp; Mildew Killing Primer</t>
  </si>
  <si>
    <t>https://www.homedepot.com/p/Zinsser-1-gal-Mold-Killing-Interior-Exterior-Primer-276049/204994675</t>
  </si>
  <si>
    <t>Benjamin Moore Aura Interior Paint, Satin</t>
  </si>
  <si>
    <t>Paper &amp; Tape Materials</t>
  </si>
  <si>
    <t>Sherwin Kem Aqua Plus</t>
  </si>
  <si>
    <t>Specialty</t>
  </si>
  <si>
    <t>Sandpaper</t>
  </si>
  <si>
    <t>Sundries</t>
  </si>
  <si>
    <t>Aqua Coat Water Based Wood Grain Filler Gel</t>
  </si>
  <si>
    <t>Item Name</t>
  </si>
  <si>
    <t>Description</t>
  </si>
  <si>
    <t>Price Calculcation By</t>
  </si>
  <si>
    <t>Hidden on WO?</t>
  </si>
  <si>
    <t>Customer Note</t>
  </si>
  <si>
    <t>Materials</t>
  </si>
  <si>
    <t>What It Needs:</t>
  </si>
  <si>
    <t>Used in all Templates</t>
  </si>
  <si>
    <t>Proposal/Contract</t>
  </si>
  <si>
    <t>Plan set information</t>
  </si>
  <si>
    <t>Note To Project Supervisor + Crew Lead</t>
  </si>
  <si>
    <t>Notes for PS for NC jobs</t>
  </si>
  <si>
    <t>Color &amp; Sheen Selection</t>
  </si>
  <si>
    <t>C&amp;S for NC jobs</t>
  </si>
  <si>
    <t>Attic Stock</t>
  </si>
  <si>
    <t>Attick stock for all tempaltes</t>
  </si>
  <si>
    <t>Quantity</t>
  </si>
  <si>
    <t>Coatings Schedule</t>
  </si>
  <si>
    <t>Coatings schedule for NC jobs</t>
  </si>
  <si>
    <t>Link to "Read More..." on website, Crew Notes for SOPs</t>
  </si>
  <si>
    <t>Material</t>
  </si>
  <si>
    <t>Material Cost [sqft/lf]</t>
  </si>
  <si>
    <t>Labor Cost [sqft/lf]</t>
  </si>
  <si>
    <t>Total Cost [sqft/lf]</t>
  </si>
  <si>
    <t>Target GPM</t>
  </si>
  <si>
    <t>Sale Price</t>
  </si>
  <si>
    <t>Soffit Installation</t>
  </si>
  <si>
    <t>Vinyl</t>
  </si>
  <si>
    <t>Fiber Cement</t>
  </si>
  <si>
    <t>Aluminum</t>
  </si>
  <si>
    <t>Fascia Installation</t>
  </si>
  <si>
    <t>Alumium</t>
  </si>
  <si>
    <t>PT Wood</t>
  </si>
  <si>
    <t>Composite</t>
  </si>
  <si>
    <t>Scratch sheet</t>
  </si>
  <si>
    <t xml:space="preserve">➡️ </t>
  </si>
  <si>
    <t>Rate Name</t>
  </si>
  <si>
    <t>Fix</t>
  </si>
  <si>
    <t>➡️ Texture Removal: Make Smooth (Part 2)</t>
  </si>
  <si>
    <t>change the interior prep on tmeplate</t>
  </si>
  <si>
    <t>Fix closet pro rate</t>
  </si>
  <si>
    <t>INCLUDES CORNER BEADS AT ALL CORNERS for sharp, crisp corners</t>
  </si>
  <si>
    <t>remove periods</t>
  </si>
  <si>
    <t>Price</t>
  </si>
  <si>
    <t>Hourly Rate</t>
  </si>
  <si>
    <t>Price Per Unit</t>
  </si>
  <si>
    <t>Hours Per Unit</t>
  </si>
  <si>
    <t>Client Note</t>
  </si>
  <si>
    <t>Estimate Types</t>
  </si>
  <si>
    <t>archive_PST_Interior Preparation</t>
  </si>
  <si>
    <t xml:space="preserve">Cover and protect all floors and furniture with drop cloths and plastic sheets. All cracks and nail holes will be caulked and filled as needed. To ensure proper paint adhesion all glossy surfaces and trim will be sanded and cleaned (as needed). Any rough areas will be sanded to remove flaking paint. Daily Set-up and Clean-up:Clean up all areas in or outside the home daily and upon final completion to ensure areas are free from job-related debris. Painting crew will organize all painting materials daily before going home. Final Walkthrough: The job lead will perform a final walkthrough upon completion of the project to ensure customer satisfaction and to address any final questions or concerns. Touchups will be scheduled if needed. </t>
  </si>
  <si>
    <t>Line Item Archiver</t>
  </si>
  <si>
    <t>archive_First things first</t>
  </si>
  <si>
    <t xml:space="preserve">What happens (aside from the tears of joy and fireworks show) when I choose to work with Gables &amp;amp; Grove?First you'll receive a welcome email with a link to 1. REVIEW Scope of Work with Project Manager and Paint Team Leader. This is where your color(s) and sheen(s) are selected.2. ESTABLISH: designated staging and cleaning area(s)3.  MASK/PROTECT: cover/mask/protect all non-painted surfaces (flooring furniture fixtures etc.). Includes removing wall plates return after painting.4. CLEAN and prep any dirty surfaces and wood trim to be painted5. PATCH any nail holes nicks etc.6. CAULK all joints in showers baths vanity tops tiled areas7. PRIME any new/raw materials (especially wood or stucco).8. PAINT all paintable surfaces with the # of coats quoted below.9. CLEAN UP any drops drips masking tape debris trash.Note: We do not move or remove appliances electronics artwork (paintings or statues) curtains or blinds.Cover and protect all floors and furniture with drop cloths and plastic sheets. All cracks and nail holes will be caulked and filled as needed. To ensure proper paint adhesion all glossy surfaces and trim will be sanded and cleaned (as needed). Any rough areas will be sanded to remove flaking paint. Daily Set-up and Clean-up:Clean up all areas in or outside the home daily and upon final completion to ensure areas are free from job-related debris. Painting crew will organize all painting materials daily before going home. Final Walkthrough: The job lead will perform a final walkthrough upon completion of the project to ensure customer satisfaction and to address any final questions or concerns. Touchups will be scheduled if needed. </t>
  </si>
  <si>
    <t>archive_PST_Interior Products</t>
  </si>
  <si>
    <t>WALLS: prepped sanded and painted with 2 coats of PaintCEILING: prepped sanded caulked cleaned and sprayed with 2 coats of PaintTRIM (Doors Windows Baseboards etc.): prepped sanded caulked cleaned and painted with 2 coats of Paint</t>
  </si>
  <si>
    <t>archive_PST_Exterior Products</t>
  </si>
  <si>
    <t>SIDING: powerwash sand caulk and spray with 2 coats of PaintTRIM (Doors Windows Fascia etc.): sand caulk clean and paint with 2 coats of Paint</t>
  </si>
  <si>
    <t>Cabinets - Scope of Work</t>
  </si>
  <si>
    <t>Includes: # doors # drawers frames &amp;amp; exterior of boxes.Prep: Clean all surfaces to be painted with appropriate cleaner and scuff sand to ensure adhesion. Color: TBD - 1 expectedPaint: Benjamin Moore Scuff-X pearlPrimer: Benjamin Moore Stix# of coats: 2 coats finish. 1 coat primer.Application: Spray*Notes: Area must be free of other trades.</t>
  </si>
  <si>
    <t>Includes: # doors # drawers frames &amp;amp; exterior of boxes.Color: TBD - 1 expected# of coats: 2 coats primer 2 coats finishApplication: Spray*Area must be free of other trades.</t>
  </si>
  <si>
    <t>archive_PST_Exterior Preparation</t>
  </si>
  <si>
    <t xml:space="preserve">Power wash all exterior painted surfaces Scrape and sand to remove loose or peeling paintAny cracks or holes will be caulked as needed (wood trim) Spot prime bare surfaces as needed*Any unforeseen damages or repairs will be an additional charge unless otherwise stated.Daily Set-up and Clean-up:Clean up all areas in or outside the home daily and upon final completion to ensure areas are free from job-related debris. Painting crew will organize all painting materials daily before going home. Final Walkthrough: The job lead will perform a final walkthrough upon completion of the project to ensure customer satisfaction and to address any final questions or concerns. Touchups will be scheduled if needed. </t>
  </si>
  <si>
    <t xml:space="preserve">Wallpaper Removal </t>
  </si>
  <si>
    <t>Remove all wallpaper and glue backing with hot water steamer and remover as needed.Patch all damage (dings/holes) on walls.Sand and prime all repair work and drywall on walls.</t>
  </si>
  <si>
    <t>archive_Exterior Painting Overview</t>
  </si>
  <si>
    <t>Pre-Production MeetingPrior to the commencement of work a Gables &amp;amp; Grove Painting Project Supervisor will conduct a Pre-Production Meeting with the client or designated property liaison. This meeting is crucial for:Ensuring clarity and mutual understanding of the Scope of Work.Addressing any immediate questions or concerns.Scheduling the project calendar. Access RequirementsFor the efficient execution of the project Gables &amp;amp; Grove must be granted access to the units or areas as per the agreed schedule.Daily Set-Up and Clean-UpGables &amp;amp; Grove is committed to maintaining a clean and safe work environment throughout the duration of the project. Our crew(s) will:Clean up all areas within or surrounding the units daily ensuring they are free from job-related debris.Organize and secure all painting materials and equipment before leaving the site each day minimizing disruption and maintaining aesthetic orderliness.Final WalkthroughUpon project completion a Gables &amp;amp; Grove Project Supervisor will conduct a final walkthrough with the client to:Ensure all work has been completed to the client’s satisfaction.Address any final questions or concerns.Identify and schedule any necessary touchups aiming for meticulous completion of the project.This walkthrough is a fundamental part of our commitment to quality and client satisfaction marking the formal conclusion of the painting project and ensuring all aspects of the work meet Gables &amp;amp; Grove’s high standards.</t>
  </si>
  <si>
    <t>archive_PST_Popcorn Ceiling Removal</t>
  </si>
  <si>
    <t xml:space="preserve">All floors walls and furniture will be protected with plastic/paper and light fixtures will be removed and re-secured after painting. Remove all textured popcorn ceilings with a power sander. Popcorn will be properly disposed of. Sand/scrape any bumps or problem areas and spackle drywall to prepare ceilings for paint.Apply 1 coat of primer.Apply 2 coats of paint to ceilings.*Please note upon initial review of ceilings it may not be determined whether additional drywall work will be needed. If after removing popcorn it is determined that additional drywall work is necessary it will be disclosed and billed at an hourly rate. </t>
  </si>
  <si>
    <t>Assumptions Inclusions Exclusions</t>
  </si>
  <si>
    <t>Assumptions:GG assumes regular work hours are Monday to Friday from 08:00 to 17:00.GG assumes to have access to electric power and running water on-site.GG assumes that the job site shall be temperature and humidity controlled to allow for proper drying of products.GG assumes that if wall priming needs to be redone due to improper compound/finishing by others a change order will be issued to cover the additional work and materials.GG assumes any delays caused to GG operations by other trades will be billed at $300 per day in half-day allotments.GG assumes it is not responsible for moving furniture or personal items.GG assumes not to unplug any electronics without express permission.GG assumes responsibility for removing and reattaching any switch plate covers after painting is completed.GG assumes all painted surfaces are accessible without the need for extraordinary measures such as scaffolding or hydraulic lifts unless specified in the contract.GG assumes that the site will be free of hazardous materials and conditions. If hazardous conditions are discovered work will pause until the area is deemed safe.GG assumes the client or general contractor will provide a secure storage area for materials and tools if needed over the duration of the project.GG assumes ample parking for our staff managers and subcontractors throughout the project.GG would appreciate a designated washout location for cleaning tools and equipment.GG assumes that any touch-ups required as a result of other trades' work or non-painting activities will be billed at $300 per day plus additional materials in full-day allotments.Inclusions:Our work completion system includes room-by-room or area-by-area sign offs after both priming and final topcoat applications to ensure satisfaction and adherence to quality standards. Once approved the room or area will be considered completed.Protection of non-painted surfaces with drop cloths plastic sheeting and masking tape.Comprehensive surface preparation including sanding caulking and priming as detailed in the contract.Application of specified paint products to walls ceilings trim and other surfaces as agreed in the contract.Cleanup of the project area upon completion including removal of all painting materials and debris.Final walkthrough with the client to ensure satisfaction with the work performed.Detailed inspection and documentation of the project area's condition before commencement to ensure any pre-existing damage is noted and acknowledged by both parties.Provision of detailed paint specifications and color schemes as agreed upon including brand names color codes and finishes.Application of a specified number of paint coats for optimal coverage and finish as detailed in the contract.Quality assurance checks during the painting process to ensure adherence to specifications and quality standards.Exclusions:GG has excluded all work not specifically mentioned in the contract. This includes but is not limited to structural repairs electrical work and installation of new surfaces.GG is not responsible for maintaining temperature and humidity levels within the property; this is assumed to be managed by the general contractor or homeowner to ensure proper drying and curing of paint products.Basic wall preparation is included but significant repairs or wall smoothing beyond minor imperfections are excluded unless specified.Repair of surfaces not included in the contract unless specified.Painting of areas outside the agreed-upon scope such as exterior surfaces if the contract is for interior work only.Removal of heavy furniture or electronic equipment; such tasks should be completed by the client or a professional moving service before painting begins.Provision of specialty finishes not included in the initial contract without a separate agreement and additional charges.Repair of damage caused by others after the completion of painting work.Cosmetic fixes or alterations not related to the painting scope such as replacing or repairing molding baseboards or other architectural details unless specified in the contract.Painting or finishing of items removed from the premises such as doors or shutters unless specifically included in the scope of work.Cost of parking fees or permits required to perform the work if the project is in a restricted or pay-to-park area.Unless included as a line item color consultation and final color selections are assumed to be the homeowner's or designer's responsibility.These items are clearly stated in the contract to ensure both parties have a mutual understanding of the scope of work responsibilities and any additional costs that may arise during the project.</t>
  </si>
  <si>
    <t>Deck Preparation</t>
  </si>
  <si>
    <t xml:space="preserve">Thoroughly power-wash all surfaces prior to application. All surfaces will be sanded to ensure for adequate stain retention. All surfaces not subject to staining will be protected and covered as needed. </t>
  </si>
  <si>
    <t>Painter for a Day</t>
  </si>
  <si>
    <t>Includes: 8 hours of labor from one of our painters. Areas of focus: Paint: is an additional cost.Notes: additional hours (above 7.5) are $___/hr</t>
  </si>
  <si>
    <t>GG 💎 Residential Interior##GG 💎 Residential Interior + Exterior##GG 💎 Residential Exterior##GG 💎 Residential Interior + Cabinets##GG 💎 Residential Stucco + Exterior##GG 💎 Commercial Interior##GG 💎 Commercial Exterior##GG 💎 Commercial Stucco + Exterior##GG 💎 NC Interior##GG 💎 NC Exterior##GG 💎 NC Interior + Exterior##Testing @ $75 an hour 💿 Residential Interior##GG 💎 Roof Painting</t>
  </si>
  <si>
    <t>Complimentary Color Consult</t>
  </si>
  <si>
    <t>1 hr color consultation with one of our designers. *Value: $250/hr</t>
  </si>
  <si>
    <t>archive_PST_Deposit Information</t>
  </si>
  <si>
    <t xml:space="preserve">Due upon approval of proposal (25%):Payable by e-transfer cheque or cash. *Deposit must be paid in order to hold your place in our schedule. </t>
  </si>
  <si>
    <t>Exterior Surface Painting - Stucco or Concrete</t>
  </si>
  <si>
    <t>SIDING PREP: powerwash sand and caulk surfaces as applicablePRIMING: priming solution application onto stucco or concrete surfacePAINT WORK: roll and/or spray with selected number of coats</t>
  </si>
  <si>
    <t>Sherwin Williams LOXON Concrete &amp; Masonry Primer/Sealer &amp; Sherwin Williams Superpaint</t>
  </si>
  <si>
    <t>Cracks Sealing &lt; 1/4" thick</t>
  </si>
  <si>
    <t>Patch work on cracks not thicker than 1/4"</t>
  </si>
  <si>
    <t>Removals</t>
  </si>
  <si>
    <t>Specific items to be removed and eventually re-installed.</t>
  </si>
  <si>
    <t>Cabinets Painting - Doors</t>
  </si>
  <si>
    <t>• Spray booth: build a clean dust-free spray booth/chamber in home/garage protecting all non-paintable surfaces• Prep cabinets: remove from hinges remove hardware and rubber bumpers• Both sides of all doors• No interiors of cabinets unless separately requested• Includes interiors of any glass-front cabinetsOUR METHOD• Prime: Spray 2 coats Benjamin Moore INSL-X Stix Waterborne Bonding Primer• Paint: Spray 2 coats Benjamin Moore Advance topcoats• Doors returned new bumpers added</t>
  </si>
  <si>
    <t>Cabinets Painting - Body and Open Spaces</t>
  </si>
  <si>
    <t>• Non-painted areas will be fully masked and protected to avoid overspray. Painted areas will be sprayed on the spot.OUR METHOD• Prime: Spray 2 coats Benjamin Moore INSL-X Stix Waterborne Bonding Primer• Paint: Spray 2 coats Benjamin Moore Advance topcoats</t>
  </si>
  <si>
    <t>Cabinets Painting - Drawers</t>
  </si>
  <si>
    <t>• Spray booth: build a clean dust-free spray booth/chamber in home/garage protecting all non-paintable surfaces• Prep cabinet drawers: remove hardware• Both sides of all drawers to be sprayed• No interiors of drawers unless separately requestedOUR METHOD• Prime: Spray 2 coats Benjamin Moore INSL-X Stix Waterborne Bonding Primer• Paint: Spray 2 coats Benjamin Moore Advance topcoats• Drawers returned</t>
  </si>
  <si>
    <t>Virtual Quote Terms &amp; Conditions</t>
  </si>
  <si>
    <t>Thank you for choosing Gables &amp;amp; Grove Painting for your painting needs. Please be advised that the following terms and conditions apply to our virtual quote service:1. Virtual Quote Basis: This quote is provided based on the information images and/or videos you have shared with us virtually. It is an estimate of the costs associated with your painting project based on the details provided.2. Accuracy of Information: The accuracy of our virtual quote is dependent on the accuracy and completeness of the information you provide. We assume that the details you have shared represent a true and accurate depiction of the project scope.3. Price Variability: The quoted price is an estimate and is subject to change. Factors that may affect the final price include but are not limited to actual measurements condition of the surfaces to be painted specific material costs at the time of project commencement and any unforeseen complexities or additional work required once an on-site inspection has been conducted.4. On-Site Inspection: We reserve the right to adjust the quoted price following an on-site inspection. This inspection will allow us to assess the project's specifics more accurately and identify any aspects that could not be fully understood through virtual communication.5. Confirmation of Quote: This virtual quote does not represent a final agreement or contract. The quote will be confirmed and finalized only after an on-site inspection has been completed and any necessary adjustments to the quote have been discussed and agreed upon.6. Call for Details: We encourage you to contact us for more detailed information and clarification regarding this virtual quote. Our team is available to answer any questions you may have and to provide further assistance in planning your painting project.7. Acceptance of Terms: By proceeding with this virtual quote you acknowledge and agree to these terms and conditions. Your acceptance indicates an understanding that the final project cost may vary from the estimated quote provided virtually.For more information or to schedule an on-site inspection please contact us at 305-908-1838 or office@gablesandgrove.com. We look forward to working with you and bringing your project to life with the quality and care Gables &amp;amp; Grove Painting is known for.</t>
  </si>
  <si>
    <t>archive_PST_Painter for a Day</t>
  </si>
  <si>
    <t>archive_PST_Deck Preparation</t>
  </si>
  <si>
    <t>archive_PST_Complimentary Color Consult</t>
  </si>
  <si>
    <t>archive_PST_Wallpaper Removal</t>
  </si>
  <si>
    <t>Project Description</t>
  </si>
  <si>
    <t>On ___ I met with ____ at _____ walked the ____ performed an inspection measured/documented and built this quote.The Dream/ObjectiveRefresh and repaint protect with 1x coat Prime + 2x coat Paint System using Sherwin Williams Loxon primer and SuperPaint paintOptional upgrade to a 1x coat Prime + 1x coat Paint System using Sherwin Williams Loxon primer and Duration paint</t>
  </si>
  <si>
    <t>References: Miami Beach</t>
  </si>
  <si>
    <t>Mount Sinai Medical Center (Alton Road)Victoria's Secret (Lincoln Road)Margit Porter Porter Residence (West 24th Street)FORMS Construction (6040 North Bay Drive Interior + Exterior New Construction)Yinet Morales ServPro Miami Beach1935 and 1945 Marseille Drive4701 North Meridian (Ritz Carlton Residences 7 units for Rossel Construction)65 and 71 North Shore Drive (Juliet Gold Design)Schucher Residence (Surfside)Home Image Builders (South Point)Multiple units on Fisher IslandFarrey Residence (North Bay Village on the water)</t>
  </si>
  <si>
    <t>Recent Projects - messy list</t>
  </si>
  <si>
    <t>Accord Building (Coconut Grove)Miami Church (Coconut Grove)The Junior League (Coral Gables)Onyx Hotel (Miami Gardens)Mount Sinai Medical Center (Alton Road)Victoria's Secret (Lincoln Road)Margit Porter Porter Residence (West 24th Street)FORMS Construction (6040 North Bay Drive Interior + Exterior New Construction)Yinet Morales ServPro Miami Beach1935 and 1945 Marseille Drive4701 North Meridian (Ritz Carlton Residences 7 units for Rossel Construction)65 and 71 North Shore Drive (Juliet Gold Design)Schucher Residence (Surfside)Home Image Builders (South Point)Multiple units on Fisher IslandFarrey Residence (North Bay Village)The Historic Nolan House (Brickell)Ugo di Roma Salon (Coconut Grove)Accord Building (Coconut Grove)Miami Church (Coconut Grove)The Junior League (Coral Gables)Green's Garage (Coral Gables)Onyx Hotel (Miami Gardens)Mount Sinai Medical Center (Alton Road)Victoria's Secret (Lincoln Road)FORMS Construction (Miami Beach)DMC General Construction (Coral Gables)Yinet Morales ServPro Miami Beach1935 and 1945 Marseille Drive (Miami Beach)Rossel Construction: 4701 North Meridian (Ritz Carlton Residences 7 units)65 and 71 North Shore Drive Fisher Island PH Four Seasons PH (Juliet Gold Design)Home Image Builders (South Point)The Historic Nolan House (Brickell)Ugo di Roma Salon (Coconut Grove)Biltmore Regent (Coral Gables)Gables Plaza (Coral Gables)The David William (Coral Gables)</t>
  </si>
  <si>
    <t>Recent Projects - General Contractors &amp; Interior Designers</t>
  </si>
  <si>
    <t>Woodhaus Design &amp;amp; Construction: several custom build Interior + Exterior (Coral Gables Brickell Shenandoah)ATF Builders Victoria's Secret Exterior (Lincoln Road)Ross Brothers (Ft. Lauderdale)J. Palmer Group/Palmer Construction: multiple residences (Palmetto Pinecrest Coral Gables) Pinecrest Gardens (Pinecrest)Base Painters (Denver CO): Formula1 technical painters Hard Rock Stadium (Miami Gardens)Global Construction (Denver CO): 4 YouFit locationstakeform: 9 Truist Bank locationsFORMS Construction/Doo Architecture: 6040 North Bay Drive Interior + Exterior New Construction Miami Design Fair InteriorTobin Construction: Key Biscayne Coral Gables Miami GardensRossel Construction: 4701 North Meridian (Ritz Carlton Residences 7 units Interiors)Juliet Gold Design: Four Seasons Penthouse A Interior Fisher Island Penthouse Interior 65 North Shore Drive Interior  71 North Shore Drive InteriorDMC General Construction (Coral Gables): multiple Interior and Exterior New Construction custom homesHome Image Builders: Schucher Residence Interior + Exterior (Surfside) Apogee Interior (South Point)YTECH Construction: The Historic Nolan House Interior + Exterior (Brickell)Fister Design (Doral)Arkin Construction: Il Villaggio Interior (Miami Beach) 10 Tahiti Exterior (Coral Gables)</t>
  </si>
  <si>
    <t>Recent Projects - Commercial</t>
  </si>
  <si>
    <t>Accord Building (Coconut Grove)Miami Church (Coconut Grove)The Junior League (Coral Gables)Green's Garage (Coral Gables)Onyx Hotel (Miami Gardens)Mount Sinai Medical Center (Alton Road)Victoria's Secret (Lincoln Road)FORMS Construction (Miami Beach)DMC General Construction (Coral Gables)Yinet Morales ServPro Miami Beach1935 and 1945 Marseille Drive (Miami Beach)Rossel Construction: 4701 North Meridian (Ritz Carlton Residences 7 units)65 and 71 North Shore Drive Fisher Island PH Four Seasons PH (Juliet Gold Design)Home Image Builders (South Point)The Historic Nolan House (Brickell)Ugo di Roma Salon (Coconut Grove)Biltmore Regent (Coral Gables)Gables Plaza (Coral Gables)The David William (Coral Gables)</t>
  </si>
  <si>
    <t>Notes for the Project Supervisor + Crew Lead (Exterior)</t>
  </si>
  <si>
    <t>Colors and sheens: TBDAccess Issues: noneRoof Type: barrel tileLandscaping: no problemYears ago last painted: unknownPotential Start Date: TBDAny other work to be done prior to our start: noneMust Finish By: no date specifiedParking: drivewayPermits: n/aProject Images &amp;amp; Videos: in CompanyCamThe "Grand Piano": none</t>
  </si>
  <si>
    <t>GG 💎 Residential Interior##GG 💎 Residential Interior + Exterior##GG 💎 Residential Exterior##GG 💎 Cabinets##GG 💎 Residential Interior + Cabinets##GG 💎 Residential Stucco + Exterior##GG 💎 Commercial Interior##GG 💎 Commercial Exterior##GG 💎 Commercial Stucco + Exterior##GG 💎 Cabinets Ballpark##GG 🔮 VQ Residential Interior##GG 💎 Roof Painting</t>
  </si>
  <si>
    <t>Notes for the Project Supervisor + Crew Lead (Interior)</t>
  </si>
  <si>
    <t>Colors &amp;amp; Sheens: TBDAccess Issues: noneThe "Grand Piano": nonePotential Start Date: TBDMust Finish By: n/aParking: drivewal</t>
  </si>
  <si>
    <t>GG 💎 Residential Interior##GG 💎 Residential Interior + Exterior##GG 💎 Residential Interior + Cabinets##GG 💎 Commercial Interior##GG 💎 NC Interior##GG 💎 NC Interior + Exterior##Testing @ $75 an hour 💿 Residential Interior##GG 🔮 VQ Residential Interior</t>
  </si>
  <si>
    <t>Notes for the Project Supervisor + Crew Lead (Cabinets)</t>
  </si>
  <si>
    <t>Includes: _____ doors _____ drawers all frames &amp;amp; exterior of boxes.Excludes: inside of cabinets unless otherwise noted.# of "See-Thrus" to paint inside: 0Pulls/handles: not replacing no hole patching or drilling requiredColors and sheens: TBD - 1 expected# of coats: 2 coats primer 2 coats finishApplication: SprayAccess Issues: NoneThe "Grand Piano": NoneAny specific hardware to be ordered: NonePotential Start Date: TBDMust Finish By: None specifiedParking: DrivewayProject Images &amp;amp; Videos: in CompanyCam</t>
  </si>
  <si>
    <t>GG 💎 Cabinets##GG 💎 Residential Interior + Cabinets##GG 💎 Cabinets Ballpark</t>
  </si>
  <si>
    <t>We propose to prepare prime and paint the following surfaces located at the above referenced address and based on the following plans.PLANSProject NameHavana Music HallPlans dated03/17/23Plans received03/27/23Bid due04/10/23RFI Submitted:noneSCOPE OF WORKThe work to be done by the painting contractor shall include the furnishing of all materials labor tools and equipment required to complete the painting of the project specified. The submission of a bid by Gables &amp;amp; Grove confirms an understanding of all conditions pertaining to this work and proper application of materials specified.Precondition Survey Inspection (establish access plan designated staging/cleaning areas timing/posting plan etc.)Drawdowns or samples to be provided as needed.Any prep or masking requiredPrime and paint work executed in accordance with plans/specs and product recommendations.</t>
  </si>
  <si>
    <t>GG 💎 NC Interior##GG 💎 NC Exterior##GG 💎 NC Interior + Exterior##GG 💎 NC Systexx Installation + IP</t>
  </si>
  <si>
    <t>Note To Project Supervisor + Crew Lead [NC]</t>
  </si>
  <si>
    <t>Specific Instructions p A-301NOTE: FINISHES FOR INTERIOR WALLS CEILINGS FLOORS DECORATIONS AND TRIMS SHALL COMPLY WITH FBC CHAPTER 8ALL INTERIOR FINISHES SHALL COMPLY WITH NFPA 101 10.2ALL INTERIOR WALL CEILING AND FLOOR MATERIALS WITH THEEXCEPTION OF THOSE HAVING A THICKNESS LESS THAN 0.036" APPLIEDDIRECTLY TO THE SURFACE OF WALLS OR CEILINGS SHALL COMPLYWITH FBC 803 AND FBC 804GLAZING LARGER THAN 9 SF MUST BE CATEGORY II SAFETYGLASS AS REQUIRED BY FBC 2406 TABLE 2406.2(1)</t>
  </si>
  <si>
    <t>Color &amp; Sheen Selection [NC]</t>
  </si>
  <si>
    <t>Prior to the start of the project and signed for approval Gables &amp;amp; Grove will provide drawdowns or apply paint samples of the chosen final color and sheen at the area designated by the General Contractor. Samples are applied in 2' x 2' squares with 2x coats for true color and on multiple surfaces for best viewing. 5 drawdowns/samples are included in our proposal $30/sample afterwards.</t>
  </si>
  <si>
    <t>Attic Stock [NC/Comm]</t>
  </si>
  <si>
    <t>ESTIMATOR NOTES!!!! -&amp;gt; Be sure to include a reasonable quantity of attic stock and price accordingly. Refer to the Gables &amp;amp; Grove Product List for pricing. Delete this line after completing.Attic Stock: 5% attic stock of total budget material purchase (every model every color).</t>
  </si>
  <si>
    <t>GG 💎 Commercial Interior##GG 💎 Commercial Exterior##GG 💎 NC Interior##GG 💎 NC Exterior##GG 💎 NC Interior + Exterior##GG 💎 NC Systexx Installation + IP##GG 💎 Commercial Stucco + Exterior</t>
  </si>
  <si>
    <t>Coatings Schedule [NC]</t>
  </si>
  <si>
    <t>INTERIORGWB SURFACESPrime Coat: Zinsser PVA Drywall Primer (or equivalent)Finish Coat: SW SuperPaint Interior Paint (or equivalent)Doors/Basebaords/Trim/etc: SW ProClassic Enamel (or equivalent)EXTERIORSTUCCO EIFS BRICK AND OTHER MASONRY SURFACESPrime Coat: SW Loxon Stucco Primer &amp;amp; Conditioner (or equivalent)Finish Coat: SW SuperPaint Exterior Paint (or equivalent)</t>
  </si>
  <si>
    <t>"What happens if I accept this quote?"</t>
  </si>
  <si>
    <t>1️⃣ Fireworks song and dance at the Gables &amp;amp; Grove Office (in Coconut Grove) as we celebrate the potential to wow a new customer.2️⃣ You'll receive a welcome email with a request to fill out the Welcome and Color &amp;amp; Sheen Forms. These take 2-3 mins each and help us repeat another perfect harmonious outcome.3️⃣ We'll call to schedule a Pre-Job Walk with a Supervisor.&amp;nbsp;The Pre-Job WalkPrior to the start of work you and a Gables &amp;amp; Grove Painting Project Supervisor + Crew Lead will meet for a Pre-Job Walk. This meeting is for:Saying hello and meeting the Crew Lead (aka the Lead Painter)Ensuring clarity and mutual understanding of the Scope of WorkAddressing any immediate questions or concernsScheduling the project calendar4️⃣ The work! All the efficient and professional prep priming and painting you could ever want directed by the trained Crew Lead and monitored by the Project Supervisor who performs regular Job Site Inspections (JSI).Daily Set-Up and Clean-UpGables &amp;amp; Grove is committed to maintaining a clean and safe work environment throughout the duration of the project. Our crews:Clean up all areas daily ensuring they are free from job-related debrisOrganize and secure all painting materials and equipment before leaving each day minimizing disruption and maintaining aesthetic orderliness5️⃣ ...until we're done and together we'll do a Project Walkthru making sure everything looks great.✅ The Project Walkthru:Ensure all work has been completed to your satisfactionAddress any final questions or concernsIdentify and schedule any necessary touchups aiming for meticulous completion of the projectand if everything looks great your warranty goes into effect and everyone goes home happy!6️⃣ Continuing Care: we'll be calling to make sure everything still looks and feels great. Not too often—maybe once or twice/year!</t>
  </si>
  <si>
    <t>GG 💎 Residential Interior##GG 💎 Residential Interior + Exterior##GG 💎 Residential Exterior##GG 💎 Cabinets##GG 💎 Residential Interior + Cabinets##GG 💎 Residential Stucco + Exterior##GG 💎 Cabinets Ballpark##GG 🔮 VQ Residential Interior##All Types</t>
  </si>
  <si>
    <t>The Gables &amp; Grove Cabinet Painting Process (Spray)</t>
  </si>
  <si>
    <t>"Works every time!"PreparationRemove and number doors and drawers.Remove hardware and rubber bumpers. Mask any hardware better served left attached.Mask ceilings walls appliances countertops and areas not to be painted.RepairsFill in holes or cracks with wood filler sand smooth. Repeat until surface is uniform and perfectly flat.Sanding priming and paintingBuild a clean dust-free spray booth/chamber in home/garage protecting all non-paintable surfaces.Sand all surfaces to ensure paint adhesion. Thoroughly clean all surfaces.Using an HVLP sprayer apply two (2) coats of primer ensuring even coverage. (Primer: Zinsser White B-I-N Shellac-Based Interior Primer and Sealer)Using an HVLP sprayer apply two (2) coats of paint ensuring even coverage. (Paint: Sherwin Williams Emerald Interior Acrylic Latex Paint color and sheen TBD)ReassemblyAfter drying reattach hardware doors and drawers.Remove all masking and protection. Other general cleanup.*Notes: Area must be free of other trades or interference.</t>
  </si>
  <si>
    <t>GG 💎 Cabinets##GG 💎 Cabinets Ballpark##GG 💎 Residential Interior + Cabinets</t>
  </si>
  <si>
    <t>UNDER CONSTRUCTION The Gables &amp; Grove Cabinet Painting Process (Brush and Roll)</t>
  </si>
  <si>
    <t>"Works every time!"PreparationRemove and number doors and drawers.Remove hardware and rubber bumpers. Mask any hardware better served left attached.Mask appliances countertops and areas not to be painted.RepairsFill in holes or cracks with wood filler sand smooth. Repeat until surface is uniform and perfectly flat.Sanding priming and paintingBuild a clean dust-free spray booth/chamber in home/garage protecting all non-paintable surfaces.Sand all surfaces to ensure paint adhesion. Thoroughly clean all surfaces.Apply a primer suitable for the cabinet material.Apply paint with brushes and rollers usually requiring multiple coats for full coverage.Using an HVLP sprayer apply two (2) coats of primer ensuring even coverage.Painting: Spray paint in even layers typically faster and with a smoother finish than brush and roll.Prime: Spray 2 coats Zinsser White B-I-N Shellac-Based Interior Primer and SealerPaint: Spray 2 coats Sherwin Williams Emerald Interior Acrylic Latex Paint SatinReassemblyAfter drying reattach hardware doors and drawers.Remove all masking and protection. Other general cleanup.*Notes: Area must be free of other trades or interference.</t>
  </si>
  <si>
    <t>Important Price &amp; Material Notes (Cabinets)</t>
  </si>
  <si>
    <t>The Top 5 Price DifferentiatorsApplication Method: Brush and roll is typically more cost-effective requiring less prep and equipment than spraying. However spraying offers a superior even finish that may be preferred for its aesthetic appeal.Hardware Replacement: Updating handles or knobs can enhance the cabinet's look. Pricing varies if using existing holes versus drilling new ones; additional costs apply for filling and repainting old holes. Detail Work: Complex designs intricate details or multiple colors increase labor costs due to the added intricacy.Repairs and Preparation: Costs include fixing damages and preparatory work like sanding and priming for optimal painting conditions.Interior Painting: Opting to paint inside cabinets and drawers adds to the overall cost.Material ExcellenceAfter over 13 years of mastering cabinet painting we've honed in on the optimal "formula" for our projects underscoring the importance of using top-tier materials. There's a profound difference in the outcome when premium coatings are applied which is why we exclusively use Zinsser White B-I-N Shellac-Based Primer and Sherwin Williams Emerald Urethane Trim Enamel. This combination not only ensures durability but also provides a finish that stands superior to competitors. We invest significant effort into each project and leveraging anything less than the best materials would not do justice to our work's quality and your investment.</t>
  </si>
  <si>
    <t>Cabinet Line Item Test - # of Doors</t>
  </si>
  <si>
    <t>Zinsser White B-I-N Shellac-Based Interior Primer and Sealer &amp; Sherwin Williams Emerald Interior Acrylic Latex Paint Satin</t>
  </si>
  <si>
    <t>Cabinet Details</t>
  </si>
  <si>
    <t>Samples (Colors)</t>
  </si>
  <si>
    <t>Choose 5 samples for us to applybig 2'x2' squarestwo coatsmultiple surfaces</t>
  </si>
  <si>
    <t>Upgrade to Sherwin Williams Duration on all walls and fascia (Premium)</t>
  </si>
  <si>
    <t>See product specifics in the Products Section of this presentation.</t>
  </si>
  <si>
    <t>Exclusions (Residential Exterior)</t>
  </si>
  <si>
    <t>Exclusions (Residential Interior)</t>
  </si>
  <si>
    <t xml:space="preserve"> INSTRUCTIONS: 2x  vs 1x coats ‼️</t>
  </si>
  <si>
    <t>Find the sqft # in the work order.Go into the two areas below:In 2️⃣ COAT PRICE:Adjust the gross sqft #Double check the correct 2-coat product is selected (template is SuperPaint)In 1️⃣ COAT PRICE:Adjust the gross sqft #Double check the correct 1-coat product is selected (template is Duration)Subtract the 1-coat from the 2-coat (99% of the time the 2-coat is more expensive)In ✅ UPGRADE + SAVE! Upgrade to Sherwin Williams Duration (1x coat):Double check the paints in the Area Name (title)Update the descriptionAdjust the price difference. Be sure to keep it negative (-)Make sure that the upgrade product sell sheet is in Presentation&amp;gt;ProductsFinally archive this and the 2 Areas below</t>
  </si>
  <si>
    <t xml:space="preserve"> 2️⃣ Coat Labor + Material Cost ‼️</t>
  </si>
  <si>
    <t xml:space="preserve"> 1️⃣ Coat Labor + Material Cost ‼️</t>
  </si>
  <si>
    <t>✅ UPGRADE + SAVE! Upgrade to Sherwin Williams Duration (1x coat)</t>
  </si>
  <si>
    <t>Upgrade to Sherwin Williams Duration1x coat Loxon primer + 1x coat Duration paintA more expensive product but save on the labor cost of applying the second coatSee product specifics in the Products Section of this presentation</t>
  </si>
  <si>
    <t>Choose Gables &amp; Grove Today and Save $250</t>
  </si>
  <si>
    <t>If you save me the time and effort of following up with you I'll save you $250 off the price.Are you ready to paint?Is everything you want in this quote?Do you trust that Gables &amp;amp; Grove will do what we say we will do?Does the price fits your expectation?Yes? Then let's get you started today!</t>
  </si>
  <si>
    <t>The "Let Us Can Work In The Rain" Discount</t>
  </si>
  <si>
    <t>If you're ok with us starting in ___ (during a rainy period) I'll save you another $______ off the price.</t>
  </si>
  <si>
    <t>🏡 Interior Prep + Repair Standards</t>
  </si>
  <si>
    <t>Use drop clothes light-gauge plastic and/or paper to protect floors walls and other non-paintable surfacesRemove switch plates return after paintingRemove ceiling vents and clean spray (if painting ceiling)</t>
  </si>
  <si>
    <t>🏡 Exterior Prep + Repair Standards</t>
  </si>
  <si>
    <t>Pressure Wash all paintable surfacesFill all cracks under 1/8" with caulk prior to paintingFull frame caulking of all window frames and doorsUse drop clothes light-gauge plastic and/or paper to protect all non-paintable surfacesDaily cleanup</t>
  </si>
  <si>
    <t>🪣 Exterior Products &amp; Materials (Ben Moore)</t>
  </si>
  <si>
    <t>For this project we are recommending:Primer: All Surfaces: Sherwin Williams Loxon Concrete &amp;amp; Masonry Primer/SealerPaint:Walls: Benjamin Moore Regal Moorgard Exterior Paint FlatTrim/Fascia: Benjamin Moore Regal Moorgard Exterior Paint Low Lustre</t>
  </si>
  <si>
    <t>🪣 Exterior Products &amp; Materials (Sherwin Williams)</t>
  </si>
  <si>
    <t>For this project we are recommending:Primer: All Surfaces: Sherwin Williams Loxon Concrete &amp;amp; Masonry Primer/SealerPaint:Walls: Sherwin Williams SuperPaint Exterior Paint FlatTrim/Fascia: Sherwin Williams SuperPaint Exterior Paint Satin</t>
  </si>
  <si>
    <t>Systexx + Drywall | Residential/Commercial</t>
  </si>
  <si>
    <t>Whole House</t>
  </si>
  <si>
    <t>🚕 Cabinets | Residential/Commercial</t>
  </si>
  <si>
    <t>Front</t>
  </si>
  <si>
    <t>Left</t>
  </si>
  <si>
    <t>Back</t>
  </si>
  <si>
    <t>Right</t>
  </si>
  <si>
    <t>On 3/9/24</t>
  </si>
  <si>
    <t>Hey Andrew,</t>
  </si>
  <si>
    <t>Loxon</t>
  </si>
  <si>
    <t>Sorry I haven’t gotten back to you. I was waiting to hear back from my boss on the Superpaint.</t>
  </si>
  <si>
    <t>I can match up the prices that CJC Ptg has on Superpaint with jobs opened up as we discussed.</t>
  </si>
  <si>
    <t>Below will be your Everyday Prices!</t>
  </si>
  <si>
    <t>Any Jobs Opened up we can negotiate the prices to be a little more aggressive.</t>
  </si>
  <si>
    <t>Superpaint Ext. Flat     $32.60</t>
  </si>
  <si>
    <t>Superpaint Ext. Satin  $34.60</t>
  </si>
  <si>
    <t>Latitude Flat      $38.38</t>
  </si>
  <si>
    <t>Latitude Satin   $40.38</t>
  </si>
  <si>
    <t>PURE COST</t>
  </si>
  <si>
    <t>50% Mat MU</t>
  </si>
  <si>
    <t>100% Mat MU</t>
  </si>
  <si>
    <t>Loxon Self-Cleaning Flat    $38.85</t>
  </si>
  <si>
    <t>Loxon Self-Cleaninng Satin$40.85</t>
  </si>
  <si>
    <t>Duration Flat     $40.38</t>
  </si>
  <si>
    <t>Duration Satin   $42.38</t>
  </si>
  <si>
    <t>Emerald Rain Refresh Flat</t>
  </si>
  <si>
    <t>Emerald Rain Refresh Satin</t>
  </si>
  <si>
    <t>Customer: Gables &amp; Grove Painting</t>
  </si>
  <si>
    <t>Acct. No.:</t>
  </si>
  <si>
    <t>PPG Price List / 2022</t>
  </si>
  <si>
    <t>Date: 2022</t>
  </si>
  <si>
    <t>Product Code</t>
  </si>
  <si>
    <t>SW / BM Comp.</t>
  </si>
  <si>
    <t>Price per Gallon (1)</t>
  </si>
  <si>
    <t>Price per 5</t>
  </si>
  <si>
    <t>12-110xi Line</t>
  </si>
  <si>
    <t xml:space="preserve">PM 400 </t>
  </si>
  <si>
    <t>Speedhide EV Latex Flat (Ceilings)</t>
  </si>
  <si>
    <t>6-5110 Line</t>
  </si>
  <si>
    <t>PM 200 / Ultra Spec</t>
  </si>
  <si>
    <t>Speedhide Latex Flat Zero Voc (Walls)</t>
  </si>
  <si>
    <t>6-5310 Line</t>
  </si>
  <si>
    <t>Speedhide Latex Eggshell Zero Voc</t>
  </si>
  <si>
    <t>9-110 Line</t>
  </si>
  <si>
    <t xml:space="preserve">Super Paint </t>
  </si>
  <si>
    <t>Pure Performance Latex Flat Zero VOC Paint &amp; Primer</t>
  </si>
  <si>
    <t>9-310 Line</t>
  </si>
  <si>
    <t>Pure Performance Latex Eggshell Zero VOC paint &amp; Primer</t>
  </si>
  <si>
    <t>84-3110 Line</t>
  </si>
  <si>
    <t>Regal</t>
  </si>
  <si>
    <t>Prominence Latex Flat Zero VOC Scrub Resistent Paint &amp; Primer</t>
  </si>
  <si>
    <t>84-3310 Line</t>
  </si>
  <si>
    <t>Prominence Latex Eggshell Zero VOC Scrub Resistent Paint &amp; Primer</t>
  </si>
  <si>
    <t>V52-410 Line</t>
  </si>
  <si>
    <t>Pro Classic / Advance</t>
  </si>
  <si>
    <t>Breakthrough Water-Borne Acrylic Satin</t>
  </si>
  <si>
    <t>13-210 Line</t>
  </si>
  <si>
    <t>Scuff X</t>
  </si>
  <si>
    <t>Ultra Last Latex Matte Finish Paint &amp; Primer Scuff Resistent</t>
  </si>
  <si>
    <t>29-1310 Line</t>
  </si>
  <si>
    <r>
      <rPr>
        <b/>
        <sz val="10"/>
        <color theme="1"/>
        <rFont val="Arial Narrow"/>
        <charset val="134"/>
      </rPr>
      <t xml:space="preserve">Copper Armor Latex Eggshell Paint &amp; Primer </t>
    </r>
    <r>
      <rPr>
        <b/>
        <sz val="10"/>
        <color rgb="FFFF0000"/>
        <rFont val="Arial Narrow"/>
        <charset val="134"/>
      </rPr>
      <t>Anti-Bacterial</t>
    </r>
  </si>
  <si>
    <t>4-808</t>
  </si>
  <si>
    <t>Permacrete 100% Acrylic Sealer Clear</t>
  </si>
  <si>
    <t>72-110xi Line</t>
  </si>
  <si>
    <t>Super Paint</t>
  </si>
  <si>
    <t>Sunproof 100% Acrylic Flat</t>
  </si>
  <si>
    <t>76-110xi Line</t>
  </si>
  <si>
    <t>Sunproof 100% Acrylic Satin</t>
  </si>
  <si>
    <t>519-10 Line</t>
  </si>
  <si>
    <t>SW Resilience</t>
  </si>
  <si>
    <r>
      <rPr>
        <b/>
        <sz val="10"/>
        <color theme="1"/>
        <rFont val="Arial Narrow"/>
        <charset val="134"/>
      </rPr>
      <t>Acrishield Max 100% Acrylic Flat Paint &amp; Primer (</t>
    </r>
    <r>
      <rPr>
        <b/>
        <sz val="10"/>
        <color rgb="FFFF0000"/>
        <rFont val="Arial Narrow"/>
        <charset val="134"/>
      </rPr>
      <t>Mildew Resist 2 coats</t>
    </r>
    <r>
      <rPr>
        <b/>
        <sz val="10"/>
        <color theme="1"/>
        <rFont val="Arial Narrow"/>
        <charset val="134"/>
      </rPr>
      <t>)</t>
    </r>
  </si>
  <si>
    <t>739-10 Line</t>
  </si>
  <si>
    <r>
      <rPr>
        <b/>
        <sz val="10"/>
        <color theme="1"/>
        <rFont val="Arial Narrow"/>
        <charset val="134"/>
      </rPr>
      <t>Acrishield Max 100% Acrylic Satin Paint &amp; Primer (</t>
    </r>
    <r>
      <rPr>
        <b/>
        <sz val="10"/>
        <color rgb="FFFF0000"/>
        <rFont val="Arial Narrow"/>
        <charset val="134"/>
      </rPr>
      <t>Mildew Resist 2 coats</t>
    </r>
    <r>
      <rPr>
        <b/>
        <sz val="10"/>
        <color theme="1"/>
        <rFont val="Arial Narrow"/>
        <charset val="134"/>
      </rPr>
      <t>)</t>
    </r>
  </si>
  <si>
    <t>759-10 Line</t>
  </si>
  <si>
    <t>BM Aura</t>
  </si>
  <si>
    <t>Permanizer 100% Acrylic Flat Paint &amp; Primer</t>
  </si>
  <si>
    <t>769-10 Line</t>
  </si>
  <si>
    <t>Permanizer 100% Acrylic Satin Paint &amp; Primer</t>
  </si>
  <si>
    <t>SALES REPRESENTATIVE: Jorge Notario</t>
  </si>
  <si>
    <t>PHONE:  (954) 598-4247</t>
  </si>
  <si>
    <t xml:space="preserve">We Appreciate the oppurtunity to bid for your business.We 're confident that our industry-leading products,knowledge,service and experience will serve you well. When you walk into </t>
  </si>
  <si>
    <t xml:space="preserve">a PPG Paints Store you'll find the products and the help you need to do the job right! Above please find the pricing you requested. </t>
  </si>
  <si>
    <t>The **charge rate** in the context of painting services is the price you charge customers per hour for your services. It's a critical figure that encompasses not just the direct costs of labor and materials, but also overhead costs (like office rent, utilities, insurance, marketing expenses, administrative costs, etc.) and your profit margin. Here's how you might calculate it and consider integrating material costs:
### Calculating Your Charge Rate
1. **Direct Labor Costs**: Start with the hourly wage you pay your painters. If you also pay for benefits, add a percentage to cover this cost.
The direct labor rate typically refers to the cost of one worker per hour. This rate includes not just the hourly wage you pay the employee, but also any additional costs associated with employing that individual, such as payroll taxes, benefits (if applicable), workers' compensation insurance, and any other employment-related expenses.
When calculating your charge rate for a project or determining the overall cost of labor for a job, you would multiply the direct labor rate by the number of workers and the number of hours they are expected to work. For instance, if you have a direct labor rate of $25/hour per worker, and you're planning to have two workers on a job that is estimated to take 10 hours, the total direct labor cost would be:
Total Direct Labor Cost
=
Direct Labor Rate
×
Number of Workers
×
Hours Worked
Total Direct Labor Cost=Direct Labor Rate×Number of Workers×Hours Worked
Total Direct Labor Cost=$25/hour×2workers×10hours=$500
This calculation ensures that you're covering the cost of all labor involved in completing a project. When setting your overall charge rate to the customer, you'd include this labor cost along with materials, overhead, and desired profit margin to come up with a total project price or an hourly rate that reflects the inclusion of multiple workers if billing by the hour.
2. **Materials Cost**: This includes all paints, primers, and any other materials used for a job. If you're considering incorporating materials into your hourly rate instead of marking them up separately, you'll need to have a good understanding of the average materials cost per job or per hour of labor.
3. **Overhead Costs**: Calculate all the indirect costs of running your business (rent, utilities, insurance, admin salaries, marketing, etc.). Divide this total by the number of billable hours you expect in a year to find the overhead cost per hour.
4. **Profit Margin**: Decide on a profit margin percentage that you aim to achieve (industry averages can vary, but 20-30% is common). 
5. **Charge Rate Calculation**:
   - Add your direct labor costs, estimated hourly materials cost, and overhead cost per hour together.
   - Apply your desired profit margin to determine your final charge rate.
### Example:
If your direct labor cost is $25/hour, materials cost averages to $15/hour, and overhead is $20/hour, your base cost before profit is $60/hour. To achieve a 30% profit margin, you would set your charge rate at:
\[ \text{Charge Rate} = \$60 \times (1 + 0.30) = \$78/hour \]
However, you mentioned charging $115/hour, which suggests either a higher profit margin, higher costs, or both.
### Incorporating Materials into Your Charge Rate:
To integrate materials directly into your charge rate as suggested by the PaintScout rep, you'd adjust the materials cost portion based on your average or expected costs. If direct markup leads to high prices, calculate your average material costs across jobs to spread the cost more evenly. This approach requires accurately tracking material usage over time to ensure your rate covers costs without significantly overcharging.
**For your situation** with a 100% markup leading to high material prices, consider this:
- **Average Material Cost Method**: Determine the average material cost per hour of painting across various jobs. This could lower the perceived cost for customers on individual invoices and simplify your billing.
- **Adjust Your Markup**: If including materials in your charge rate isn't feasible or doesn't align with competitive pricing, you might need to adjust your markup strategy. A 100% markup might be high for some materials, especially if your base charge rate is already covering a significant portion of your operational costs.
### Monitoring and Adjusting:
Your charge rate and how you handle material costs should not be static. Regularly review your costs, market rates, and customer feedback. Adjust your pricing strategy as needed to remain competitive while ensuring profitability.
**Competitive Analysis**:
Seeing how your $115/hour rate stacks up requires looking at local competition and industry standards in your area. Rates can vary significantly by location, market demand, and the specific services offered. Research local competitors and consider your unique value proposition when setting rates. Networking with peers in industry forums or local business groups can also provide insights into current market rates.</t>
  </si>
  <si>
    <t>Direct Labor Cost</t>
  </si>
  <si>
    <t>Materials Cost</t>
  </si>
  <si>
    <t>Charge Rate=$60×(1+0.30)=$78/hour</t>
  </si>
  <si>
    <t>Overhead Costs</t>
  </si>
  <si>
    <t>Profit Margin</t>
  </si>
  <si>
    <t>Charge Rate</t>
  </si>
  <si>
    <t>To calculate the billable hours for the year, you need to consider several factors, including the number of working days in the year, hours worked per day, and any adjustments for non-billable time (such as administrative tasks, holidays, sick days, and vacation days). Here's a step-by-step approach to figuring out the billable hours for the year:
Determine the Number of Working Days in the Year:
Subtract weekends and holidays from the total days in the year. For example, if there are 365 days in a year, and you subtract weekends (104 days) and holidays (let's say 11 public holidays), you would have:
365
−
104
−
11
=
250
 working days
365−104−11=250 working days
Adjust for Vacation and Sick Days:
Subtract any vacation days and sick days you expect to take. For example, if you plan to take 15 vacation days and have an allowance of 5 sick days, subtract these from the working days:
250
−
15
−
5
=
230
 working days after adjustments
250−15−5=230 working days after adjustments
Calculate Daily Billable Hours:
Determine how many hours per day you work on billable tasks. Let's say you work 8 hours a day but spend 2 hours on non-billable tasks (emails, meetings, breaks), leaving 6 billable hours per day.
Calculate Annual Billable Hours:
Multiply the adjusted number of working days by the daily billable hours to get the total billable hours for the year:
230
 working days
×
6
 billable hours/day
=
1380
 billable hours for the year
230 working days×6 billable hours/day=1380 billable hours for the year
This is a simplified example, and your actual calculation may need adjustments based on your specific work schedule, the nature of your contracts, and your industry standards. It's also important to track actual billable hours using time-tracking software or spreadsheets to compare estimated billable hours with actuals for more accurate planning and billing in the future.</t>
  </si>
  <si>
    <t>Painter Type</t>
  </si>
  <si>
    <t>Hourly</t>
  </si>
  <si>
    <t>8-hour day</t>
  </si>
  <si>
    <t>Bad</t>
  </si>
  <si>
    <t>Good</t>
  </si>
  <si>
    <t>Excellent</t>
  </si>
  <si>
    <t>Average hourly direct labor wage</t>
  </si>
  <si>
    <t>Average paint and sundries (P&amp;S) spend per hour</t>
  </si>
  <si>
    <t>Average overhead cost per hour</t>
  </si>
  <si>
    <t>Painting Standards</t>
  </si>
  <si>
    <t>Prep</t>
  </si>
  <si>
    <t>ln or sq / hr</t>
  </si>
  <si>
    <t>1 Coat</t>
  </si>
  <si>
    <t>2 Coats</t>
  </si>
  <si>
    <t>Power Wash (SqFt)</t>
  </si>
  <si>
    <t>Masking flooring (SqFt)</t>
  </si>
  <si>
    <t>Scrape 1 Side of Board (LnFt)</t>
  </si>
  <si>
    <t>Scrape Surface (SqFt)</t>
  </si>
  <si>
    <t>Tape line (LnFt)</t>
  </si>
  <si>
    <t>Scuff Sand (SqFt)</t>
  </si>
  <si>
    <t>Prep for newly installed baseboards, puttying &amp; caulking  (LnFt)</t>
  </si>
  <si>
    <t>Light Sand (SqFt)</t>
  </si>
  <si>
    <t>Hand cut line same color (Walls to Ceiling only) (LnFt)</t>
  </si>
  <si>
    <t>Heavy Sand (SqFt)</t>
  </si>
  <si>
    <t>Hand cut line change color (Walls to Ceiling only) (LnFt)</t>
  </si>
  <si>
    <t>Priming w/ brush (SqFt)</t>
  </si>
  <si>
    <t>sqft/hr</t>
  </si>
  <si>
    <t>Priming w/ brush (LnFt)</t>
  </si>
  <si>
    <t>Textured Walls same color</t>
  </si>
  <si>
    <t>Scrape, Sand, &amp; Prime (LnFt)</t>
  </si>
  <si>
    <t>Textured Walls change color</t>
  </si>
  <si>
    <t>Scrape, Sand, &amp; Prime 75-100% Peeling (SqFt)</t>
  </si>
  <si>
    <t>Smooth Walls same color</t>
  </si>
  <si>
    <t>Scrape, Sand, &amp; Prime 50-75% Peeling (SqFt)</t>
  </si>
  <si>
    <t>Smooth Walls change color</t>
  </si>
  <si>
    <t>Scrape, Sand, &amp; Prime 25-50% Peeling (SqFt)</t>
  </si>
  <si>
    <t>prime and paint new textured drywall</t>
  </si>
  <si>
    <t>Scrape, Sand, &amp; Prime 25% or less Peeling (SqFt)</t>
  </si>
  <si>
    <t>prime and paint new smoothe drywall</t>
  </si>
  <si>
    <t>Scrape, Sand, &amp; Prime Localized Failure (Hours/#)</t>
  </si>
  <si>
    <t>Caulking a 1 Story home (LnFt)</t>
  </si>
  <si>
    <t>Textured Ceiling same color</t>
  </si>
  <si>
    <t>Caulking a 2 Story home (LnFt)</t>
  </si>
  <si>
    <t>Textured Ceiling change color</t>
  </si>
  <si>
    <t>Caulking the 3rd story of a home (LnFt)</t>
  </si>
  <si>
    <t>Textured Vaulted or &gt; 18ft ceilings same color</t>
  </si>
  <si>
    <t>Body App</t>
  </si>
  <si>
    <t>sqft / hour</t>
  </si>
  <si>
    <t>Textured Vaulted or &gt; 18ft ceilings change color</t>
  </si>
  <si>
    <t>Siding Spray</t>
  </si>
  <si>
    <t>Smooth Ceiling same color</t>
  </si>
  <si>
    <t>Siding Spray w/light backroll</t>
  </si>
  <si>
    <t>Smooth Ceiling Change color</t>
  </si>
  <si>
    <t>Siding Roll</t>
  </si>
  <si>
    <t>Smooth Vaulted or over 18ft ceilings same color</t>
  </si>
  <si>
    <t>Stucco Spray</t>
  </si>
  <si>
    <t>Smooth Vaulted or over 18ft ceilings change color</t>
  </si>
  <si>
    <t>Stucco Spray w/light backroll</t>
  </si>
  <si>
    <t>Popcorn Ceiling same color</t>
  </si>
  <si>
    <t>Stucco Roll</t>
  </si>
  <si>
    <t>Popcorn Ceiling Change color</t>
  </si>
  <si>
    <t>Siding Brush</t>
  </si>
  <si>
    <t>Popcorn Vaulted or over 18ft ceilings same color</t>
  </si>
  <si>
    <t>Stucco Brush</t>
  </si>
  <si>
    <t>Popcorn Vaulted or over 18ft ceilings change color</t>
  </si>
  <si>
    <t>Eave Color</t>
  </si>
  <si>
    <t>lnft / hour</t>
  </si>
  <si>
    <t>Prime and paint new drywall textured Ceilings</t>
  </si>
  <si>
    <t>Eaves Body Color (1st &amp; 2nd story)</t>
  </si>
  <si>
    <t>Prime and paint new drywall textured Ceilings Vaulted or &gt; 18ft</t>
  </si>
  <si>
    <t>Eaves Trim Color (1st &amp; 2nd story)</t>
  </si>
  <si>
    <t>Prime and paint new drywall smoothe Ceilings</t>
  </si>
  <si>
    <t>Eaves Separate Color (1st &amp; 2nd story)</t>
  </si>
  <si>
    <t>Prime and paint new drywall smoothe Ceilings Vaulted or &gt; 18ft</t>
  </si>
  <si>
    <t>3rd Story Eaves body color</t>
  </si>
  <si>
    <t>lnft/hr</t>
  </si>
  <si>
    <t>3rd Story eaves trim color</t>
  </si>
  <si>
    <t>Baseboards same color</t>
  </si>
  <si>
    <t>3rd story eaves separate color</t>
  </si>
  <si>
    <t>Baseboards change color</t>
  </si>
  <si>
    <t>Fascia</t>
  </si>
  <si>
    <t>Baseboards change stain to paint</t>
  </si>
  <si>
    <t>Fascia on 1 story home</t>
  </si>
  <si>
    <t>New Baseboards (never been painted)</t>
  </si>
  <si>
    <t>Fascia on 2 story home</t>
  </si>
  <si>
    <t>Hours / Unit</t>
  </si>
  <si>
    <t>3rd story fascia</t>
  </si>
  <si>
    <t>Doors 1 side</t>
  </si>
  <si>
    <t>Other trim</t>
  </si>
  <si>
    <t>Doors both sides</t>
  </si>
  <si>
    <t>Other trim on 1 story home</t>
  </si>
  <si>
    <t>Closet Doors 1 side</t>
  </si>
  <si>
    <t>Other trim on 2+ story home</t>
  </si>
  <si>
    <t>Closet Doors both sides</t>
  </si>
  <si>
    <t>Downspouts/posts with 3-4 sides</t>
  </si>
  <si>
    <t>Commercial Steel Doors 1 side</t>
  </si>
  <si>
    <t>3D trim</t>
  </si>
  <si>
    <t>Commercial Steel Doors both sides</t>
  </si>
  <si>
    <t>Tudor trim facing</t>
  </si>
  <si>
    <t>Same Color Doors 1 side</t>
  </si>
  <si>
    <t>tudor trim 3D</t>
  </si>
  <si>
    <t>Same Color Doors both sides</t>
  </si>
  <si>
    <t>Windows</t>
  </si>
  <si>
    <t>Same Color Closet Doors 1 side</t>
  </si>
  <si>
    <t>Window Vinly with no trim</t>
  </si>
  <si>
    <t>Same Color Closet Doors both sides</t>
  </si>
  <si>
    <t>Windows Wood with no trim (Body Color)</t>
  </si>
  <si>
    <t>Same Color Commercial Steel Doors 1 side</t>
  </si>
  <si>
    <t>Windows Vinly with trim</t>
  </si>
  <si>
    <t>Same Color Commercial Steel Doors both sides</t>
  </si>
  <si>
    <t>Windows Wood that don't open</t>
  </si>
  <si>
    <t>Stain to paint Doors 1 side</t>
  </si>
  <si>
    <t>Windows Wood that open</t>
  </si>
  <si>
    <t>Stain to paint Doors both sides</t>
  </si>
  <si>
    <t>Windows 3D Vinyl</t>
  </si>
  <si>
    <t>Stain to paint Closet Doors 1 side</t>
  </si>
  <si>
    <t>Windows 3D Wood that don't open</t>
  </si>
  <si>
    <t>Stain to paint Closet Doors both sides</t>
  </si>
  <si>
    <t>Windows 3D Wood that open</t>
  </si>
  <si>
    <t>Door Frames</t>
  </si>
  <si>
    <t>Windows 2 tone wood that don't open</t>
  </si>
  <si>
    <t>DF door 1 side</t>
  </si>
  <si>
    <t>Windows 2 tone wood that open</t>
  </si>
  <si>
    <t>DF door both sides</t>
  </si>
  <si>
    <t>Windows 3D 2 tone wood that don't open</t>
  </si>
  <si>
    <t>DF Closet 1 side</t>
  </si>
  <si>
    <t>Windows 3D 2 tone wood that open</t>
  </si>
  <si>
    <t>DF Closet both sides</t>
  </si>
  <si>
    <t>DF Commercial Steel 1 side</t>
  </si>
  <si>
    <t>Door Body Color with no trim</t>
  </si>
  <si>
    <t>DF Commercial Steel both sides</t>
  </si>
  <si>
    <t>Door Body Color with Trim</t>
  </si>
  <si>
    <t>DF Door Same Color 1 side</t>
  </si>
  <si>
    <t>Door Trim Color with no trim</t>
  </si>
  <si>
    <t>DF door Same Color both sides</t>
  </si>
  <si>
    <t>Door Trim Color with Trim</t>
  </si>
  <si>
    <t>DF Same Color Closet 1 side</t>
  </si>
  <si>
    <t>Door Accent Color with no trim</t>
  </si>
  <si>
    <t>DF Same Color Closet both sides</t>
  </si>
  <si>
    <t>Door Accent Color with Trim</t>
  </si>
  <si>
    <t>DF Same Color Commercial Steel 1 side</t>
  </si>
  <si>
    <t>Door Stained to painted with no trim</t>
  </si>
  <si>
    <t>DF Same Color Commercial Steel both sides</t>
  </si>
  <si>
    <t>Door Stained to painted with trim</t>
  </si>
  <si>
    <t>DF Stain to paint door 1 side</t>
  </si>
  <si>
    <t>Sidlights</t>
  </si>
  <si>
    <t>DF Stain to paint door both sides</t>
  </si>
  <si>
    <t>Sidelight Body Color with no trim</t>
  </si>
  <si>
    <t>DF Stain to paint Closet 1 side</t>
  </si>
  <si>
    <t>Sidelight Body Color with Trim</t>
  </si>
  <si>
    <t>DF Stain to paint Closet both sides</t>
  </si>
  <si>
    <t>Sidelight Trim Color with no trim</t>
  </si>
  <si>
    <t>Sidelight Trim Color with Trim</t>
  </si>
  <si>
    <t>Vinyl Window with no trim</t>
  </si>
  <si>
    <t>Sidelight Accent Color with no trim</t>
  </si>
  <si>
    <t>Vinyl Window w/ Sill Trim (1 sides)</t>
  </si>
  <si>
    <t>Sidelight Accent Color with Trim</t>
  </si>
  <si>
    <t>Vinyl Window w/ Trim (4 sides)</t>
  </si>
  <si>
    <t>Sidelight Stained to painted with no trim</t>
  </si>
  <si>
    <t>Wood Window with no trim</t>
  </si>
  <si>
    <t>Sidelight Stained to painted with trim</t>
  </si>
  <si>
    <t>Wood Window that does not open</t>
  </si>
  <si>
    <t>Garage Doors</t>
  </si>
  <si>
    <t>Wood Window that opens</t>
  </si>
  <si>
    <t>Single Garage Body Color</t>
  </si>
  <si>
    <t>Single Garage Body Color with windows</t>
  </si>
  <si>
    <t>Windows 2 tone wood that opens</t>
  </si>
  <si>
    <t>Single Garage Trim/accent Color</t>
  </si>
  <si>
    <t>Same Color Vinyl Window with no trim</t>
  </si>
  <si>
    <t>Single Garage Trim/accent with windows</t>
  </si>
  <si>
    <t>Same Color Vinyl Window w/ Sill Trim (1 sides)</t>
  </si>
  <si>
    <t>Double Garage Body Color</t>
  </si>
  <si>
    <t>Same Color Vinyl Window w/ Trim (4 sides)</t>
  </si>
  <si>
    <t>Double Garage Body Color with windows</t>
  </si>
  <si>
    <t>Same Color Wood Window with no trim</t>
  </si>
  <si>
    <t>Double Garage Trim/accent Color</t>
  </si>
  <si>
    <t>Same Color Wood Window that does not open</t>
  </si>
  <si>
    <t>Double Garage Trim/accent with windows</t>
  </si>
  <si>
    <t>Same Color Wood Window that opens</t>
  </si>
  <si>
    <t>Railing</t>
  </si>
  <si>
    <t>Same Color Windows 2 tone wood that don't open</t>
  </si>
  <si>
    <t>railings 1 color</t>
  </si>
  <si>
    <t>Same Color Windows 2 tone wood that opens</t>
  </si>
  <si>
    <t>railings 2 colors easy</t>
  </si>
  <si>
    <t>Stain to paint Vinyl Window w/ Sill Trim (1 sides)</t>
  </si>
  <si>
    <t>Railings 2 color hard</t>
  </si>
  <si>
    <t>Stain to paint Vinyl Window w/ Trim (4 sides)</t>
  </si>
  <si>
    <t>Shutters</t>
  </si>
  <si>
    <t>Stain to paint Wood Window with no trim</t>
  </si>
  <si>
    <t>Shutter reachable from ground/roof</t>
  </si>
  <si>
    <t>Stain to paint Wood Window that does not open</t>
  </si>
  <si>
    <t>Shutters only reachable by ladder</t>
  </si>
  <si>
    <t>Stain to paint Wood Window that opens</t>
  </si>
  <si>
    <r>
      <rPr>
        <sz val="10"/>
        <color rgb="FFFFFFFF"/>
        <rFont val="Montserrat"/>
        <charset val="134"/>
      </rPr>
      <t xml:space="preserve">Decks - </t>
    </r>
    <r>
      <rPr>
        <b/>
        <sz val="10"/>
        <color rgb="FFFFFFFF"/>
        <rFont val="Montserrat"/>
        <charset val="134"/>
      </rPr>
      <t>For Solid Color Staining Only</t>
    </r>
  </si>
  <si>
    <t>sqft or # / hour</t>
  </si>
  <si>
    <t>Stain to paint Windows 2 tone wood that don't open</t>
  </si>
  <si>
    <t>Deck Surface area (Solid Stain) (SqFt)</t>
  </si>
  <si>
    <t>Stain to paint Windows 2 tone wood that opens</t>
  </si>
  <si>
    <t>Stairs (Solid Stain) (#)</t>
  </si>
  <si>
    <t>Miscellanous Linear footage</t>
  </si>
  <si>
    <r>
      <rPr>
        <sz val="10"/>
        <color rgb="FFFFFFFF"/>
        <rFont val="Montserrat"/>
        <charset val="134"/>
      </rPr>
      <t xml:space="preserve">Fencing - </t>
    </r>
    <r>
      <rPr>
        <b/>
        <sz val="10"/>
        <color rgb="FFFFFFFF"/>
        <rFont val="Montserrat"/>
        <charset val="134"/>
      </rPr>
      <t>For Solid Color Staining Only</t>
    </r>
  </si>
  <si>
    <t>Other linear foot of trim same color</t>
  </si>
  <si>
    <t>Spraying Fence Flat Side (Solid Stain)</t>
  </si>
  <si>
    <t>Other linear foot of trim Change color</t>
  </si>
  <si>
    <t>Spraying Fence side with beams (Solid Stain)</t>
  </si>
  <si>
    <t>Other Linear foot of trim stain to paint</t>
  </si>
  <si>
    <t>Brush/Roll fence Flat side (Solid Stain)</t>
  </si>
  <si>
    <t>Accent walls line cutting</t>
  </si>
  <si>
    <t>Brush/Roll Fence Side with beams (Solid Stain)</t>
  </si>
  <si>
    <t>Painted Railings</t>
  </si>
  <si>
    <t>These are standards I use. I assume no liability. Use at your own risk.</t>
  </si>
  <si>
    <t>www.prosperitypaintingconsultants.com</t>
  </si>
  <si>
    <t xml:space="preserve">Production Per 
Hour Requried </t>
  </si>
  <si>
    <t xml:space="preserve">Unit Type </t>
  </si>
  <si>
    <t>Allowed</t>
  </si>
  <si>
    <t>Production Rates by SQFT</t>
  </si>
  <si>
    <t>Rate Per Hr</t>
  </si>
  <si>
    <t>Labour Cost 
Per Item</t>
  </si>
  <si>
    <t>Cost Per Drum</t>
  </si>
  <si>
    <t>Cost Per Litre</t>
  </si>
  <si>
    <t>Spread Rate</t>
  </si>
  <si>
    <t>Material Cost
 Per x # Coats</t>
  </si>
  <si>
    <t>Labour + 
Materials</t>
  </si>
  <si>
    <t xml:space="preserve">Mark Up </t>
  </si>
  <si>
    <t xml:space="preserve">Rate Per Unit </t>
  </si>
  <si>
    <t>Round Up 
Per Unit</t>
  </si>
  <si>
    <t>Balustarde</t>
  </si>
  <si>
    <t>Balustrade - Metal</t>
  </si>
  <si>
    <t>Linel Meters</t>
  </si>
  <si>
    <t>Balustrade - Timber</t>
  </si>
  <si>
    <t xml:space="preserve">Ceilings </t>
  </si>
  <si>
    <t>Ceiling - Asbestos</t>
  </si>
  <si>
    <t>Square Meters</t>
  </si>
  <si>
    <t>Ceiling - Batten Cover Strip</t>
  </si>
  <si>
    <t>Ceiling - Mould / Water Damage</t>
  </si>
  <si>
    <t>Ceiling - Plasterboard</t>
  </si>
  <si>
    <t>Ceiling - Plasterboard (One Coat Option)</t>
  </si>
  <si>
    <t>Ceiling - Plasterboard (Problem Ceiling)</t>
  </si>
  <si>
    <t>Ceiling - Textured</t>
  </si>
  <si>
    <t>Ceilings - Vertical Groove</t>
  </si>
  <si>
    <t>Colour Selection</t>
  </si>
  <si>
    <t>Colour Section - Provided By Client</t>
  </si>
  <si>
    <t>Colour Selection - Design Consultation</t>
  </si>
  <si>
    <t>Colour Selection - Digital Rendering. - Upgrade</t>
  </si>
  <si>
    <t>Colour Selection - Painter Match Onsite</t>
  </si>
  <si>
    <t xml:space="preserve">Doors &amp; Frames </t>
  </si>
  <si>
    <t>Door - Colonial - Oil Based Enamel</t>
  </si>
  <si>
    <t>Door - Colonial - Water Based Enamel</t>
  </si>
  <si>
    <t>Door - Garage - Water Based Enamel</t>
  </si>
  <si>
    <t>Door - Metal - Oil Based Enamel</t>
  </si>
  <si>
    <t>Door - Standard - Oil Based Enamel</t>
  </si>
  <si>
    <t>Door - Standard - Water Based Enamel</t>
  </si>
  <si>
    <t>Door Frame - Colonial - Oil Based Enamel</t>
  </si>
  <si>
    <t>Door Frame - Colonial - Water Based Enamel</t>
  </si>
  <si>
    <t>Door Frame - Standard - Oil Based Enamel</t>
  </si>
  <si>
    <t>Fretwork - Colonial - Water Based Enamel</t>
  </si>
  <si>
    <t>Fretwork - Colonial - Oil Based Enamel</t>
  </si>
  <si>
    <t>Door Frame - Standard - Water Based Enamel</t>
  </si>
  <si>
    <t xml:space="preserve">Flooring </t>
  </si>
  <si>
    <t>Floor - Concrete - Epoxy</t>
  </si>
  <si>
    <t>Floor - Timber Deck - Painted</t>
  </si>
  <si>
    <t>Floor - Timber Deck - Recoating</t>
  </si>
  <si>
    <t>Floor - Timber Deck - Restoration</t>
  </si>
  <si>
    <t>Downpipes</t>
  </si>
  <si>
    <t>Downpipes - Metal</t>
  </si>
  <si>
    <t>Downpipes - PVC</t>
  </si>
  <si>
    <t>Lead Paint</t>
  </si>
  <si>
    <t>Lead Paint - Abatement - Chemical Paint Removal</t>
  </si>
  <si>
    <t>Lead Paint - Chemical Removal Test Patch</t>
  </si>
  <si>
    <t>Lead Paint - Pre Testing &amp; Clearance Testing</t>
  </si>
  <si>
    <t>Lead Paint Treatment - Stabilization</t>
  </si>
  <si>
    <t>Roof - Metal</t>
  </si>
  <si>
    <t>Roof - Tile</t>
  </si>
  <si>
    <t xml:space="preserve">Natural Timber </t>
  </si>
  <si>
    <t>Natural Timber - Clear Varnish</t>
  </si>
  <si>
    <t>TBA</t>
  </si>
  <si>
    <t>Natural Timber - Door &amp; Frame</t>
  </si>
  <si>
    <t>Natural Timber - Post &amp; Handrails</t>
  </si>
  <si>
    <t>Natural Timber - Window</t>
  </si>
  <si>
    <t>Pressure Wash - Building</t>
  </si>
  <si>
    <t>Pressure Wash - Floors</t>
  </si>
  <si>
    <t>Pressure Wash - House</t>
  </si>
  <si>
    <t>Pressure Wash - Roofing</t>
  </si>
  <si>
    <t>Soft Wash - House</t>
  </si>
  <si>
    <t xml:space="preserve">Skirting Boards </t>
  </si>
  <si>
    <t>Skirting Boards - Colonial - Oil Based Enamel</t>
  </si>
  <si>
    <t>Skirting Boards - Colonial - Water Based Enamel</t>
  </si>
  <si>
    <t>Skirting Boards - Standard  - Water Based Enamel</t>
  </si>
  <si>
    <t>Skirting Boards - Standard - Oil Based Enamel</t>
  </si>
  <si>
    <t xml:space="preserve">Walls </t>
  </si>
  <si>
    <t>Wall - Asbestos Sheeting</t>
  </si>
  <si>
    <t>Wall - Batten Cover Strip</t>
  </si>
  <si>
    <t>Wall - Fibre Cement Sheeting</t>
  </si>
  <si>
    <t>Wall - Heavy Surface Preparation</t>
  </si>
  <si>
    <t>Wall - Interior Priming</t>
  </si>
  <si>
    <t>Wall - Metal</t>
  </si>
  <si>
    <t>Wall - Patch Repairs</t>
  </si>
  <si>
    <t>Wall - Plasterboard</t>
  </si>
  <si>
    <t>Wall - Plasterboard (One Coat Option)</t>
  </si>
  <si>
    <t>Wall - Render</t>
  </si>
  <si>
    <t>Wall - Vertical Groove</t>
  </si>
  <si>
    <t>Wall - Wallpaper Removal</t>
  </si>
  <si>
    <t>Wall - Weatherboard</t>
  </si>
  <si>
    <t>Walls - Brick / Block</t>
  </si>
  <si>
    <t xml:space="preserve">Windows </t>
  </si>
  <si>
    <t>Window - Casement - Heavy Preparation</t>
  </si>
  <si>
    <t>Window - Casement - Multi Panel - Oil Based Enamel</t>
  </si>
  <si>
    <t>Window - Casement - Multi Panel - Water Based Enamel</t>
  </si>
  <si>
    <t>Window - Casement - Single Panel - Oil Based Enamel</t>
  </si>
  <si>
    <t>Window - Casement- Single Panel - Water Based Enamel</t>
  </si>
  <si>
    <t>Window - Frame - Colonial - Oil Based Enamel</t>
  </si>
  <si>
    <t>Window - Frame - Standard - Oil Based Enamel</t>
  </si>
  <si>
    <t>Window - Sash - Heavy Preparation</t>
  </si>
  <si>
    <t>Window - Sash - Multi Panel - Oil Based Enamel</t>
  </si>
  <si>
    <t>Window - Sash - Multi Panel - Water Based Enamel</t>
  </si>
  <si>
    <t>Window - Sash - Single Panel - Oil Based Enamel</t>
  </si>
  <si>
    <t>Window - Sash - Single Panel - Water Based Enamel</t>
  </si>
  <si>
    <t>Soffits</t>
  </si>
  <si>
    <t>Soffits - Asbestos Sheeting</t>
  </si>
  <si>
    <t>Soffits - Fibre Cement</t>
  </si>
  <si>
    <t>Soffits - Timber Rafters</t>
  </si>
  <si>
    <t>Soffits - Underside Deck</t>
  </si>
  <si>
    <t>Soffits - Vertical Groove</t>
  </si>
  <si>
    <t xml:space="preserve">Window Awning </t>
  </si>
  <si>
    <t>Window Awning - Metal</t>
  </si>
  <si>
    <t>Window Awning - Timber</t>
  </si>
  <si>
    <t>Discount Offers</t>
  </si>
  <si>
    <t>10% Christmas Grinch Discount</t>
  </si>
  <si>
    <t>10% End of Calendar Month Discount</t>
  </si>
  <si>
    <t>10% June 30th Discount</t>
  </si>
  <si>
    <t>5% Booking Discount</t>
  </si>
  <si>
    <t>5% Combine Discount</t>
  </si>
  <si>
    <t>5% Extended Calendar Discount</t>
  </si>
  <si>
    <t>5% True Hero’s Discount</t>
  </si>
  <si>
    <t>Upgrade Offers</t>
  </si>
  <si>
    <t>Heat Reflective Paint Upgrade For Roof Surfaces</t>
  </si>
  <si>
    <t>Highly Durable Paint Upgrade For Masonry Surfaces</t>
  </si>
  <si>
    <t>Tough &amp; Durable Upgrade for Exterior Surfaces</t>
  </si>
  <si>
    <t>Highly Durable Paint Upgrade For Roof Surfaces</t>
  </si>
  <si>
    <t>Low Smell Paint Upgrade for Doors, Frames, and Trims</t>
  </si>
  <si>
    <t>Highly Washable Paint Upgrade For Interior Walls</t>
  </si>
  <si>
    <t>Anti-Mould Paint Upgrade for Bathrooms &amp; Wet Areas</t>
  </si>
  <si>
    <t>Misc Items</t>
  </si>
  <si>
    <t>Bedroom Painting</t>
  </si>
  <si>
    <t>Job Site Clean Up</t>
  </si>
  <si>
    <t>Carpet Replacement</t>
  </si>
  <si>
    <t>Interior Of Cupboards</t>
  </si>
  <si>
    <t>Face Filling</t>
  </si>
  <si>
    <t>Metal Epoxy System</t>
  </si>
  <si>
    <t>Plaster Repairs</t>
  </si>
  <si>
    <t>Kitchen Cabinets</t>
  </si>
  <si>
    <t>Paint Removal - Mechanical - Non Hazardous</t>
  </si>
  <si>
    <t>Gap Filling</t>
  </si>
  <si>
    <t>Pergola</t>
  </si>
  <si>
    <t>Carport</t>
  </si>
  <si>
    <t>Gables</t>
  </si>
  <si>
    <t>Fascia &amp; Gutters</t>
  </si>
  <si>
    <t>Gutters</t>
  </si>
  <si>
    <t>Fascia Only</t>
  </si>
  <si>
    <t>Fascia &amp; Gutter</t>
  </si>
  <si>
    <t>Privacy</t>
  </si>
  <si>
    <t>Privacy - Lattice</t>
  </si>
  <si>
    <t>Privacy - Timber Fence</t>
  </si>
  <si>
    <t>Privacy - Timber Palings</t>
  </si>
  <si>
    <t>Privacy - Timber Screening</t>
  </si>
  <si>
    <t>Privacy Screen - Metal</t>
  </si>
  <si>
    <t>Staircase</t>
  </si>
  <si>
    <t>Staircase - Exterior</t>
  </si>
  <si>
    <t>Staircase - Interior - Oil Based Enamel</t>
  </si>
  <si>
    <t>Staircase - Interior - Water Based Enamel</t>
  </si>
  <si>
    <t xml:space="preserve">Supply </t>
  </si>
  <si>
    <t>Interior/Exterior/Quote Types</t>
  </si>
  <si>
    <t>Rate Label</t>
  </si>
  <si>
    <t>Rate Type</t>
  </si>
  <si>
    <t>1 Coats</t>
  </si>
  <si>
    <t>3 Coats</t>
  </si>
  <si>
    <t>8 ft Walls</t>
  </si>
  <si>
    <t>sqft (walls)/hour</t>
  </si>
  <si>
    <t>2 Story Walls</t>
  </si>
  <si>
    <t>Ceiling</t>
  </si>
  <si>
    <t>sqft (ceiling)/hour</t>
  </si>
  <si>
    <t>2 Story Ceiling</t>
  </si>
  <si>
    <t>Trim</t>
  </si>
  <si>
    <t>Radiators</t>
  </si>
  <si>
    <t>items/hour</t>
  </si>
  <si>
    <t>Chair Rail</t>
  </si>
  <si>
    <t>lnft/hour</t>
  </si>
  <si>
    <t>Crown Molding</t>
  </si>
  <si>
    <t>Dental Crown</t>
  </si>
  <si>
    <t>Door Frame (1 side)</t>
  </si>
  <si>
    <t>6 Panel Door (1 Side)</t>
  </si>
  <si>
    <t>Door &amp; Frame (1 side)</t>
  </si>
  <si>
    <t>Door &amp; Frame</t>
  </si>
  <si>
    <t>Window Frame Only</t>
  </si>
  <si>
    <t>Window Frame</t>
  </si>
  <si>
    <t xml:space="preserve">Small Window </t>
  </si>
  <si>
    <t>Large Window</t>
  </si>
  <si>
    <t>Siding</t>
  </si>
  <si>
    <t>Brick</t>
  </si>
  <si>
    <t>6x1 Windows</t>
  </si>
  <si>
    <t>Window Sashes and Frames</t>
  </si>
  <si>
    <t>Window Frames Only</t>
  </si>
  <si>
    <t>Window Frames</t>
  </si>
  <si>
    <t>Exterior Trim</t>
  </si>
  <si>
    <t>Cupola</t>
  </si>
  <si>
    <t>Columns</t>
  </si>
  <si>
    <t>Soffits and Fascia</t>
  </si>
  <si>
    <t>Shutter  Hardware (different color)</t>
  </si>
  <si>
    <t>Vinyl Louvered</t>
  </si>
  <si>
    <t>Vinyl Shutters</t>
  </si>
  <si>
    <t>Vinyl Panel</t>
  </si>
  <si>
    <t>Wood Shutters</t>
  </si>
  <si>
    <t>Front Door Unit</t>
  </si>
  <si>
    <t>Doors (1 side)</t>
  </si>
  <si>
    <t>French Door (15 lite)</t>
  </si>
  <si>
    <t>Garage (1 Car)</t>
  </si>
  <si>
    <t>Garage (2 Car)</t>
  </si>
  <si>
    <t>Power Wash</t>
  </si>
  <si>
    <t>Power Wash Home</t>
  </si>
  <si>
    <t>Power wash</t>
  </si>
  <si>
    <t>hours</t>
  </si>
  <si>
    <t>Deck Surface</t>
  </si>
  <si>
    <t>sqft (floor)/hour</t>
  </si>
  <si>
    <t>Railings</t>
  </si>
  <si>
    <t>1 - Ultra Premium</t>
  </si>
  <si>
    <t>Comparison</t>
  </si>
  <si>
    <t>Product</t>
  </si>
  <si>
    <t xml:space="preserve">Size </t>
  </si>
  <si>
    <t>Manufacturer</t>
  </si>
  <si>
    <t>PPG</t>
  </si>
  <si>
    <t>2 - Premium</t>
  </si>
  <si>
    <t>3 - Premium</t>
  </si>
  <si>
    <t>4 - Premium</t>
  </si>
  <si>
    <t>PPG acrisheild max</t>
  </si>
  <si>
    <t>Resilience</t>
  </si>
  <si>
    <t>Our Price</t>
  </si>
  <si>
    <t>Stated</t>
  </si>
  <si>
    <t>Interior/Exterior</t>
  </si>
  <si>
    <t>2-coat average</t>
  </si>
  <si>
    <t>2nd Coat efficiency%</t>
  </si>
  <si>
    <t>BM Regal Select Interior Paint - Pearl 550</t>
  </si>
  <si>
    <t>Gables &amp; Grove Painting N6241X-005 BEN INT MATTE - BASE 1 5GAL 189.95</t>
  </si>
  <si>
    <t>BM Regal Select Moorguard Exterior Paint - Low Lustre</t>
  </si>
  <si>
    <t>Gables &amp; Grove Painting N6261X-005 BEN INT EGGSHELL - BASE 1 5GAL 189.95</t>
  </si>
  <si>
    <t>BM Ultra Spec Exterior Paint - Flat</t>
  </si>
  <si>
    <t>Gables &amp; Grove Painting 07921X001 ADVANCE WB SATIN -BASE 1 1GAL 52.95</t>
  </si>
  <si>
    <t>Aura Grand Entrance</t>
  </si>
  <si>
    <t>BM Aura Grand Entrance - High Gloss</t>
  </si>
  <si>
    <t>Gables &amp; Grove Painting 07921X005 ADVANCE WB SATIN -BASE 1 5GAL 260</t>
  </si>
  <si>
    <t>BM Scuff-X Interior - Satin</t>
  </si>
  <si>
    <t>Gables &amp; Grove Painting 03591X005 US MSRY ELAST FLAT -BASE 1 5GAL 150</t>
  </si>
  <si>
    <t xml:space="preserve">Aura  </t>
  </si>
  <si>
    <t>BM Aura Waterborne Interior Paint &amp; Primer - Matte</t>
  </si>
  <si>
    <t>Gables &amp; Grove Painting SXA110099-01 STIX PRIMER 1GAL 59.95</t>
  </si>
  <si>
    <t>BM Aura Waterborne Interior Paint &amp; Primer - Eggshell</t>
  </si>
  <si>
    <t>Gables &amp; Grove Painting SXA110099-05 STIX PRIMER 5GAL 289.95</t>
  </si>
  <si>
    <t>BM Aura Waterborne Interior Paint &amp; Primer - Satin</t>
  </si>
  <si>
    <t>Gables &amp; Grove Painting N4001X005 REGAL SELECT EXT FLAT-BASE 1 5GAL 260</t>
  </si>
  <si>
    <t>BM Aura Waterborne Interior Paint &amp; Primer - Semi-gloss</t>
  </si>
  <si>
    <t>Semi-gloss</t>
  </si>
  <si>
    <t>Gables &amp; Grove Painting W1031X005 REGAL EXT MOORGARD -PASTEL BSE 5GAL 310</t>
  </si>
  <si>
    <t>ben</t>
  </si>
  <si>
    <t>BM ben Premium Interior Paint &amp; Primer - Matte</t>
  </si>
  <si>
    <t>Gables &amp; Grove Painting W1051X005 REGAL EXT MOORLIFE -PASTEL BSE 5GAL 260</t>
  </si>
  <si>
    <t>BM ben Premium Interior Paint &amp; Primer - Eggshell</t>
  </si>
  <si>
    <t>Gables &amp; Grove Painting 05471X005 REGAL SELECT FLAT -BASE 1 5GAL 240</t>
  </si>
  <si>
    <t>BM ben Premium Interior Paint &amp; Primer - Semi-gloss</t>
  </si>
  <si>
    <t>Gables &amp; Grove Painting 05481X005 REGAL SELECT MATTE -BASE 1 5GAL 270</t>
  </si>
  <si>
    <t>BM ben Premium Interior Paint &amp; Primer - Satin/Pearl</t>
  </si>
  <si>
    <t>Gables &amp; Grove Painting 05491X005 REGAL SELECT EGGSHL-BASE 1 5GAL 270</t>
  </si>
  <si>
    <t>BM Aura Waterborne Interior Paint &amp; Primer - Flat</t>
  </si>
  <si>
    <t>Gables &amp; Grove Painting N4551X005 ULTRA SPEC EXT LO LUS FIN BASE 5GAL 150</t>
  </si>
  <si>
    <t>Gables &amp; Grove Painting 050809005 WATERBORNE CEILING -CEILING WH 5GAL 195</t>
  </si>
  <si>
    <t>BM Aura Waterborne Interior Paint &amp; Primer - Low Lustre</t>
  </si>
  <si>
    <t>Gables &amp; Grove Painting 05081X005 WATERBORNE CEILING -BASE 1 5GAL 195</t>
  </si>
  <si>
    <t>Gables &amp; Grove Painting T5351X005 ULTRA SPEC 500 FLAT - Base 1 5GAL 125</t>
  </si>
  <si>
    <t>Gables &amp; Grove Painting T5371X-005 ULTRA SPEC INT LS - BASE 1 5GAL 150</t>
  </si>
  <si>
    <t>Gables &amp; Grove Painting T5381X005 ULTRA SPEC INT EGG - BASE 1 5GAL 150</t>
  </si>
  <si>
    <t>Gables &amp; Grove Painting T5451X-005 ULTRA SPEC 500 SATIN/PEARL - BASE 1 5GAL 150</t>
  </si>
  <si>
    <t>Gables &amp; Grove Painting T5461X-005 ULTRA SPEC 500 SEMI-GLOSS - BASE 1 5GAL 160</t>
  </si>
  <si>
    <t>STATUS</t>
  </si>
  <si>
    <t>CREW LABOR</t>
  </si>
  <si>
    <t>MATERIALS</t>
  </si>
  <si>
    <t>L&amp;M</t>
  </si>
  <si>
    <t xml:space="preserve">EXAMPLE  </t>
  </si>
  <si>
    <t>Done?</t>
  </si>
  <si>
    <t>Use</t>
  </si>
  <si>
    <t>Req PR Field Test?</t>
  </si>
  <si>
    <t>Desc Compl in SQ?</t>
  </si>
  <si>
    <t>Calc Compl in SQ?</t>
  </si>
  <si>
    <t>Item Description</t>
  </si>
  <si>
    <t>Method</t>
  </si>
  <si>
    <t>Substrate</t>
  </si>
  <si>
    <t>Include Setup?</t>
  </si>
  <si>
    <t>Include Prep?</t>
  </si>
  <si>
    <t>Coat</t>
  </si>
  <si>
    <t>Labor Unit</t>
  </si>
  <si>
    <t>Hrs/Unit</t>
  </si>
  <si>
    <t>Units/Hr</t>
  </si>
  <si>
    <t>PCA Coat 1 Low</t>
  </si>
  <si>
    <t>PCA Coat 1 Hi</t>
  </si>
  <si>
    <t>PCA Coat 1 Avg</t>
  </si>
  <si>
    <t>PCA Coat 2 Low</t>
  </si>
  <si>
    <t>PCA Coat 2 Hi</t>
  </si>
  <si>
    <t>PCA Coat 2 Avg</t>
  </si>
  <si>
    <t>PCA PR</t>
  </si>
  <si>
    <t>PCA PR AVG TOTAL</t>
  </si>
  <si>
    <t>Our GG Crew Labor Production Rate (CLPR)</t>
  </si>
  <si>
    <t>Our Employee Labor Production Rate (ELPR)</t>
  </si>
  <si>
    <t>"That's ..." (ELPR)</t>
  </si>
  <si>
    <t>PS Charge Rate</t>
  </si>
  <si>
    <t>Labor Price (Sub)</t>
  </si>
  <si>
    <t>Labor Markup</t>
  </si>
  <si>
    <t>Labor Price (Cust)</t>
  </si>
  <si>
    <t>Material Name</t>
  </si>
  <si>
    <t>Material Unit</t>
  </si>
  <si>
    <t>Manuf. MPR</t>
  </si>
  <si>
    <t>Material Production Rate (MPR)</t>
  </si>
  <si>
    <t>"That's ..." (MPR)</t>
  </si>
  <si>
    <t>Retail Cost/ 1 Unit of Material</t>
  </si>
  <si>
    <t>Our Cost/ 1 Unit of Material</t>
  </si>
  <si>
    <t>PS Cost/ 1 Unit of Material</t>
  </si>
  <si>
    <t>Material Units Needed/ Labor Unit</t>
  </si>
  <si>
    <t>Our Material Cost (Rounded Up) 
*if by HR!</t>
  </si>
  <si>
    <t>Sumo Material Cost (Rounded Up) 
*if by HR!</t>
  </si>
  <si>
    <t>SQ L&amp;M M/U</t>
  </si>
  <si>
    <t>Material Price (Cust) Retail Price, incl. Markup</t>
  </si>
  <si>
    <t>Material Price (Cust) Our Price, incl. Markup</t>
  </si>
  <si>
    <t>Material Price (Cust) SQ Price, incl. Markup</t>
  </si>
  <si>
    <t>Sundries Cost (5% of Material Retail Cost)</t>
  </si>
  <si>
    <t>Material/
Calculation Notes</t>
  </si>
  <si>
    <t xml:space="preserve">Cost of L+M to Cust (Mat Retail Price)
</t>
  </si>
  <si>
    <t xml:space="preserve">Cost of L+M to Cust (Mat Our Price)
</t>
  </si>
  <si>
    <t xml:space="preserve">Cost of L+M to Cust (Mat SQ Price)
</t>
  </si>
  <si>
    <t>Example Surface Description</t>
  </si>
  <si>
    <t>Dimensions/ Quantity</t>
  </si>
  <si>
    <t>Material Cost To Customer</t>
  </si>
  <si>
    <t>Actual Material Cost</t>
  </si>
  <si>
    <t>Material Pay To Sub</t>
  </si>
  <si>
    <t>Labor Cost to Customer</t>
  </si>
  <si>
    <t>Man Hours</t>
  </si>
  <si>
    <t>Actual Labor Cost</t>
  </si>
  <si>
    <t>Labor Pay To Sub</t>
  </si>
  <si>
    <t>Total Pay To Sub</t>
  </si>
  <si>
    <t>Total Cost To Customer</t>
  </si>
  <si>
    <t>Margin</t>
  </si>
  <si>
    <t>Gross Profit after L&amp;M</t>
  </si>
  <si>
    <t>Labor Profit</t>
  </si>
  <si>
    <t>Material Profit</t>
  </si>
  <si>
    <t>PRIMER</t>
  </si>
  <si>
    <t>🏡 REP Roll Primer Coat [Smooth Stucco]</t>
  </si>
  <si>
    <t>One (1) coat of elastomeric primer on smooth stucco, using Sherwin Williams LOXON Concrete &amp; Masonry Primer/Sealer
• Method of application: roll
• Price includes time for setup, prep, and Loxon primer product</t>
  </si>
  <si>
    <t>Smooth Stucco</t>
  </si>
  <si>
    <t>SF</t>
  </si>
  <si>
    <t>275 SF/HR</t>
  </si>
  <si>
    <t>SW Loxon Concrete and Masonry Primer-Sealer</t>
  </si>
  <si>
    <t>GA</t>
  </si>
  <si>
    <t>350 SF/GA</t>
  </si>
  <si>
    <t>Prime 2000 SF exterior walls (60'x40' 1-story home)</t>
  </si>
  <si>
    <t>🏡 REP Roll Primer Coat [Textured Stucco]</t>
  </si>
  <si>
    <t>One (1) coat of elastomeric primer on textured stucco, using Sherwin Williams LOXON Concrete &amp; Masonry Primer/Sealer
• Method of application: roll
• Price includes time for setup, prep, and Loxon primer product</t>
  </si>
  <si>
    <t>Textured Stucco</t>
  </si>
  <si>
    <t>225 SF/HR</t>
  </si>
  <si>
    <t>300 SF/GA</t>
  </si>
  <si>
    <t>🏡 REP Spray Primer Coat [Smooth Stucco]</t>
  </si>
  <si>
    <t>One (1) coat of elastomeric primer on smooth stucco, using Sherwin Williams LOXON Concrete &amp; Masonry Primer/Sealer
• Method of application: spray
• Price includes time for setup, prep, and Loxon primer product</t>
  </si>
  <si>
    <t>🏡 REP Spray Primer Coat [Textured Stucco]</t>
  </si>
  <si>
    <t>One (1) coat of elastomeric primer on textured stucco, using Sherwin Williams LOXON Concrete &amp; Masonry Primer/Sealer
• Method of application: spray
• Price includes time for setup, prep, and Loxon primer product</t>
  </si>
  <si>
    <t>🏡 REP 2-Coats Paint [SW SuperPaint] [Smooth Stucco]</t>
  </si>
  <si>
    <t>Two (2) coats of latex-paint on smooth stucco, using Sherwin Williams SuperPaint
• Method of application: spray and/or roll
• Price includes time for setup, prep, and SuperPaint product</t>
  </si>
  <si>
    <t>335 SF/HR</t>
  </si>
  <si>
    <t>SW SuperPaint Exterior Acrylic Latex</t>
  </si>
  <si>
    <t>350-400</t>
  </si>
  <si>
    <t>#REF!</t>
  </si>
  <si>
    <t>388 SF/GA</t>
  </si>
  <si>
    <t>2-coats paint on 2000 SF exterior walls using SuperPaint (60'x40' 1-story home)</t>
  </si>
  <si>
    <t>🏡 REP 2-Coats Paint [SW SuperPaint] [Textured Stucco]</t>
  </si>
  <si>
    <t>🏡 REP 1 Coat Paint [SW Duration] [Smooth Stucco]</t>
  </si>
  <si>
    <t>One (1) coat of latex-paint on smooth stucco, using Sherwin Williams Duration
• Method of application: spray and/or roll
• Price includes time for setup, prep, and Duration product</t>
  </si>
  <si>
    <t>325 SF/GA</t>
  </si>
  <si>
    <t>🏡 REP 1 Coat Paint [SW Duration] [Textured Stucco]</t>
  </si>
  <si>
    <t>Soffits (same color as walls)</t>
  </si>
  <si>
    <t>#DIV/0!</t>
  </si>
  <si>
    <t>Fascia (same color as soffit or wall)</t>
  </si>
  <si>
    <t>Soffits (different color as walls or fascia)</t>
  </si>
  <si>
    <t>Fascia (different color as soffit)</t>
  </si>
  <si>
    <t>Scraping/sanding</t>
  </si>
  <si>
    <t>Downspouts</t>
  </si>
  <si>
    <t>Windows - Wood Small</t>
  </si>
  <si>
    <t>Windows - Wood Large</t>
  </si>
  <si>
    <t>Windows - Alum Small</t>
  </si>
  <si>
    <t>Windows - Alum Large</t>
  </si>
  <si>
    <t>Doors - Wood Small</t>
  </si>
  <si>
    <t>Doors - Wood Large</t>
  </si>
  <si>
    <t>Doors - Alum Small</t>
  </si>
  <si>
    <t>Doors - Alum Large</t>
  </si>
  <si>
    <t>Garage Doors - Alum or Wood</t>
  </si>
  <si>
    <t>Railings DTM painting</t>
  </si>
  <si>
    <t>Perimeter Wall Painting</t>
  </si>
  <si>
    <t>Two (2) coats of latex-paint on textured stucco, using Sherwin Williams SuperPaint
• Method of application: spray and/or roll
• Price includes time for setup, prep, and SuperPaint product</t>
  </si>
  <si>
    <t>🏡 REP 2-Coats Paint [SW SuperPaint] [Bricks]</t>
  </si>
  <si>
    <t>Two (2) coats of latex-paint on bricks, using Sherwin Williams SuperPaint
• Method of application: spray and/or roll
• Price includes time for setup, prep, and SuperPaint product</t>
  </si>
  <si>
    <t>Bricks</t>
  </si>
  <si>
    <t>Pressure washing - non-painted areas</t>
  </si>
  <si>
    <t>Additional Expense: CH/AI Insurance Costs</t>
  </si>
  <si>
    <t>Additional Expense: Parking (daily)</t>
  </si>
  <si>
    <t>Color Consultation - Interior</t>
  </si>
  <si>
    <t>Misc: Additional Bulk Time - 20 Minute Units</t>
  </si>
  <si>
    <t>Misc: Clean Up Hours</t>
  </si>
  <si>
    <t>Misc: Number of Rooms</t>
  </si>
  <si>
    <t>Misc: Professional Cleaning Service, 1 story (Maid Green Miami)</t>
  </si>
  <si>
    <t>Misc: Professional Cleaning Service, 2 stories (Maid Green Miami)</t>
  </si>
  <si>
    <t>Misc: Special Conditions - 20 Minute Units</t>
  </si>
  <si>
    <t>Painting: Railings - Number of Spindles</t>
  </si>
  <si>
    <t>Painting: 8 Foot Wall Linear Measurement</t>
  </si>
  <si>
    <t>Painting: Accent Wall Square Footage</t>
  </si>
  <si>
    <t>Painting: Additional Wall Square Footage</t>
  </si>
  <si>
    <t>Painting: Baseboard Brush Linear Footage</t>
  </si>
  <si>
    <t>Painting: Baseboard Spray Linear Footage</t>
  </si>
  <si>
    <t>Painting: Chair Rail</t>
  </si>
  <si>
    <t>Painting: Closets</t>
  </si>
  <si>
    <t>Painting: Flat Ceiling Square Footage</t>
  </si>
  <si>
    <t>Painting: Interior Shutters, Large</t>
  </si>
  <si>
    <t>Painting: Interior Shutters, Small/Medium</t>
  </si>
  <si>
    <t>Painting: Large Window Frame</t>
  </si>
  <si>
    <t>Painting: Passage Casing</t>
  </si>
  <si>
    <t>Painting: Rough Ceiling Square Footage</t>
  </si>
  <si>
    <t>Painting: Shelf/Bookshelf/Built-In</t>
  </si>
  <si>
    <t>Painting: Small/Medium Window Frame</t>
  </si>
  <si>
    <t>Painting: Spray Vents</t>
  </si>
  <si>
    <t>Painting: Staircase, Handrails</t>
  </si>
  <si>
    <t>Painting: Staircase, Post</t>
  </si>
  <si>
    <t>Painting: Staircase, Risers/Treadtop</t>
  </si>
  <si>
    <t>Painting: Staircase, Spindles</t>
  </si>
  <si>
    <t>Painting: Staircase, Stringer</t>
  </si>
  <si>
    <t>Painting: Trim - 15ft Units</t>
  </si>
  <si>
    <t>Painting: Trim - Hours</t>
  </si>
  <si>
    <t>Painting: Wainscot 36"</t>
  </si>
  <si>
    <t>Painting: Window Sill, any size</t>
  </si>
  <si>
    <t>Prep: Additional Preparation (Hours)</t>
  </si>
  <si>
    <t>Prep: Blinds/Curtain rod(s) - remove and return</t>
  </si>
  <si>
    <t>Prep: Blinds/Curtain rod(s) - remove, patch, dispose</t>
  </si>
  <si>
    <t>Prep: Caulking Linear Footage</t>
  </si>
  <si>
    <t>Prep: Clean Up Existing Paint</t>
  </si>
  <si>
    <t>Prep: Furniture, Heavy, move and protect</t>
  </si>
  <si>
    <t>Prep: Home = Furnished</t>
  </si>
  <si>
    <t>Prep: Home = Occupied</t>
  </si>
  <si>
    <t>Prep: New Baseboard - Putty, Sand, Caulk</t>
  </si>
  <si>
    <t>Prep: Outlet Closure (Drywall)</t>
  </si>
  <si>
    <t>Prep: Putty, sand, caulk</t>
  </si>
  <si>
    <t>Prep: Repair, Nail Pops</t>
  </si>
  <si>
    <t>Stain/Varnish: Baseboard Linear Footage</t>
  </si>
  <si>
    <t>Stain/Varnish: Staircase, Handrails</t>
  </si>
  <si>
    <t>Stain/Varnish: Staircase, Post</t>
  </si>
  <si>
    <t>Stain/Varnish: Staircase, Risers/Treadtop</t>
  </si>
  <si>
    <t>Stain/Varnish: Staircase, Spindles</t>
  </si>
  <si>
    <t>Stain/Varnish: Staircase, Stringer</t>
  </si>
  <si>
    <t>Prep: Sanding/Pole Sanding</t>
  </si>
  <si>
    <t>Additional Expenses</t>
  </si>
  <si>
    <t>Additional Insurance Costs</t>
  </si>
  <si>
    <t>Detail-Specific Detail Requested</t>
  </si>
  <si>
    <t>Difficult Access-Additional Time</t>
  </si>
  <si>
    <t>Difficult Surface Texture</t>
  </si>
  <si>
    <t>DOD (Degree of Difficulty)</t>
  </si>
  <si>
    <t>Interior Ceiling Paint</t>
  </si>
  <si>
    <t>Painting: Window, French</t>
  </si>
  <si>
    <t>Prep: Interior Area Prep</t>
  </si>
  <si>
    <t>Prep: Masking</t>
  </si>
  <si>
    <t>Prep: Protection</t>
  </si>
  <si>
    <t>Price Adjustment +</t>
  </si>
  <si>
    <t>Sundries/Supplies - plastic, paper, tape, drops</t>
  </si>
  <si>
    <t>Varies if sprayed, QTY, etc</t>
  </si>
  <si>
    <t xml:space="preserve">New Commercial </t>
  </si>
  <si>
    <t>Note: 1st Coat Rate</t>
  </si>
  <si>
    <t>Rates are based on a sqft/hour basis unless otherwise stated</t>
  </si>
  <si>
    <t>Companies</t>
  </si>
  <si>
    <t>Colorful Remedies</t>
  </si>
  <si>
    <t>C</t>
  </si>
  <si>
    <t>D</t>
  </si>
  <si>
    <t>Exposed Metal Deck Ceilings</t>
  </si>
  <si>
    <t>NA</t>
  </si>
  <si>
    <t>125-175 SF</t>
  </si>
  <si>
    <t>95-175 SF</t>
  </si>
  <si>
    <t>GWB Ceilings</t>
  </si>
  <si>
    <t>CMU Walls 8-12'</t>
  </si>
  <si>
    <t>GWB Walls 8-12'</t>
  </si>
  <si>
    <t>Standard 3x7 Doors</t>
  </si>
  <si>
    <t>84LF</t>
  </si>
  <si>
    <t>8/hr</t>
  </si>
  <si>
    <t>Standard 3x7 Door Frames</t>
  </si>
  <si>
    <t>68LF</t>
  </si>
  <si>
    <t>60 LF</t>
  </si>
  <si>
    <t>9/hr</t>
  </si>
  <si>
    <t>Exposed Steel Columns/I Beams</t>
  </si>
  <si>
    <t>60LF</t>
  </si>
  <si>
    <t>95-125 SF</t>
  </si>
  <si>
    <t>125+ sq ft</t>
  </si>
  <si>
    <t>34LF</t>
  </si>
  <si>
    <t>60-90 LF</t>
  </si>
  <si>
    <t>75 ln ft</t>
  </si>
  <si>
    <t>Epoxy Coatings GWB Ceilings</t>
  </si>
  <si>
    <t>Epoxy Coatings CMU Walls 8-12'</t>
  </si>
  <si>
    <t>Epoxy Coatings GWB Walls 8-12'</t>
  </si>
  <si>
    <t>Existing Commercial</t>
  </si>
  <si>
    <t>Exposed Ceilings</t>
  </si>
  <si>
    <t xml:space="preserve">85-150 sf </t>
  </si>
  <si>
    <t>150sf</t>
  </si>
  <si>
    <t>Soffit</t>
  </si>
  <si>
    <t>75-150</t>
  </si>
  <si>
    <t>New Residential</t>
  </si>
  <si>
    <t>Colorful Rememdies</t>
  </si>
  <si>
    <t>B</t>
  </si>
  <si>
    <t>20LF</t>
  </si>
  <si>
    <t xml:space="preserve">Existing Residential </t>
  </si>
  <si>
    <t>Colorful Renmedies</t>
  </si>
  <si>
    <t>Trim/Base</t>
  </si>
  <si>
    <t>Craft@Hrs Unit Matl Labor Total</t>
  </si>
  <si>
    <r>
      <rPr>
        <sz val="10"/>
        <rFont val="宋体"/>
        <charset val="134"/>
      </rPr>
      <t xml:space="preserve">From: </t>
    </r>
    <r>
      <rPr>
        <u/>
        <sz val="10"/>
        <color rgb="FF1155CC"/>
        <rFont val="宋体"/>
        <charset val="134"/>
      </rPr>
      <t>https://www.painttalk.com/threads/production-rates-for-rough-stucco.13163/</t>
    </r>
  </si>
  <si>
    <t>__________________________________________________________________________</t>
  </si>
  <si>
    <t>Plaster or stucco, exterior, medium texture, spray application</t>
  </si>
  <si>
    <t>Masonry paint, water base, flat or gloss (material #31)</t>
  </si>
  <si>
    <t>Spray prime coat</t>
  </si>
  <si>
    <t>Slow 600 SF/MH, 150 SF/Gal 1P@.167 CSF 17.87 2.87 20.74</t>
  </si>
  <si>
    <t>Medium 675 SF/MH, 120 SF/Gal 2P@.148 CSF 19.50 3.91 23.41</t>
  </si>
  <si>
    <t>Fast 750 SF/MH, 90 SF/Gal 3P@.133 CSF 22.33 5.31 27.64</t>
  </si>
  <si>
    <t>Spray 2nd water base masonry coat on medium texture exterior plaster or stucco</t>
  </si>
  <si>
    <t>Spray 2nd coat</t>
  </si>
  <si>
    <t>Slow 700 SF/MH, 175 SF/Gal 1P@.143 CSF 15.31 2.45 17.76</t>
  </si>
  <si>
    <t>Medium 800 SF/MH, 150 SF/Gal 2P@.125 CSF 15.60 3.30 18.90</t>
  </si>
  <si>
    <t>Fast 900 SF/MH, 125 SF/Gal 3P@.111 CSF 16.08 4.43 20.51</t>
  </si>
  <si>
    <t>Spray 3rd or additional water base masonry coats on medium texture exterior plaster or stucco</t>
  </si>
  <si>
    <t>Spray 3rd or additional coats</t>
  </si>
  <si>
    <t>Slow 750 SF/MH, 200 SF/Gal 1P@.133 CSF 13.40 2.28 15.68</t>
  </si>
  <si>
    <t>Medium 850 SF/MH, 168 SF/Gal 2P@.118 CSF 13.93 3.12 17.05</t>
  </si>
  <si>
    <t>Fast 950 SF/MH, 135 SF/Gal 3P@.105 CSF 14.89 4.19 19.08</t>
  </si>
  <si>
    <t>Spray 1st oil base masonry prime coat on medium texture exterior plaster or stucco</t>
  </si>
  <si>
    <t>Masonry paint, oil base (material #32)</t>
  </si>
  <si>
    <t>Slow 550 SF/MH, 200 SF/Gal 1P@.182 CSF 19.40 3.12 22.52</t>
  </si>
  <si>
    <t>Medium 600 SF/MH, 145 SF/Gal 2P@.167 CSF 23.38 4.41 27.79</t>
  </si>
  <si>
    <t>Fast 650 SF/MH, 90 SF/Gal 3P@.154 CSF 32.33 6.14 38.47</t>
  </si>
  <si>
    <t>Spray 2nd oil base masonry coat on medium texture exterior plaster or stucco</t>
  </si>
  <si>
    <t>Slow 650 SF/MH, 225 SF/Gal 1P@.154 CSF 17.24 2.64 19.88</t>
  </si>
  <si>
    <t>Medium 700 SF/MH, 175 SF/Gal 2P@.143 CSF 19.37 3.78 23.15</t>
  </si>
  <si>
    <t>Fast 750 SF/MH, 125 SF/Gal 3P@.133 CSF 23.28 5.31 28.59</t>
  </si>
  <si>
    <t>Spray 3rd or additional oil base masonry coats on medium texture exterior plaster or stucco</t>
  </si>
  <si>
    <t>Slow 700 SF/MH, 250 SF/Gal 1P@.143 CSF 15.52 2.45 17.97</t>
  </si>
  <si>
    <t>Medium 750 SF/MH, 193 SF/Gal 2P@.133 CSF 17.56 3.51 21.07</t>
  </si>
  <si>
    <t>Fast 800 SF/MH, 135 SF/Gal 3P@.125 CSF 21.56 4.99 26.55</t>
  </si>
  <si>
    <t>For heights above 8 feet, use the High Time Difficulty Factors on page 137. For oil base paint and clear hydro sealer, I recommend spraying. For painting interior plaster, see Walls, plaster. "Slow" work is based on an hourly wage of $13.25, "Medium" work on an hourly wage of $19.50, and "Fast" work on an hourly wage of $25.50. Other qualifications that apply to this table are on page 9.</t>
  </si>
  <si>
    <t>nish wall to lvel 4</t>
  </si>
  <si>
    <t>Job Name:</t>
  </si>
  <si>
    <t>Date:</t>
  </si>
  <si>
    <t>Washing</t>
  </si>
  <si>
    <t xml:space="preserve">Left </t>
  </si>
  <si>
    <t>Total</t>
  </si>
  <si>
    <t>Rate</t>
  </si>
  <si>
    <t>Units</t>
  </si>
  <si>
    <t>Miscellaneous Trim</t>
  </si>
  <si>
    <t xml:space="preserve">Hours </t>
  </si>
  <si>
    <t xml:space="preserve">Hand Washing   </t>
  </si>
  <si>
    <t>Sq. Ft/Hr</t>
  </si>
  <si>
    <t>Ft/Hr</t>
  </si>
  <si>
    <t xml:space="preserve">Pressure Washing   </t>
  </si>
  <si>
    <t>Sq Ft/Hr</t>
  </si>
  <si>
    <t>Fascia - Easy</t>
  </si>
  <si>
    <t xml:space="preserve">Ln. Ft. Washing   </t>
  </si>
  <si>
    <t>Fascia - Hard</t>
  </si>
  <si>
    <t xml:space="preserve">Spot Washing </t>
  </si>
  <si>
    <t>Min/Spot</t>
  </si>
  <si>
    <t>Stairs (Each)</t>
  </si>
  <si>
    <t>Min/Item</t>
  </si>
  <si>
    <t>Total Wash Time</t>
  </si>
  <si>
    <t>Pillar / Column - Hand Easy</t>
  </si>
  <si>
    <t>Surface Preparation</t>
  </si>
  <si>
    <t>Pillar / Column - Hand Hard</t>
  </si>
  <si>
    <t>Column - Sprayed Painted</t>
  </si>
  <si>
    <t>Hr/Item</t>
  </si>
  <si>
    <t>Fence - Picket (Ln Ft)</t>
  </si>
  <si>
    <t>Fence - Condo (Ln Ft)</t>
  </si>
  <si>
    <t>Lattice (Sq Ft)</t>
  </si>
  <si>
    <t>Shutters (Each)</t>
  </si>
  <si>
    <t>Gutters (Ln Ft)</t>
  </si>
  <si>
    <t>Metal Rail (Ln Ft)</t>
  </si>
  <si>
    <t>Wood Porch Rails (Ln Ft)</t>
  </si>
  <si>
    <t>Other Trim Painting</t>
  </si>
  <si>
    <t>Total Prep Hours</t>
  </si>
  <si>
    <t>Masking</t>
  </si>
  <si>
    <t>Mask Items</t>
  </si>
  <si>
    <t>Mask Linear</t>
  </si>
  <si>
    <t>Total Masking Hours</t>
  </si>
  <si>
    <t>Siding Painting</t>
  </si>
  <si>
    <t>Sprayed Primer</t>
  </si>
  <si>
    <t xml:space="preserve">Sprayed Paint + add 20% paint </t>
  </si>
  <si>
    <t>Sprayed &amp; Back-roll</t>
  </si>
  <si>
    <t>Total Siding Painting</t>
  </si>
  <si>
    <t>Soffits Painting (different)</t>
  </si>
  <si>
    <t>Easy 1</t>
  </si>
  <si>
    <t>Easy 2</t>
  </si>
  <si>
    <t>Easy 3</t>
  </si>
  <si>
    <t xml:space="preserve">Hard 1 </t>
  </si>
  <si>
    <t>Hard 2</t>
  </si>
  <si>
    <t>Hard 3</t>
  </si>
  <si>
    <t xml:space="preserve">Total Soffits Finishing </t>
  </si>
  <si>
    <t>Windows Painting</t>
  </si>
  <si>
    <t>1 Pane &lt; 20 Sq Ft</t>
  </si>
  <si>
    <t>1 P &lt; 30 SqFt  /  3 P &lt; 20 Sq Ft</t>
  </si>
  <si>
    <t>4-15 Panes &lt; 15 Sq Ft</t>
  </si>
  <si>
    <t>16-20 Panes &lt; 20 Sq Ft</t>
  </si>
  <si>
    <t>21-25 Panes &lt; 25 Sq Ft</t>
  </si>
  <si>
    <t>Total Windows Painting</t>
  </si>
  <si>
    <t>Doors &amp; Frames</t>
  </si>
  <si>
    <t>Totally Flat</t>
  </si>
  <si>
    <t>2-4 Panels or Panes</t>
  </si>
  <si>
    <t>5-8 Panels or Panes</t>
  </si>
  <si>
    <t>Single Car Garage Door</t>
  </si>
  <si>
    <t>Two Car Garage Door</t>
  </si>
  <si>
    <t>Stain Wood Door  &amp; Frame (1)</t>
  </si>
  <si>
    <t>Standard Frame (7" x 3")</t>
  </si>
  <si>
    <t>Ornate Frame (7" x 3")</t>
  </si>
  <si>
    <t>Single Car Garage Door Frame</t>
  </si>
  <si>
    <t>Two Car Garage Frame</t>
  </si>
  <si>
    <t>Total Doors &amp; Frames</t>
  </si>
  <si>
    <t>How to add line items descriptions?</t>
  </si>
  <si>
    <t xml:space="preserve">Online document sharing </t>
  </si>
  <si>
    <t>College Intern to help with technology/systems</t>
  </si>
  <si>
    <t>Create a company map</t>
  </si>
  <si>
    <t xml:space="preserve">Hire an office admin. 30 hours/week @ $16 per hour. </t>
  </si>
  <si>
    <t>What is file-maker in web developing?</t>
  </si>
  <si>
    <t>Job ads must include something about rewarding people, growth, etc.</t>
  </si>
  <si>
    <t>Job Name: Voinov</t>
  </si>
  <si>
    <t xml:space="preserve">Medina Painting, Inc.          Production Rates &amp; Paint Coverage Chart </t>
  </si>
  <si>
    <t xml:space="preserve">Washing </t>
  </si>
  <si>
    <t>Coat 1</t>
  </si>
  <si>
    <t>Coat 2</t>
  </si>
  <si>
    <t>Total A</t>
  </si>
  <si>
    <t xml:space="preserve">Rate </t>
  </si>
  <si>
    <t>Paint Brand - Kind - Sheen</t>
  </si>
  <si>
    <t>$ Unit</t>
  </si>
  <si>
    <t xml:space="preserve">Spread </t>
  </si>
  <si>
    <t xml:space="preserve">Unit </t>
  </si>
  <si>
    <t># Gal</t>
  </si>
  <si>
    <t>$ Mat.</t>
  </si>
  <si>
    <t>Total $</t>
  </si>
  <si>
    <t>Ft/Tube</t>
  </si>
  <si>
    <t>Spot/Gal</t>
  </si>
  <si>
    <t>SF/Gal</t>
  </si>
  <si>
    <t># W/Gal</t>
  </si>
  <si>
    <t>Rate Decrease per Coat</t>
  </si>
  <si>
    <t>Level of Preparation</t>
  </si>
  <si>
    <t>Level 3</t>
  </si>
  <si>
    <t>ONLY TYPE IN YELLOW CELLS</t>
  </si>
  <si>
    <t>Production Item</t>
  </si>
  <si>
    <t>4 Coats</t>
  </si>
  <si>
    <t>Spread</t>
  </si>
  <si>
    <t>MPU</t>
  </si>
  <si>
    <t>% Factor</t>
  </si>
  <si>
    <t>Preparation</t>
  </si>
  <si>
    <t>Furniture Treatement</t>
  </si>
  <si>
    <t>R&amp;R Window Treatment</t>
  </si>
  <si>
    <t>R&amp;R Hardware &amp; Fixtures</t>
  </si>
  <si>
    <t>Mask floors</t>
  </si>
  <si>
    <t>Sq. Ft.</t>
  </si>
  <si>
    <t>Mask walls</t>
  </si>
  <si>
    <t>Ln. Ft.</t>
  </si>
  <si>
    <t>Mask baseboards</t>
  </si>
  <si>
    <t>Mask openings</t>
  </si>
  <si>
    <t>Cover furniture</t>
  </si>
  <si>
    <t>Patch &amp; Texture</t>
  </si>
  <si>
    <t>Wallpaper Removal</t>
  </si>
  <si>
    <t>Caulk &amp; fill woodwork</t>
  </si>
  <si>
    <t>Wash surfaces</t>
  </si>
  <si>
    <t>Vacuum</t>
  </si>
  <si>
    <t>Setup and Clean up</t>
  </si>
  <si>
    <t>Walls: Prime</t>
  </si>
  <si>
    <t>Walls: Paint (spray)</t>
  </si>
  <si>
    <t>Walls: Paint (cut/roll)</t>
  </si>
  <si>
    <t>Cut lines: walls</t>
  </si>
  <si>
    <t>Closets</t>
  </si>
  <si>
    <t>Accent Wall</t>
  </si>
  <si>
    <t>Ceilings: Prime</t>
  </si>
  <si>
    <t>Ceilings: Paint (0' - 8')</t>
  </si>
  <si>
    <t>Ceilings: Paint (high)</t>
  </si>
  <si>
    <t>Ceilings: Paint (spray)</t>
  </si>
  <si>
    <t>Ceilings: Paint (popcorn)</t>
  </si>
  <si>
    <t>Ceiings: cut lines</t>
  </si>
  <si>
    <t>Millwork</t>
  </si>
  <si>
    <t>Doors: Flat</t>
  </si>
  <si>
    <t>Doors: Paneled</t>
  </si>
  <si>
    <t>Doors: French</t>
  </si>
  <si>
    <t>Drywall</t>
  </si>
  <si>
    <t>Drywall repair</t>
  </si>
  <si>
    <t>Drywall installation (Level 1)</t>
  </si>
  <si>
    <t>Drywall finishing (Level 2-5)</t>
  </si>
  <si>
    <t>Popcorn Removal</t>
  </si>
  <si>
    <t>Texture</t>
  </si>
  <si>
    <t>Skim Coat</t>
  </si>
  <si>
    <t>Grind Texture</t>
  </si>
  <si>
    <t>Pole Sand Ceilings</t>
  </si>
  <si>
    <t>Pole Sand Walls</t>
  </si>
  <si>
    <t>Cabinetry</t>
  </si>
  <si>
    <t>Door/Drawer (per side)</t>
  </si>
  <si>
    <t>R&amp;R Handles &amp; Hinges</t>
  </si>
  <si>
    <t>Degloss</t>
  </si>
  <si>
    <t>Degrain</t>
  </si>
  <si>
    <t>Build Spray Booth</t>
  </si>
  <si>
    <t>Transport (per door/drawer)</t>
  </si>
  <si>
    <t>Carpentry</t>
  </si>
  <si>
    <t>Install base - no shoe</t>
  </si>
  <si>
    <t>Install base - w/ shoe</t>
  </si>
  <si>
    <t>Install crown</t>
  </si>
  <si>
    <t>Miscellaneous</t>
  </si>
  <si>
    <t>Chemical Wash</t>
  </si>
  <si>
    <t>Pressure Wash (siding)</t>
  </si>
  <si>
    <t>Pressure Wash (deck/fence)</t>
  </si>
  <si>
    <t>Pressure Wash (concrete)</t>
  </si>
  <si>
    <t>Body Painting</t>
  </si>
  <si>
    <t>Siding (smooth)</t>
  </si>
  <si>
    <t>Siding (rough)</t>
  </si>
  <si>
    <t>Eaves</t>
  </si>
  <si>
    <t>Trim Painting</t>
  </si>
  <si>
    <t>Window/Door Wrap</t>
  </si>
  <si>
    <t>Rafter Ends</t>
  </si>
  <si>
    <t>Garage Door Frame</t>
  </si>
  <si>
    <t>Posts/Columns</t>
  </si>
  <si>
    <t>Chimney Top</t>
  </si>
  <si>
    <t>Wrought Iron</t>
  </si>
  <si>
    <t>Rain Gutters &amp; Downspouts</t>
  </si>
  <si>
    <t>Windows &amp; Doors</t>
  </si>
  <si>
    <t>Doors (Flat)</t>
  </si>
  <si>
    <t>Doors (Paneled)</t>
  </si>
  <si>
    <t>Doors (French)</t>
  </si>
  <si>
    <t>Soffit (wood)</t>
  </si>
  <si>
    <t>Sheen Code</t>
  </si>
  <si>
    <t>Rate Increase</t>
  </si>
  <si>
    <t>FL</t>
  </si>
  <si>
    <t xml:space="preserve">Flat Latex </t>
  </si>
  <si>
    <t>All Areas</t>
  </si>
  <si>
    <t>ESL</t>
  </si>
  <si>
    <t>Eggshell Latex</t>
  </si>
  <si>
    <t>Main Walls</t>
  </si>
  <si>
    <t>SL</t>
  </si>
  <si>
    <t>Satin Latex</t>
  </si>
  <si>
    <t>Bathrooms</t>
  </si>
  <si>
    <t>SGL</t>
  </si>
  <si>
    <t>Semi Gloss Latex</t>
  </si>
  <si>
    <t>Bathroom (upstairs)</t>
  </si>
  <si>
    <t>GL</t>
  </si>
  <si>
    <t>Gloss Latex</t>
  </si>
  <si>
    <t>Bathroom (downstairs)</t>
  </si>
  <si>
    <t>HGL</t>
  </si>
  <si>
    <t>High Gloss Latex</t>
  </si>
  <si>
    <t>Bathroom (guest)</t>
  </si>
  <si>
    <t>Etimators</t>
  </si>
  <si>
    <t>Mileage</t>
  </si>
  <si>
    <t>LSO</t>
  </si>
  <si>
    <t>Low Sheen Oil</t>
  </si>
  <si>
    <t>Bedrooms</t>
  </si>
  <si>
    <t>Jennifer Pattison</t>
  </si>
  <si>
    <t>SGO</t>
  </si>
  <si>
    <t>Semi Gloss Oil</t>
  </si>
  <si>
    <t>Bedroom #1</t>
  </si>
  <si>
    <t>Greg Prada</t>
  </si>
  <si>
    <t>Levels of Prep</t>
  </si>
  <si>
    <t>Bedroom #2</t>
  </si>
  <si>
    <t>Shawn Nagano</t>
  </si>
  <si>
    <t>Level 1</t>
  </si>
  <si>
    <t>Bedroom #3</t>
  </si>
  <si>
    <t>Level 2</t>
  </si>
  <si>
    <t>Paint Grade</t>
  </si>
  <si>
    <t>Cost Per Gallon</t>
  </si>
  <si>
    <t>Retail</t>
  </si>
  <si>
    <t>Bedroom (guest)</t>
  </si>
  <si>
    <t>Closet</t>
  </si>
  <si>
    <t>Level 4</t>
  </si>
  <si>
    <t>Dining Room</t>
  </si>
  <si>
    <t>Entry Area</t>
  </si>
  <si>
    <t>Eminence</t>
  </si>
  <si>
    <t>Family Room</t>
  </si>
  <si>
    <t>Marquee</t>
  </si>
  <si>
    <t>Hall Bath</t>
  </si>
  <si>
    <t>Premium Plus Ultra</t>
  </si>
  <si>
    <t>Hallway</t>
  </si>
  <si>
    <t>Premium Plus</t>
  </si>
  <si>
    <t>Hallway (downstairs)</t>
  </si>
  <si>
    <t>Pro Classic Latex</t>
  </si>
  <si>
    <t>Hallway (upstairs)</t>
  </si>
  <si>
    <t>Jack-n-Jill Bath</t>
  </si>
  <si>
    <t>Bullseye 123</t>
  </si>
  <si>
    <t>Kitchen</t>
  </si>
  <si>
    <t xml:space="preserve">ProMar Ceiling </t>
  </si>
  <si>
    <t>Kitchen/Family Room</t>
  </si>
  <si>
    <t>PVA</t>
  </si>
  <si>
    <t>Laundry</t>
  </si>
  <si>
    <t>ProClassic Oil Base</t>
  </si>
  <si>
    <t>Library</t>
  </si>
  <si>
    <t xml:space="preserve">Insl-X </t>
  </si>
  <si>
    <t>Living Room</t>
  </si>
  <si>
    <t>Note about PR</t>
  </si>
  <si>
    <t>150 SR</t>
  </si>
  <si>
    <t>High Build Primer</t>
  </si>
  <si>
    <t>Loft</t>
  </si>
  <si>
    <t>Master Bathroom</t>
  </si>
  <si>
    <t>Master Bedroom</t>
  </si>
  <si>
    <t>Master Retreat</t>
  </si>
  <si>
    <t>Powder Room</t>
  </si>
  <si>
    <t>Stairwell</t>
  </si>
  <si>
    <t>Toilet Area</t>
  </si>
  <si>
    <t>Upstairs Landing</t>
  </si>
  <si>
    <t>Direct Jobs Costs</t>
  </si>
  <si>
    <t>Mark up x</t>
  </si>
  <si>
    <t>Retail Price #</t>
  </si>
  <si>
    <t>GP %</t>
  </si>
  <si>
    <t>GP $</t>
  </si>
  <si>
    <t xml:space="preserve">Fixed Expense Average </t>
  </si>
  <si>
    <t>Net Profit</t>
  </si>
  <si>
    <t xml:space="preserve">EXAMPLE </t>
  </si>
  <si>
    <t xml:space="preserve">Input numbers below into the YELLOW cells </t>
  </si>
  <si>
    <t>Offices</t>
  </si>
  <si>
    <t>Commercial Site</t>
  </si>
  <si>
    <t>Frames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</si>
</sst>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6" formatCode="&quot;$&quot;#,##0_);[Red]\(&quot;$&quot;#,##0\)"/>
    <numFmt numFmtId="7" formatCode="&quot;$&quot;#,##0.00_);\(&quot;$&quot;#,##0.00\)"/>
    <numFmt numFmtId="8" formatCode="&quot;$&quot;#,##0.00_);[Red]\(&quot;$&quot;#,##0.00\)"/>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quot;$&quot;#,##0"/>
    <numFmt numFmtId="179" formatCode="0.0%"/>
    <numFmt numFmtId="180" formatCode="&quot;$&quot;#,##0.00"/>
    <numFmt numFmtId="181" formatCode="#,##0.0"/>
    <numFmt numFmtId="182" formatCode="#,##0.00;\(#,##0.00\)"/>
    <numFmt numFmtId="183" formatCode="#,##0.00_-\ [$$-45C]"/>
    <numFmt numFmtId="184" formatCode="m\-d"/>
    <numFmt numFmtId="185" formatCode="0.000000"/>
  </numFmts>
  <fonts count="113">
    <font>
      <sz val="10"/>
      <color rgb="FF000000"/>
      <name val="Arial"/>
      <charset val="134"/>
      <scheme val="minor"/>
    </font>
    <font>
      <sz val="10"/>
      <color theme="1"/>
      <name val="Arial"/>
      <charset val="134"/>
    </font>
    <font>
      <b/>
      <sz val="10"/>
      <color theme="1"/>
      <name val="Arial"/>
      <charset val="134"/>
      <scheme val="minor"/>
    </font>
    <font>
      <sz val="10"/>
      <color theme="1"/>
      <name val="Arial"/>
      <charset val="134"/>
      <scheme val="minor"/>
    </font>
    <font>
      <b/>
      <sz val="12"/>
      <color theme="1"/>
      <name val="Arial"/>
      <charset val="134"/>
      <scheme val="minor"/>
    </font>
    <font>
      <b/>
      <i/>
      <sz val="12"/>
      <color theme="1"/>
      <name val="Arial"/>
      <charset val="134"/>
      <scheme val="minor"/>
    </font>
    <font>
      <b/>
      <sz val="9"/>
      <color rgb="FF0000FF"/>
      <name val="Arial"/>
      <charset val="134"/>
    </font>
    <font>
      <sz val="9"/>
      <color theme="1"/>
      <name val="Arial"/>
      <charset val="134"/>
    </font>
    <font>
      <b/>
      <sz val="9"/>
      <color rgb="FF0070C0"/>
      <name val="Arial"/>
      <charset val="134"/>
    </font>
    <font>
      <sz val="9"/>
      <color rgb="FFFFFF00"/>
      <name val="Arial"/>
      <charset val="134"/>
    </font>
    <font>
      <b/>
      <sz val="9"/>
      <color theme="1"/>
      <name val="Arial"/>
      <charset val="134"/>
    </font>
    <font>
      <b/>
      <sz val="9"/>
      <color rgb="FF000000"/>
      <name val="Arial"/>
      <charset val="134"/>
    </font>
    <font>
      <sz val="9"/>
      <color theme="1"/>
      <name val="Arial"/>
      <charset val="134"/>
      <scheme val="minor"/>
    </font>
    <font>
      <sz val="9"/>
      <color rgb="FFFF0000"/>
      <name val="Arial"/>
      <charset val="134"/>
    </font>
    <font>
      <sz val="8"/>
      <color rgb="FFFFFF00"/>
      <name val="Arial"/>
      <charset val="134"/>
    </font>
    <font>
      <b/>
      <sz val="9"/>
      <color rgb="FFFF0000"/>
      <name val="Arial"/>
      <charset val="134"/>
    </font>
    <font>
      <i/>
      <sz val="9"/>
      <color theme="1"/>
      <name val="Arial"/>
      <charset val="134"/>
    </font>
    <font>
      <sz val="9"/>
      <color rgb="FF000000"/>
      <name val="Arial"/>
      <charset val="134"/>
    </font>
    <font>
      <b/>
      <sz val="10"/>
      <color theme="1"/>
      <name val="Calibri"/>
      <charset val="134"/>
    </font>
    <font>
      <sz val="10"/>
      <name val="Arial"/>
      <charset val="134"/>
      <scheme val="minor"/>
    </font>
    <font>
      <b/>
      <sz val="6"/>
      <color theme="1"/>
      <name val="Calibri"/>
      <charset val="134"/>
    </font>
    <font>
      <sz val="6"/>
      <color theme="0"/>
      <name val="Calibri"/>
      <charset val="134"/>
    </font>
    <font>
      <sz val="6"/>
      <color theme="1"/>
      <name val="Calibri"/>
      <charset val="134"/>
    </font>
    <font>
      <sz val="6"/>
      <color rgb="FFFF0000"/>
      <name val="Calibri"/>
      <charset val="134"/>
    </font>
    <font>
      <sz val="6"/>
      <color theme="4"/>
      <name val="Calibri"/>
      <charset val="134"/>
    </font>
    <font>
      <sz val="6"/>
      <color rgb="FF4285F4"/>
      <name val="Calibri"/>
      <charset val="134"/>
    </font>
    <font>
      <sz val="5"/>
      <color theme="1"/>
      <name val="Calibri"/>
      <charset val="134"/>
    </font>
    <font>
      <sz val="11"/>
      <color theme="1"/>
      <name val="Calibri"/>
      <charset val="134"/>
    </font>
    <font>
      <sz val="6"/>
      <color theme="1"/>
      <name val="Arial"/>
      <charset val="134"/>
      <scheme val="minor"/>
    </font>
    <font>
      <b/>
      <sz val="6"/>
      <color theme="0"/>
      <name val="Calibri"/>
      <charset val="134"/>
    </font>
    <font>
      <u/>
      <sz val="10"/>
      <color rgb="FF0000FF"/>
      <name val="Arial"/>
      <charset val="134"/>
      <scheme val="minor"/>
    </font>
    <font>
      <b/>
      <sz val="10"/>
      <color theme="1"/>
      <name val="Arial"/>
      <charset val="134"/>
    </font>
    <font>
      <b/>
      <sz val="22"/>
      <color theme="1"/>
      <name val="Montserrat"/>
      <charset val="134"/>
    </font>
    <font>
      <b/>
      <sz val="9"/>
      <color theme="1"/>
      <name val="Montserrat"/>
      <charset val="134"/>
    </font>
    <font>
      <b/>
      <sz val="13"/>
      <color theme="1"/>
      <name val="Montserrat"/>
      <charset val="134"/>
    </font>
    <font>
      <sz val="17"/>
      <color theme="1"/>
      <name val="Arial"/>
      <charset val="134"/>
      <scheme val="minor"/>
    </font>
    <font>
      <i/>
      <sz val="10"/>
      <color theme="1"/>
      <name val="Arial"/>
      <charset val="134"/>
      <scheme val="minor"/>
    </font>
    <font>
      <sz val="12"/>
      <color theme="1"/>
      <name val="Calibri"/>
      <charset val="134"/>
    </font>
    <font>
      <b/>
      <sz val="9"/>
      <color rgb="FF999999"/>
      <name val="Montserrat"/>
      <charset val="134"/>
    </font>
    <font>
      <b/>
      <i/>
      <sz val="9"/>
      <color rgb="FF999999"/>
      <name val="Montserrat"/>
      <charset val="134"/>
    </font>
    <font>
      <sz val="10"/>
      <color rgb="FF999999"/>
      <name val="Arial"/>
      <charset val="134"/>
      <scheme val="minor"/>
    </font>
    <font>
      <i/>
      <sz val="10"/>
      <color rgb="FF999999"/>
      <name val="Arial"/>
      <charset val="134"/>
      <scheme val="minor"/>
    </font>
    <font>
      <b/>
      <i/>
      <sz val="9"/>
      <color theme="1"/>
      <name val="Montserrat"/>
      <charset val="134"/>
    </font>
    <font>
      <sz val="10"/>
      <color rgb="FF000000"/>
      <name val="&quot;Arial&quot;"/>
      <charset val="134"/>
    </font>
    <font>
      <strike/>
      <sz val="10"/>
      <color theme="1"/>
      <name val="Arial"/>
      <charset val="134"/>
    </font>
    <font>
      <b/>
      <u/>
      <sz val="10"/>
      <color rgb="FF000000"/>
      <name val="Arial"/>
      <charset val="134"/>
    </font>
    <font>
      <sz val="10"/>
      <color rgb="FF000000"/>
      <name val="Arial"/>
      <charset val="134"/>
    </font>
    <font>
      <b/>
      <sz val="10"/>
      <color rgb="FF000000"/>
      <name val="Arial"/>
      <charset val="134"/>
    </font>
    <font>
      <b/>
      <sz val="10"/>
      <color rgb="FFFF0000"/>
      <name val="Arial"/>
      <charset val="134"/>
    </font>
    <font>
      <sz val="10"/>
      <color theme="1"/>
      <name val="Montserrat"/>
      <charset val="134"/>
    </font>
    <font>
      <sz val="30"/>
      <color rgb="FF000000"/>
      <name val="Montserrat"/>
      <charset val="134"/>
    </font>
    <font>
      <sz val="12"/>
      <color rgb="FFFFFFFF"/>
      <name val="Montserrat"/>
      <charset val="134"/>
    </font>
    <font>
      <sz val="10"/>
      <color rgb="FFFFFFFF"/>
      <name val="Montserrat"/>
      <charset val="134"/>
    </font>
    <font>
      <strike/>
      <sz val="11"/>
      <color rgb="FF000000"/>
      <name val="Montserrat"/>
      <charset val="134"/>
    </font>
    <font>
      <sz val="11"/>
      <color rgb="FF000000"/>
      <name val="Montserrat"/>
      <charset val="134"/>
    </font>
    <font>
      <strike/>
      <sz val="12"/>
      <color rgb="FF000000"/>
      <name val="Montserrat"/>
      <charset val="134"/>
    </font>
    <font>
      <strike/>
      <sz val="10"/>
      <color theme="1"/>
      <name val="Montserrat"/>
      <charset val="134"/>
    </font>
    <font>
      <sz val="11"/>
      <color theme="1"/>
      <name val="Montserrat"/>
      <charset val="134"/>
    </font>
    <font>
      <sz val="12"/>
      <color rgb="FF000000"/>
      <name val="Montserrat"/>
      <charset val="134"/>
    </font>
    <font>
      <strike/>
      <sz val="10"/>
      <color rgb="FF000000"/>
      <name val="Montserrat"/>
      <charset val="134"/>
    </font>
    <font>
      <sz val="10"/>
      <color rgb="FF000000"/>
      <name val="Montserrat"/>
      <charset val="134"/>
    </font>
    <font>
      <sz val="12"/>
      <color rgb="FFB7B7B7"/>
      <name val="Montserrat"/>
      <charset val="134"/>
    </font>
    <font>
      <u/>
      <sz val="10"/>
      <color rgb="FF1155CC"/>
      <name val="Montserrat"/>
      <charset val="134"/>
    </font>
    <font>
      <sz val="10"/>
      <color theme="1"/>
      <name val="Arial Narrow"/>
      <charset val="134"/>
    </font>
    <font>
      <sz val="8"/>
      <color theme="1"/>
      <name val="Arial Narrow"/>
      <charset val="134"/>
    </font>
    <font>
      <b/>
      <u/>
      <sz val="14"/>
      <color theme="1"/>
      <name val="Arial Narrow"/>
      <charset val="134"/>
    </font>
    <font>
      <b/>
      <i/>
      <u/>
      <sz val="10"/>
      <color theme="1"/>
      <name val="Arial Narrow"/>
      <charset val="134"/>
    </font>
    <font>
      <b/>
      <sz val="10"/>
      <color rgb="FFFF0000"/>
      <name val="Arial Narrow"/>
      <charset val="134"/>
    </font>
    <font>
      <b/>
      <sz val="10"/>
      <color theme="1"/>
      <name val="Arial Narrow"/>
      <charset val="134"/>
    </font>
    <font>
      <b/>
      <u/>
      <sz val="10"/>
      <color theme="1"/>
      <name val="Arial Narrow"/>
      <charset val="134"/>
    </font>
    <font>
      <b/>
      <i/>
      <sz val="10"/>
      <color theme="1"/>
      <name val="Arial Narrow"/>
      <charset val="134"/>
    </font>
    <font>
      <b/>
      <sz val="8"/>
      <color theme="1"/>
      <name val="Arial Narrow"/>
      <charset val="134"/>
    </font>
    <font>
      <b/>
      <i/>
      <u/>
      <sz val="12"/>
      <color theme="1"/>
      <name val="Arial Narrow"/>
      <charset val="134"/>
    </font>
    <font>
      <i/>
      <u/>
      <sz val="8"/>
      <color theme="1"/>
      <name val="Arial Narrow"/>
      <charset val="134"/>
    </font>
    <font>
      <u/>
      <sz val="10"/>
      <color theme="1"/>
      <name val="Arial"/>
      <charset val="134"/>
      <scheme val="minor"/>
    </font>
    <font>
      <b/>
      <sz val="10"/>
      <color rgb="FFFFFFFF"/>
      <name val="Arial"/>
      <charset val="134"/>
      <scheme val="minor"/>
    </font>
    <font>
      <b/>
      <sz val="10"/>
      <color rgb="FFF3F3F3"/>
      <name val="Arial"/>
      <charset val="134"/>
      <scheme val="minor"/>
    </font>
    <font>
      <strike/>
      <sz val="10"/>
      <color theme="1"/>
      <name val="Arial"/>
      <charset val="134"/>
      <scheme val="minor"/>
    </font>
    <font>
      <sz val="8"/>
      <color rgb="FF333333"/>
      <name val="Arial"/>
      <charset val="134"/>
    </font>
    <font>
      <b/>
      <strike/>
      <sz val="10"/>
      <color theme="1"/>
      <name val="Arial"/>
      <charset val="134"/>
      <scheme val="minor"/>
    </font>
    <font>
      <b/>
      <sz val="11"/>
      <color rgb="FFDA1C25"/>
      <name val="Arial"/>
      <charset val="134"/>
    </font>
    <font>
      <sz val="10"/>
      <color rgb="FF0069AF"/>
      <name val="&quot;Frutiger Neue Condensed&quot;"/>
      <charset val="134"/>
    </font>
    <font>
      <sz val="10"/>
      <color rgb="FFFFFFFF"/>
      <name val="Arial"/>
      <charset val="134"/>
      <scheme val="minor"/>
    </font>
    <font>
      <b/>
      <i/>
      <sz val="10"/>
      <color theme="1"/>
      <name val="Arial"/>
      <charset val="134"/>
      <scheme val="minor"/>
    </font>
    <font>
      <b/>
      <sz val="10"/>
      <color rgb="FF000000"/>
      <name val="Arial"/>
      <charset val="134"/>
      <scheme val="minor"/>
    </font>
    <font>
      <b/>
      <sz val="14"/>
      <color theme="1"/>
      <name val="Arial"/>
      <charset val="134"/>
      <scheme val="minor"/>
    </font>
    <font>
      <sz val="6"/>
      <color theme="1"/>
      <name val="Barlow"/>
      <charset val="134"/>
    </font>
    <font>
      <b/>
      <sz val="9"/>
      <color theme="1"/>
      <name val="Barlow"/>
      <charset val="134"/>
    </font>
    <font>
      <sz val="9"/>
      <color theme="1"/>
      <name val="Barlow"/>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b/>
      <sz val="10"/>
      <color rgb="FFFFFFFF"/>
      <name val="Montserrat"/>
      <charset val="134"/>
    </font>
    <font>
      <sz val="10"/>
      <name val="宋体"/>
      <charset val="134"/>
    </font>
    <font>
      <u/>
      <sz val="10"/>
      <color rgb="FF1155CC"/>
      <name val="宋体"/>
      <charset val="134"/>
    </font>
    <font>
      <sz val="10"/>
      <name val="SimSun"/>
      <charset val="134"/>
    </font>
  </fonts>
  <fills count="74">
    <fill>
      <patternFill patternType="none"/>
    </fill>
    <fill>
      <patternFill patternType="gray125"/>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FFFF00"/>
        <bgColor rgb="FFFFFF00"/>
      </patternFill>
    </fill>
    <fill>
      <patternFill patternType="solid">
        <fgColor rgb="FFFFFFFF"/>
        <bgColor rgb="FFFFFFFF"/>
      </patternFill>
    </fill>
    <fill>
      <patternFill patternType="solid">
        <fgColor rgb="FFFFFF99"/>
        <bgColor rgb="FFFFFF99"/>
      </patternFill>
    </fill>
    <fill>
      <patternFill patternType="solid">
        <fgColor rgb="FFFF0000"/>
        <bgColor rgb="FFFF0000"/>
      </patternFill>
    </fill>
    <fill>
      <patternFill patternType="solid">
        <fgColor rgb="FFCCFFCC"/>
        <bgColor rgb="FFCCFFCC"/>
      </patternFill>
    </fill>
    <fill>
      <patternFill patternType="solid">
        <fgColor rgb="FFBDD6EE"/>
        <bgColor rgb="FFBDD6EE"/>
      </patternFill>
    </fill>
    <fill>
      <patternFill patternType="solid">
        <fgColor rgb="FF2E75B5"/>
        <bgColor rgb="FF2E75B5"/>
      </patternFill>
    </fill>
    <fill>
      <patternFill patternType="solid">
        <fgColor rgb="FFD0CECE"/>
        <bgColor rgb="FFD0CECE"/>
      </patternFill>
    </fill>
    <fill>
      <patternFill patternType="solid">
        <fgColor rgb="FFFEF2CB"/>
        <bgColor rgb="FFFEF2CB"/>
      </patternFill>
    </fill>
    <fill>
      <patternFill patternType="solid">
        <fgColor rgb="FFE2EFD9"/>
        <bgColor rgb="FFE2EFD9"/>
      </patternFill>
    </fill>
    <fill>
      <patternFill patternType="solid">
        <fgColor theme="0"/>
        <bgColor theme="0"/>
      </patternFill>
    </fill>
    <fill>
      <patternFill patternType="solid">
        <fgColor rgb="FFFBE4D5"/>
        <bgColor rgb="FFFBE4D5"/>
      </patternFill>
    </fill>
    <fill>
      <patternFill patternType="solid">
        <fgColor rgb="FFEBDDFF"/>
        <bgColor rgb="FFEBDDFF"/>
      </patternFill>
    </fill>
    <fill>
      <patternFill patternType="solid">
        <fgColor rgb="FFD5FFF7"/>
        <bgColor rgb="FFD5FFF7"/>
      </patternFill>
    </fill>
    <fill>
      <patternFill patternType="solid">
        <fgColor rgb="FFDEEAF6"/>
        <bgColor rgb="FFDEEAF6"/>
      </patternFill>
    </fill>
    <fill>
      <patternFill patternType="solid">
        <fgColor theme="1"/>
        <bgColor theme="1"/>
      </patternFill>
    </fill>
    <fill>
      <patternFill patternType="solid">
        <fgColor theme="7"/>
        <bgColor theme="7"/>
      </patternFill>
    </fill>
    <fill>
      <patternFill patternType="solid">
        <fgColor rgb="FF000000"/>
        <bgColor rgb="FF000000"/>
      </patternFill>
    </fill>
    <fill>
      <patternFill patternType="solid">
        <fgColor theme="4"/>
        <bgColor theme="4"/>
      </patternFill>
    </fill>
    <fill>
      <patternFill patternType="solid">
        <fgColor rgb="FFC9DAF8"/>
        <bgColor rgb="FFC9DAF8"/>
      </patternFill>
    </fill>
    <fill>
      <patternFill patternType="solid">
        <fgColor rgb="FF999999"/>
        <bgColor rgb="FF999999"/>
      </patternFill>
    </fill>
    <fill>
      <patternFill patternType="solid">
        <fgColor rgb="FFCFE2F3"/>
        <bgColor rgb="FFCFE2F3"/>
      </patternFill>
    </fill>
    <fill>
      <patternFill patternType="solid">
        <fgColor rgb="FFFF00FF"/>
        <bgColor rgb="FFFF00FF"/>
      </patternFill>
    </fill>
    <fill>
      <patternFill patternType="solid">
        <fgColor rgb="FFEFEFEF"/>
        <bgColor rgb="FFEFEFEF"/>
      </patternFill>
    </fill>
    <fill>
      <patternFill patternType="solid">
        <fgColor rgb="FF00FFFF"/>
        <bgColor rgb="FF00FFFF"/>
      </patternFill>
    </fill>
    <fill>
      <patternFill patternType="solid">
        <fgColor rgb="FFD0E0E3"/>
        <bgColor rgb="FFD0E0E3"/>
      </patternFill>
    </fill>
    <fill>
      <patternFill patternType="solid">
        <fgColor rgb="FFFAE232"/>
        <bgColor rgb="FFFAE232"/>
      </patternFill>
    </fill>
    <fill>
      <patternFill patternType="solid">
        <fgColor rgb="FF1C4587"/>
        <bgColor rgb="FF1C4587"/>
      </patternFill>
    </fill>
    <fill>
      <patternFill patternType="solid">
        <fgColor rgb="FF3C78D8"/>
        <bgColor rgb="FF3C78D8"/>
      </patternFill>
    </fill>
    <fill>
      <patternFill patternType="solid">
        <fgColor theme="9"/>
        <bgColor theme="9"/>
      </patternFill>
    </fill>
    <fill>
      <patternFill patternType="solid">
        <fgColor rgb="FF92D050"/>
        <bgColor rgb="FF92D050"/>
      </patternFill>
    </fill>
    <fill>
      <patternFill patternType="solid">
        <fgColor rgb="FFC6D9F0"/>
        <bgColor rgb="FFC6D9F0"/>
      </patternFill>
    </fill>
    <fill>
      <patternFill patternType="solid">
        <fgColor rgb="FF8DB3E2"/>
        <bgColor rgb="FF8DB3E2"/>
      </patternFill>
    </fill>
    <fill>
      <patternFill patternType="solid">
        <fgColor rgb="FF073763"/>
        <bgColor rgb="FF073763"/>
      </patternFill>
    </fill>
    <fill>
      <patternFill patternType="solid">
        <fgColor rgb="FF00FF00"/>
        <bgColor rgb="FF00FF00"/>
      </patternFill>
    </fill>
    <fill>
      <patternFill patternType="solid">
        <fgColor rgb="FFE06666"/>
        <bgColor rgb="FFE06666"/>
      </patternFill>
    </fill>
    <fill>
      <patternFill patternType="solid">
        <fgColor rgb="FFF9CB9C"/>
        <bgColor rgb="FFF9CB9C"/>
      </patternFill>
    </fill>
    <fill>
      <patternFill patternType="solid">
        <fgColor rgb="FF666666"/>
        <bgColor rgb="FF66666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style="double">
        <color rgb="FF000000"/>
      </top>
      <bottom/>
      <diagonal/>
    </border>
    <border>
      <left/>
      <right/>
      <top style="double">
        <color rgb="FF000000"/>
      </top>
      <bottom/>
      <diagonal/>
    </border>
    <border>
      <left/>
      <right style="thick">
        <color rgb="FF000000"/>
      </right>
      <top style="double">
        <color rgb="FF000000"/>
      </top>
      <bottom/>
      <diagonal/>
    </border>
    <border>
      <left/>
      <right style="thin">
        <color rgb="FF000000"/>
      </right>
      <top style="double">
        <color rgb="FF000000"/>
      </top>
      <bottom/>
      <diagonal/>
    </border>
    <border>
      <left style="thick">
        <color rgb="FF000000"/>
      </left>
      <right/>
      <top style="thin">
        <color rgb="FF000000"/>
      </top>
      <bottom/>
      <diagonal/>
    </border>
    <border>
      <left/>
      <right style="thick">
        <color rgb="FF000000"/>
      </right>
      <top style="thin">
        <color rgb="FF000000"/>
      </top>
      <bottom/>
      <diagonal/>
    </border>
    <border>
      <left/>
      <right/>
      <top/>
      <bottom style="double">
        <color rgb="FF000000"/>
      </bottom>
      <diagonal/>
    </border>
    <border>
      <left/>
      <right style="hair">
        <color rgb="FF000000"/>
      </right>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double">
        <color rgb="FF000000"/>
      </left>
      <right/>
      <top/>
      <bottom/>
      <diagonal/>
    </border>
    <border>
      <left/>
      <right style="double">
        <color rgb="FF000000"/>
      </right>
      <top/>
      <bottom/>
      <diagonal/>
    </border>
    <border>
      <left style="double">
        <color rgb="FF000000"/>
      </left>
      <right/>
      <top/>
      <bottom style="thin">
        <color rgb="FF000000"/>
      </bottom>
      <diagonal/>
    </border>
    <border>
      <left/>
      <right style="double">
        <color rgb="FF000000"/>
      </right>
      <top/>
      <bottom style="thin">
        <color rgb="FF000000"/>
      </bottom>
      <diagonal/>
    </border>
    <border>
      <left/>
      <right style="thick">
        <color rgb="FF000000"/>
      </right>
      <top/>
      <bottom style="thin">
        <color rgb="FF000000"/>
      </bottom>
      <diagonal/>
    </border>
    <border>
      <left style="hair">
        <color rgb="FF000000"/>
      </left>
      <right style="thick">
        <color rgb="FF000000"/>
      </right>
      <top/>
      <bottom/>
      <diagonal/>
    </border>
    <border>
      <left style="thick">
        <color rgb="FF000000"/>
      </left>
      <right/>
      <top/>
      <bottom style="thin">
        <color rgb="FF000000"/>
      </bottom>
      <diagonal/>
    </border>
    <border>
      <left style="medium">
        <color rgb="FF000000"/>
      </left>
      <right/>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89" fillId="0" borderId="0" applyFont="0" applyFill="0" applyBorder="0" applyAlignment="0" applyProtection="0">
      <alignment vertical="center"/>
    </xf>
    <xf numFmtId="44" fontId="89" fillId="0" borderId="0" applyFont="0" applyFill="0" applyBorder="0" applyAlignment="0" applyProtection="0">
      <alignment vertical="center"/>
    </xf>
    <xf numFmtId="9" fontId="89" fillId="0" borderId="0" applyFont="0" applyFill="0" applyBorder="0" applyAlignment="0" applyProtection="0">
      <alignment vertical="center"/>
    </xf>
    <xf numFmtId="177" fontId="89" fillId="0" borderId="0" applyFont="0" applyFill="0" applyBorder="0" applyAlignment="0" applyProtection="0">
      <alignment vertical="center"/>
    </xf>
    <xf numFmtId="42" fontId="89" fillId="0" borderId="0" applyFont="0" applyFill="0" applyBorder="0" applyAlignment="0" applyProtection="0">
      <alignment vertical="center"/>
    </xf>
    <xf numFmtId="0" fontId="90"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89" fillId="43" borderId="40" applyNumberFormat="0" applyFont="0" applyAlignment="0" applyProtection="0">
      <alignment vertical="center"/>
    </xf>
    <xf numFmtId="0" fontId="92" fillId="0" borderId="0" applyNumberFormat="0" applyFill="0" applyBorder="0" applyAlignment="0" applyProtection="0">
      <alignment vertical="center"/>
    </xf>
    <xf numFmtId="0" fontId="93" fillId="0" borderId="0" applyNumberFormat="0" applyFill="0" applyBorder="0" applyAlignment="0" applyProtection="0">
      <alignment vertical="center"/>
    </xf>
    <xf numFmtId="0" fontId="94" fillId="0" borderId="0" applyNumberFormat="0" applyFill="0" applyBorder="0" applyAlignment="0" applyProtection="0">
      <alignment vertical="center"/>
    </xf>
    <xf numFmtId="0" fontId="95" fillId="0" borderId="41" applyNumberFormat="0" applyFill="0" applyAlignment="0" applyProtection="0">
      <alignment vertical="center"/>
    </xf>
    <xf numFmtId="0" fontId="96" fillId="0" borderId="41" applyNumberFormat="0" applyFill="0" applyAlignment="0" applyProtection="0">
      <alignment vertical="center"/>
    </xf>
    <xf numFmtId="0" fontId="97" fillId="0" borderId="42" applyNumberFormat="0" applyFill="0" applyAlignment="0" applyProtection="0">
      <alignment vertical="center"/>
    </xf>
    <xf numFmtId="0" fontId="97" fillId="0" borderId="0" applyNumberFormat="0" applyFill="0" applyBorder="0" applyAlignment="0" applyProtection="0">
      <alignment vertical="center"/>
    </xf>
    <xf numFmtId="0" fontId="98" fillId="44" borderId="43" applyNumberFormat="0" applyAlignment="0" applyProtection="0">
      <alignment vertical="center"/>
    </xf>
    <xf numFmtId="0" fontId="99" fillId="45" borderId="44" applyNumberFormat="0" applyAlignment="0" applyProtection="0">
      <alignment vertical="center"/>
    </xf>
    <xf numFmtId="0" fontId="100" fillId="45" borderId="43" applyNumberFormat="0" applyAlignment="0" applyProtection="0">
      <alignment vertical="center"/>
    </xf>
    <xf numFmtId="0" fontId="101" fillId="46" borderId="45" applyNumberFormat="0" applyAlignment="0" applyProtection="0">
      <alignment vertical="center"/>
    </xf>
    <xf numFmtId="0" fontId="102" fillId="0" borderId="46" applyNumberFormat="0" applyFill="0" applyAlignment="0" applyProtection="0">
      <alignment vertical="center"/>
    </xf>
    <xf numFmtId="0" fontId="103" fillId="0" borderId="47" applyNumberFormat="0" applyFill="0" applyAlignment="0" applyProtection="0">
      <alignment vertical="center"/>
    </xf>
    <xf numFmtId="0" fontId="104" fillId="47" borderId="0" applyNumberFormat="0" applyBorder="0" applyAlignment="0" applyProtection="0">
      <alignment vertical="center"/>
    </xf>
    <xf numFmtId="0" fontId="105" fillId="48" borderId="0" applyNumberFormat="0" applyBorder="0" applyAlignment="0" applyProtection="0">
      <alignment vertical="center"/>
    </xf>
    <xf numFmtId="0" fontId="106" fillId="49" borderId="0" applyNumberFormat="0" applyBorder="0" applyAlignment="0" applyProtection="0">
      <alignment vertical="center"/>
    </xf>
    <xf numFmtId="0" fontId="107" fillId="50" borderId="0" applyNumberFormat="0" applyBorder="0" applyAlignment="0" applyProtection="0">
      <alignment vertical="center"/>
    </xf>
    <xf numFmtId="0" fontId="108" fillId="51" borderId="0" applyNumberFormat="0" applyBorder="0" applyAlignment="0" applyProtection="0">
      <alignment vertical="center"/>
    </xf>
    <xf numFmtId="0" fontId="108" fillId="52" borderId="0" applyNumberFormat="0" applyBorder="0" applyAlignment="0" applyProtection="0">
      <alignment vertical="center"/>
    </xf>
    <xf numFmtId="0" fontId="107" fillId="53" borderId="0" applyNumberFormat="0" applyBorder="0" applyAlignment="0" applyProtection="0">
      <alignment vertical="center"/>
    </xf>
    <xf numFmtId="0" fontId="107" fillId="54" borderId="0" applyNumberFormat="0" applyBorder="0" applyAlignment="0" applyProtection="0">
      <alignment vertical="center"/>
    </xf>
    <xf numFmtId="0" fontId="108" fillId="55" borderId="0" applyNumberFormat="0" applyBorder="0" applyAlignment="0" applyProtection="0">
      <alignment vertical="center"/>
    </xf>
    <xf numFmtId="0" fontId="108" fillId="56" borderId="0" applyNumberFormat="0" applyBorder="0" applyAlignment="0" applyProtection="0">
      <alignment vertical="center"/>
    </xf>
    <xf numFmtId="0" fontId="107" fillId="57" borderId="0" applyNumberFormat="0" applyBorder="0" applyAlignment="0" applyProtection="0">
      <alignment vertical="center"/>
    </xf>
    <xf numFmtId="0" fontId="107" fillId="58" borderId="0" applyNumberFormat="0" applyBorder="0" applyAlignment="0" applyProtection="0">
      <alignment vertical="center"/>
    </xf>
    <xf numFmtId="0" fontId="108" fillId="59" borderId="0" applyNumberFormat="0" applyBorder="0" applyAlignment="0" applyProtection="0">
      <alignment vertical="center"/>
    </xf>
    <xf numFmtId="0" fontId="108" fillId="60" borderId="0" applyNumberFormat="0" applyBorder="0" applyAlignment="0" applyProtection="0">
      <alignment vertical="center"/>
    </xf>
    <xf numFmtId="0" fontId="107" fillId="61" borderId="0" applyNumberFormat="0" applyBorder="0" applyAlignment="0" applyProtection="0">
      <alignment vertical="center"/>
    </xf>
    <xf numFmtId="0" fontId="107" fillId="62" borderId="0" applyNumberFormat="0" applyBorder="0" applyAlignment="0" applyProtection="0">
      <alignment vertical="center"/>
    </xf>
    <xf numFmtId="0" fontId="108" fillId="63" borderId="0" applyNumberFormat="0" applyBorder="0" applyAlignment="0" applyProtection="0">
      <alignment vertical="center"/>
    </xf>
    <xf numFmtId="0" fontId="108" fillId="64" borderId="0" applyNumberFormat="0" applyBorder="0" applyAlignment="0" applyProtection="0">
      <alignment vertical="center"/>
    </xf>
    <xf numFmtId="0" fontId="107" fillId="65" borderId="0" applyNumberFormat="0" applyBorder="0" applyAlignment="0" applyProtection="0">
      <alignment vertical="center"/>
    </xf>
    <xf numFmtId="0" fontId="107" fillId="66" borderId="0" applyNumberFormat="0" applyBorder="0" applyAlignment="0" applyProtection="0">
      <alignment vertical="center"/>
    </xf>
    <xf numFmtId="0" fontId="108" fillId="67" borderId="0" applyNumberFormat="0" applyBorder="0" applyAlignment="0" applyProtection="0">
      <alignment vertical="center"/>
    </xf>
    <xf numFmtId="0" fontId="108" fillId="68" borderId="0" applyNumberFormat="0" applyBorder="0" applyAlignment="0" applyProtection="0">
      <alignment vertical="center"/>
    </xf>
    <xf numFmtId="0" fontId="107" fillId="69" borderId="0" applyNumberFormat="0" applyBorder="0" applyAlignment="0" applyProtection="0">
      <alignment vertical="center"/>
    </xf>
    <xf numFmtId="0" fontId="107" fillId="70" borderId="0" applyNumberFormat="0" applyBorder="0" applyAlignment="0" applyProtection="0">
      <alignment vertical="center"/>
    </xf>
    <xf numFmtId="0" fontId="108" fillId="71" borderId="0" applyNumberFormat="0" applyBorder="0" applyAlignment="0" applyProtection="0">
      <alignment vertical="center"/>
    </xf>
    <xf numFmtId="0" fontId="108" fillId="72" borderId="0" applyNumberFormat="0" applyBorder="0" applyAlignment="0" applyProtection="0">
      <alignment vertical="center"/>
    </xf>
    <xf numFmtId="0" fontId="107" fillId="73" borderId="0" applyNumberFormat="0" applyBorder="0" applyAlignment="0" applyProtection="0">
      <alignment vertical="center"/>
    </xf>
  </cellStyleXfs>
  <cellXfs count="643">
    <xf numFmtId="0" fontId="0" fillId="0" borderId="0" xfId="0" applyFont="1" applyAlignment="1"/>
    <xf numFmtId="0" fontId="1" fillId="0" borderId="0" xfId="0" applyFont="1"/>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178" fontId="2" fillId="0" borderId="0" xfId="0" applyNumberFormat="1" applyFont="1" applyAlignment="1">
      <alignment horizontal="center"/>
    </xf>
    <xf numFmtId="0" fontId="2" fillId="0" borderId="0" xfId="0" applyFont="1" applyAlignment="1">
      <alignment horizontal="center"/>
    </xf>
    <xf numFmtId="179" fontId="2" fillId="0" borderId="0" xfId="0" applyNumberFormat="1" applyFont="1" applyAlignment="1">
      <alignment horizontal="center"/>
    </xf>
    <xf numFmtId="178" fontId="3" fillId="2" borderId="0" xfId="0" applyNumberFormat="1" applyFont="1" applyFill="1" applyAlignment="1">
      <alignment horizontal="center"/>
    </xf>
    <xf numFmtId="0" fontId="3" fillId="2" borderId="0" xfId="0" applyFont="1" applyFill="1" applyAlignment="1">
      <alignment horizontal="center"/>
    </xf>
    <xf numFmtId="179" fontId="3" fillId="2" borderId="0" xfId="0" applyNumberFormat="1" applyFont="1" applyFill="1" applyAlignment="1">
      <alignment horizontal="center"/>
    </xf>
    <xf numFmtId="0" fontId="3" fillId="0" borderId="0" xfId="0" applyFont="1" applyAlignment="1">
      <alignment horizontal="center"/>
    </xf>
    <xf numFmtId="178" fontId="3" fillId="3" borderId="0" xfId="0" applyNumberFormat="1" applyFont="1" applyFill="1" applyAlignment="1">
      <alignment horizontal="center"/>
    </xf>
    <xf numFmtId="0" fontId="3" fillId="3" borderId="0" xfId="0" applyFont="1" applyFill="1" applyAlignment="1">
      <alignment horizontal="center"/>
    </xf>
    <xf numFmtId="179" fontId="3" fillId="3" borderId="0" xfId="0" applyNumberFormat="1" applyFont="1" applyFill="1" applyAlignment="1">
      <alignment horizontal="center"/>
    </xf>
    <xf numFmtId="178" fontId="3" fillId="4" borderId="0" xfId="0" applyNumberFormat="1" applyFont="1" applyFill="1" applyAlignment="1">
      <alignment horizontal="center"/>
    </xf>
    <xf numFmtId="0" fontId="3" fillId="4" borderId="0" xfId="0" applyFont="1" applyFill="1" applyAlignment="1">
      <alignment horizontal="center"/>
    </xf>
    <xf numFmtId="179" fontId="3" fillId="4" borderId="0" xfId="0" applyNumberFormat="1" applyFont="1" applyFill="1" applyAlignment="1">
      <alignment horizontal="center"/>
    </xf>
    <xf numFmtId="178" fontId="3" fillId="0" borderId="0" xfId="0" applyNumberFormat="1" applyFont="1" applyAlignment="1">
      <alignment horizontal="center"/>
    </xf>
    <xf numFmtId="179" fontId="3" fillId="0" borderId="0" xfId="0" applyNumberFormat="1" applyFont="1" applyAlignment="1">
      <alignment horizontal="center"/>
    </xf>
    <xf numFmtId="178" fontId="4" fillId="0" borderId="0" xfId="0" applyNumberFormat="1" applyFont="1" applyAlignment="1"/>
    <xf numFmtId="0" fontId="5" fillId="0" borderId="0" xfId="0" applyFont="1" applyAlignment="1"/>
    <xf numFmtId="178" fontId="3" fillId="0" borderId="0" xfId="0" applyNumberFormat="1" applyFont="1" applyAlignment="1"/>
    <xf numFmtId="179" fontId="3" fillId="0" borderId="0" xfId="0" applyNumberFormat="1" applyFont="1" applyAlignment="1"/>
    <xf numFmtId="0" fontId="3" fillId="0" borderId="0" xfId="0" applyFont="1" applyAlignment="1"/>
    <xf numFmtId="178" fontId="2" fillId="5" borderId="0" xfId="0" applyNumberFormat="1" applyFont="1" applyFill="1" applyAlignment="1">
      <alignment horizontal="center"/>
    </xf>
    <xf numFmtId="4" fontId="2" fillId="5" borderId="0" xfId="0" applyNumberFormat="1" applyFont="1" applyFill="1" applyAlignment="1">
      <alignment horizontal="center"/>
    </xf>
    <xf numFmtId="178" fontId="2" fillId="6" borderId="0" xfId="0" applyNumberFormat="1" applyFont="1" applyFill="1" applyAlignment="1">
      <alignment horizontal="center"/>
    </xf>
    <xf numFmtId="4" fontId="3" fillId="0" borderId="0" xfId="0" applyNumberFormat="1" applyFont="1" applyAlignment="1">
      <alignment horizontal="center"/>
    </xf>
    <xf numFmtId="0" fontId="3" fillId="6" borderId="0" xfId="0" applyFont="1" applyFill="1" applyAlignment="1">
      <alignment horizontal="center"/>
    </xf>
    <xf numFmtId="0" fontId="6" fillId="5" borderId="9" xfId="0" applyFont="1" applyFill="1" applyBorder="1" applyAlignment="1">
      <alignment horizontal="center"/>
    </xf>
    <xf numFmtId="180" fontId="6" fillId="5" borderId="9" xfId="0" applyNumberFormat="1" applyFont="1" applyFill="1" applyBorder="1" applyAlignment="1">
      <alignment horizontal="center"/>
    </xf>
    <xf numFmtId="0" fontId="7" fillId="0" borderId="0" xfId="0" applyFont="1"/>
    <xf numFmtId="0" fontId="8" fillId="5" borderId="9" xfId="0" applyFont="1" applyFill="1" applyBorder="1" applyAlignment="1">
      <alignment horizontal="center"/>
    </xf>
    <xf numFmtId="44" fontId="7" fillId="7" borderId="0" xfId="0" applyNumberFormat="1" applyFont="1" applyFill="1" applyBorder="1" applyAlignment="1"/>
    <xf numFmtId="0" fontId="7" fillId="7" borderId="0" xfId="0" applyFont="1" applyFill="1" applyBorder="1"/>
    <xf numFmtId="9" fontId="7" fillId="7" borderId="0" xfId="0" applyNumberFormat="1" applyFont="1" applyFill="1" applyBorder="1" applyAlignment="1">
      <alignment horizontal="center"/>
    </xf>
    <xf numFmtId="0" fontId="7" fillId="0" borderId="0" xfId="0" applyFont="1" applyAlignment="1"/>
    <xf numFmtId="44" fontId="7" fillId="0" borderId="0" xfId="0" applyNumberFormat="1" applyFont="1" applyAlignment="1">
      <alignment horizontal="center"/>
    </xf>
    <xf numFmtId="44" fontId="7" fillId="7" borderId="0" xfId="0" applyNumberFormat="1" applyFont="1" applyFill="1" applyBorder="1" applyAlignment="1">
      <alignment horizontal="center"/>
    </xf>
    <xf numFmtId="0" fontId="6" fillId="5" borderId="10" xfId="0" applyFont="1" applyFill="1" applyBorder="1"/>
    <xf numFmtId="0" fontId="9" fillId="5" borderId="11" xfId="0" applyFont="1" applyFill="1" applyBorder="1"/>
    <xf numFmtId="9" fontId="6" fillId="5" borderId="9" xfId="0" applyNumberFormat="1" applyFont="1" applyFill="1" applyBorder="1" applyAlignment="1">
      <alignment horizontal="center"/>
    </xf>
    <xf numFmtId="44" fontId="7" fillId="7" borderId="0" xfId="0" applyNumberFormat="1" applyFont="1" applyFill="1" applyBorder="1"/>
    <xf numFmtId="44" fontId="7" fillId="0" borderId="0" xfId="0" applyNumberFormat="1" applyFont="1" applyAlignment="1"/>
    <xf numFmtId="179" fontId="7" fillId="0" borderId="0" xfId="0" applyNumberFormat="1" applyFont="1"/>
    <xf numFmtId="180" fontId="6" fillId="0" borderId="0" xfId="0" applyNumberFormat="1" applyFont="1" applyAlignment="1">
      <alignment horizontal="center"/>
    </xf>
    <xf numFmtId="180" fontId="7" fillId="0" borderId="0" xfId="0" applyNumberFormat="1" applyFont="1"/>
    <xf numFmtId="44" fontId="7" fillId="0" borderId="0" xfId="0" applyNumberFormat="1" applyFont="1"/>
    <xf numFmtId="9" fontId="7" fillId="0" borderId="0" xfId="0" applyNumberFormat="1" applyFont="1"/>
    <xf numFmtId="0" fontId="10" fillId="5" borderId="9" xfId="0" applyFont="1" applyFill="1" applyBorder="1" applyAlignment="1">
      <alignment horizontal="center"/>
    </xf>
    <xf numFmtId="0" fontId="7" fillId="0" borderId="0" xfId="0" applyFont="1" applyAlignment="1">
      <alignment horizontal="center"/>
    </xf>
    <xf numFmtId="0" fontId="11" fillId="5" borderId="9" xfId="0" applyFont="1" applyFill="1" applyBorder="1" applyAlignment="1"/>
    <xf numFmtId="0" fontId="12" fillId="0" borderId="0" xfId="0" applyFont="1"/>
    <xf numFmtId="0" fontId="11" fillId="0" borderId="0" xfId="0" applyFont="1" applyAlignment="1">
      <alignment horizontal="right"/>
    </xf>
    <xf numFmtId="9" fontId="13" fillId="7" borderId="10" xfId="0" applyNumberFormat="1" applyFont="1" applyFill="1" applyBorder="1"/>
    <xf numFmtId="2" fontId="7" fillId="0" borderId="0" xfId="0" applyNumberFormat="1" applyFont="1" applyAlignment="1">
      <alignment horizontal="center"/>
    </xf>
    <xf numFmtId="2" fontId="7" fillId="0" borderId="0" xfId="0" applyNumberFormat="1" applyFont="1"/>
    <xf numFmtId="0" fontId="14" fillId="8" borderId="0" xfId="0" applyFont="1" applyFill="1" applyBorder="1" applyAlignment="1">
      <alignment horizontal="center"/>
    </xf>
    <xf numFmtId="2" fontId="15" fillId="0" borderId="0" xfId="0" applyNumberFormat="1" applyFont="1" applyAlignment="1">
      <alignment horizontal="left"/>
    </xf>
    <xf numFmtId="1" fontId="7" fillId="0" borderId="0" xfId="0" applyNumberFormat="1" applyFont="1"/>
    <xf numFmtId="0" fontId="6" fillId="9" borderId="9" xfId="0" applyFont="1" applyFill="1" applyBorder="1" applyAlignment="1">
      <alignment horizontal="center"/>
    </xf>
    <xf numFmtId="2" fontId="6" fillId="9" borderId="9" xfId="0" applyNumberFormat="1" applyFont="1" applyFill="1" applyBorder="1" applyAlignment="1">
      <alignment horizontal="center"/>
    </xf>
    <xf numFmtId="1" fontId="6" fillId="9" borderId="9" xfId="0" applyNumberFormat="1" applyFont="1" applyFill="1" applyBorder="1" applyAlignment="1">
      <alignment horizontal="center"/>
    </xf>
    <xf numFmtId="0" fontId="16" fillId="0" borderId="12" xfId="0" applyFont="1" applyBorder="1" applyAlignment="1">
      <alignment horizontal="center"/>
    </xf>
    <xf numFmtId="2" fontId="1" fillId="0" borderId="12" xfId="0" applyNumberFormat="1" applyFont="1" applyBorder="1" applyAlignment="1">
      <alignment horizontal="center"/>
    </xf>
    <xf numFmtId="0" fontId="1" fillId="0" borderId="12" xfId="0" applyFont="1" applyBorder="1"/>
    <xf numFmtId="2" fontId="7" fillId="7" borderId="0" xfId="0" applyNumberFormat="1" applyFont="1" applyFill="1" applyBorder="1" applyAlignment="1">
      <alignment horizontal="center"/>
    </xf>
    <xf numFmtId="0" fontId="17" fillId="7" borderId="0" xfId="0" applyFont="1" applyFill="1" applyBorder="1" applyAlignment="1">
      <alignment horizontal="center"/>
    </xf>
    <xf numFmtId="2" fontId="7" fillId="7" borderId="0" xfId="0" applyNumberFormat="1" applyFont="1" applyFill="1" applyBorder="1"/>
    <xf numFmtId="1" fontId="7" fillId="7" borderId="0" xfId="0" applyNumberFormat="1" applyFont="1" applyFill="1" applyBorder="1"/>
    <xf numFmtId="2" fontId="7" fillId="0" borderId="12" xfId="0" applyNumberFormat="1" applyFont="1" applyBorder="1" applyAlignment="1">
      <alignment horizontal="center"/>
    </xf>
    <xf numFmtId="0" fontId="7" fillId="0" borderId="12" xfId="0" applyFont="1" applyBorder="1"/>
    <xf numFmtId="2" fontId="7" fillId="0" borderId="12" xfId="0" applyNumberFormat="1" applyFont="1" applyBorder="1"/>
    <xf numFmtId="1" fontId="7" fillId="0" borderId="12" xfId="0" applyNumberFormat="1" applyFont="1" applyBorder="1"/>
    <xf numFmtId="0" fontId="17" fillId="6" borderId="0" xfId="0" applyFont="1" applyFill="1" applyAlignment="1">
      <alignment horizontal="left"/>
    </xf>
    <xf numFmtId="1" fontId="7" fillId="7" borderId="0" xfId="0" applyNumberFormat="1" applyFont="1" applyFill="1" applyBorder="1" applyAlignment="1"/>
    <xf numFmtId="2" fontId="7" fillId="7" borderId="0" xfId="0" applyNumberFormat="1" applyFont="1" applyFill="1" applyBorder="1" applyAlignment="1"/>
    <xf numFmtId="0" fontId="16" fillId="0" borderId="0" xfId="0" applyFont="1" applyAlignment="1">
      <alignment horizontal="center"/>
    </xf>
    <xf numFmtId="1" fontId="11" fillId="0" borderId="0" xfId="0" applyNumberFormat="1" applyFont="1" applyAlignment="1">
      <alignment horizontal="right"/>
    </xf>
    <xf numFmtId="0" fontId="13" fillId="7" borderId="9" xfId="0" applyFont="1" applyFill="1" applyBorder="1" applyAlignment="1">
      <alignment horizontal="center"/>
    </xf>
    <xf numFmtId="9" fontId="7" fillId="0" borderId="0" xfId="0" applyNumberFormat="1" applyFont="1" applyAlignment="1">
      <alignment horizontal="center"/>
    </xf>
    <xf numFmtId="44" fontId="6" fillId="9" borderId="9" xfId="0" applyNumberFormat="1" applyFont="1" applyFill="1" applyBorder="1" applyAlignment="1">
      <alignment horizontal="center"/>
    </xf>
    <xf numFmtId="9" fontId="6" fillId="9" borderId="9" xfId="0" applyNumberFormat="1" applyFont="1" applyFill="1" applyBorder="1" applyAlignment="1">
      <alignment horizontal="center"/>
    </xf>
    <xf numFmtId="44" fontId="1" fillId="0" borderId="12" xfId="0" applyNumberFormat="1" applyFont="1" applyBorder="1"/>
    <xf numFmtId="9" fontId="7" fillId="0" borderId="12" xfId="0" applyNumberFormat="1" applyFont="1" applyBorder="1" applyAlignment="1">
      <alignment horizontal="center"/>
    </xf>
    <xf numFmtId="44" fontId="7" fillId="0" borderId="12" xfId="0" applyNumberFormat="1" applyFont="1" applyBorder="1"/>
    <xf numFmtId="8" fontId="7" fillId="7" borderId="0" xfId="0" applyNumberFormat="1" applyFont="1" applyFill="1" applyBorder="1" applyAlignment="1"/>
    <xf numFmtId="8" fontId="7" fillId="7" borderId="0" xfId="0" applyNumberFormat="1" applyFont="1" applyFill="1" applyBorder="1"/>
    <xf numFmtId="0" fontId="7" fillId="7" borderId="0" xfId="0" applyFont="1" applyFill="1" applyBorder="1" applyAlignment="1">
      <alignment horizontal="center"/>
    </xf>
    <xf numFmtId="0" fontId="18" fillId="0" borderId="10" xfId="0" applyFont="1" applyBorder="1" applyAlignment="1">
      <alignment horizontal="center" vertical="top"/>
    </xf>
    <xf numFmtId="0" fontId="19" fillId="0" borderId="13" xfId="0" applyFont="1" applyBorder="1"/>
    <xf numFmtId="0" fontId="20" fillId="10" borderId="9" xfId="0" applyFont="1" applyFill="1" applyBorder="1"/>
    <xf numFmtId="0" fontId="21" fillId="11" borderId="9" xfId="0" applyFont="1" applyFill="1" applyBorder="1"/>
    <xf numFmtId="0" fontId="21" fillId="11" borderId="9" xfId="0" applyFont="1" applyFill="1" applyBorder="1" applyAlignment="1">
      <alignment horizontal="center"/>
    </xf>
    <xf numFmtId="6" fontId="21" fillId="11" borderId="9" xfId="0" applyNumberFormat="1" applyFont="1" applyFill="1" applyBorder="1" applyAlignment="1">
      <alignment horizontal="center"/>
    </xf>
    <xf numFmtId="0" fontId="22" fillId="0" borderId="9" xfId="0" applyFont="1" applyBorder="1"/>
    <xf numFmtId="0" fontId="22" fillId="0" borderId="9" xfId="0" applyFont="1" applyBorder="1" applyAlignment="1">
      <alignment horizontal="center"/>
    </xf>
    <xf numFmtId="0" fontId="23" fillId="0" borderId="9" xfId="0" applyFont="1" applyBorder="1" applyAlignment="1">
      <alignment horizontal="center"/>
    </xf>
    <xf numFmtId="0" fontId="24" fillId="0" borderId="9" xfId="0" applyFont="1" applyBorder="1" applyAlignment="1">
      <alignment horizontal="center"/>
    </xf>
    <xf numFmtId="2" fontId="22" fillId="0" borderId="9" xfId="0" applyNumberFormat="1" applyFont="1" applyBorder="1"/>
    <xf numFmtId="0" fontId="20" fillId="12" borderId="9" xfId="0" applyFont="1" applyFill="1" applyBorder="1"/>
    <xf numFmtId="0" fontId="20" fillId="13" borderId="9" xfId="0" applyFont="1" applyFill="1" applyBorder="1"/>
    <xf numFmtId="0" fontId="20" fillId="14" borderId="9" xfId="0" applyFont="1" applyFill="1" applyBorder="1"/>
    <xf numFmtId="0" fontId="22" fillId="15" borderId="9" xfId="0" applyFont="1" applyFill="1" applyBorder="1"/>
    <xf numFmtId="0" fontId="24" fillId="15" borderId="9" xfId="0" applyFont="1" applyFill="1" applyBorder="1" applyAlignment="1">
      <alignment horizontal="center"/>
    </xf>
    <xf numFmtId="0" fontId="22" fillId="15" borderId="9" xfId="0" applyFont="1" applyFill="1" applyBorder="1" applyAlignment="1">
      <alignment horizontal="center"/>
    </xf>
    <xf numFmtId="0" fontId="25" fillId="0" borderId="9" xfId="0" applyFont="1" applyBorder="1" applyAlignment="1">
      <alignment horizontal="center"/>
    </xf>
    <xf numFmtId="0" fontId="20" fillId="16" borderId="9" xfId="0" applyFont="1" applyFill="1" applyBorder="1"/>
    <xf numFmtId="0" fontId="20" fillId="17" borderId="9" xfId="0" applyFont="1" applyFill="1" applyBorder="1"/>
    <xf numFmtId="8" fontId="22" fillId="0" borderId="9" xfId="0" applyNumberFormat="1" applyFont="1" applyBorder="1"/>
    <xf numFmtId="0" fontId="20" fillId="18" borderId="9" xfId="0" applyFont="1" applyFill="1" applyBorder="1"/>
    <xf numFmtId="0" fontId="19" fillId="0" borderId="11" xfId="0" applyFont="1" applyBorder="1"/>
    <xf numFmtId="0" fontId="26" fillId="0" borderId="0" xfId="0" applyFont="1"/>
    <xf numFmtId="6" fontId="22" fillId="0" borderId="9" xfId="0" applyNumberFormat="1" applyFont="1" applyBorder="1" applyAlignment="1">
      <alignment horizontal="center"/>
    </xf>
    <xf numFmtId="6" fontId="22" fillId="0" borderId="9" xfId="0" applyNumberFormat="1" applyFont="1" applyBorder="1"/>
    <xf numFmtId="0" fontId="22" fillId="0" borderId="0" xfId="0" applyFont="1"/>
    <xf numFmtId="0" fontId="22" fillId="0" borderId="0" xfId="0" applyFont="1" applyAlignment="1">
      <alignment horizontal="center"/>
    </xf>
    <xf numFmtId="0" fontId="27" fillId="0" borderId="0" xfId="0" applyFont="1" applyAlignment="1">
      <alignment horizontal="center"/>
    </xf>
    <xf numFmtId="0" fontId="20" fillId="0" borderId="0" xfId="0" applyFont="1" applyAlignment="1">
      <alignment vertical="center"/>
    </xf>
    <xf numFmtId="0" fontId="20" fillId="0" borderId="5" xfId="0" applyFont="1" applyBorder="1" applyAlignment="1">
      <alignment vertical="center"/>
    </xf>
    <xf numFmtId="0" fontId="28" fillId="0" borderId="0" xfId="0" applyFont="1"/>
    <xf numFmtId="0" fontId="22" fillId="0" borderId="10" xfId="0" applyFont="1" applyBorder="1" applyAlignment="1">
      <alignment horizontal="left" vertical="center"/>
    </xf>
    <xf numFmtId="0" fontId="20" fillId="19" borderId="9" xfId="0" applyFont="1" applyFill="1" applyBorder="1"/>
    <xf numFmtId="0" fontId="22" fillId="19" borderId="9" xfId="0" applyFont="1" applyFill="1" applyBorder="1" applyAlignment="1">
      <alignment horizontal="center"/>
    </xf>
    <xf numFmtId="0" fontId="20" fillId="19" borderId="10" xfId="0" applyFont="1" applyFill="1" applyBorder="1" applyAlignment="1">
      <alignment horizontal="right"/>
    </xf>
    <xf numFmtId="0" fontId="22" fillId="12" borderId="9" xfId="0" applyFont="1" applyFill="1" applyBorder="1" applyAlignment="1">
      <alignment horizontal="center"/>
    </xf>
    <xf numFmtId="0" fontId="20" fillId="12" borderId="10" xfId="0" applyFont="1" applyFill="1" applyBorder="1" applyAlignment="1">
      <alignment horizontal="right"/>
    </xf>
    <xf numFmtId="0" fontId="22" fillId="13" borderId="9" xfId="0" applyFont="1" applyFill="1" applyBorder="1" applyAlignment="1">
      <alignment horizontal="center"/>
    </xf>
    <xf numFmtId="0" fontId="20" fillId="13" borderId="10" xfId="0" applyFont="1" applyFill="1" applyBorder="1"/>
    <xf numFmtId="0" fontId="20" fillId="13" borderId="13" xfId="0" applyFont="1" applyFill="1" applyBorder="1"/>
    <xf numFmtId="0" fontId="22" fillId="13" borderId="13" xfId="0" applyFont="1" applyFill="1" applyBorder="1"/>
    <xf numFmtId="0" fontId="20" fillId="13" borderId="11" xfId="0" applyFont="1" applyFill="1" applyBorder="1"/>
    <xf numFmtId="0" fontId="22" fillId="14" borderId="9" xfId="0" applyFont="1" applyFill="1" applyBorder="1" applyAlignment="1">
      <alignment horizontal="center"/>
    </xf>
    <xf numFmtId="0" fontId="23" fillId="15" borderId="9" xfId="0" applyFont="1" applyFill="1" applyBorder="1" applyAlignment="1">
      <alignment horizontal="center"/>
    </xf>
    <xf numFmtId="0" fontId="23" fillId="0" borderId="9" xfId="0" applyFont="1" applyBorder="1"/>
    <xf numFmtId="0" fontId="20" fillId="14" borderId="10" xfId="0" applyFont="1" applyFill="1" applyBorder="1" applyAlignment="1">
      <alignment horizontal="right"/>
    </xf>
    <xf numFmtId="0" fontId="22" fillId="16" borderId="9" xfId="0" applyFont="1" applyFill="1" applyBorder="1" applyAlignment="1">
      <alignment horizontal="center"/>
    </xf>
    <xf numFmtId="0" fontId="20" fillId="16" borderId="10" xfId="0" applyFont="1" applyFill="1" applyBorder="1" applyAlignment="1">
      <alignment horizontal="right"/>
    </xf>
    <xf numFmtId="0" fontId="22" fillId="17" borderId="9" xfId="0" applyFont="1" applyFill="1" applyBorder="1" applyAlignment="1">
      <alignment horizontal="center"/>
    </xf>
    <xf numFmtId="0" fontId="20" fillId="17" borderId="10" xfId="0" applyFont="1" applyFill="1" applyBorder="1" applyAlignment="1">
      <alignment horizontal="right"/>
    </xf>
    <xf numFmtId="0" fontId="29" fillId="20" borderId="9" xfId="0" applyFont="1" applyFill="1" applyBorder="1"/>
    <xf numFmtId="0" fontId="21" fillId="20" borderId="9" xfId="0" applyFont="1" applyFill="1" applyBorder="1" applyAlignment="1">
      <alignment horizontal="center"/>
    </xf>
    <xf numFmtId="0" fontId="22" fillId="18" borderId="14" xfId="0" applyFont="1" applyFill="1" applyBorder="1" applyAlignment="1">
      <alignment horizontal="center"/>
    </xf>
    <xf numFmtId="2" fontId="20" fillId="21" borderId="9" xfId="0" applyNumberFormat="1" applyFont="1" applyFill="1" applyBorder="1"/>
    <xf numFmtId="6" fontId="22" fillId="0" borderId="0" xfId="0" applyNumberFormat="1" applyFont="1"/>
    <xf numFmtId="0" fontId="20" fillId="18" borderId="10" xfId="0" applyFont="1" applyFill="1" applyBorder="1" applyAlignment="1">
      <alignment horizontal="right"/>
    </xf>
    <xf numFmtId="0" fontId="22" fillId="0" borderId="4" xfId="0" applyFont="1" applyBorder="1"/>
    <xf numFmtId="0" fontId="22" fillId="15" borderId="0" xfId="0" applyFont="1" applyFill="1" applyBorder="1"/>
    <xf numFmtId="2" fontId="22" fillId="15" borderId="9" xfId="0" applyNumberFormat="1" applyFont="1" applyFill="1" applyBorder="1" applyAlignment="1">
      <alignment horizontal="right"/>
    </xf>
    <xf numFmtId="8" fontId="22" fillId="0" borderId="0" xfId="0" applyNumberFormat="1" applyFont="1"/>
    <xf numFmtId="0" fontId="22" fillId="0" borderId="10" xfId="0" applyFont="1" applyBorder="1" applyAlignment="1">
      <alignment vertical="center"/>
    </xf>
    <xf numFmtId="0" fontId="22" fillId="0" borderId="11" xfId="0" applyFont="1" applyBorder="1"/>
    <xf numFmtId="20" fontId="22" fillId="0" borderId="0" xfId="0" applyNumberFormat="1" applyFont="1"/>
    <xf numFmtId="0" fontId="21" fillId="20" borderId="1" xfId="0" applyFont="1" applyFill="1" applyBorder="1" applyAlignment="1">
      <alignment horizontal="right"/>
    </xf>
    <xf numFmtId="0" fontId="19" fillId="0" borderId="2" xfId="0" applyFont="1" applyBorder="1"/>
    <xf numFmtId="0" fontId="19" fillId="0" borderId="3" xfId="0" applyFont="1" applyBorder="1"/>
    <xf numFmtId="2" fontId="21" fillId="20" borderId="9" xfId="0" applyNumberFormat="1" applyFont="1" applyFill="1" applyBorder="1"/>
    <xf numFmtId="2" fontId="22" fillId="0" borderId="0" xfId="0" applyNumberFormat="1" applyFont="1"/>
    <xf numFmtId="0" fontId="30" fillId="0" borderId="0" xfId="0" applyFont="1" applyAlignment="1"/>
    <xf numFmtId="0" fontId="1" fillId="0" borderId="0" xfId="0" applyFont="1" applyAlignment="1">
      <alignment horizontal="center"/>
    </xf>
    <xf numFmtId="0" fontId="31" fillId="0" borderId="10" xfId="0" applyFont="1" applyBorder="1"/>
    <xf numFmtId="0" fontId="1" fillId="0" borderId="9" xfId="0" applyFont="1" applyBorder="1"/>
    <xf numFmtId="0" fontId="1" fillId="0" borderId="9" xfId="0" applyFont="1" applyBorder="1" applyAlignment="1">
      <alignment horizontal="center"/>
    </xf>
    <xf numFmtId="0" fontId="1" fillId="0" borderId="10" xfId="0" applyFont="1" applyBorder="1"/>
    <xf numFmtId="0" fontId="1" fillId="22" borderId="1" xfId="0" applyFont="1" applyFill="1" applyBorder="1"/>
    <xf numFmtId="0" fontId="1" fillId="22" borderId="2" xfId="0" applyFont="1" applyFill="1" applyBorder="1" applyAlignment="1">
      <alignment horizontal="center"/>
    </xf>
    <xf numFmtId="0" fontId="1" fillId="22" borderId="2" xfId="0" applyFont="1" applyFill="1" applyBorder="1"/>
    <xf numFmtId="0" fontId="1" fillId="22" borderId="4" xfId="0" applyFont="1" applyFill="1" applyBorder="1"/>
    <xf numFmtId="0" fontId="1" fillId="5" borderId="0" xfId="0" applyFont="1" applyFill="1" applyAlignment="1">
      <alignment horizontal="center"/>
    </xf>
    <xf numFmtId="0" fontId="1" fillId="22" borderId="6" xfId="0" applyFont="1" applyFill="1" applyBorder="1"/>
    <xf numFmtId="0" fontId="1" fillId="0" borderId="7" xfId="0" applyFont="1" applyBorder="1" applyAlignment="1">
      <alignment horizontal="center"/>
    </xf>
    <xf numFmtId="0" fontId="1" fillId="5" borderId="7" xfId="0" applyFont="1" applyFill="1" applyBorder="1" applyAlignment="1">
      <alignment horizontal="center"/>
    </xf>
    <xf numFmtId="0" fontId="1" fillId="23" borderId="0" xfId="0" applyFont="1" applyFill="1" applyAlignment="1">
      <alignment horizontal="center"/>
    </xf>
    <xf numFmtId="0" fontId="1" fillId="5" borderId="9" xfId="0" applyFont="1" applyFill="1" applyBorder="1" applyAlignment="1">
      <alignment horizontal="center"/>
    </xf>
    <xf numFmtId="0" fontId="1" fillId="5" borderId="2" xfId="0" applyFont="1" applyFill="1" applyBorder="1" applyAlignment="1">
      <alignment horizontal="center"/>
    </xf>
    <xf numFmtId="0" fontId="1" fillId="22" borderId="3" xfId="0" applyFont="1" applyFill="1" applyBorder="1"/>
    <xf numFmtId="0" fontId="1" fillId="22" borderId="0" xfId="0" applyFont="1" applyFill="1"/>
    <xf numFmtId="0" fontId="32" fillId="24" borderId="15" xfId="0" applyFont="1" applyFill="1" applyBorder="1" applyAlignment="1">
      <alignment horizontal="center" vertical="center" wrapText="1"/>
    </xf>
    <xf numFmtId="0" fontId="19" fillId="0" borderId="16" xfId="0" applyFont="1" applyBorder="1"/>
    <xf numFmtId="0" fontId="19" fillId="0" borderId="17" xfId="0" applyFont="1" applyBorder="1"/>
    <xf numFmtId="0" fontId="33" fillId="24" borderId="0" xfId="0" applyFont="1" applyFill="1" applyAlignment="1">
      <alignment horizontal="center" vertical="center" wrapText="1"/>
    </xf>
    <xf numFmtId="0" fontId="33" fillId="24" borderId="18" xfId="0" applyFont="1" applyFill="1" applyBorder="1" applyAlignment="1">
      <alignment horizontal="center" vertical="center" wrapText="1"/>
    </xf>
    <xf numFmtId="0" fontId="33" fillId="24" borderId="19" xfId="0" applyFont="1" applyFill="1" applyBorder="1" applyAlignment="1">
      <alignment horizontal="center" vertical="center" wrapText="1"/>
    </xf>
    <xf numFmtId="0" fontId="34" fillId="24" borderId="0" xfId="0" applyFont="1" applyFill="1" applyAlignment="1">
      <alignment horizontal="center" vertical="center" wrapText="1"/>
    </xf>
    <xf numFmtId="0" fontId="3" fillId="0" borderId="20" xfId="0" applyFont="1" applyBorder="1" applyAlignment="1"/>
    <xf numFmtId="0" fontId="3" fillId="0" borderId="21" xfId="0" applyFont="1" applyBorder="1" applyAlignment="1"/>
    <xf numFmtId="0" fontId="3" fillId="0" borderId="22" xfId="0" applyFont="1" applyBorder="1" applyAlignment="1"/>
    <xf numFmtId="0" fontId="35" fillId="0" borderId="0" xfId="0" applyFont="1" applyAlignment="1">
      <alignment horizontal="center" vertical="center" textRotation="90"/>
    </xf>
    <xf numFmtId="0" fontId="3" fillId="25" borderId="21" xfId="0" applyFont="1" applyFill="1" applyBorder="1" applyAlignment="1"/>
    <xf numFmtId="0" fontId="3" fillId="0" borderId="23" xfId="0" applyFont="1" applyBorder="1" applyAlignment="1"/>
    <xf numFmtId="0" fontId="3" fillId="0" borderId="24" xfId="0" applyFont="1" applyBorder="1" applyAlignment="1"/>
    <xf numFmtId="0" fontId="3" fillId="0" borderId="2" xfId="0" applyFont="1" applyBorder="1" applyAlignment="1"/>
    <xf numFmtId="0" fontId="3" fillId="0" borderId="25" xfId="0" applyFont="1" applyBorder="1" applyAlignment="1"/>
    <xf numFmtId="0" fontId="19" fillId="0" borderId="26" xfId="0" applyFont="1" applyBorder="1"/>
    <xf numFmtId="0" fontId="3" fillId="25" borderId="2" xfId="0" applyFont="1" applyFill="1" applyBorder="1" applyAlignment="1"/>
    <xf numFmtId="0" fontId="3" fillId="0" borderId="3" xfId="0" applyFont="1" applyBorder="1" applyAlignment="1"/>
    <xf numFmtId="0" fontId="3" fillId="26" borderId="18" xfId="0" applyFont="1" applyFill="1" applyBorder="1" applyAlignment="1"/>
    <xf numFmtId="0" fontId="3" fillId="26" borderId="0" xfId="0" applyFont="1" applyFill="1" applyAlignment="1"/>
    <xf numFmtId="0" fontId="3" fillId="26" borderId="19" xfId="0" applyFont="1" applyFill="1" applyBorder="1" applyAlignment="1"/>
    <xf numFmtId="0" fontId="3" fillId="5" borderId="0" xfId="0" applyFont="1" applyFill="1" applyAlignment="1"/>
    <xf numFmtId="0" fontId="3" fillId="27" borderId="5" xfId="0" applyFont="1" applyFill="1" applyBorder="1" applyAlignment="1"/>
    <xf numFmtId="0" fontId="3" fillId="0" borderId="18" xfId="0" applyFont="1" applyBorder="1" applyAlignment="1"/>
    <xf numFmtId="0" fontId="3" fillId="0" borderId="19" xfId="0" applyFont="1" applyBorder="1" applyAlignment="1"/>
    <xf numFmtId="0" fontId="3" fillId="25" borderId="0" xfId="0" applyFont="1" applyFill="1" applyAlignment="1"/>
    <xf numFmtId="0" fontId="3" fillId="0" borderId="5" xfId="0" applyFont="1" applyBorder="1" applyAlignment="1"/>
    <xf numFmtId="0" fontId="3" fillId="26" borderId="5" xfId="0" applyFont="1" applyFill="1" applyBorder="1" applyAlignment="1"/>
    <xf numFmtId="0" fontId="36" fillId="0" borderId="5" xfId="0" applyFont="1" applyBorder="1" applyAlignment="1"/>
    <xf numFmtId="180" fontId="33" fillId="24" borderId="18" xfId="0" applyNumberFormat="1" applyFont="1" applyFill="1" applyBorder="1" applyAlignment="1">
      <alignment horizontal="center" vertical="center" wrapText="1"/>
    </xf>
    <xf numFmtId="180" fontId="3" fillId="0" borderId="18" xfId="0" applyNumberFormat="1" applyFont="1" applyBorder="1" applyAlignment="1">
      <alignment horizontal="center"/>
    </xf>
    <xf numFmtId="0" fontId="37" fillId="0" borderId="0" xfId="0" applyFont="1" applyAlignment="1">
      <alignment horizontal="right"/>
    </xf>
    <xf numFmtId="180" fontId="3" fillId="26" borderId="18" xfId="0" applyNumberFormat="1" applyFont="1" applyFill="1" applyBorder="1" applyAlignment="1">
      <alignment horizontal="center"/>
    </xf>
    <xf numFmtId="0" fontId="37" fillId="26" borderId="0" xfId="0" applyFont="1" applyFill="1" applyAlignment="1">
      <alignment horizontal="right"/>
    </xf>
    <xf numFmtId="0" fontId="32" fillId="24" borderId="16" xfId="0" applyFont="1" applyFill="1" applyBorder="1" applyAlignment="1">
      <alignment horizontal="center" vertical="center" wrapText="1"/>
    </xf>
    <xf numFmtId="0" fontId="38" fillId="24" borderId="0" xfId="0" applyFont="1" applyFill="1" applyAlignment="1">
      <alignment horizontal="center" vertical="center" wrapText="1"/>
    </xf>
    <xf numFmtId="0" fontId="39" fillId="24" borderId="0" xfId="0" applyFont="1" applyFill="1" applyAlignment="1">
      <alignment horizontal="center" vertical="center" wrapText="1"/>
    </xf>
    <xf numFmtId="180" fontId="33" fillId="24" borderId="0" xfId="0" applyNumberFormat="1" applyFont="1" applyFill="1" applyAlignment="1">
      <alignment horizontal="center" vertical="center" wrapText="1"/>
    </xf>
    <xf numFmtId="180" fontId="2" fillId="24" borderId="19" xfId="0" applyNumberFormat="1" applyFont="1" applyFill="1" applyBorder="1" applyAlignment="1">
      <alignment horizontal="center" vertical="center" wrapText="1"/>
    </xf>
    <xf numFmtId="0" fontId="2" fillId="0" borderId="0" xfId="0" applyFont="1" applyAlignment="1"/>
    <xf numFmtId="0" fontId="40" fillId="0" borderId="21" xfId="0" applyFont="1" applyBorder="1" applyAlignment="1"/>
    <xf numFmtId="0" fontId="41" fillId="0" borderId="21" xfId="0" applyFont="1" applyBorder="1" applyAlignment="1"/>
    <xf numFmtId="180" fontId="2" fillId="0" borderId="21" xfId="0" applyNumberFormat="1" applyFont="1" applyBorder="1" applyAlignment="1"/>
    <xf numFmtId="180" fontId="3" fillId="0" borderId="21" xfId="0" applyNumberFormat="1" applyFont="1" applyBorder="1" applyAlignment="1"/>
    <xf numFmtId="9" fontId="3" fillId="0" borderId="21" xfId="0" applyNumberFormat="1" applyFont="1" applyBorder="1" applyAlignment="1"/>
    <xf numFmtId="180" fontId="3" fillId="4" borderId="22" xfId="0" applyNumberFormat="1" applyFont="1" applyFill="1" applyBorder="1" applyAlignment="1"/>
    <xf numFmtId="0" fontId="40" fillId="0" borderId="2" xfId="0" applyFont="1" applyBorder="1" applyAlignment="1"/>
    <xf numFmtId="0" fontId="41" fillId="0" borderId="2" xfId="0" applyFont="1" applyBorder="1" applyAlignment="1"/>
    <xf numFmtId="180" fontId="2" fillId="0" borderId="2" xfId="0" applyNumberFormat="1" applyFont="1" applyBorder="1" applyAlignment="1"/>
    <xf numFmtId="180" fontId="3" fillId="0" borderId="2" xfId="0" applyNumberFormat="1" applyFont="1" applyBorder="1" applyAlignment="1"/>
    <xf numFmtId="9" fontId="3" fillId="0" borderId="2" xfId="0" applyNumberFormat="1" applyFont="1" applyBorder="1" applyAlignment="1"/>
    <xf numFmtId="180" fontId="3" fillId="4" borderId="25" xfId="0" applyNumberFormat="1" applyFont="1" applyFill="1" applyBorder="1" applyAlignment="1"/>
    <xf numFmtId="0" fontId="40" fillId="26" borderId="0" xfId="0" applyFont="1" applyFill="1" applyAlignment="1"/>
    <xf numFmtId="0" fontId="41" fillId="26" borderId="0" xfId="0" applyFont="1" applyFill="1" applyAlignment="1"/>
    <xf numFmtId="180" fontId="2" fillId="26" borderId="0" xfId="0" applyNumberFormat="1" applyFont="1" applyFill="1" applyAlignment="1"/>
    <xf numFmtId="180" fontId="3" fillId="26" borderId="0" xfId="0" applyNumberFormat="1" applyFont="1" applyFill="1" applyAlignment="1"/>
    <xf numFmtId="9" fontId="3" fillId="26" borderId="0" xfId="0" applyNumberFormat="1" applyFont="1" applyFill="1" applyAlignment="1"/>
    <xf numFmtId="180" fontId="3" fillId="26" borderId="19" xfId="0" applyNumberFormat="1" applyFont="1" applyFill="1" applyBorder="1" applyAlignment="1"/>
    <xf numFmtId="0" fontId="40" fillId="0" borderId="0" xfId="0" applyFont="1" applyAlignment="1"/>
    <xf numFmtId="0" fontId="41" fillId="0" borderId="0" xfId="0" applyFont="1" applyAlignment="1"/>
    <xf numFmtId="180" fontId="2" fillId="0" borderId="0" xfId="0" applyNumberFormat="1" applyFont="1" applyAlignment="1"/>
    <xf numFmtId="180" fontId="3" fillId="0" borderId="0" xfId="0" applyNumberFormat="1" applyFont="1" applyAlignment="1"/>
    <xf numFmtId="9" fontId="3" fillId="0" borderId="0" xfId="0" applyNumberFormat="1" applyFont="1" applyAlignment="1"/>
    <xf numFmtId="180" fontId="3" fillId="4" borderId="19" xfId="0" applyNumberFormat="1" applyFont="1" applyFill="1" applyBorder="1" applyAlignment="1"/>
    <xf numFmtId="0" fontId="42" fillId="24" borderId="0" xfId="0" applyFont="1" applyFill="1" applyAlignment="1">
      <alignment horizontal="center" vertical="center" wrapText="1"/>
    </xf>
    <xf numFmtId="4" fontId="33" fillId="24" borderId="0" xfId="0" applyNumberFormat="1" applyFont="1" applyFill="1" applyAlignment="1">
      <alignment horizontal="center" vertical="center" wrapText="1"/>
    </xf>
    <xf numFmtId="0" fontId="2" fillId="0" borderId="21" xfId="0" applyFont="1" applyBorder="1" applyAlignment="1"/>
    <xf numFmtId="0" fontId="36" fillId="0" borderId="21" xfId="0" applyFont="1" applyBorder="1" applyAlignment="1"/>
    <xf numFmtId="180" fontId="3" fillId="4" borderId="0" xfId="0" applyNumberFormat="1" applyFont="1" applyFill="1" applyAlignment="1"/>
    <xf numFmtId="4" fontId="3" fillId="4" borderId="21" xfId="0" applyNumberFormat="1" applyFont="1" applyFill="1" applyBorder="1" applyAlignment="1"/>
    <xf numFmtId="0" fontId="2" fillId="0" borderId="2" xfId="0" applyFont="1" applyBorder="1" applyAlignment="1"/>
    <xf numFmtId="0" fontId="36" fillId="0" borderId="2" xfId="0" applyFont="1" applyBorder="1" applyAlignment="1"/>
    <xf numFmtId="4" fontId="3" fillId="4" borderId="2" xfId="0" applyNumberFormat="1" applyFont="1" applyFill="1" applyBorder="1" applyAlignment="1"/>
    <xf numFmtId="0" fontId="2" fillId="26" borderId="0" xfId="0" applyFont="1" applyFill="1" applyAlignment="1"/>
    <xf numFmtId="0" fontId="36" fillId="26" borderId="0" xfId="0" applyFont="1" applyFill="1" applyAlignment="1"/>
    <xf numFmtId="4" fontId="3" fillId="26" borderId="0" xfId="0" applyNumberFormat="1" applyFont="1" applyFill="1" applyAlignment="1"/>
    <xf numFmtId="0" fontId="36" fillId="0" borderId="0" xfId="0" applyFont="1" applyAlignment="1"/>
    <xf numFmtId="4" fontId="3" fillId="4" borderId="0" xfId="0" applyNumberFormat="1" applyFont="1" applyFill="1" applyAlignment="1"/>
    <xf numFmtId="9" fontId="37" fillId="0" borderId="21" xfId="0" applyNumberFormat="1" applyFont="1" applyBorder="1" applyAlignment="1">
      <alignment horizontal="right"/>
    </xf>
    <xf numFmtId="180" fontId="3" fillId="4" borderId="21" xfId="0" applyNumberFormat="1" applyFont="1" applyFill="1" applyBorder="1" applyAlignment="1"/>
    <xf numFmtId="9" fontId="37" fillId="0" borderId="2" xfId="0" applyNumberFormat="1" applyFont="1" applyBorder="1" applyAlignment="1">
      <alignment horizontal="right"/>
    </xf>
    <xf numFmtId="180" fontId="3" fillId="4" borderId="2" xfId="0" applyNumberFormat="1" applyFont="1" applyFill="1" applyBorder="1" applyAlignment="1"/>
    <xf numFmtId="9" fontId="37" fillId="26" borderId="0" xfId="0" applyNumberFormat="1" applyFont="1" applyFill="1" applyAlignment="1">
      <alignment horizontal="right"/>
    </xf>
    <xf numFmtId="9" fontId="37" fillId="0" borderId="0" xfId="0" applyNumberFormat="1" applyFont="1" applyAlignment="1">
      <alignment horizontal="right"/>
    </xf>
    <xf numFmtId="180" fontId="32" fillId="24" borderId="15" xfId="0" applyNumberFormat="1" applyFont="1" applyFill="1" applyBorder="1" applyAlignment="1">
      <alignment horizontal="center" vertical="center" wrapText="1"/>
    </xf>
    <xf numFmtId="0" fontId="32" fillId="24" borderId="15" xfId="0" applyFont="1" applyFill="1" applyBorder="1" applyAlignment="1">
      <alignment horizontal="center" vertical="center"/>
    </xf>
    <xf numFmtId="180" fontId="2" fillId="24" borderId="18" xfId="0" applyNumberFormat="1" applyFont="1" applyFill="1" applyBorder="1" applyAlignment="1">
      <alignment horizontal="center" vertical="center" wrapText="1"/>
    </xf>
    <xf numFmtId="180" fontId="2" fillId="24" borderId="0" xfId="0" applyNumberFormat="1" applyFont="1" applyFill="1" applyAlignment="1">
      <alignment horizontal="center" vertical="center" wrapText="1"/>
    </xf>
    <xf numFmtId="0" fontId="33" fillId="24" borderId="18" xfId="0" applyFont="1" applyFill="1" applyBorder="1" applyAlignment="1">
      <alignment horizontal="center" vertical="center"/>
    </xf>
    <xf numFmtId="180" fontId="3" fillId="4" borderId="20" xfId="0" applyNumberFormat="1" applyFont="1" applyFill="1" applyBorder="1" applyAlignment="1">
      <alignment horizontal="right"/>
    </xf>
    <xf numFmtId="180" fontId="3" fillId="4" borderId="21" xfId="0" applyNumberFormat="1" applyFont="1" applyFill="1" applyBorder="1" applyAlignment="1">
      <alignment horizontal="right"/>
    </xf>
    <xf numFmtId="180" fontId="3" fillId="4" borderId="19" xfId="0" applyNumberFormat="1" applyFont="1" applyFill="1" applyBorder="1" applyAlignment="1">
      <alignment horizontal="right"/>
    </xf>
    <xf numFmtId="180" fontId="3" fillId="4" borderId="24" xfId="0" applyNumberFormat="1" applyFont="1" applyFill="1" applyBorder="1" applyAlignment="1">
      <alignment horizontal="right"/>
    </xf>
    <xf numFmtId="180" fontId="3" fillId="4" borderId="2" xfId="0" applyNumberFormat="1" applyFont="1" applyFill="1" applyBorder="1" applyAlignment="1">
      <alignment horizontal="right"/>
    </xf>
    <xf numFmtId="180" fontId="3" fillId="26" borderId="18" xfId="0" applyNumberFormat="1" applyFont="1" applyFill="1" applyBorder="1" applyAlignment="1">
      <alignment horizontal="right"/>
    </xf>
    <xf numFmtId="180" fontId="3" fillId="26" borderId="0" xfId="0" applyNumberFormat="1" applyFont="1" applyFill="1" applyAlignment="1">
      <alignment horizontal="right"/>
    </xf>
    <xf numFmtId="180" fontId="3" fillId="26" borderId="19" xfId="0" applyNumberFormat="1" applyFont="1" applyFill="1" applyBorder="1" applyAlignment="1">
      <alignment horizontal="right"/>
    </xf>
    <xf numFmtId="0" fontId="43" fillId="26" borderId="18" xfId="0" applyFont="1" applyFill="1" applyBorder="1" applyAlignment="1"/>
    <xf numFmtId="180" fontId="3" fillId="4" borderId="18" xfId="0" applyNumberFormat="1" applyFont="1" applyFill="1" applyBorder="1" applyAlignment="1">
      <alignment horizontal="right"/>
    </xf>
    <xf numFmtId="180" fontId="3" fillId="4" borderId="0" xfId="0" applyNumberFormat="1" applyFont="1" applyFill="1" applyAlignment="1">
      <alignment horizontal="right"/>
    </xf>
    <xf numFmtId="181" fontId="33" fillId="24" borderId="0" xfId="0" applyNumberFormat="1" applyFont="1" applyFill="1" applyAlignment="1">
      <alignment horizontal="center" vertical="center" wrapText="1"/>
    </xf>
    <xf numFmtId="181" fontId="3" fillId="4" borderId="0" xfId="0" applyNumberFormat="1" applyFont="1" applyFill="1" applyAlignment="1"/>
    <xf numFmtId="10" fontId="3" fillId="4" borderId="0" xfId="0" applyNumberFormat="1" applyFont="1" applyFill="1" applyAlignment="1"/>
    <xf numFmtId="10" fontId="3" fillId="26" borderId="0" xfId="0" applyNumberFormat="1" applyFont="1" applyFill="1" applyAlignment="1"/>
    <xf numFmtId="0" fontId="3" fillId="4" borderId="0" xfId="0" applyFont="1" applyFill="1" applyAlignment="1"/>
    <xf numFmtId="178" fontId="3" fillId="0" borderId="18" xfId="0" applyNumberFormat="1" applyFont="1" applyBorder="1" applyAlignment="1"/>
    <xf numFmtId="178" fontId="3" fillId="0" borderId="19" xfId="0" applyNumberFormat="1" applyFont="1" applyBorder="1" applyAlignment="1"/>
    <xf numFmtId="182" fontId="3" fillId="0" borderId="0" xfId="0" applyNumberFormat="1" applyFont="1"/>
    <xf numFmtId="182" fontId="3" fillId="0" borderId="1" xfId="0" applyNumberFormat="1" applyFont="1" applyBorder="1" applyAlignment="1"/>
    <xf numFmtId="182" fontId="3" fillId="0" borderId="3" xfId="0" applyNumberFormat="1" applyFont="1" applyBorder="1"/>
    <xf numFmtId="182" fontId="2" fillId="0" borderId="6" xfId="0" applyNumberFormat="1" applyFont="1" applyBorder="1" applyAlignment="1"/>
    <xf numFmtId="182" fontId="2" fillId="0" borderId="8" xfId="0" applyNumberFormat="1" applyFont="1" applyBorder="1" applyAlignment="1"/>
    <xf numFmtId="1" fontId="3" fillId="0" borderId="0" xfId="0" applyNumberFormat="1" applyFont="1"/>
    <xf numFmtId="1" fontId="2" fillId="0" borderId="0" xfId="0" applyNumberFormat="1" applyFont="1"/>
    <xf numFmtId="10" fontId="3" fillId="0" borderId="0" xfId="0" applyNumberFormat="1" applyFont="1"/>
    <xf numFmtId="1" fontId="3" fillId="0" borderId="0" xfId="0" applyNumberFormat="1" applyFont="1" applyAlignment="1"/>
    <xf numFmtId="1" fontId="2" fillId="0" borderId="0" xfId="0" applyNumberFormat="1" applyFont="1" applyAlignment="1"/>
    <xf numFmtId="1" fontId="3" fillId="28" borderId="0" xfId="0" applyNumberFormat="1" applyFont="1" applyFill="1"/>
    <xf numFmtId="1" fontId="3" fillId="28" borderId="0" xfId="0" applyNumberFormat="1" applyFont="1" applyFill="1" applyAlignment="1"/>
    <xf numFmtId="1" fontId="2" fillId="28" borderId="0" xfId="0" applyNumberFormat="1" applyFont="1" applyFill="1"/>
    <xf numFmtId="10" fontId="3" fillId="28" borderId="0" xfId="0" applyNumberFormat="1" applyFont="1" applyFill="1"/>
    <xf numFmtId="10" fontId="3" fillId="0" borderId="0" xfId="0" applyNumberFormat="1" applyFont="1" applyAlignment="1"/>
    <xf numFmtId="0" fontId="2" fillId="0" borderId="0" xfId="0" applyFont="1"/>
    <xf numFmtId="0" fontId="3" fillId="28" borderId="0" xfId="0" applyFont="1" applyFill="1"/>
    <xf numFmtId="0" fontId="3" fillId="0" borderId="0" xfId="0" applyFont="1"/>
    <xf numFmtId="0" fontId="31" fillId="0" borderId="0" xfId="0" applyFont="1" applyAlignment="1"/>
    <xf numFmtId="0" fontId="44" fillId="0" borderId="0" xfId="0" applyFont="1" applyAlignment="1"/>
    <xf numFmtId="0" fontId="44" fillId="0" borderId="0" xfId="0" applyFont="1" applyAlignment="1">
      <alignment horizontal="right"/>
    </xf>
    <xf numFmtId="0" fontId="1" fillId="0" borderId="0" xfId="0" applyFont="1" applyAlignment="1"/>
    <xf numFmtId="0" fontId="1" fillId="0" borderId="0" xfId="0" applyFont="1" applyAlignment="1">
      <alignment horizontal="right"/>
    </xf>
    <xf numFmtId="0" fontId="45" fillId="28" borderId="0" xfId="0" applyFont="1" applyFill="1" applyAlignment="1">
      <alignment horizontal="center"/>
    </xf>
    <xf numFmtId="0" fontId="45" fillId="29" borderId="0" xfId="0" applyFont="1" applyFill="1" applyAlignment="1">
      <alignment horizontal="center" wrapText="1"/>
    </xf>
    <xf numFmtId="0" fontId="31" fillId="28" borderId="0" xfId="0" applyFont="1" applyFill="1" applyAlignment="1"/>
    <xf numFmtId="0" fontId="1" fillId="28" borderId="0" xfId="0" applyFont="1" applyFill="1" applyAlignment="1"/>
    <xf numFmtId="0" fontId="1" fillId="30" borderId="0" xfId="0" applyFont="1" applyFill="1" applyAlignment="1"/>
    <xf numFmtId="183" fontId="27" fillId="0" borderId="0" xfId="0" applyNumberFormat="1" applyFont="1"/>
    <xf numFmtId="0" fontId="46" fillId="0" borderId="0" xfId="0" applyFont="1" applyAlignment="1">
      <alignment horizontal="right"/>
    </xf>
    <xf numFmtId="2" fontId="46" fillId="0" borderId="0" xfId="0" applyNumberFormat="1" applyFont="1" applyAlignment="1">
      <alignment horizontal="right"/>
    </xf>
    <xf numFmtId="2" fontId="46" fillId="30" borderId="0" xfId="0" applyNumberFormat="1" applyFont="1" applyFill="1" applyAlignment="1">
      <alignment horizontal="right"/>
    </xf>
    <xf numFmtId="183" fontId="27" fillId="0" borderId="0" xfId="0" applyNumberFormat="1" applyFont="1" applyAlignment="1"/>
    <xf numFmtId="0" fontId="3" fillId="6" borderId="0" xfId="0" applyFont="1" applyFill="1"/>
    <xf numFmtId="0" fontId="46" fillId="6" borderId="0" xfId="0" applyFont="1" applyFill="1" applyAlignment="1">
      <alignment horizontal="right"/>
    </xf>
    <xf numFmtId="2" fontId="1" fillId="0" borderId="0" xfId="0" applyNumberFormat="1" applyFont="1" applyAlignment="1"/>
    <xf numFmtId="180" fontId="47" fillId="31" borderId="0" xfId="0" applyNumberFormat="1" applyFont="1" applyFill="1" applyAlignment="1">
      <alignment horizontal="right"/>
    </xf>
    <xf numFmtId="180" fontId="46" fillId="0" borderId="0" xfId="0" applyNumberFormat="1" applyFont="1" applyAlignment="1">
      <alignment horizontal="right"/>
    </xf>
    <xf numFmtId="180" fontId="1" fillId="0" borderId="0" xfId="0" applyNumberFormat="1" applyFont="1" applyAlignment="1">
      <alignment horizontal="right"/>
    </xf>
    <xf numFmtId="9" fontId="48" fillId="0" borderId="0" xfId="0" applyNumberFormat="1" applyFont="1" applyAlignment="1">
      <alignment horizontal="right"/>
    </xf>
    <xf numFmtId="180" fontId="31" fillId="31" borderId="0" xfId="0" applyNumberFormat="1" applyFont="1" applyFill="1" applyAlignment="1">
      <alignment horizontal="right"/>
    </xf>
    <xf numFmtId="0" fontId="49" fillId="0" borderId="0" xfId="0" applyFont="1" applyAlignment="1">
      <alignment horizontal="left"/>
    </xf>
    <xf numFmtId="0" fontId="50" fillId="0" borderId="0" xfId="0" applyFont="1" applyAlignment="1">
      <alignment horizontal="left" vertical="center" wrapText="1"/>
    </xf>
    <xf numFmtId="0" fontId="51" fillId="0" borderId="0" xfId="0" applyFont="1" applyAlignment="1">
      <alignment horizontal="center"/>
    </xf>
    <xf numFmtId="0" fontId="51" fillId="32" borderId="0" xfId="0" applyFont="1" applyFill="1" applyAlignment="1">
      <alignment horizontal="center"/>
    </xf>
    <xf numFmtId="0" fontId="49" fillId="0" borderId="0" xfId="0" applyFont="1"/>
    <xf numFmtId="3" fontId="49" fillId="0" borderId="0" xfId="0" applyNumberFormat="1" applyFont="1"/>
    <xf numFmtId="0" fontId="52" fillId="33" borderId="0" xfId="0" applyFont="1" applyFill="1" applyAlignment="1"/>
    <xf numFmtId="0" fontId="49" fillId="0" borderId="0" xfId="0" applyFont="1" applyAlignment="1"/>
    <xf numFmtId="3" fontId="49" fillId="0" borderId="0" xfId="0" applyNumberFormat="1" applyFont="1" applyAlignment="1"/>
    <xf numFmtId="0" fontId="53" fillId="0" borderId="0" xfId="0" applyFont="1" applyAlignment="1"/>
    <xf numFmtId="0" fontId="54" fillId="0" borderId="0" xfId="0" applyFont="1" applyAlignment="1">
      <alignment horizontal="right"/>
    </xf>
    <xf numFmtId="0" fontId="55" fillId="0" borderId="0" xfId="0" applyFont="1" applyAlignment="1"/>
    <xf numFmtId="0" fontId="56" fillId="0" borderId="0" xfId="0" applyFont="1"/>
    <xf numFmtId="0" fontId="54" fillId="0" borderId="0" xfId="0" applyFont="1" applyAlignment="1"/>
    <xf numFmtId="0" fontId="57" fillId="0" borderId="0" xfId="0" applyFont="1" applyAlignment="1"/>
    <xf numFmtId="0" fontId="57" fillId="0" borderId="0" xfId="0" applyFont="1" applyAlignment="1">
      <alignment horizontal="right"/>
    </xf>
    <xf numFmtId="0" fontId="58" fillId="0" borderId="0" xfId="0" applyFont="1"/>
    <xf numFmtId="0" fontId="55" fillId="0" borderId="0" xfId="0" applyFont="1"/>
    <xf numFmtId="2" fontId="49" fillId="0" borderId="0" xfId="0" applyNumberFormat="1" applyFont="1"/>
    <xf numFmtId="0" fontId="53" fillId="0" borderId="0" xfId="0" applyFont="1"/>
    <xf numFmtId="3" fontId="56" fillId="0" borderId="0" xfId="0" applyNumberFormat="1" applyFont="1"/>
    <xf numFmtId="0" fontId="56" fillId="0" borderId="0" xfId="0" applyFont="1" applyAlignment="1"/>
    <xf numFmtId="1" fontId="56" fillId="0" borderId="0" xfId="0" applyNumberFormat="1" applyFont="1" applyAlignment="1"/>
    <xf numFmtId="0" fontId="54" fillId="0" borderId="0" xfId="0" applyFont="1"/>
    <xf numFmtId="0" fontId="59" fillId="0" borderId="0" xfId="0" applyFont="1" applyAlignment="1"/>
    <xf numFmtId="0" fontId="60" fillId="0" borderId="0" xfId="0" applyFont="1" applyAlignment="1"/>
    <xf numFmtId="0" fontId="61" fillId="0" borderId="0" xfId="0" applyFont="1" applyAlignment="1">
      <alignment horizontal="center" wrapText="1"/>
    </xf>
    <xf numFmtId="0" fontId="62" fillId="0" borderId="0" xfId="0" applyFont="1" applyAlignment="1">
      <alignment horizontal="center"/>
    </xf>
    <xf numFmtId="180" fontId="3" fillId="0" borderId="0" xfId="0" applyNumberFormat="1" applyFont="1"/>
    <xf numFmtId="0" fontId="12" fillId="0" borderId="0" xfId="0" applyFont="1" applyAlignment="1">
      <alignment wrapText="1"/>
    </xf>
    <xf numFmtId="180" fontId="2" fillId="28" borderId="0" xfId="0" applyNumberFormat="1" applyFont="1" applyFill="1"/>
    <xf numFmtId="49" fontId="63" fillId="0" borderId="0" xfId="0" applyNumberFormat="1" applyFont="1"/>
    <xf numFmtId="0" fontId="64" fillId="0" borderId="0" xfId="0" applyFont="1" applyAlignment="1">
      <alignment horizontal="center"/>
    </xf>
    <xf numFmtId="0" fontId="64" fillId="0" borderId="0" xfId="0" applyFont="1"/>
    <xf numFmtId="180" fontId="64" fillId="0" borderId="0" xfId="0" applyNumberFormat="1" applyFont="1"/>
    <xf numFmtId="0" fontId="63" fillId="0" borderId="0" xfId="0" applyFont="1"/>
    <xf numFmtId="49" fontId="65" fillId="0" borderId="0" xfId="0" applyNumberFormat="1" applyFont="1"/>
    <xf numFmtId="49" fontId="66" fillId="34" borderId="0" xfId="0" applyNumberFormat="1" applyFont="1" applyFill="1" applyBorder="1"/>
    <xf numFmtId="0" fontId="67" fillId="0" borderId="0" xfId="0" applyFont="1" applyAlignment="1">
      <alignment horizontal="center"/>
    </xf>
    <xf numFmtId="0" fontId="68" fillId="0" borderId="0" xfId="0" applyFont="1"/>
    <xf numFmtId="180" fontId="68" fillId="0" borderId="0" xfId="0" applyNumberFormat="1" applyFont="1"/>
    <xf numFmtId="49" fontId="68" fillId="0" borderId="9" xfId="0" applyNumberFormat="1" applyFont="1" applyBorder="1"/>
    <xf numFmtId="0" fontId="68" fillId="0" borderId="0" xfId="0" applyFont="1" applyAlignment="1">
      <alignment horizontal="center"/>
    </xf>
    <xf numFmtId="1" fontId="68" fillId="0" borderId="9" xfId="0" applyNumberFormat="1" applyFont="1" applyBorder="1" applyAlignment="1">
      <alignment horizontal="center"/>
    </xf>
    <xf numFmtId="0" fontId="68" fillId="0" borderId="9" xfId="0" applyFont="1" applyBorder="1"/>
    <xf numFmtId="180" fontId="68" fillId="0" borderId="10" xfId="0" applyNumberFormat="1" applyFont="1" applyBorder="1" applyAlignment="1">
      <alignment horizontal="center"/>
    </xf>
    <xf numFmtId="0" fontId="69" fillId="0" borderId="9" xfId="0" applyFont="1" applyBorder="1" applyAlignment="1">
      <alignment horizontal="center"/>
    </xf>
    <xf numFmtId="0" fontId="68" fillId="35" borderId="9" xfId="0" applyFont="1" applyFill="1" applyBorder="1"/>
    <xf numFmtId="180" fontId="68" fillId="0" borderId="9" xfId="0" applyNumberFormat="1" applyFont="1" applyBorder="1"/>
    <xf numFmtId="180" fontId="69" fillId="0" borderId="9" xfId="0" applyNumberFormat="1" applyFont="1" applyBorder="1"/>
    <xf numFmtId="0" fontId="63" fillId="0" borderId="0" xfId="0" applyFont="1" applyAlignment="1"/>
    <xf numFmtId="49" fontId="67" fillId="0" borderId="10" xfId="0" applyNumberFormat="1" applyFont="1" applyBorder="1" applyAlignment="1">
      <alignment horizontal="center"/>
    </xf>
    <xf numFmtId="49" fontId="70" fillId="0" borderId="9" xfId="0" applyNumberFormat="1" applyFont="1" applyBorder="1" applyAlignment="1">
      <alignment horizontal="center"/>
    </xf>
    <xf numFmtId="0" fontId="70" fillId="5" borderId="9" xfId="0" applyFont="1" applyFill="1" applyBorder="1" applyAlignment="1">
      <alignment horizontal="center" wrapText="1"/>
    </xf>
    <xf numFmtId="0" fontId="70" fillId="0" borderId="9" xfId="0" applyFont="1" applyBorder="1" applyAlignment="1">
      <alignment horizontal="center"/>
    </xf>
    <xf numFmtId="180" fontId="70" fillId="36" borderId="9" xfId="0" applyNumberFormat="1" applyFont="1" applyFill="1" applyBorder="1" applyAlignment="1">
      <alignment horizontal="center" wrapText="1"/>
    </xf>
    <xf numFmtId="180" fontId="70" fillId="37" borderId="9" xfId="0" applyNumberFormat="1" applyFont="1" applyFill="1" applyBorder="1" applyAlignment="1">
      <alignment horizontal="center" wrapText="1"/>
    </xf>
    <xf numFmtId="49" fontId="68" fillId="5" borderId="0" xfId="0" applyNumberFormat="1" applyFont="1" applyFill="1" applyBorder="1"/>
    <xf numFmtId="0" fontId="68" fillId="34" borderId="9" xfId="0" applyFont="1" applyFill="1" applyBorder="1" applyAlignment="1">
      <alignment horizontal="center"/>
    </xf>
    <xf numFmtId="49" fontId="68" fillId="0" borderId="0" xfId="0" applyNumberFormat="1" applyFont="1"/>
    <xf numFmtId="44" fontId="68" fillId="0" borderId="9" xfId="0" applyNumberFormat="1" applyFont="1" applyBorder="1"/>
    <xf numFmtId="49" fontId="68" fillId="0" borderId="9" xfId="0" applyNumberFormat="1" applyFont="1" applyBorder="1" applyAlignment="1">
      <alignment horizontal="left" wrapText="1"/>
    </xf>
    <xf numFmtId="8" fontId="68" fillId="0" borderId="9" xfId="0" applyNumberFormat="1" applyFont="1" applyBorder="1"/>
    <xf numFmtId="44" fontId="68" fillId="0" borderId="9" xfId="0" applyNumberFormat="1" applyFont="1" applyBorder="1" applyAlignment="1">
      <alignment horizontal="center"/>
    </xf>
    <xf numFmtId="49" fontId="68" fillId="5" borderId="9" xfId="0" applyNumberFormat="1" applyFont="1" applyFill="1" applyBorder="1"/>
    <xf numFmtId="0" fontId="68" fillId="0" borderId="9" xfId="0" applyFont="1" applyBorder="1" applyAlignment="1">
      <alignment horizontal="center"/>
    </xf>
    <xf numFmtId="16" fontId="68" fillId="0" borderId="9" xfId="0" applyNumberFormat="1" applyFont="1" applyBorder="1"/>
    <xf numFmtId="16" fontId="68" fillId="0" borderId="9" xfId="0" applyNumberFormat="1" applyFont="1" applyBorder="1" applyAlignment="1">
      <alignment horizontal="center"/>
    </xf>
    <xf numFmtId="7" fontId="68" fillId="0" borderId="9" xfId="0" applyNumberFormat="1" applyFont="1" applyBorder="1"/>
    <xf numFmtId="0" fontId="71" fillId="0" borderId="9" xfId="0" applyFont="1" applyBorder="1"/>
    <xf numFmtId="0" fontId="71" fillId="0" borderId="9" xfId="0" applyFont="1" applyBorder="1" applyAlignment="1">
      <alignment horizontal="center"/>
    </xf>
    <xf numFmtId="7" fontId="71" fillId="0" borderId="9" xfId="0" applyNumberFormat="1" applyFont="1" applyBorder="1"/>
    <xf numFmtId="180" fontId="63" fillId="0" borderId="9" xfId="0" applyNumberFormat="1" applyFont="1" applyBorder="1"/>
    <xf numFmtId="49" fontId="64" fillId="0" borderId="9" xfId="0" applyNumberFormat="1" applyFont="1" applyBorder="1" applyAlignment="1">
      <alignment wrapText="1"/>
    </xf>
    <xf numFmtId="0" fontId="64" fillId="0" borderId="9" xfId="0" applyFont="1" applyBorder="1" applyAlignment="1">
      <alignment horizontal="center"/>
    </xf>
    <xf numFmtId="0" fontId="64" fillId="0" borderId="9" xfId="0" applyFont="1" applyBorder="1"/>
    <xf numFmtId="0" fontId="72" fillId="0" borderId="9" xfId="0" applyFont="1" applyBorder="1"/>
    <xf numFmtId="0" fontId="73" fillId="0" borderId="9" xfId="0" applyFont="1" applyBorder="1" applyAlignment="1">
      <alignment horizontal="center"/>
    </xf>
    <xf numFmtId="58" fontId="71" fillId="0" borderId="9" xfId="0" applyNumberFormat="1" applyFont="1" applyBorder="1"/>
    <xf numFmtId="49" fontId="63" fillId="0" borderId="0" xfId="0" applyNumberFormat="1" applyFont="1" applyAlignment="1">
      <alignment horizontal="center"/>
    </xf>
    <xf numFmtId="0" fontId="63" fillId="0" borderId="0" xfId="0" applyFont="1" applyAlignment="1">
      <alignment horizontal="center"/>
    </xf>
    <xf numFmtId="180" fontId="63" fillId="0" borderId="0" xfId="0" applyNumberFormat="1" applyFont="1"/>
    <xf numFmtId="49" fontId="64" fillId="0" borderId="0" xfId="0" applyNumberFormat="1" applyFont="1" applyAlignment="1">
      <alignment wrapText="1"/>
    </xf>
    <xf numFmtId="49" fontId="64" fillId="0" borderId="0" xfId="0" applyNumberFormat="1" applyFont="1"/>
    <xf numFmtId="0" fontId="3" fillId="29" borderId="0" xfId="0" applyFont="1" applyFill="1" applyAlignment="1"/>
    <xf numFmtId="3" fontId="3" fillId="0" borderId="0" xfId="0" applyNumberFormat="1" applyFont="1" applyAlignment="1"/>
    <xf numFmtId="0" fontId="74" fillId="0" borderId="0" xfId="0" applyFont="1" applyAlignment="1"/>
    <xf numFmtId="0" fontId="2" fillId="0" borderId="0" xfId="0" applyFont="1" applyAlignment="1">
      <alignment horizontal="center" vertical="center" wrapText="1"/>
    </xf>
    <xf numFmtId="180" fontId="2" fillId="0" borderId="0" xfId="0" applyNumberFormat="1" applyFont="1" applyAlignment="1">
      <alignment horizontal="center" vertical="center" wrapText="1"/>
    </xf>
    <xf numFmtId="0" fontId="75" fillId="38" borderId="0" xfId="0" applyFont="1" applyFill="1" applyAlignment="1">
      <alignment horizontal="center" vertical="center" wrapText="1"/>
    </xf>
    <xf numFmtId="0" fontId="2" fillId="0" borderId="0" xfId="0" applyFont="1" applyAlignment="1">
      <alignment horizontal="center" vertical="center"/>
    </xf>
    <xf numFmtId="0" fontId="75" fillId="38" borderId="18" xfId="0" applyFont="1" applyFill="1" applyBorder="1" applyAlignment="1">
      <alignment horizontal="center" vertical="center" wrapText="1"/>
    </xf>
    <xf numFmtId="0" fontId="75" fillId="8" borderId="0" xfId="0" applyFont="1" applyFill="1" applyAlignment="1">
      <alignment horizontal="center" vertical="center" wrapText="1"/>
    </xf>
    <xf numFmtId="0" fontId="2" fillId="0" borderId="18" xfId="0" applyFont="1" applyBorder="1" applyAlignment="1">
      <alignment horizontal="center" vertical="center"/>
    </xf>
    <xf numFmtId="0" fontId="3" fillId="39" borderId="0" xfId="0" applyFont="1" applyFill="1" applyAlignment="1"/>
    <xf numFmtId="0" fontId="46" fillId="6" borderId="0" xfId="0" applyFont="1" applyFill="1" applyAlignment="1">
      <alignment horizontal="left"/>
    </xf>
    <xf numFmtId="0" fontId="1" fillId="0" borderId="18" xfId="0" applyFont="1" applyBorder="1" applyAlignment="1">
      <alignment horizontal="center"/>
    </xf>
    <xf numFmtId="0" fontId="43" fillId="0" borderId="0" xfId="0" applyFont="1" applyAlignment="1"/>
    <xf numFmtId="0" fontId="3" fillId="8" borderId="0" xfId="0" applyFont="1" applyFill="1" applyAlignment="1"/>
    <xf numFmtId="0" fontId="75" fillId="40" borderId="0" xfId="0" applyFont="1" applyFill="1" applyAlignment="1">
      <alignment horizontal="center" vertical="center" wrapText="1"/>
    </xf>
    <xf numFmtId="182" fontId="3" fillId="0" borderId="0" xfId="0" applyNumberFormat="1" applyFont="1" applyAlignment="1"/>
    <xf numFmtId="182" fontId="1" fillId="0" borderId="0" xfId="0" applyNumberFormat="1" applyFont="1" applyAlignment="1">
      <alignment horizontal="center"/>
    </xf>
    <xf numFmtId="0" fontId="19" fillId="0" borderId="19" xfId="0" applyFont="1" applyBorder="1"/>
    <xf numFmtId="180" fontId="2" fillId="0" borderId="0" xfId="0" applyNumberFormat="1" applyFont="1" applyAlignment="1">
      <alignment horizontal="center" vertical="center"/>
    </xf>
    <xf numFmtId="0" fontId="19" fillId="0" borderId="27" xfId="0" applyFont="1" applyBorder="1"/>
    <xf numFmtId="180" fontId="2" fillId="0" borderId="28" xfId="0" applyNumberFormat="1" applyFont="1" applyBorder="1" applyAlignment="1">
      <alignment horizontal="center" vertical="center"/>
    </xf>
    <xf numFmtId="0" fontId="2" fillId="0" borderId="19" xfId="0" applyFont="1" applyBorder="1" applyAlignment="1">
      <alignment horizontal="center" vertical="center" wrapText="1"/>
    </xf>
    <xf numFmtId="180" fontId="2" fillId="0" borderId="29" xfId="0" applyNumberFormat="1" applyFont="1" applyBorder="1" applyAlignment="1">
      <alignment horizontal="center" vertical="center" wrapText="1"/>
    </xf>
    <xf numFmtId="180" fontId="2" fillId="0" borderId="30" xfId="0" applyNumberFormat="1" applyFont="1" applyBorder="1" applyAlignment="1">
      <alignment horizontal="center" vertical="center" wrapText="1"/>
    </xf>
    <xf numFmtId="1" fontId="3" fillId="28" borderId="0" xfId="0" applyNumberFormat="1" applyFont="1" applyFill="1" applyAlignment="1">
      <alignment wrapText="1"/>
    </xf>
    <xf numFmtId="180" fontId="3" fillId="28" borderId="0" xfId="0" applyNumberFormat="1" applyFont="1" applyFill="1" applyAlignment="1">
      <alignment wrapText="1"/>
    </xf>
    <xf numFmtId="0" fontId="3" fillId="0" borderId="19" xfId="0" applyFont="1" applyBorder="1" applyAlignment="1">
      <alignment wrapText="1"/>
    </xf>
    <xf numFmtId="180" fontId="3" fillId="0" borderId="28" xfId="0" applyNumberFormat="1" applyFont="1" applyBorder="1" applyAlignment="1"/>
    <xf numFmtId="180" fontId="3" fillId="0" borderId="27" xfId="0" applyNumberFormat="1" applyFont="1" applyBorder="1" applyAlignment="1"/>
    <xf numFmtId="180" fontId="3" fillId="0" borderId="28" xfId="0" applyNumberFormat="1" applyFont="1" applyBorder="1" applyAlignment="1">
      <alignment wrapText="1"/>
    </xf>
    <xf numFmtId="180" fontId="3" fillId="0" borderId="27" xfId="0" applyNumberFormat="1" applyFont="1" applyBorder="1" applyAlignment="1">
      <alignment wrapText="1"/>
    </xf>
    <xf numFmtId="0" fontId="3" fillId="28" borderId="0" xfId="0" applyFont="1" applyFill="1" applyAlignment="1">
      <alignment wrapText="1"/>
    </xf>
    <xf numFmtId="0" fontId="3" fillId="0" borderId="28" xfId="0" applyFont="1" applyBorder="1" applyAlignment="1"/>
    <xf numFmtId="1" fontId="1" fillId="28" borderId="0" xfId="0" applyNumberFormat="1" applyFont="1" applyFill="1" applyAlignment="1">
      <alignment horizontal="right" wrapText="1"/>
    </xf>
    <xf numFmtId="180" fontId="1" fillId="28" borderId="0" xfId="0" applyNumberFormat="1" applyFont="1" applyFill="1" applyAlignment="1">
      <alignment horizontal="right" wrapText="1"/>
    </xf>
    <xf numFmtId="0" fontId="1" fillId="0" borderId="19" xfId="0" applyFont="1" applyBorder="1" applyAlignment="1"/>
    <xf numFmtId="180" fontId="3" fillId="8" borderId="0" xfId="0" applyNumberFormat="1" applyFont="1" applyFill="1" applyAlignment="1"/>
    <xf numFmtId="180" fontId="3" fillId="0" borderId="0" xfId="0" applyNumberFormat="1" applyFont="1" applyAlignment="1">
      <alignment wrapText="1"/>
    </xf>
    <xf numFmtId="180" fontId="2" fillId="0" borderId="31" xfId="0" applyNumberFormat="1" applyFont="1" applyBorder="1" applyAlignment="1">
      <alignment horizontal="center" vertical="center"/>
    </xf>
    <xf numFmtId="180" fontId="2" fillId="0" borderId="32" xfId="0" applyNumberFormat="1" applyFont="1" applyBorder="1" applyAlignment="1">
      <alignment horizontal="center" vertical="center"/>
    </xf>
    <xf numFmtId="180" fontId="31" fillId="0" borderId="28" xfId="0" applyNumberFormat="1" applyFont="1" applyBorder="1" applyAlignment="1">
      <alignment horizontal="center" vertical="center"/>
    </xf>
    <xf numFmtId="180" fontId="2" fillId="0" borderId="7" xfId="0" applyNumberFormat="1" applyFont="1" applyBorder="1" applyAlignment="1">
      <alignment horizontal="center" vertical="center" wrapText="1"/>
    </xf>
    <xf numFmtId="180" fontId="2" fillId="0" borderId="33" xfId="0" applyNumberFormat="1" applyFont="1" applyBorder="1" applyAlignment="1">
      <alignment horizontal="center" vertical="center" wrapText="1"/>
    </xf>
    <xf numFmtId="0" fontId="19" fillId="0" borderId="34" xfId="0" applyFont="1" applyBorder="1"/>
    <xf numFmtId="180" fontId="31" fillId="0" borderId="29" xfId="0" applyNumberFormat="1" applyFont="1" applyBorder="1" applyAlignment="1">
      <alignment horizontal="center" vertical="center" wrapText="1"/>
    </xf>
    <xf numFmtId="180" fontId="31" fillId="0" borderId="35" xfId="0" applyNumberFormat="1" applyFont="1" applyBorder="1" applyAlignment="1">
      <alignment horizontal="center" vertical="center" wrapText="1"/>
    </xf>
    <xf numFmtId="180" fontId="3" fillId="28" borderId="31" xfId="0" applyNumberFormat="1" applyFont="1" applyFill="1" applyBorder="1" applyAlignment="1"/>
    <xf numFmtId="180" fontId="3" fillId="28" borderId="32" xfId="0" applyNumberFormat="1" applyFont="1" applyFill="1" applyBorder="1" applyAlignment="1"/>
    <xf numFmtId="10" fontId="1" fillId="4" borderId="28" xfId="0" applyNumberFormat="1" applyFont="1" applyFill="1" applyBorder="1" applyAlignment="1">
      <alignment horizontal="right"/>
    </xf>
    <xf numFmtId="10" fontId="1" fillId="4" borderId="36" xfId="0" applyNumberFormat="1" applyFont="1" applyFill="1" applyBorder="1" applyAlignment="1">
      <alignment horizontal="right"/>
    </xf>
    <xf numFmtId="180" fontId="3" fillId="28" borderId="28" xfId="0" applyNumberFormat="1" applyFont="1" applyFill="1" applyBorder="1" applyAlignment="1"/>
    <xf numFmtId="180" fontId="1" fillId="0" borderId="0" xfId="0" applyNumberFormat="1" applyFont="1" applyAlignment="1"/>
    <xf numFmtId="180" fontId="1" fillId="28" borderId="28" xfId="0" applyNumberFormat="1" applyFont="1" applyFill="1" applyBorder="1" applyAlignment="1"/>
    <xf numFmtId="10" fontId="1" fillId="41" borderId="28" xfId="0" applyNumberFormat="1" applyFont="1" applyFill="1" applyBorder="1" applyAlignment="1">
      <alignment horizontal="right"/>
    </xf>
    <xf numFmtId="10" fontId="1" fillId="41" borderId="36" xfId="0" applyNumberFormat="1" applyFont="1" applyFill="1" applyBorder="1" applyAlignment="1">
      <alignment horizontal="right"/>
    </xf>
    <xf numFmtId="10" fontId="1" fillId="41" borderId="19" xfId="0" applyNumberFormat="1" applyFont="1" applyFill="1" applyBorder="1" applyAlignment="1">
      <alignment horizontal="right"/>
    </xf>
    <xf numFmtId="10" fontId="1" fillId="4" borderId="19" xfId="0" applyNumberFormat="1" applyFont="1" applyFill="1" applyBorder="1" applyAlignment="1">
      <alignment horizontal="right"/>
    </xf>
    <xf numFmtId="10" fontId="1" fillId="4" borderId="0" xfId="0" applyNumberFormat="1" applyFont="1" applyFill="1" applyAlignment="1">
      <alignment horizontal="right"/>
    </xf>
    <xf numFmtId="180" fontId="3" fillId="28" borderId="0" xfId="0" applyNumberFormat="1" applyFont="1" applyFill="1" applyAlignment="1"/>
    <xf numFmtId="10" fontId="1" fillId="41" borderId="0" xfId="0" applyNumberFormat="1" applyFont="1" applyFill="1" applyAlignment="1">
      <alignment horizontal="right"/>
    </xf>
    <xf numFmtId="180" fontId="2" fillId="0" borderId="18" xfId="0" applyNumberFormat="1" applyFont="1" applyBorder="1" applyAlignment="1">
      <alignment horizontal="center" vertical="center"/>
    </xf>
    <xf numFmtId="180" fontId="31" fillId="0" borderId="0" xfId="0" applyNumberFormat="1" applyFont="1" applyAlignment="1">
      <alignment horizontal="center" vertical="center" wrapText="1"/>
    </xf>
    <xf numFmtId="9" fontId="76" fillId="6" borderId="18" xfId="0" applyNumberFormat="1" applyFont="1" applyFill="1" applyBorder="1" applyAlignment="1">
      <alignment horizontal="center" vertical="center"/>
    </xf>
    <xf numFmtId="180" fontId="31" fillId="0" borderId="7" xfId="0" applyNumberFormat="1" applyFont="1" applyBorder="1" applyAlignment="1">
      <alignment horizontal="center" vertical="center" wrapText="1"/>
    </xf>
    <xf numFmtId="180" fontId="31" fillId="0" borderId="19" xfId="0" applyNumberFormat="1" applyFont="1" applyBorder="1" applyAlignment="1">
      <alignment horizontal="center" vertical="center" wrapText="1"/>
    </xf>
    <xf numFmtId="180" fontId="3" fillId="28" borderId="27" xfId="0" applyNumberFormat="1" applyFont="1" applyFill="1" applyBorder="1" applyAlignment="1"/>
    <xf numFmtId="10" fontId="3" fillId="28" borderId="0" xfId="0" applyNumberFormat="1" applyFont="1" applyFill="1" applyAlignment="1"/>
    <xf numFmtId="180" fontId="3" fillId="4" borderId="18" xfId="0" applyNumberFormat="1" applyFont="1" applyFill="1" applyBorder="1" applyAlignment="1"/>
    <xf numFmtId="180" fontId="1" fillId="28" borderId="0" xfId="0" applyNumberFormat="1" applyFont="1" applyFill="1" applyAlignment="1">
      <alignment horizontal="right"/>
    </xf>
    <xf numFmtId="180" fontId="1" fillId="28" borderId="19" xfId="0" applyNumberFormat="1" applyFont="1" applyFill="1" applyBorder="1" applyAlignment="1">
      <alignment horizontal="right"/>
    </xf>
    <xf numFmtId="180" fontId="3" fillId="28" borderId="18" xfId="0" applyNumberFormat="1" applyFont="1" applyFill="1" applyBorder="1" applyAlignment="1"/>
    <xf numFmtId="180" fontId="1" fillId="28" borderId="27" xfId="0" applyNumberFormat="1" applyFont="1" applyFill="1" applyBorder="1" applyAlignment="1"/>
    <xf numFmtId="10" fontId="1" fillId="28" borderId="0" xfId="0" applyNumberFormat="1" applyFont="1" applyFill="1" applyAlignment="1"/>
    <xf numFmtId="10" fontId="3" fillId="28" borderId="19" xfId="0" applyNumberFormat="1" applyFont="1" applyFill="1" applyBorder="1" applyAlignment="1"/>
    <xf numFmtId="1" fontId="2" fillId="0" borderId="0" xfId="0" applyNumberFormat="1" applyFont="1" applyAlignment="1">
      <alignment horizontal="center" vertical="center"/>
    </xf>
    <xf numFmtId="1" fontId="2" fillId="0" borderId="0" xfId="0" applyNumberFormat="1" applyFont="1" applyAlignment="1">
      <alignment horizontal="center" vertical="center" wrapText="1"/>
    </xf>
    <xf numFmtId="1" fontId="1" fillId="28" borderId="0" xfId="0" applyNumberFormat="1" applyFont="1" applyFill="1" applyAlignment="1">
      <alignment horizontal="right"/>
    </xf>
    <xf numFmtId="184" fontId="3" fillId="0" borderId="0" xfId="0" applyNumberFormat="1" applyFont="1" applyAlignment="1"/>
    <xf numFmtId="1" fontId="1" fillId="28" borderId="0" xfId="0" applyNumberFormat="1" applyFont="1" applyFill="1" applyAlignment="1"/>
    <xf numFmtId="1" fontId="31" fillId="28" borderId="0" xfId="0" applyNumberFormat="1" applyFont="1" applyFill="1" applyAlignment="1">
      <alignment horizontal="right"/>
    </xf>
    <xf numFmtId="10" fontId="2" fillId="0" borderId="0" xfId="0" applyNumberFormat="1" applyFont="1" applyAlignment="1">
      <alignment horizontal="center" vertical="center"/>
    </xf>
    <xf numFmtId="10" fontId="1" fillId="28" borderId="0" xfId="0" applyNumberFormat="1" applyFont="1" applyFill="1" applyAlignment="1">
      <alignment horizontal="center"/>
    </xf>
    <xf numFmtId="0" fontId="1" fillId="28" borderId="0" xfId="0" applyFont="1" applyFill="1" applyAlignment="1">
      <alignment horizontal="right"/>
    </xf>
    <xf numFmtId="0" fontId="77" fillId="0" borderId="0" xfId="0" applyFont="1" applyAlignment="1"/>
    <xf numFmtId="182" fontId="77" fillId="0" borderId="0" xfId="0" applyNumberFormat="1" applyFont="1" applyAlignment="1"/>
    <xf numFmtId="182" fontId="3" fillId="4" borderId="0" xfId="0" applyNumberFormat="1" applyFont="1" applyFill="1" applyAlignment="1"/>
    <xf numFmtId="1" fontId="77" fillId="28" borderId="0" xfId="0" applyNumberFormat="1" applyFont="1" applyFill="1" applyAlignment="1">
      <alignment wrapText="1"/>
    </xf>
    <xf numFmtId="180" fontId="77" fillId="28" borderId="0" xfId="0" applyNumberFormat="1" applyFont="1" applyFill="1" applyAlignment="1">
      <alignment wrapText="1"/>
    </xf>
    <xf numFmtId="0" fontId="77" fillId="0" borderId="0" xfId="0" applyFont="1"/>
    <xf numFmtId="0" fontId="77" fillId="0" borderId="19" xfId="0" applyFont="1" applyBorder="1" applyAlignment="1">
      <alignment wrapText="1"/>
    </xf>
    <xf numFmtId="180" fontId="77" fillId="0" borderId="0" xfId="0" applyNumberFormat="1" applyFont="1" applyAlignment="1"/>
    <xf numFmtId="180" fontId="77" fillId="0" borderId="27" xfId="0" applyNumberFormat="1" applyFont="1" applyBorder="1" applyAlignment="1"/>
    <xf numFmtId="0" fontId="3" fillId="4" borderId="0" xfId="0" applyFont="1" applyFill="1"/>
    <xf numFmtId="180" fontId="3" fillId="4" borderId="28" xfId="0" applyNumberFormat="1" applyFont="1" applyFill="1" applyBorder="1" applyAlignment="1"/>
    <xf numFmtId="180" fontId="77" fillId="28" borderId="31" xfId="0" applyNumberFormat="1" applyFont="1" applyFill="1" applyBorder="1" applyAlignment="1"/>
    <xf numFmtId="180" fontId="77" fillId="28" borderId="32" xfId="0" applyNumberFormat="1" applyFont="1" applyFill="1" applyBorder="1" applyAlignment="1"/>
    <xf numFmtId="10" fontId="44" fillId="4" borderId="0" xfId="0" applyNumberFormat="1" applyFont="1" applyFill="1" applyAlignment="1">
      <alignment horizontal="right"/>
    </xf>
    <xf numFmtId="180" fontId="77" fillId="28" borderId="0" xfId="0" applyNumberFormat="1" applyFont="1" applyFill="1" applyAlignment="1"/>
    <xf numFmtId="180" fontId="78" fillId="6" borderId="0" xfId="0" applyNumberFormat="1" applyFont="1" applyFill="1" applyAlignment="1"/>
    <xf numFmtId="10" fontId="1" fillId="0" borderId="0" xfId="0" applyNumberFormat="1" applyFont="1" applyAlignment="1">
      <alignment horizontal="right"/>
    </xf>
    <xf numFmtId="10" fontId="77" fillId="28" borderId="0" xfId="0" applyNumberFormat="1" applyFont="1" applyFill="1" applyAlignment="1"/>
    <xf numFmtId="180" fontId="77" fillId="4" borderId="0" xfId="0" applyNumberFormat="1" applyFont="1" applyFill="1" applyAlignment="1"/>
    <xf numFmtId="180" fontId="44" fillId="28" borderId="0" xfId="0" applyNumberFormat="1" applyFont="1" applyFill="1" applyAlignment="1">
      <alignment horizontal="right"/>
    </xf>
    <xf numFmtId="180" fontId="44" fillId="28" borderId="19" xfId="0" applyNumberFormat="1" applyFont="1" applyFill="1" applyBorder="1" applyAlignment="1">
      <alignment horizontal="right"/>
    </xf>
    <xf numFmtId="10" fontId="77" fillId="28" borderId="19" xfId="0" applyNumberFormat="1" applyFont="1" applyFill="1" applyBorder="1" applyAlignment="1"/>
    <xf numFmtId="180" fontId="3" fillId="0" borderId="18" xfId="0" applyNumberFormat="1" applyFont="1" applyBorder="1" applyAlignment="1"/>
    <xf numFmtId="180" fontId="1" fillId="0" borderId="19" xfId="0" applyNumberFormat="1" applyFont="1" applyBorder="1" applyAlignment="1">
      <alignment horizontal="right"/>
    </xf>
    <xf numFmtId="1" fontId="77" fillId="28" borderId="0" xfId="0" applyNumberFormat="1" applyFont="1" applyFill="1"/>
    <xf numFmtId="1" fontId="77" fillId="28" borderId="0" xfId="0" applyNumberFormat="1" applyFont="1" applyFill="1" applyAlignment="1"/>
    <xf numFmtId="1" fontId="79" fillId="28" borderId="0" xfId="0" applyNumberFormat="1" applyFont="1" applyFill="1"/>
    <xf numFmtId="10" fontId="77" fillId="28" borderId="0" xfId="0" applyNumberFormat="1" applyFont="1" applyFill="1"/>
    <xf numFmtId="0" fontId="77" fillId="28" borderId="0" xfId="0" applyFont="1" applyFill="1"/>
    <xf numFmtId="0" fontId="1" fillId="39" borderId="0" xfId="0" applyFont="1" applyFill="1" applyAlignment="1"/>
    <xf numFmtId="180" fontId="1" fillId="0" borderId="28" xfId="0" applyNumberFormat="1" applyFont="1" applyBorder="1" applyAlignment="1"/>
    <xf numFmtId="180" fontId="80" fillId="6" borderId="0" xfId="0" applyNumberFormat="1" applyFont="1" applyFill="1" applyAlignment="1"/>
    <xf numFmtId="180" fontId="3" fillId="0" borderId="31" xfId="0" applyNumberFormat="1" applyFont="1" applyBorder="1" applyAlignment="1"/>
    <xf numFmtId="180" fontId="3" fillId="0" borderId="32" xfId="0" applyNumberFormat="1" applyFont="1" applyBorder="1" applyAlignment="1"/>
    <xf numFmtId="180" fontId="1" fillId="28" borderId="0" xfId="0" applyNumberFormat="1" applyFont="1" applyFill="1" applyAlignment="1"/>
    <xf numFmtId="0" fontId="3" fillId="28" borderId="0" xfId="0" applyFont="1" applyFill="1" applyAlignment="1"/>
    <xf numFmtId="0" fontId="81" fillId="0" borderId="0" xfId="0" applyFont="1" applyAlignment="1"/>
    <xf numFmtId="0" fontId="3" fillId="0" borderId="4" xfId="0" applyFont="1" applyBorder="1" applyAlignment="1"/>
    <xf numFmtId="180" fontId="82" fillId="42" borderId="0" xfId="0" applyNumberFormat="1" applyFont="1" applyFill="1" applyAlignment="1">
      <alignment wrapText="1"/>
    </xf>
    <xf numFmtId="180" fontId="3" fillId="8" borderId="0" xfId="0" applyNumberFormat="1" applyFont="1" applyFill="1" applyAlignment="1">
      <alignment wrapText="1"/>
    </xf>
    <xf numFmtId="0" fontId="3" fillId="0" borderId="0" xfId="0" applyFont="1" applyAlignment="1">
      <alignment wrapText="1"/>
    </xf>
    <xf numFmtId="0" fontId="3" fillId="0" borderId="0" xfId="0" applyFont="1" applyAlignment="1">
      <alignment horizontal="center" vertical="center"/>
    </xf>
    <xf numFmtId="0" fontId="1" fillId="0" borderId="0" xfId="0" applyFont="1" applyAlignment="1">
      <alignment horizontal="center" vertical="center"/>
    </xf>
    <xf numFmtId="0" fontId="2" fillId="0" borderId="2" xfId="0" applyFont="1" applyBorder="1" applyAlignment="1">
      <alignment horizontal="center"/>
    </xf>
    <xf numFmtId="0" fontId="83" fillId="0" borderId="0" xfId="0" applyFont="1" applyAlignment="1">
      <alignment horizontal="center" vertical="center" wrapText="1"/>
    </xf>
    <xf numFmtId="0" fontId="1" fillId="2" borderId="0" xfId="0" applyFont="1" applyFill="1" applyAlignment="1">
      <alignment horizontal="center"/>
    </xf>
    <xf numFmtId="2" fontId="2" fillId="0" borderId="24" xfId="0" applyNumberFormat="1" applyFont="1" applyBorder="1" applyAlignment="1">
      <alignment horizontal="center"/>
    </xf>
    <xf numFmtId="2" fontId="2" fillId="0" borderId="2" xfId="0" applyNumberFormat="1" applyFont="1" applyBorder="1" applyAlignment="1">
      <alignment horizontal="center"/>
    </xf>
    <xf numFmtId="2" fontId="2" fillId="0" borderId="25" xfId="0" applyNumberFormat="1" applyFont="1" applyBorder="1" applyAlignment="1">
      <alignment horizontal="center"/>
    </xf>
    <xf numFmtId="2" fontId="75" fillId="22" borderId="18" xfId="0" applyNumberFormat="1" applyFont="1" applyFill="1" applyBorder="1" applyAlignment="1">
      <alignment horizontal="center"/>
    </xf>
    <xf numFmtId="1" fontId="82" fillId="22" borderId="37" xfId="0" applyNumberFormat="1" applyFont="1" applyFill="1" applyBorder="1" applyAlignment="1">
      <alignment horizontal="center" vertical="center" wrapText="1"/>
    </xf>
    <xf numFmtId="1" fontId="82" fillId="22" borderId="7" xfId="0" applyNumberFormat="1" applyFont="1" applyFill="1" applyBorder="1" applyAlignment="1">
      <alignment horizontal="center" vertical="center" wrapText="1"/>
    </xf>
    <xf numFmtId="1" fontId="82" fillId="22" borderId="35" xfId="0" applyNumberFormat="1" applyFont="1" applyFill="1" applyBorder="1" applyAlignment="1">
      <alignment horizontal="center" vertical="center" wrapText="1"/>
    </xf>
    <xf numFmtId="0" fontId="84" fillId="29" borderId="0" xfId="0" applyFont="1" applyFill="1" applyAlignment="1">
      <alignment horizontal="center" vertical="center" wrapText="1"/>
    </xf>
    <xf numFmtId="2" fontId="3" fillId="28" borderId="18" xfId="0" applyNumberFormat="1" applyFont="1" applyFill="1" applyBorder="1" applyAlignment="1"/>
    <xf numFmtId="2" fontId="3" fillId="28" borderId="0" xfId="0" applyNumberFormat="1" applyFont="1" applyFill="1" applyAlignment="1"/>
    <xf numFmtId="2" fontId="3" fillId="28" borderId="19" xfId="0" applyNumberFormat="1" applyFont="1" applyFill="1" applyBorder="1" applyAlignment="1"/>
    <xf numFmtId="2" fontId="1" fillId="28" borderId="18" xfId="0" applyNumberFormat="1" applyFont="1" applyFill="1" applyBorder="1" applyAlignment="1">
      <alignment horizontal="center"/>
    </xf>
    <xf numFmtId="2" fontId="1" fillId="28" borderId="0" xfId="0" applyNumberFormat="1" applyFont="1" applyFill="1" applyAlignment="1">
      <alignment horizontal="center"/>
    </xf>
    <xf numFmtId="2" fontId="1" fillId="28" borderId="19" xfId="0" applyNumberFormat="1" applyFont="1" applyFill="1" applyBorder="1" applyAlignment="1">
      <alignment horizontal="center"/>
    </xf>
    <xf numFmtId="2" fontId="75" fillId="38" borderId="18" xfId="0" applyNumberFormat="1" applyFont="1" applyFill="1" applyBorder="1" applyAlignment="1">
      <alignment horizontal="center"/>
    </xf>
    <xf numFmtId="2" fontId="2" fillId="0" borderId="0" xfId="0" applyNumberFormat="1" applyFont="1" applyAlignment="1">
      <alignment horizontal="center"/>
    </xf>
    <xf numFmtId="1" fontId="82" fillId="38" borderId="37" xfId="0" applyNumberFormat="1" applyFont="1" applyFill="1" applyBorder="1" applyAlignment="1">
      <alignment horizontal="center" vertical="center" wrapText="1"/>
    </xf>
    <xf numFmtId="1" fontId="82" fillId="27" borderId="7" xfId="0" applyNumberFormat="1" applyFont="1" applyFill="1" applyBorder="1" applyAlignment="1">
      <alignment horizontal="center" vertical="center" wrapText="1"/>
    </xf>
    <xf numFmtId="1" fontId="3" fillId="0" borderId="7" xfId="0" applyNumberFormat="1" applyFont="1" applyBorder="1" applyAlignment="1">
      <alignment horizontal="center" vertical="center" wrapText="1"/>
    </xf>
    <xf numFmtId="1" fontId="3" fillId="0" borderId="30" xfId="0" applyNumberFormat="1" applyFont="1" applyBorder="1" applyAlignment="1">
      <alignment horizontal="center" vertical="center" wrapText="1"/>
    </xf>
    <xf numFmtId="2" fontId="3" fillId="0" borderId="18" xfId="0" applyNumberFormat="1" applyFont="1" applyBorder="1"/>
    <xf numFmtId="2" fontId="3" fillId="0" borderId="0" xfId="0" applyNumberFormat="1" applyFont="1"/>
    <xf numFmtId="2" fontId="3" fillId="0" borderId="27" xfId="0" applyNumberFormat="1" applyFont="1" applyBorder="1"/>
    <xf numFmtId="2" fontId="3" fillId="0" borderId="0" xfId="0" applyNumberFormat="1" applyFont="1" applyAlignment="1"/>
    <xf numFmtId="2" fontId="3" fillId="0" borderId="27" xfId="0" applyNumberFormat="1" applyFont="1" applyBorder="1" applyAlignment="1"/>
    <xf numFmtId="2" fontId="1" fillId="0" borderId="18" xfId="0" applyNumberFormat="1" applyFont="1" applyBorder="1" applyAlignment="1">
      <alignment horizontal="right"/>
    </xf>
    <xf numFmtId="2" fontId="1" fillId="0" borderId="0" xfId="0" applyNumberFormat="1" applyFont="1" applyAlignment="1">
      <alignment horizontal="right"/>
    </xf>
    <xf numFmtId="2" fontId="1" fillId="0" borderId="27" xfId="0" applyNumberFormat="1" applyFont="1" applyBorder="1" applyAlignment="1"/>
    <xf numFmtId="2" fontId="3" fillId="0" borderId="18" xfId="0" applyNumberFormat="1" applyFont="1" applyBorder="1" applyAlignment="1"/>
    <xf numFmtId="2" fontId="77" fillId="0" borderId="0" xfId="0" applyNumberFormat="1" applyFont="1" applyAlignment="1"/>
    <xf numFmtId="2" fontId="77" fillId="0" borderId="27" xfId="0" applyNumberFormat="1" applyFont="1" applyBorder="1" applyAlignment="1"/>
    <xf numFmtId="2" fontId="1" fillId="0" borderId="19" xfId="0" applyNumberFormat="1" applyFont="1" applyBorder="1" applyAlignment="1">
      <alignment horizontal="right"/>
    </xf>
    <xf numFmtId="58" fontId="3" fillId="0" borderId="0" xfId="0" applyNumberFormat="1" applyFont="1"/>
    <xf numFmtId="0" fontId="3" fillId="0" borderId="19" xfId="0" applyFont="1" applyBorder="1"/>
    <xf numFmtId="58" fontId="75" fillId="38" borderId="0" xfId="0" applyNumberFormat="1" applyFont="1" applyFill="1" applyAlignment="1">
      <alignment horizontal="center" vertical="center" wrapText="1"/>
    </xf>
    <xf numFmtId="2" fontId="75" fillId="22" borderId="0" xfId="0" applyNumberFormat="1" applyFont="1" applyFill="1" applyAlignment="1">
      <alignment horizontal="center"/>
    </xf>
    <xf numFmtId="0" fontId="19" fillId="0" borderId="7" xfId="0" applyFont="1" applyBorder="1"/>
    <xf numFmtId="58" fontId="3" fillId="28" borderId="0" xfId="0" applyNumberFormat="1" applyFont="1" applyFill="1" applyAlignment="1"/>
    <xf numFmtId="58" fontId="1" fillId="28" borderId="0" xfId="0" applyNumberFormat="1" applyFont="1" applyFill="1" applyAlignment="1"/>
    <xf numFmtId="2" fontId="75" fillId="22" borderId="0" xfId="0" applyNumberFormat="1" applyFont="1" applyFill="1" applyAlignment="1">
      <alignment horizontal="center" wrapText="1"/>
    </xf>
    <xf numFmtId="0" fontId="2" fillId="0" borderId="3" xfId="0" applyFont="1" applyBorder="1" applyAlignment="1">
      <alignment horizontal="center"/>
    </xf>
    <xf numFmtId="0" fontId="2" fillId="0" borderId="5" xfId="0" applyFont="1" applyBorder="1" applyAlignment="1">
      <alignment horizontal="center" vertical="center" wrapText="1"/>
    </xf>
    <xf numFmtId="0" fontId="19" fillId="0" borderId="8" xfId="0" applyFont="1" applyBorder="1"/>
    <xf numFmtId="2" fontId="1" fillId="0" borderId="27" xfId="0" applyNumberFormat="1" applyFont="1" applyBorder="1" applyAlignment="1">
      <alignment horizontal="right"/>
    </xf>
    <xf numFmtId="2" fontId="1" fillId="0" borderId="18" xfId="0" applyNumberFormat="1" applyFont="1" applyBorder="1" applyAlignment="1"/>
    <xf numFmtId="185" fontId="3" fillId="0" borderId="18" xfId="0" applyNumberFormat="1" applyFont="1" applyBorder="1" applyAlignment="1"/>
    <xf numFmtId="2" fontId="1" fillId="0" borderId="0" xfId="0" applyNumberFormat="1" applyFont="1" applyAlignment="1">
      <alignment horizontal="left"/>
    </xf>
    <xf numFmtId="2" fontId="3" fillId="0" borderId="19" xfId="0" applyNumberFormat="1" applyFont="1" applyBorder="1"/>
    <xf numFmtId="2" fontId="3" fillId="28" borderId="0" xfId="0" applyNumberFormat="1" applyFont="1" applyFill="1"/>
    <xf numFmtId="2" fontId="1" fillId="28" borderId="0" xfId="0" applyNumberFormat="1" applyFont="1" applyFill="1" applyAlignment="1">
      <alignment horizontal="right"/>
    </xf>
    <xf numFmtId="2" fontId="3" fillId="28" borderId="27" xfId="0" applyNumberFormat="1" applyFont="1" applyFill="1" applyBorder="1" applyAlignment="1"/>
    <xf numFmtId="2" fontId="1" fillId="28" borderId="18" xfId="0" applyNumberFormat="1" applyFont="1" applyFill="1" applyBorder="1" applyAlignment="1">
      <alignment horizontal="right"/>
    </xf>
    <xf numFmtId="2" fontId="1" fillId="28" borderId="27" xfId="0" applyNumberFormat="1" applyFont="1" applyFill="1" applyBorder="1" applyAlignment="1">
      <alignment horizontal="right"/>
    </xf>
    <xf numFmtId="0" fontId="3" fillId="0" borderId="27" xfId="0" applyFont="1" applyBorder="1"/>
    <xf numFmtId="0" fontId="77" fillId="0" borderId="0" xfId="0" applyFont="1" applyAlignment="1">
      <alignment horizontal="center" vertical="center"/>
    </xf>
    <xf numFmtId="0" fontId="44" fillId="0" borderId="0" xfId="0" applyFont="1" applyAlignment="1">
      <alignment horizontal="center"/>
    </xf>
    <xf numFmtId="0" fontId="77" fillId="0" borderId="0" xfId="0" applyFont="1" applyAlignment="1">
      <alignment horizontal="center"/>
    </xf>
    <xf numFmtId="2" fontId="77" fillId="28" borderId="18" xfId="0" applyNumberFormat="1" applyFont="1" applyFill="1" applyBorder="1" applyAlignment="1"/>
    <xf numFmtId="2" fontId="77" fillId="28" borderId="0" xfId="0" applyNumberFormat="1" applyFont="1" applyFill="1" applyAlignment="1"/>
    <xf numFmtId="2" fontId="77" fillId="28" borderId="19" xfId="0" applyNumberFormat="1" applyFont="1" applyFill="1" applyBorder="1" applyAlignment="1"/>
    <xf numFmtId="2" fontId="77" fillId="0" borderId="18" xfId="0" applyNumberFormat="1" applyFont="1" applyBorder="1" applyAlignment="1"/>
    <xf numFmtId="2" fontId="77" fillId="0" borderId="0" xfId="0" applyNumberFormat="1" applyFont="1"/>
    <xf numFmtId="2" fontId="44" fillId="0" borderId="18" xfId="0" applyNumberFormat="1" applyFont="1" applyBorder="1" applyAlignment="1"/>
    <xf numFmtId="2" fontId="44" fillId="0" borderId="0" xfId="0" applyNumberFormat="1" applyFont="1" applyAlignment="1">
      <alignment horizontal="right"/>
    </xf>
    <xf numFmtId="2" fontId="44" fillId="0" borderId="27" xfId="0" applyNumberFormat="1" applyFont="1" applyBorder="1" applyAlignment="1">
      <alignment horizontal="right"/>
    </xf>
    <xf numFmtId="2" fontId="77" fillId="0" borderId="27" xfId="0" applyNumberFormat="1" applyFont="1" applyBorder="1"/>
    <xf numFmtId="180" fontId="77" fillId="0" borderId="18" xfId="0" applyNumberFormat="1" applyFont="1" applyBorder="1" applyAlignment="1"/>
    <xf numFmtId="58" fontId="77" fillId="28" borderId="0" xfId="0" applyNumberFormat="1" applyFont="1" applyFill="1" applyAlignment="1"/>
    <xf numFmtId="0" fontId="77" fillId="28" borderId="0" xfId="0" applyFont="1" applyFill="1" applyAlignment="1"/>
    <xf numFmtId="0" fontId="2" fillId="5" borderId="0" xfId="0" applyFont="1" applyFill="1" applyAlignment="1">
      <alignment horizontal="center" vertical="center" wrapText="1"/>
    </xf>
    <xf numFmtId="0" fontId="75" fillId="0" borderId="0" xfId="0" applyFont="1" applyAlignment="1">
      <alignment horizontal="center" vertical="center" wrapText="1"/>
    </xf>
    <xf numFmtId="0" fontId="75" fillId="8" borderId="32" xfId="0" applyFont="1" applyFill="1" applyBorder="1" applyAlignment="1">
      <alignment horizontal="center" vertical="center" wrapText="1"/>
    </xf>
    <xf numFmtId="0" fontId="3" fillId="0" borderId="32" xfId="0" applyFont="1" applyBorder="1" applyAlignment="1"/>
    <xf numFmtId="0" fontId="1" fillId="0" borderId="32" xfId="0" applyFont="1" applyBorder="1" applyAlignment="1">
      <alignment horizontal="center"/>
    </xf>
    <xf numFmtId="0" fontId="3" fillId="0" borderId="32" xfId="0" applyFont="1" applyBorder="1"/>
    <xf numFmtId="180" fontId="85" fillId="30" borderId="38" xfId="0" applyNumberFormat="1" applyFont="1" applyFill="1" applyBorder="1" applyAlignment="1">
      <alignment horizontal="center" vertical="center" wrapText="1"/>
    </xf>
    <xf numFmtId="180" fontId="2" fillId="0" borderId="38" xfId="0" applyNumberFormat="1" applyFont="1" applyBorder="1" applyAlignment="1">
      <alignment horizontal="center" vertical="center" wrapText="1"/>
    </xf>
    <xf numFmtId="0" fontId="75" fillId="38" borderId="39" xfId="0" applyFont="1" applyFill="1" applyBorder="1" applyAlignment="1">
      <alignment horizontal="center" vertical="center" wrapText="1"/>
    </xf>
    <xf numFmtId="180" fontId="3" fillId="0" borderId="38" xfId="0" applyNumberFormat="1" applyFont="1" applyBorder="1" applyAlignment="1">
      <alignment wrapText="1"/>
    </xf>
    <xf numFmtId="0" fontId="3" fillId="0" borderId="39" xfId="0" applyFont="1" applyBorder="1" applyAlignment="1"/>
    <xf numFmtId="0" fontId="1" fillId="0" borderId="39" xfId="0" applyFont="1" applyBorder="1" applyAlignment="1">
      <alignment horizontal="center"/>
    </xf>
    <xf numFmtId="0" fontId="3" fillId="0" borderId="39" xfId="0" applyFont="1" applyBorder="1"/>
    <xf numFmtId="0" fontId="19" fillId="0" borderId="39" xfId="0" applyFont="1" applyBorder="1"/>
    <xf numFmtId="180" fontId="1" fillId="0" borderId="39" xfId="0" applyNumberFormat="1" applyFont="1" applyBorder="1" applyAlignment="1"/>
    <xf numFmtId="0" fontId="86" fillId="0" borderId="0" xfId="0" applyFont="1" applyAlignment="1">
      <alignment horizontal="left" vertical="top" wrapText="1"/>
    </xf>
    <xf numFmtId="0" fontId="87" fillId="0" borderId="0" xfId="0" applyFont="1" applyAlignment="1">
      <alignment horizontal="center" vertical="center" wrapText="1"/>
    </xf>
    <xf numFmtId="0" fontId="88" fillId="0" borderId="0" xfId="0" applyFont="1" applyAlignment="1">
      <alignment horizontal="left" vertical="center"/>
    </xf>
    <xf numFmtId="0" fontId="88" fillId="26" borderId="0" xfId="0" applyFont="1" applyFill="1" applyAlignment="1">
      <alignment horizontal="left" vertical="center"/>
    </xf>
    <xf numFmtId="2" fontId="86" fillId="0" borderId="0" xfId="0" applyNumberFormat="1" applyFont="1" applyAlignment="1">
      <alignment horizontal="left" vertical="top" wrapText="1"/>
    </xf>
    <xf numFmtId="1" fontId="87" fillId="0" borderId="0" xfId="0" applyNumberFormat="1" applyFont="1" applyAlignment="1">
      <alignment horizontal="center" vertical="center" wrapText="1"/>
    </xf>
    <xf numFmtId="2" fontId="88" fillId="0" borderId="0" xfId="0" applyNumberFormat="1" applyFont="1" applyAlignment="1">
      <alignment horizontal="left" vertical="center"/>
    </xf>
    <xf numFmtId="180" fontId="88" fillId="0" borderId="0" xfId="0" applyNumberFormat="1" applyFont="1" applyAlignment="1">
      <alignment horizontal="left" vertical="center"/>
    </xf>
    <xf numFmtId="2" fontId="88" fillId="28" borderId="0" xfId="0" applyNumberFormat="1" applyFont="1" applyFill="1" applyAlignment="1">
      <alignment horizontal="left" vertical="center"/>
    </xf>
    <xf numFmtId="0" fontId="88" fillId="28" borderId="0" xfId="0" applyFont="1" applyFill="1" applyAlignment="1">
      <alignment horizontal="left" vertical="center"/>
    </xf>
    <xf numFmtId="0" fontId="86" fillId="0" borderId="5" xfId="0" applyFont="1" applyBorder="1" applyAlignment="1">
      <alignment horizontal="left" vertical="top" wrapText="1"/>
    </xf>
    <xf numFmtId="0" fontId="88" fillId="8" borderId="0" xfId="0" applyFont="1" applyFill="1" applyAlignment="1">
      <alignment horizontal="left" vertical="center"/>
    </xf>
    <xf numFmtId="185" fontId="88" fillId="0" borderId="0" xfId="0" applyNumberFormat="1" applyFont="1" applyAlignment="1">
      <alignment horizontal="lef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8">
    <dxf>
      <fill>
        <patternFill patternType="solid">
          <fgColor rgb="FFFF0000"/>
          <bgColor rgb="FFFF0000"/>
        </patternFill>
      </fill>
    </dxf>
    <dxf>
      <fill>
        <patternFill patternType="solid">
          <fgColor rgb="FFB7E1CD"/>
          <bgColor rgb="FFB7E1CD"/>
        </patternFill>
      </fill>
    </dxf>
    <dxf>
      <fill>
        <patternFill patternType="solid">
          <fgColor rgb="FFF4CCCC"/>
          <bgColor rgb="FFF4CCCC"/>
        </patternFill>
      </fill>
    </dxf>
    <dxf>
      <fill>
        <patternFill patternType="solid">
          <fgColor rgb="FF93C47D"/>
          <bgColor rgb="FF93C47D"/>
        </patternFill>
      </fill>
    </dxf>
    <dxf>
      <fill>
        <patternFill patternType="solid">
          <fgColor rgb="FFFFE599"/>
          <bgColor rgb="FFFFE599"/>
        </patternFill>
      </fill>
    </dxf>
    <dxf>
      <fill>
        <patternFill patternType="solid">
          <fgColor rgb="FFF9CB9C"/>
          <bgColor rgb="FFF9CB9C"/>
        </patternFill>
      </fill>
    </dxf>
    <dxf>
      <fill>
        <patternFill patternType="solid">
          <fgColor rgb="FFEA9999"/>
          <bgColor rgb="FFEA9999"/>
        </patternFill>
      </fill>
    </dxf>
    <dxf>
      <font>
        <color rgb="FFFFFFFF"/>
      </font>
      <fill>
        <patternFill patternType="solid">
          <fgColor rgb="FF38761D"/>
          <bgColor rgb="FF38761D"/>
        </patternFill>
      </fill>
    </dxf>
    <dxf>
      <fill>
        <patternFill patternType="solid">
          <fgColor rgb="FF00FF00"/>
          <bgColor rgb="FF00FF00"/>
        </patternFill>
      </fill>
    </dxf>
    <dxf>
      <fill>
        <patternFill patternType="solid">
          <fgColor rgb="FFB6D7A8"/>
          <bgColor rgb="FFB6D7A8"/>
        </patternFill>
      </fill>
    </dxf>
    <dxf>
      <fill>
        <patternFill patternType="solid">
          <fgColor rgb="FFFF0000"/>
          <bgColor rgb="FFFF00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2" Type="http://www.wps.cn/officeDocument/2023/relationships/customStorage" Target="customStorage/customStorage.xml"/><Relationship Id="rId41" Type="http://schemas.openxmlformats.org/officeDocument/2006/relationships/styles" Target="styles.xml"/><Relationship Id="rId40" Type="http://schemas.openxmlformats.org/officeDocument/2006/relationships/sharedStrings" Target="sharedStrings.xml"/><Relationship Id="rId4" Type="http://schemas.openxmlformats.org/officeDocument/2006/relationships/worksheet" Target="worksheets/sheet4.xml"/><Relationship Id="rId39" Type="http://schemas.openxmlformats.org/officeDocument/2006/relationships/theme" Target="theme/theme1.xml"/><Relationship Id="rId38" Type="http://schemas.openxmlformats.org/officeDocument/2006/relationships/externalLink" Target="externalLinks/externalLink1.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2</xdr:col>
      <xdr:colOff>2219325</xdr:colOff>
      <xdr:row>0</xdr:row>
      <xdr:rowOff>104775</xdr:rowOff>
    </xdr:from>
    <xdr:ext cx="3438525" cy="600075"/>
    <xdr:pic>
      <xdr:nvPicPr>
        <xdr:cNvPr id="2" name="image1.jpg"/>
        <xdr:cNvPicPr preferRelativeResize="0"/>
      </xdr:nvPicPr>
      <xdr:blipFill>
        <a:blip r:embed="rId1" cstate="print"/>
        <a:stretch>
          <a:fillRect/>
        </a:stretch>
      </xdr:blipFill>
      <xdr:spPr>
        <a:xfrm>
          <a:off x="5795645" y="104775"/>
          <a:ext cx="3438525" cy="600075"/>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List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docs.google.com/document/d/19CqrMV_Qav_G21RHbAzRXE1rGKgpylhRVwCwseqFeuo/edit" TargetMode="External"/><Relationship Id="rId1" Type="http://schemas.openxmlformats.org/officeDocument/2006/relationships/hyperlink" Target="https://docs.google.com/document/d/11iTmPDAboPqEY5tm4t5_VCezU6eS2p_FpSDCLxmqqaI/edit" TargetMode="Externa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document/d/1BtHrKt5R1q4trmxeOH5IaQvqcetrOgJ_t9vhDcvaoBk/edit?tab=t.0" TargetMode="External"/></Relationships>
</file>

<file path=xl/worksheets/_rels/sheet6.xml.rels><?xml version="1.0" encoding="UTF-8" standalone="yes"?>
<Relationships xmlns="http://schemas.openxmlformats.org/package/2006/relationships"><Relationship Id="rId9" Type="http://schemas.openxmlformats.org/officeDocument/2006/relationships/hyperlink" Target="https://app.paintscout.com/quotes/edit/a0d98bf4-0b4e-4795-9e2d-32a8e13ab1f2" TargetMode="External"/><Relationship Id="rId8" Type="http://schemas.openxmlformats.org/officeDocument/2006/relationships/hyperlink" Target="https://app.paintscout.com/quotes/edit/5ca523c8-817d-4344-b9a3-46023099e200" TargetMode="External"/><Relationship Id="rId7" Type="http://schemas.openxmlformats.org/officeDocument/2006/relationships/hyperlink" Target="https://app.paintscout.com/quotes/edit/e04ffaa5-eb4d-4e26-8332-525c01451a21" TargetMode="External"/><Relationship Id="rId6" Type="http://schemas.openxmlformats.org/officeDocument/2006/relationships/hyperlink" Target="https://app.paintscout.com/quotes/edit/d81185a1-58e4-4367-aa2c-1c67473106dc" TargetMode="External"/><Relationship Id="rId5" Type="http://schemas.openxmlformats.org/officeDocument/2006/relationships/hyperlink" Target="https://app.paintscout.com/quotes/edit/f81755d6-2f20-4233-acc8-022a65940f73" TargetMode="External"/><Relationship Id="rId4" Type="http://schemas.openxmlformats.org/officeDocument/2006/relationships/hyperlink" Target="https://app.paintscout.com/quotes/edit/7dafe290-df4c-4c7e-88b0-0c7ebe2be14b" TargetMode="External"/><Relationship Id="rId36" Type="http://schemas.openxmlformats.org/officeDocument/2006/relationships/hyperlink" Target="https://app.paintscout.com/quotes/edit/aaee26a2-bbc2-431c-bcc7-c67094c3ec84" TargetMode="External"/><Relationship Id="rId35" Type="http://schemas.openxmlformats.org/officeDocument/2006/relationships/hyperlink" Target="https://app.paintscout.com/quotes/edit/7a411ec6-631b-4d1c-bd91-c3bafa1bdc0c" TargetMode="External"/><Relationship Id="rId34" Type="http://schemas.openxmlformats.org/officeDocument/2006/relationships/hyperlink" Target="https://app.paintscout.com/quotes/edit/0642e592-d830-4680-b492-2aa1aed17644" TargetMode="External"/><Relationship Id="rId33" Type="http://schemas.openxmlformats.org/officeDocument/2006/relationships/hyperlink" Target="https://app.paintscout.com/quotes/edit/2dbe6c2d-e294-407d-aab8-9e36c90b3d12" TargetMode="External"/><Relationship Id="rId32" Type="http://schemas.openxmlformats.org/officeDocument/2006/relationships/hyperlink" Target="https://app.paintscout.com/quotes/edit/8b49d8c8-091e-40e1-b094-f59970ca26bc" TargetMode="External"/><Relationship Id="rId31" Type="http://schemas.openxmlformats.org/officeDocument/2006/relationships/hyperlink" Target="https://app.paintscout.com/quotes/edit/e00d8488-cb1d-4839-a1ce-c3e45c23b816" TargetMode="External"/><Relationship Id="rId30" Type="http://schemas.openxmlformats.org/officeDocument/2006/relationships/hyperlink" Target="https://app.paintscout.com/quotes/edit/f384a1ec-db84-4904-ae89-a26258885261" TargetMode="External"/><Relationship Id="rId3" Type="http://schemas.openxmlformats.org/officeDocument/2006/relationships/hyperlink" Target="https://app.paintscout.com/quotes/edit/f952f358-bc0f-46f1-910c-273d63e51591" TargetMode="External"/><Relationship Id="rId29" Type="http://schemas.openxmlformats.org/officeDocument/2006/relationships/hyperlink" Target="https://app.paintscout.com/quotes/edit/0e29aef0-4d77-458d-955d-b71a8590bee1" TargetMode="External"/><Relationship Id="rId28" Type="http://schemas.openxmlformats.org/officeDocument/2006/relationships/hyperlink" Target="https://app.paintscout.com/quotes/edit/a43e1930-d944-4c59-a7a5-9214bdf2399b" TargetMode="External"/><Relationship Id="rId27" Type="http://schemas.openxmlformats.org/officeDocument/2006/relationships/hyperlink" Target="https://app.paintscout.com/quotes/edit/902f1d4b-f74e-441f-b7cc-c5f4f7875243" TargetMode="External"/><Relationship Id="rId26" Type="http://schemas.openxmlformats.org/officeDocument/2006/relationships/hyperlink" Target="https://app.paintscout.com/quotes/edit/20591723-c16f-4fcb-91ae-783befd10b4b" TargetMode="External"/><Relationship Id="rId25" Type="http://schemas.openxmlformats.org/officeDocument/2006/relationships/hyperlink" Target="https://app.paintscout.com/quotes/edit/793db48e-dc4c-437e-b168-0cf01860cf57" TargetMode="External"/><Relationship Id="rId24" Type="http://schemas.openxmlformats.org/officeDocument/2006/relationships/hyperlink" Target="https://app.paintscout.com/quotes/edit/2e0e362a-18ab-4c2c-bbe5-16f3a7d69490" TargetMode="External"/><Relationship Id="rId23" Type="http://schemas.openxmlformats.org/officeDocument/2006/relationships/hyperlink" Target="https://app.paintscout.com/quotes/edit/ebae8767-e076-411f-9937-02760e36c608" TargetMode="External"/><Relationship Id="rId22" Type="http://schemas.openxmlformats.org/officeDocument/2006/relationships/hyperlink" Target="https://app.paintscout.com/quotes/edit/5d7a3353-364b-4769-a92e-e135a3ceb875" TargetMode="External"/><Relationship Id="rId21" Type="http://schemas.openxmlformats.org/officeDocument/2006/relationships/hyperlink" Target="https://app.paintscout.com/quotes/edit/72004ce3-0c8e-4eef-b1a1-f826ae4be3bd" TargetMode="External"/><Relationship Id="rId20" Type="http://schemas.openxmlformats.org/officeDocument/2006/relationships/hyperlink" Target="https://app.paintscout.com/quotes/edit/ce1c49ff-b47b-4cd5-821a-55eb9d963214" TargetMode="External"/><Relationship Id="rId2" Type="http://schemas.openxmlformats.org/officeDocument/2006/relationships/hyperlink" Target="https://app.paintscout.com/quotes/edit/a44a8cbb-9f78-4846-8f44-65af2bf45feb" TargetMode="External"/><Relationship Id="rId19" Type="http://schemas.openxmlformats.org/officeDocument/2006/relationships/hyperlink" Target="https://app.paintscout.com/quotes/edit/0542ff5d-3169-4cc3-a5d9-38966b69fc6c" TargetMode="External"/><Relationship Id="rId18" Type="http://schemas.openxmlformats.org/officeDocument/2006/relationships/hyperlink" Target="https://app.paintscout.com/quotes/edit/3361351e-abb1-4733-8a78-e3d40a8fbd92" TargetMode="External"/><Relationship Id="rId17" Type="http://schemas.openxmlformats.org/officeDocument/2006/relationships/hyperlink" Target="https://app.paintscout.com/quotes/edit/52e3a486-03f5-4c2c-b5f4-d155a6767bfa" TargetMode="External"/><Relationship Id="rId16" Type="http://schemas.openxmlformats.org/officeDocument/2006/relationships/hyperlink" Target="https://app.paintscout.com/quotes/edit/0cbdec38-0a4a-4e08-b85d-12a51fede770" TargetMode="External"/><Relationship Id="rId15" Type="http://schemas.openxmlformats.org/officeDocument/2006/relationships/hyperlink" Target="https://app.paintscout.com/quotes/edit/f94a3327-8222-46c2-bb82-f45e5fbce389" TargetMode="External"/><Relationship Id="rId14" Type="http://schemas.openxmlformats.org/officeDocument/2006/relationships/hyperlink" Target="https://app.paintscout.com/quotes/edit/5018f8ee-ad26-462e-9efe-a7b5aa1f74ea" TargetMode="External"/><Relationship Id="rId13" Type="http://schemas.openxmlformats.org/officeDocument/2006/relationships/hyperlink" Target="https://app.paintscout.com/quotes/edit/6887fd03-95ed-4016-b836-29ccf0f3d98f" TargetMode="External"/><Relationship Id="rId12" Type="http://schemas.openxmlformats.org/officeDocument/2006/relationships/hyperlink" Target="https://app.paintscout.com/quotes/edit/c61506c8-bc08-4d1a-9b66-561db38695ce" TargetMode="External"/><Relationship Id="rId11" Type="http://schemas.openxmlformats.org/officeDocument/2006/relationships/hyperlink" Target="https://app.paintscout.com/quotes/edit/ed840555-d4c7-4a37-8908-0f88a6ac20e5" TargetMode="External"/><Relationship Id="rId10" Type="http://schemas.openxmlformats.org/officeDocument/2006/relationships/hyperlink" Target="https://app.paintscout.com/quotes/edit/165c2b65-abd3-48ff-8904-2ffe66615232" TargetMode="External"/><Relationship Id="rId1" Type="http://schemas.openxmlformats.org/officeDocument/2006/relationships/hyperlink" Target="https://app.paintscout.com/quotes/edit/044c7ade-aa45-40be-9f0b-0539cfde9736" TargetMode="Externa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9" Type="http://schemas.openxmlformats.org/officeDocument/2006/relationships/hyperlink" Target="https://www.sherwin-williams.com/painting-contractors/products/loxon-s1-one-component-smooth-polyurethane-sealant" TargetMode="External"/><Relationship Id="rId8" Type="http://schemas.openxmlformats.org/officeDocument/2006/relationships/hyperlink" Target="https://www.sherwin-williams.com/painting-contractors/products/pro-industrial-shercryl-hpa-high-performance-acrylic" TargetMode="External"/><Relationship Id="rId7" Type="http://schemas.openxmlformats.org/officeDocument/2006/relationships/hyperlink" Target="https://www.acehardware.com/departments/paint-and-supplies/specialty-paints/chalk-paint/1814615?store=18506" TargetMode="External"/><Relationship Id="rId6" Type="http://schemas.openxmlformats.org/officeDocument/2006/relationships/hyperlink" Target="https://www.homedepot.com/p/KILZ-PVA-5-Gal-White-Interior-Drywall-Primer-PX01005/202665645?source=shoppingads&amp;locale=en-US&amp;pla&amp;mtc=SHOPPING-BF-CDP-GGL-D24-024_022_PRIMERS-NA-Multi-NA-PLALIA-NA-NA-NA-NA-NBR-NA-NA-NA-FY21_Multi_PLALIA&amp;cm_mmc=SHOPPING-BF-CDP-GGL-D24-024_022_PRIMERS-NA-Multi-NA-PLALIA-NA-NA-NA-NA-NBR-NA-NA-NA-FY21_Multi_PLALIA-71700000075826637-58700006498654198-92700058683659550&amp;gad_source=1&amp;gclid=CjwKCAjwuJ2xBhA3EiwAMVjkVI9Xd8eKwkc4nPicYdGu7PUeOAyh8KMKLyceupARCxzA0B1AYKYc4hoCUMMQAvD_BwE&amp;gclsrc=aw.ds" TargetMode="External"/><Relationship Id="rId5" Type="http://schemas.openxmlformats.org/officeDocument/2006/relationships/hyperlink" Target="https://www.sherwin-williams.com/painting-contractors/products/hc-colortop-solventbased-solid-color-concrete-sealer" TargetMode="External"/><Relationship Id="rId4" Type="http://schemas.openxmlformats.org/officeDocument/2006/relationships/hyperlink" Target="https://www.sherwin-williams.com/homeowners/products/exterior-latex-wood-primer" TargetMode="External"/><Relationship Id="rId3" Type="http://schemas.openxmlformats.org/officeDocument/2006/relationships/hyperlink" Target="https://www.sherwin-williams.com/homeowners/products/concrete-masonry-patch" TargetMode="External"/><Relationship Id="rId2" Type="http://schemas.openxmlformats.org/officeDocument/2006/relationships/vmlDrawing" Target="../drawings/vmlDrawing3.vml"/><Relationship Id="rId11" Type="http://schemas.openxmlformats.org/officeDocument/2006/relationships/hyperlink" Target="https://www.homedepot.com/p/Zinsser-1-gal-Mold-Killing-Interior-Exterior-Primer-276049/204994675" TargetMode="External"/><Relationship Id="rId10" Type="http://schemas.openxmlformats.org/officeDocument/2006/relationships/hyperlink" Target="https://www.homedepot.com/p/Varathane-1-Gal-Dark-Walnut-Classic-Wood-Interior-Stain-340614/305502034?source=shoppingads&amp;locale=en-US&amp;pla&amp;mtc=SHOPPING-BF-CDP-GGL-D24-024_013_INT_STAIN_CL-NA-Multi-NA-PLALIA-NA-NA-NA-NA-NBR-NA-NA-NA-FY21_Interior_PLALIA&amp;cm_mmc=SHOPPING-BF-CDP-GGL-D24-024_013_INT_STAIN_CL-NA-Multi-NA-PLALIA-NA-NA-NA-NA-NBR-NA-NA-NA-FY21_Interior_PLALIA-71700000075826925-58700006496910117-92700058691144869&amp;gad_source=1&amp;gclid=CjwKCAiA_5WvBhBAEiwAZtCU7zDVzwQDcY7kMFuXHxaWi9BikYhIH_-ATs3UZu0SYQ8z833PmttaYRoCta8QAvD_BwE&amp;gclsrc=aw.ds" TargetMode="External"/><Relationship Id="rId1" Type="http://schemas.openxmlformats.org/officeDocument/2006/relationships/comments" Target="../comments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2.xml.rels><?xml version="1.0" encoding="UTF-8" standalone="yes"?>
<Relationships xmlns="http://schemas.openxmlformats.org/package/2006/relationships"><Relationship Id="rId1" Type="http://schemas.openxmlformats.org/officeDocument/2006/relationships/hyperlink" Target="http://www.prosperitypaintingconsultants.com/" TargetMode="External"/></Relationships>
</file>

<file path=xl/worksheets/_rels/sheet27.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28.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29.xml.rels><?xml version="1.0" encoding="UTF-8" standalone="yes"?>
<Relationships xmlns="http://schemas.openxmlformats.org/package/2006/relationships"><Relationship Id="rId1" Type="http://schemas.openxmlformats.org/officeDocument/2006/relationships/hyperlink" Target="https://www.painttalk.com/threads/production-rates-for-rough-stucco.13163/" TargetMode="External"/></Relationships>
</file>

<file path=xl/worksheets/_rels/sheet33.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34.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35.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36.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00FF"/>
    <outlinePr summaryBelow="0" summaryRight="0"/>
  </sheetPr>
  <dimension ref="A1:J47"/>
  <sheetViews>
    <sheetView workbookViewId="0">
      <pane ySplit="1" topLeftCell="A2" activePane="bottomLeft" state="frozen"/>
      <selection/>
      <selection pane="bottomLeft" activeCell="B3" sqref="A3:J3"/>
    </sheetView>
  </sheetViews>
  <sheetFormatPr defaultColWidth="12.6285714285714" defaultRowHeight="15.75" customHeight="1"/>
  <cols>
    <col min="1" max="1" width="61.752380952381" customWidth="1"/>
    <col min="2" max="2" width="10.8761904761905" customWidth="1"/>
    <col min="3" max="3" width="11.6285714285714" customWidth="1"/>
    <col min="4" max="4" width="29.752380952381" customWidth="1"/>
    <col min="5" max="6" width="18.3809523809524" customWidth="1"/>
    <col min="7" max="10" width="9" customWidth="1"/>
  </cols>
  <sheetData>
    <row r="1" customHeight="1" spans="1:10">
      <c r="A1" s="419" t="s">
        <v>0</v>
      </c>
      <c r="B1" s="420" t="s">
        <v>1</v>
      </c>
      <c r="C1" s="419" t="s">
        <v>2</v>
      </c>
      <c r="D1" s="419" t="s">
        <v>3</v>
      </c>
      <c r="E1" s="422" t="s">
        <v>4</v>
      </c>
      <c r="F1" s="422" t="s">
        <v>5</v>
      </c>
      <c r="G1" s="423" t="s">
        <v>6</v>
      </c>
      <c r="H1" s="424" t="s">
        <v>7</v>
      </c>
      <c r="I1" s="421" t="s">
        <v>8</v>
      </c>
      <c r="J1" s="421" t="s">
        <v>9</v>
      </c>
    </row>
    <row r="2" customHeight="1" spans="1:10">
      <c r="A2" s="29" t="s">
        <v>10</v>
      </c>
      <c r="B2" s="360"/>
      <c r="C2" s="308"/>
      <c r="D2" s="308"/>
      <c r="E2" s="308"/>
      <c r="G2" s="207" t="b">
        <v>0</v>
      </c>
      <c r="H2" s="29" t="b">
        <v>0</v>
      </c>
      <c r="I2" s="29" t="b">
        <v>0</v>
      </c>
      <c r="J2" s="29" t="b">
        <v>0</v>
      </c>
    </row>
    <row r="3" customHeight="1" spans="1:1">
      <c r="A3" s="11" t="s">
        <v>11</v>
      </c>
    </row>
    <row r="4" customHeight="1" spans="1:10">
      <c r="A4" s="29" t="s">
        <v>12</v>
      </c>
      <c r="B4" s="245" t="s">
        <v>13</v>
      </c>
      <c r="C4" s="29" t="s">
        <v>14</v>
      </c>
      <c r="D4" s="29" t="s">
        <v>15</v>
      </c>
      <c r="E4" s="29" t="s">
        <v>16</v>
      </c>
      <c r="F4" s="164" t="s">
        <v>17</v>
      </c>
      <c r="G4" s="207" t="b">
        <v>1</v>
      </c>
      <c r="H4" s="29" t="b">
        <v>0</v>
      </c>
      <c r="I4" s="29" t="b">
        <v>1</v>
      </c>
      <c r="J4" s="29" t="b">
        <v>0</v>
      </c>
    </row>
    <row r="5" customHeight="1" spans="1:10">
      <c r="A5" s="29" t="s">
        <v>18</v>
      </c>
      <c r="B5" s="245"/>
      <c r="C5" s="29" t="s">
        <v>14</v>
      </c>
      <c r="D5" s="29" t="s">
        <v>15</v>
      </c>
      <c r="E5" s="29" t="s">
        <v>16</v>
      </c>
      <c r="F5" s="29"/>
      <c r="G5" s="207" t="b">
        <v>0</v>
      </c>
      <c r="H5" s="29" t="b">
        <v>1</v>
      </c>
      <c r="I5" s="29" t="b">
        <v>0</v>
      </c>
      <c r="J5" s="29" t="b">
        <v>0</v>
      </c>
    </row>
    <row r="6" customHeight="1" spans="1:10">
      <c r="A6" s="29" t="s">
        <v>19</v>
      </c>
      <c r="B6" s="245" t="s">
        <v>13</v>
      </c>
      <c r="C6" s="29" t="s">
        <v>14</v>
      </c>
      <c r="D6" s="29" t="s">
        <v>15</v>
      </c>
      <c r="E6" s="29" t="s">
        <v>16</v>
      </c>
      <c r="F6" s="418" t="s">
        <v>17</v>
      </c>
      <c r="G6" s="207" t="b">
        <v>0</v>
      </c>
      <c r="H6" s="29" t="b">
        <v>1</v>
      </c>
      <c r="I6" s="29" t="b">
        <v>0</v>
      </c>
      <c r="J6" s="29" t="b">
        <v>0</v>
      </c>
    </row>
    <row r="7" customHeight="1" spans="1:10">
      <c r="A7" s="29" t="s">
        <v>20</v>
      </c>
      <c r="B7" s="245"/>
      <c r="C7" s="29" t="s">
        <v>14</v>
      </c>
      <c r="D7" s="29" t="s">
        <v>15</v>
      </c>
      <c r="E7" s="29" t="s">
        <v>16</v>
      </c>
      <c r="F7" s="29"/>
      <c r="G7" s="207" t="b">
        <v>0</v>
      </c>
      <c r="H7" s="29" t="b">
        <v>1</v>
      </c>
      <c r="I7" s="29" t="b">
        <v>0</v>
      </c>
      <c r="J7" s="29" t="b">
        <v>0</v>
      </c>
    </row>
    <row r="8" customHeight="1" spans="1:10">
      <c r="A8" s="29" t="s">
        <v>21</v>
      </c>
      <c r="B8" s="245"/>
      <c r="C8" s="29" t="s">
        <v>14</v>
      </c>
      <c r="D8" s="29" t="s">
        <v>15</v>
      </c>
      <c r="E8" s="29" t="s">
        <v>16</v>
      </c>
      <c r="F8" s="164" t="s">
        <v>17</v>
      </c>
      <c r="G8" s="207" t="b">
        <v>1</v>
      </c>
      <c r="H8" s="29" t="b">
        <v>0</v>
      </c>
      <c r="I8" s="29" t="b">
        <v>0</v>
      </c>
      <c r="J8" s="29" t="b">
        <v>0</v>
      </c>
    </row>
    <row r="9" customHeight="1" spans="1:10">
      <c r="A9" s="29" t="s">
        <v>22</v>
      </c>
      <c r="B9" s="245"/>
      <c r="C9" s="29" t="s">
        <v>14</v>
      </c>
      <c r="D9" s="29" t="s">
        <v>15</v>
      </c>
      <c r="E9" s="29" t="s">
        <v>16</v>
      </c>
      <c r="F9" s="29"/>
      <c r="G9" s="207" t="b">
        <v>0</v>
      </c>
      <c r="H9" s="29" t="b">
        <v>1</v>
      </c>
      <c r="I9" s="29" t="b">
        <v>0</v>
      </c>
      <c r="J9" s="29" t="b">
        <v>0</v>
      </c>
    </row>
    <row r="10" customHeight="1" spans="1:10">
      <c r="A10" s="29" t="s">
        <v>23</v>
      </c>
      <c r="B10" s="245"/>
      <c r="C10" s="29" t="s">
        <v>14</v>
      </c>
      <c r="D10" s="29" t="s">
        <v>15</v>
      </c>
      <c r="E10" s="29" t="s">
        <v>16</v>
      </c>
      <c r="F10" s="29"/>
      <c r="G10" s="207" t="b">
        <v>0</v>
      </c>
      <c r="H10" s="29" t="b">
        <v>1</v>
      </c>
      <c r="I10" s="29" t="b">
        <v>0</v>
      </c>
      <c r="J10" s="29" t="b">
        <v>0</v>
      </c>
    </row>
    <row r="11" customHeight="1" spans="1:10">
      <c r="A11" s="29" t="s">
        <v>24</v>
      </c>
      <c r="B11" s="245" t="s">
        <v>13</v>
      </c>
      <c r="C11" s="29" t="s">
        <v>25</v>
      </c>
      <c r="D11" s="29" t="s">
        <v>15</v>
      </c>
      <c r="E11" s="29" t="s">
        <v>16</v>
      </c>
      <c r="F11" s="164" t="s">
        <v>17</v>
      </c>
      <c r="G11" s="207" t="b">
        <v>0</v>
      </c>
      <c r="H11" s="29" t="b">
        <v>1</v>
      </c>
      <c r="I11" s="29" t="b">
        <v>0</v>
      </c>
      <c r="J11" s="29" t="b">
        <v>0</v>
      </c>
    </row>
    <row r="12" customHeight="1" spans="1:10">
      <c r="A12" s="29" t="s">
        <v>26</v>
      </c>
      <c r="B12" s="245" t="s">
        <v>13</v>
      </c>
      <c r="C12" s="29" t="s">
        <v>25</v>
      </c>
      <c r="D12" s="29" t="s">
        <v>15</v>
      </c>
      <c r="E12" s="29" t="s">
        <v>16</v>
      </c>
      <c r="F12" s="418" t="s">
        <v>17</v>
      </c>
      <c r="G12" s="207" t="b">
        <v>1</v>
      </c>
      <c r="H12" s="29" t="b">
        <v>0</v>
      </c>
      <c r="I12" s="29" t="b">
        <v>0</v>
      </c>
      <c r="J12" s="29" t="b">
        <v>0</v>
      </c>
    </row>
    <row r="13" customHeight="1" spans="1:10">
      <c r="A13" s="29" t="s">
        <v>27</v>
      </c>
      <c r="B13" s="245" t="s">
        <v>13</v>
      </c>
      <c r="C13" s="29" t="s">
        <v>14</v>
      </c>
      <c r="D13" s="29" t="s">
        <v>15</v>
      </c>
      <c r="E13" s="29" t="s">
        <v>16</v>
      </c>
      <c r="F13" s="164" t="s">
        <v>17</v>
      </c>
      <c r="G13" s="207" t="b">
        <v>1</v>
      </c>
      <c r="H13" s="29" t="b">
        <v>0</v>
      </c>
      <c r="I13" s="29" t="b">
        <v>0</v>
      </c>
      <c r="J13" s="29" t="b">
        <v>0</v>
      </c>
    </row>
    <row r="14" customHeight="1" spans="1:10">
      <c r="A14" s="29" t="s">
        <v>28</v>
      </c>
      <c r="B14" s="245" t="s">
        <v>13</v>
      </c>
      <c r="C14" s="29" t="s">
        <v>14</v>
      </c>
      <c r="D14" s="29" t="s">
        <v>15</v>
      </c>
      <c r="E14" s="29" t="s">
        <v>16</v>
      </c>
      <c r="F14" s="418" t="s">
        <v>17</v>
      </c>
      <c r="G14" s="207" t="b">
        <v>0</v>
      </c>
      <c r="H14" s="29" t="b">
        <v>1</v>
      </c>
      <c r="I14" s="29" t="b">
        <v>0</v>
      </c>
      <c r="J14" s="29" t="b">
        <v>0</v>
      </c>
    </row>
    <row r="15" customHeight="1" spans="1:10">
      <c r="A15" s="29" t="s">
        <v>29</v>
      </c>
      <c r="B15" s="245" t="s">
        <v>13</v>
      </c>
      <c r="C15" s="29" t="s">
        <v>14</v>
      </c>
      <c r="D15" s="29" t="s">
        <v>15</v>
      </c>
      <c r="E15" s="29" t="s">
        <v>16</v>
      </c>
      <c r="F15" s="418" t="s">
        <v>17</v>
      </c>
      <c r="G15" s="207" t="b">
        <v>0</v>
      </c>
      <c r="H15" s="29" t="b">
        <v>1</v>
      </c>
      <c r="I15" s="29" t="b">
        <v>0</v>
      </c>
      <c r="J15" s="29" t="b">
        <v>0</v>
      </c>
    </row>
    <row r="16" customHeight="1" spans="1:10">
      <c r="A16" s="29" t="s">
        <v>30</v>
      </c>
      <c r="B16" s="245" t="s">
        <v>13</v>
      </c>
      <c r="C16" s="29" t="s">
        <v>14</v>
      </c>
      <c r="D16" s="29" t="s">
        <v>15</v>
      </c>
      <c r="E16" s="29" t="s">
        <v>16</v>
      </c>
      <c r="F16" s="418" t="s">
        <v>17</v>
      </c>
      <c r="G16" s="207" t="b">
        <v>0</v>
      </c>
      <c r="H16" s="29" t="b">
        <v>1</v>
      </c>
      <c r="I16" s="29" t="b">
        <v>0</v>
      </c>
      <c r="J16" s="29" t="b">
        <v>0</v>
      </c>
    </row>
    <row r="17" customHeight="1" spans="1:10">
      <c r="A17" s="29" t="s">
        <v>31</v>
      </c>
      <c r="B17" s="245" t="s">
        <v>13</v>
      </c>
      <c r="C17" s="29" t="s">
        <v>25</v>
      </c>
      <c r="D17" s="29" t="s">
        <v>15</v>
      </c>
      <c r="E17" s="29" t="s">
        <v>16</v>
      </c>
      <c r="F17" s="418" t="s">
        <v>17</v>
      </c>
      <c r="G17" s="207" t="b">
        <v>1</v>
      </c>
      <c r="H17" s="29" t="b">
        <v>0</v>
      </c>
      <c r="I17" s="29" t="b">
        <v>0</v>
      </c>
      <c r="J17" s="29" t="b">
        <v>0</v>
      </c>
    </row>
    <row r="18" customHeight="1" spans="1:10">
      <c r="A18" s="29" t="s">
        <v>32</v>
      </c>
      <c r="B18" s="245" t="s">
        <v>13</v>
      </c>
      <c r="C18" s="29" t="s">
        <v>25</v>
      </c>
      <c r="D18" s="29" t="s">
        <v>15</v>
      </c>
      <c r="E18" s="29" t="s">
        <v>16</v>
      </c>
      <c r="F18" s="418" t="s">
        <v>17</v>
      </c>
      <c r="G18" s="207" t="b">
        <v>0</v>
      </c>
      <c r="H18" s="29" t="b">
        <v>1</v>
      </c>
      <c r="I18" s="29" t="b">
        <v>0</v>
      </c>
      <c r="J18" s="29" t="b">
        <v>0</v>
      </c>
    </row>
    <row r="19" customHeight="1" spans="2:7">
      <c r="B19" s="245"/>
      <c r="F19" s="29"/>
      <c r="G19" s="207"/>
    </row>
    <row r="20" customHeight="1" spans="1:10">
      <c r="A20" s="29" t="s">
        <v>33</v>
      </c>
      <c r="B20" s="245" t="s">
        <v>13</v>
      </c>
      <c r="C20" s="29" t="s">
        <v>25</v>
      </c>
      <c r="D20" s="29" t="s">
        <v>15</v>
      </c>
      <c r="E20" s="29" t="s">
        <v>16</v>
      </c>
      <c r="F20" s="164" t="s">
        <v>17</v>
      </c>
      <c r="G20" s="207" t="b">
        <v>1</v>
      </c>
      <c r="H20" s="29" t="b">
        <v>0</v>
      </c>
      <c r="I20" s="29" t="b">
        <v>1</v>
      </c>
      <c r="J20" s="29" t="b">
        <v>0</v>
      </c>
    </row>
    <row r="21" customHeight="1" spans="1:10">
      <c r="A21" s="29" t="s">
        <v>34</v>
      </c>
      <c r="B21" s="245"/>
      <c r="C21" s="29"/>
      <c r="D21" s="29" t="s">
        <v>15</v>
      </c>
      <c r="E21" s="29"/>
      <c r="F21" s="29"/>
      <c r="G21" s="207" t="b">
        <v>0</v>
      </c>
      <c r="H21" s="29" t="b">
        <v>1</v>
      </c>
      <c r="I21" s="29" t="b">
        <v>0</v>
      </c>
      <c r="J21" s="29" t="b">
        <v>0</v>
      </c>
    </row>
    <row r="22" customHeight="1" spans="1:10">
      <c r="A22" s="29" t="s">
        <v>35</v>
      </c>
      <c r="B22" s="245" t="s">
        <v>13</v>
      </c>
      <c r="C22" s="29" t="s">
        <v>25</v>
      </c>
      <c r="D22" s="29" t="s">
        <v>15</v>
      </c>
      <c r="E22" s="29" t="s">
        <v>16</v>
      </c>
      <c r="F22" s="164" t="s">
        <v>17</v>
      </c>
      <c r="G22" s="207" t="b">
        <v>1</v>
      </c>
      <c r="H22" s="29" t="b">
        <v>0</v>
      </c>
      <c r="I22" s="29" t="b">
        <v>0</v>
      </c>
      <c r="J22" s="29" t="b">
        <v>0</v>
      </c>
    </row>
    <row r="23" customHeight="1" spans="1:10">
      <c r="A23" s="29" t="s">
        <v>36</v>
      </c>
      <c r="B23" s="245" t="s">
        <v>13</v>
      </c>
      <c r="C23" s="29" t="s">
        <v>25</v>
      </c>
      <c r="D23" s="29" t="s">
        <v>15</v>
      </c>
      <c r="E23" s="29" t="s">
        <v>16</v>
      </c>
      <c r="F23" s="418" t="s">
        <v>17</v>
      </c>
      <c r="G23" s="207" t="b">
        <v>1</v>
      </c>
      <c r="H23" s="29" t="b">
        <v>0</v>
      </c>
      <c r="I23" s="29" t="b">
        <v>0</v>
      </c>
      <c r="J23" s="29" t="b">
        <v>0</v>
      </c>
    </row>
    <row r="24" customHeight="1" spans="1:10">
      <c r="A24" s="29" t="s">
        <v>37</v>
      </c>
      <c r="B24" s="245" t="s">
        <v>13</v>
      </c>
      <c r="C24" s="29" t="s">
        <v>25</v>
      </c>
      <c r="D24" s="29" t="s">
        <v>15</v>
      </c>
      <c r="E24" s="29" t="s">
        <v>16</v>
      </c>
      <c r="F24" s="418" t="s">
        <v>17</v>
      </c>
      <c r="G24" s="207" t="b">
        <v>0</v>
      </c>
      <c r="H24" s="29" t="b">
        <v>1</v>
      </c>
      <c r="I24" s="29" t="b">
        <v>0</v>
      </c>
      <c r="J24" s="29" t="b">
        <v>0</v>
      </c>
    </row>
    <row r="25" customHeight="1" spans="1:10">
      <c r="A25" s="29" t="s">
        <v>38</v>
      </c>
      <c r="B25" s="245"/>
      <c r="C25" s="29" t="s">
        <v>25</v>
      </c>
      <c r="D25" s="29" t="s">
        <v>15</v>
      </c>
      <c r="E25" s="29" t="s">
        <v>15</v>
      </c>
      <c r="F25" s="29"/>
      <c r="G25" s="207" t="b">
        <v>1</v>
      </c>
      <c r="H25" s="29" t="b">
        <v>0</v>
      </c>
      <c r="I25" s="29" t="b">
        <v>1</v>
      </c>
      <c r="J25" s="29" t="b">
        <v>0</v>
      </c>
    </row>
    <row r="26" customHeight="1" spans="1:10">
      <c r="A26" s="29" t="s">
        <v>39</v>
      </c>
      <c r="B26" s="360"/>
      <c r="C26" s="29" t="s">
        <v>25</v>
      </c>
      <c r="D26" s="29" t="s">
        <v>15</v>
      </c>
      <c r="E26" s="29" t="s">
        <v>40</v>
      </c>
      <c r="G26" s="207" t="b">
        <v>1</v>
      </c>
      <c r="H26" s="29" t="b">
        <v>0</v>
      </c>
      <c r="I26" s="29" t="b">
        <v>1</v>
      </c>
      <c r="J26" s="29" t="b">
        <v>0</v>
      </c>
    </row>
    <row r="27" customHeight="1" spans="2:7">
      <c r="B27" s="245"/>
      <c r="F27" s="29"/>
      <c r="G27" s="207"/>
    </row>
    <row r="28" customHeight="1" spans="1:10">
      <c r="A28" s="29" t="s">
        <v>41</v>
      </c>
      <c r="B28" s="245" t="s">
        <v>13</v>
      </c>
      <c r="C28" s="29" t="s">
        <v>14</v>
      </c>
      <c r="D28" s="29" t="s">
        <v>15</v>
      </c>
      <c r="E28" s="29" t="s">
        <v>42</v>
      </c>
      <c r="F28" s="418" t="s">
        <v>43</v>
      </c>
      <c r="G28" s="207" t="b">
        <v>1</v>
      </c>
      <c r="H28" s="29" t="b">
        <v>0</v>
      </c>
      <c r="I28" s="29" t="b">
        <v>0</v>
      </c>
      <c r="J28" s="29" t="b">
        <v>0</v>
      </c>
    </row>
    <row r="29" customHeight="1" spans="1:10">
      <c r="A29" s="29" t="s">
        <v>44</v>
      </c>
      <c r="B29" s="245" t="s">
        <v>13</v>
      </c>
      <c r="C29" s="29" t="s">
        <v>25</v>
      </c>
      <c r="D29" s="29" t="s">
        <v>15</v>
      </c>
      <c r="E29" s="29" t="s">
        <v>42</v>
      </c>
      <c r="F29" s="418" t="s">
        <v>43</v>
      </c>
      <c r="G29" s="207" t="b">
        <v>1</v>
      </c>
      <c r="H29" s="29" t="b">
        <v>0</v>
      </c>
      <c r="I29" s="29" t="b">
        <v>0</v>
      </c>
      <c r="J29" s="29" t="b">
        <v>0</v>
      </c>
    </row>
    <row r="30" customHeight="1" spans="1:10">
      <c r="A30" s="29" t="s">
        <v>45</v>
      </c>
      <c r="B30" s="245" t="s">
        <v>13</v>
      </c>
      <c r="C30" s="29" t="s">
        <v>25</v>
      </c>
      <c r="D30" s="29" t="s">
        <v>15</v>
      </c>
      <c r="E30" s="29" t="s">
        <v>42</v>
      </c>
      <c r="F30" s="418" t="s">
        <v>43</v>
      </c>
      <c r="G30" s="207" t="b">
        <v>1</v>
      </c>
      <c r="H30" s="29" t="b">
        <v>0</v>
      </c>
      <c r="I30" s="29" t="b">
        <v>0</v>
      </c>
      <c r="J30" s="29" t="b">
        <v>0</v>
      </c>
    </row>
    <row r="31" customHeight="1" spans="2:7">
      <c r="B31" s="245"/>
      <c r="F31" s="29"/>
      <c r="G31" s="207"/>
    </row>
    <row r="32" customHeight="1" spans="1:10">
      <c r="A32" s="29" t="s">
        <v>46</v>
      </c>
      <c r="B32" s="245"/>
      <c r="C32" s="29" t="s">
        <v>14</v>
      </c>
      <c r="D32" s="29" t="s">
        <v>15</v>
      </c>
      <c r="E32" s="29" t="s">
        <v>15</v>
      </c>
      <c r="F32" s="164" t="s">
        <v>17</v>
      </c>
      <c r="G32" s="207" t="b">
        <v>0</v>
      </c>
      <c r="H32" s="29" t="b">
        <v>1</v>
      </c>
      <c r="I32" s="29" t="b">
        <v>0</v>
      </c>
      <c r="J32" s="29" t="b">
        <v>0</v>
      </c>
    </row>
    <row r="33" customHeight="1" spans="1:10">
      <c r="A33" s="29" t="s">
        <v>47</v>
      </c>
      <c r="B33" s="245"/>
      <c r="C33" s="29" t="s">
        <v>14</v>
      </c>
      <c r="D33" s="29" t="s">
        <v>15</v>
      </c>
      <c r="E33" s="29" t="s">
        <v>15</v>
      </c>
      <c r="F33" s="418" t="s">
        <v>17</v>
      </c>
      <c r="G33" s="207" t="b">
        <v>0</v>
      </c>
      <c r="H33" s="29" t="b">
        <v>1</v>
      </c>
      <c r="I33" s="29" t="b">
        <v>0</v>
      </c>
      <c r="J33" s="29" t="b">
        <v>0</v>
      </c>
    </row>
    <row r="34" customHeight="1" spans="1:10">
      <c r="A34" s="29" t="s">
        <v>48</v>
      </c>
      <c r="B34" s="245"/>
      <c r="C34" s="29" t="s">
        <v>14</v>
      </c>
      <c r="D34" s="29" t="s">
        <v>15</v>
      </c>
      <c r="E34" s="29" t="s">
        <v>15</v>
      </c>
      <c r="F34" s="164" t="s">
        <v>17</v>
      </c>
      <c r="G34" s="207" t="b">
        <v>0</v>
      </c>
      <c r="H34" s="29" t="b">
        <v>1</v>
      </c>
      <c r="I34" s="29" t="b">
        <v>0</v>
      </c>
      <c r="J34" s="29" t="b">
        <v>0</v>
      </c>
    </row>
    <row r="35" customHeight="1" spans="1:10">
      <c r="A35" s="29" t="s">
        <v>49</v>
      </c>
      <c r="B35" s="245"/>
      <c r="C35" s="29" t="s">
        <v>14</v>
      </c>
      <c r="D35" s="29" t="s">
        <v>15</v>
      </c>
      <c r="E35" s="29" t="s">
        <v>15</v>
      </c>
      <c r="F35" s="418" t="s">
        <v>17</v>
      </c>
      <c r="G35" s="207" t="b">
        <v>0</v>
      </c>
      <c r="H35" s="29" t="b">
        <v>1</v>
      </c>
      <c r="I35" s="29" t="b">
        <v>0</v>
      </c>
      <c r="J35" s="29" t="b">
        <v>0</v>
      </c>
    </row>
    <row r="36" customHeight="1" spans="1:10">
      <c r="A36" s="29" t="s">
        <v>50</v>
      </c>
      <c r="B36" s="245"/>
      <c r="C36" s="29" t="s">
        <v>25</v>
      </c>
      <c r="D36" s="29" t="s">
        <v>15</v>
      </c>
      <c r="E36" s="29" t="s">
        <v>15</v>
      </c>
      <c r="F36" s="164" t="s">
        <v>17</v>
      </c>
      <c r="G36" s="207" t="b">
        <v>0</v>
      </c>
      <c r="H36" s="29" t="b">
        <v>0</v>
      </c>
      <c r="I36" s="29" t="b">
        <v>0</v>
      </c>
      <c r="J36" s="29" t="b">
        <v>0</v>
      </c>
    </row>
    <row r="37" customHeight="1" spans="1:10">
      <c r="A37" s="29" t="s">
        <v>51</v>
      </c>
      <c r="B37" s="245"/>
      <c r="C37" s="29" t="s">
        <v>25</v>
      </c>
      <c r="D37" s="29" t="s">
        <v>15</v>
      </c>
      <c r="E37" s="29" t="s">
        <v>15</v>
      </c>
      <c r="F37" s="164" t="s">
        <v>17</v>
      </c>
      <c r="G37" s="207" t="b">
        <v>0</v>
      </c>
      <c r="H37" s="29" t="b">
        <v>0</v>
      </c>
      <c r="I37" s="29" t="b">
        <v>0</v>
      </c>
      <c r="J37" s="29" t="b">
        <v>0</v>
      </c>
    </row>
    <row r="38" customHeight="1" spans="1:10">
      <c r="A38" s="29" t="s">
        <v>52</v>
      </c>
      <c r="B38" s="245"/>
      <c r="C38" s="29" t="s">
        <v>14</v>
      </c>
      <c r="D38" s="29" t="s">
        <v>15</v>
      </c>
      <c r="E38" s="29" t="s">
        <v>15</v>
      </c>
      <c r="F38" s="164" t="s">
        <v>17</v>
      </c>
      <c r="G38" s="207" t="b">
        <v>0</v>
      </c>
      <c r="H38" s="29" t="b">
        <v>0</v>
      </c>
      <c r="I38" s="29" t="b">
        <v>0</v>
      </c>
      <c r="J38" s="29" t="b">
        <v>0</v>
      </c>
    </row>
    <row r="39" customHeight="1" spans="1:10">
      <c r="A39" s="29" t="s">
        <v>53</v>
      </c>
      <c r="B39" s="245"/>
      <c r="C39" s="29" t="s">
        <v>14</v>
      </c>
      <c r="D39" s="29" t="s">
        <v>15</v>
      </c>
      <c r="E39" s="29" t="s">
        <v>15</v>
      </c>
      <c r="F39" s="418" t="s">
        <v>17</v>
      </c>
      <c r="G39" s="207" t="b">
        <v>0</v>
      </c>
      <c r="H39" s="29" t="b">
        <v>0</v>
      </c>
      <c r="I39" s="29" t="b">
        <v>0</v>
      </c>
      <c r="J39" s="29" t="b">
        <v>0</v>
      </c>
    </row>
    <row r="40" customHeight="1" spans="1:10">
      <c r="A40" s="29" t="s">
        <v>54</v>
      </c>
      <c r="B40" s="245"/>
      <c r="C40" s="29" t="s">
        <v>14</v>
      </c>
      <c r="D40" s="29" t="s">
        <v>15</v>
      </c>
      <c r="E40" s="29" t="s">
        <v>15</v>
      </c>
      <c r="F40" s="418" t="s">
        <v>17</v>
      </c>
      <c r="G40" s="207" t="b">
        <v>0</v>
      </c>
      <c r="H40" s="29" t="b">
        <v>0</v>
      </c>
      <c r="I40" s="29" t="b">
        <v>0</v>
      </c>
      <c r="J40" s="29" t="b">
        <v>0</v>
      </c>
    </row>
    <row r="41" customHeight="1" spans="1:10">
      <c r="A41" s="29" t="s">
        <v>55</v>
      </c>
      <c r="B41" s="245"/>
      <c r="C41" s="29" t="s">
        <v>14</v>
      </c>
      <c r="D41" s="29" t="s">
        <v>15</v>
      </c>
      <c r="E41" s="29" t="s">
        <v>15</v>
      </c>
      <c r="F41" s="418" t="s">
        <v>17</v>
      </c>
      <c r="G41" s="207" t="b">
        <v>0</v>
      </c>
      <c r="H41" s="29" t="b">
        <v>0</v>
      </c>
      <c r="I41" s="29" t="b">
        <v>0</v>
      </c>
      <c r="J41" s="29" t="b">
        <v>0</v>
      </c>
    </row>
    <row r="42" customHeight="1" spans="2:7">
      <c r="B42" s="245"/>
      <c r="F42" s="29"/>
      <c r="G42" s="207"/>
    </row>
    <row r="43" customHeight="1" spans="1:10">
      <c r="A43" s="29" t="s">
        <v>56</v>
      </c>
      <c r="B43" s="245" t="s">
        <v>13</v>
      </c>
      <c r="C43" s="29" t="s">
        <v>14</v>
      </c>
      <c r="D43" s="29" t="s">
        <v>15</v>
      </c>
      <c r="E43" s="29" t="s">
        <v>57</v>
      </c>
      <c r="G43" s="207" t="b">
        <v>1</v>
      </c>
      <c r="H43" s="29" t="b">
        <v>0</v>
      </c>
      <c r="I43" s="29" t="b">
        <v>0</v>
      </c>
      <c r="J43" s="29" t="b">
        <v>0</v>
      </c>
    </row>
    <row r="44" customHeight="1" spans="1:10">
      <c r="A44" s="29" t="s">
        <v>58</v>
      </c>
      <c r="B44" s="245" t="s">
        <v>13</v>
      </c>
      <c r="C44" s="29" t="s">
        <v>25</v>
      </c>
      <c r="D44" s="29" t="s">
        <v>15</v>
      </c>
      <c r="E44" s="29" t="s">
        <v>57</v>
      </c>
      <c r="G44" s="207" t="b">
        <v>1</v>
      </c>
      <c r="H44" s="29" t="b">
        <v>0</v>
      </c>
      <c r="I44" s="29" t="b">
        <v>0</v>
      </c>
      <c r="J44" s="29" t="b">
        <v>0</v>
      </c>
    </row>
    <row r="45" customHeight="1" spans="1:10">
      <c r="A45" s="29" t="s">
        <v>59</v>
      </c>
      <c r="B45" s="245" t="s">
        <v>13</v>
      </c>
      <c r="C45" s="29" t="s">
        <v>14</v>
      </c>
      <c r="D45" s="29" t="s">
        <v>15</v>
      </c>
      <c r="E45" s="29" t="s">
        <v>57</v>
      </c>
      <c r="G45" s="207" t="b">
        <v>0</v>
      </c>
      <c r="H45" s="29" t="b">
        <v>0</v>
      </c>
      <c r="I45" s="29" t="b">
        <v>0</v>
      </c>
      <c r="J45" s="29" t="b">
        <v>0</v>
      </c>
    </row>
    <row r="46" customHeight="1" spans="1:10">
      <c r="A46" s="29" t="s">
        <v>60</v>
      </c>
      <c r="B46" s="245" t="s">
        <v>13</v>
      </c>
      <c r="C46" s="29" t="s">
        <v>14</v>
      </c>
      <c r="D46" s="29" t="s">
        <v>15</v>
      </c>
      <c r="E46" s="29" t="s">
        <v>57</v>
      </c>
      <c r="G46" s="207" t="b">
        <v>0</v>
      </c>
      <c r="H46" s="29" t="b">
        <v>0</v>
      </c>
      <c r="I46" s="29" t="b">
        <v>0</v>
      </c>
      <c r="J46" s="29" t="b">
        <v>0</v>
      </c>
    </row>
    <row r="47" customHeight="1" spans="1:1">
      <c r="A47" s="11"/>
    </row>
  </sheetData>
  <mergeCells count="2">
    <mergeCell ref="A3:J3"/>
    <mergeCell ref="A47:J47"/>
  </mergeCells>
  <dataValidations count="3">
    <dataValidation type="list" allowBlank="1" showErrorMessage="1" sqref="C2 C4:C18 C20:C26 C28:C30 C32:C41 C43:C46">
      <formula1>"Room,Surface,Unassigned"</formula1>
    </dataValidation>
    <dataValidation type="list" allowBlank="1" showErrorMessage="1" sqref="D2 D4:D18 D20:D26 D28:D30 D32:D41 D43:D46">
      <formula1>"Residential Interior,Residential Exterior,Commercial,NC,Default,Create New + Reassign!"</formula1>
    </dataValidation>
    <dataValidation type="list" allowBlank="1" showErrorMessage="1" sqref="E2 E4:E18 E20:E26 E28:E30 E32:E41 E43:E46">
      <formula1>"Residential,Commercial,HOA/Garage,NC,Default,Create New + Reassign!,Roof"</formula1>
    </dataValidation>
  </dataValidations>
  <hyperlinks>
    <hyperlink ref="F4" r:id="rId1" display="2024 Scout Residential Terms"/>
    <hyperlink ref="F6" r:id="rId1" display="2024 Scout Residential Terms"/>
    <hyperlink ref="F8" r:id="rId1" display="2024 Scout Residential Terms"/>
    <hyperlink ref="F11" r:id="rId1" display="2024 Scout Residential Terms"/>
    <hyperlink ref="F12" r:id="rId1" display="2024 Scout Residential Terms"/>
    <hyperlink ref="F13" r:id="rId1" display="2024 Scout Residential Terms"/>
    <hyperlink ref="F14" r:id="rId1" display="2024 Scout Residential Terms"/>
    <hyperlink ref="F15" r:id="rId1" display="2024 Scout Residential Terms"/>
    <hyperlink ref="F16" r:id="rId1" display="2024 Scout Residential Terms"/>
    <hyperlink ref="F17" r:id="rId1" display="2024 Scout Residential Terms"/>
    <hyperlink ref="F18" r:id="rId1" display="2024 Scout Residential Terms"/>
    <hyperlink ref="F20" r:id="rId1" display="2024 Scout Residential Terms"/>
    <hyperlink ref="F22" r:id="rId1" display="2024 Scout Residential Terms"/>
    <hyperlink ref="F23" r:id="rId1" display="2024 Scout Residential Terms"/>
    <hyperlink ref="F24" r:id="rId1" display="2024 Scout Residential Terms"/>
    <hyperlink ref="F28" r:id="rId2" display="2024 Scout Commercial Terms"/>
    <hyperlink ref="F29" r:id="rId2" display="2024 Scout Commercial Terms"/>
    <hyperlink ref="F30" r:id="rId2" display="2024 Scout Commercial Terms"/>
    <hyperlink ref="F32" r:id="rId1" display="2024 Scout Residential Terms"/>
    <hyperlink ref="F33" r:id="rId1" display="2024 Scout Residential Terms"/>
    <hyperlink ref="F34" r:id="rId1" display="2024 Scout Residential Terms"/>
    <hyperlink ref="F35" r:id="rId1" display="2024 Scout Residential Terms"/>
    <hyperlink ref="F36" r:id="rId1" display="2024 Scout Residential Terms"/>
    <hyperlink ref="F37" r:id="rId1" display="2024 Scout Residential Terms"/>
    <hyperlink ref="F38" r:id="rId1" display="2024 Scout Residential Terms"/>
    <hyperlink ref="F39" r:id="rId1" display="2024 Scout Residential Terms"/>
    <hyperlink ref="F40" r:id="rId1" display="2024 Scout Residential Terms"/>
    <hyperlink ref="F41" r:id="rId1" display="2024 Scout Residential Terms"/>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FF"/>
    <outlinePr summaryBelow="0" summaryRight="0"/>
    <pageSetUpPr fitToPage="1"/>
  </sheetPr>
  <dimension ref="A1:AO285"/>
  <sheetViews>
    <sheetView tabSelected="1" workbookViewId="0">
      <pane xSplit="1" ySplit="3" topLeftCell="B88" activePane="bottomRight" state="frozen"/>
      <selection/>
      <selection pane="topRight"/>
      <selection pane="bottomLeft"/>
      <selection pane="bottomRight" activeCell="B1" sqref="B$1:B$1048576"/>
    </sheetView>
  </sheetViews>
  <sheetFormatPr defaultColWidth="12.6285714285714" defaultRowHeight="15.75" customHeight="1"/>
  <cols>
    <col min="1" max="1" width="46.752380952381" customWidth="1"/>
    <col min="2" max="2" width="46.8761904761905" customWidth="1"/>
    <col min="3" max="3" width="44.3809523809524" customWidth="1"/>
    <col min="4" max="4" width="45.5047619047619" customWidth="1"/>
    <col min="5" max="5" width="28.6285714285714" customWidth="1"/>
    <col min="6" max="6" width="35.247619047619" customWidth="1"/>
    <col min="7" max="7" width="15" customWidth="1"/>
    <col min="8" max="12" width="13.247619047619" customWidth="1"/>
    <col min="13" max="13" width="18.3809523809524" customWidth="1"/>
    <col min="14" max="14" width="22.6285714285714" customWidth="1"/>
    <col min="15" max="15" width="12.6285714285714" customWidth="1"/>
    <col min="16" max="19" width="13.752380952381" customWidth="1"/>
    <col min="20" max="30" width="12.6285714285714" customWidth="1"/>
    <col min="31" max="32" width="24.1333333333333" customWidth="1"/>
    <col min="33" max="33" width="14.247619047619" customWidth="1"/>
    <col min="34" max="34" width="14.247619047619" customWidth="1" collapsed="1"/>
    <col min="35" max="41" width="12.6285714285714" hidden="1" outlineLevel="1"/>
  </cols>
  <sheetData>
    <row r="1" customHeight="1" spans="1:41">
      <c r="A1" s="630"/>
      <c r="B1" s="630" t="s">
        <v>61</v>
      </c>
      <c r="C1" s="630" t="s">
        <v>62</v>
      </c>
      <c r="D1" s="630" t="s">
        <v>63</v>
      </c>
      <c r="E1" s="630" t="s">
        <v>64</v>
      </c>
      <c r="F1" s="630" t="s">
        <v>65</v>
      </c>
      <c r="G1" s="630" t="s">
        <v>66</v>
      </c>
      <c r="H1" s="630" t="s">
        <v>67</v>
      </c>
      <c r="I1" s="630" t="s">
        <v>68</v>
      </c>
      <c r="J1" s="630"/>
      <c r="K1" s="630" t="s">
        <v>69</v>
      </c>
      <c r="L1" s="630" t="s">
        <v>70</v>
      </c>
      <c r="M1" s="630" t="s">
        <v>71</v>
      </c>
      <c r="N1" s="630" t="s">
        <v>72</v>
      </c>
      <c r="O1" s="630" t="s">
        <v>73</v>
      </c>
      <c r="P1" s="634" t="s">
        <v>74</v>
      </c>
      <c r="Q1" s="634" t="s">
        <v>75</v>
      </c>
      <c r="R1" s="634" t="s">
        <v>76</v>
      </c>
      <c r="S1" s="634" t="s">
        <v>74</v>
      </c>
      <c r="T1" s="634" t="s">
        <v>75</v>
      </c>
      <c r="U1" s="634" t="s">
        <v>76</v>
      </c>
      <c r="V1" s="634"/>
      <c r="W1" s="634"/>
      <c r="X1" s="634"/>
      <c r="Y1" s="634"/>
      <c r="Z1" s="634"/>
      <c r="AA1" s="634"/>
      <c r="AB1" s="634"/>
      <c r="AC1" s="634"/>
      <c r="AD1" s="634"/>
      <c r="AE1" s="630" t="s">
        <v>77</v>
      </c>
      <c r="AF1" s="630" t="s">
        <v>78</v>
      </c>
      <c r="AG1" s="630"/>
      <c r="AH1" s="630" t="s">
        <v>79</v>
      </c>
      <c r="AI1" s="630" t="s">
        <v>80</v>
      </c>
      <c r="AJ1" s="630" t="s">
        <v>81</v>
      </c>
      <c r="AK1" s="630" t="s">
        <v>82</v>
      </c>
      <c r="AL1" s="630" t="s">
        <v>83</v>
      </c>
      <c r="AM1" s="630" t="s">
        <v>84</v>
      </c>
      <c r="AN1" s="630" t="s">
        <v>85</v>
      </c>
      <c r="AO1" s="640" t="s">
        <v>86</v>
      </c>
    </row>
    <row r="2" customHeight="1" spans="1:41">
      <c r="A2" s="631" t="s">
        <v>87</v>
      </c>
      <c r="B2" s="631" t="s">
        <v>88</v>
      </c>
      <c r="C2" s="631" t="s">
        <v>89</v>
      </c>
      <c r="D2" s="631" t="s">
        <v>90</v>
      </c>
      <c r="E2" s="631" t="s">
        <v>91</v>
      </c>
      <c r="F2" s="631" t="s">
        <v>92</v>
      </c>
      <c r="G2" s="631" t="s">
        <v>93</v>
      </c>
      <c r="H2" s="631" t="s">
        <v>94</v>
      </c>
      <c r="I2" s="631" t="s">
        <v>95</v>
      </c>
      <c r="J2" s="631" t="s">
        <v>96</v>
      </c>
      <c r="K2" s="631" t="s">
        <v>97</v>
      </c>
      <c r="L2" s="631" t="s">
        <v>98</v>
      </c>
      <c r="M2" s="631" t="s">
        <v>99</v>
      </c>
      <c r="N2" s="631" t="s">
        <v>100</v>
      </c>
      <c r="O2" s="631" t="s">
        <v>101</v>
      </c>
      <c r="P2" s="635" t="s">
        <v>102</v>
      </c>
      <c r="Q2" s="635" t="s">
        <v>103</v>
      </c>
      <c r="R2" s="635" t="s">
        <v>104</v>
      </c>
      <c r="S2" s="635" t="s">
        <v>102</v>
      </c>
      <c r="T2" s="635" t="s">
        <v>103</v>
      </c>
      <c r="U2" s="635" t="s">
        <v>104</v>
      </c>
      <c r="V2" s="635" t="s">
        <v>102</v>
      </c>
      <c r="W2" s="635" t="s">
        <v>103</v>
      </c>
      <c r="X2" s="635" t="s">
        <v>104</v>
      </c>
      <c r="Y2" s="635" t="s">
        <v>102</v>
      </c>
      <c r="Z2" s="635" t="s">
        <v>103</v>
      </c>
      <c r="AA2" s="635" t="s">
        <v>104</v>
      </c>
      <c r="AB2" s="635" t="s">
        <v>102</v>
      </c>
      <c r="AC2" s="635" t="s">
        <v>103</v>
      </c>
      <c r="AD2" s="635" t="s">
        <v>104</v>
      </c>
      <c r="AE2" s="631" t="s">
        <v>105</v>
      </c>
      <c r="AF2" s="631" t="s">
        <v>82</v>
      </c>
      <c r="AG2" s="631" t="s">
        <v>106</v>
      </c>
      <c r="AH2" s="631" t="s">
        <v>107</v>
      </c>
      <c r="AI2" s="582"/>
      <c r="AJ2" s="582"/>
      <c r="AK2" s="582"/>
      <c r="AL2" s="582"/>
      <c r="AM2" s="582"/>
      <c r="AN2" s="582"/>
      <c r="AO2" s="588"/>
    </row>
    <row r="3" customHeight="1" spans="1:41">
      <c r="A3" s="631"/>
      <c r="B3" s="631"/>
      <c r="C3" s="631"/>
      <c r="D3" s="631"/>
      <c r="E3" s="631"/>
      <c r="F3" s="631"/>
      <c r="G3" s="631"/>
      <c r="H3" s="631"/>
      <c r="I3" s="631"/>
      <c r="J3" s="631"/>
      <c r="K3" s="631"/>
      <c r="L3" s="631"/>
      <c r="M3" s="631"/>
      <c r="N3" s="631"/>
      <c r="O3" s="631"/>
      <c r="P3" s="635" t="s">
        <v>108</v>
      </c>
      <c r="Q3" s="635" t="s">
        <v>108</v>
      </c>
      <c r="R3" s="635" t="s">
        <v>108</v>
      </c>
      <c r="S3" s="635" t="s">
        <v>16</v>
      </c>
      <c r="T3" s="635" t="s">
        <v>16</v>
      </c>
      <c r="U3" s="635" t="s">
        <v>16</v>
      </c>
      <c r="V3" s="635" t="s">
        <v>109</v>
      </c>
      <c r="W3" s="635" t="s">
        <v>109</v>
      </c>
      <c r="X3" s="635" t="s">
        <v>109</v>
      </c>
      <c r="Y3" s="635" t="s">
        <v>110</v>
      </c>
      <c r="Z3" s="635" t="s">
        <v>110</v>
      </c>
      <c r="AA3" s="635" t="s">
        <v>110</v>
      </c>
      <c r="AB3" s="635" t="s">
        <v>111</v>
      </c>
      <c r="AC3" s="635" t="s">
        <v>111</v>
      </c>
      <c r="AD3" s="635" t="s">
        <v>111</v>
      </c>
      <c r="AE3" s="631"/>
      <c r="AF3" s="631"/>
      <c r="AG3" s="631"/>
      <c r="AH3" s="631"/>
      <c r="AI3" s="630"/>
      <c r="AJ3" s="630"/>
      <c r="AK3" s="630"/>
      <c r="AL3" s="630"/>
      <c r="AM3" s="630"/>
      <c r="AN3" s="630"/>
      <c r="AO3" s="630"/>
    </row>
    <row r="4" customHeight="1" spans="1:41">
      <c r="A4" s="632" t="s">
        <v>112</v>
      </c>
      <c r="B4" s="632" t="s">
        <v>113</v>
      </c>
      <c r="C4" s="632"/>
      <c r="D4" s="632"/>
      <c r="E4" s="632" t="s">
        <v>114</v>
      </c>
      <c r="F4" s="632"/>
      <c r="G4" s="632" t="s">
        <v>115</v>
      </c>
      <c r="H4" s="633">
        <v>1</v>
      </c>
      <c r="I4" s="633">
        <v>0.9</v>
      </c>
      <c r="J4" s="633">
        <v>1.2</v>
      </c>
      <c r="K4" s="633">
        <v>1</v>
      </c>
      <c r="L4" s="633">
        <v>1.2</v>
      </c>
      <c r="M4" s="632"/>
      <c r="N4" s="632" t="s">
        <v>116</v>
      </c>
      <c r="O4" s="632">
        <v>1</v>
      </c>
      <c r="P4" s="636">
        <v>900</v>
      </c>
      <c r="Q4" s="636" t="s">
        <v>117</v>
      </c>
      <c r="R4" s="636" t="s">
        <v>117</v>
      </c>
      <c r="S4" s="638">
        <f t="shared" ref="S4:S285" si="0">P4*H4</f>
        <v>900</v>
      </c>
      <c r="T4" s="638" t="e">
        <f t="shared" ref="T4:T285" si="1">Q4*H4</f>
        <v>#VALUE!</v>
      </c>
      <c r="U4" s="638" t="e">
        <f t="shared" ref="U4:U285" si="2">R4*K4</f>
        <v>#VALUE!</v>
      </c>
      <c r="V4" s="638">
        <f t="shared" ref="V4:V285" si="3">P4/I4</f>
        <v>1000</v>
      </c>
      <c r="W4" s="638" t="e">
        <f t="shared" ref="W4:W285" si="4">Q4/I4</f>
        <v>#VALUE!</v>
      </c>
      <c r="X4" s="638" t="e">
        <f t="shared" ref="X4:X285" si="5">R4/I4</f>
        <v>#VALUE!</v>
      </c>
      <c r="Y4" s="638">
        <f t="shared" ref="Y4:Y285" si="6">P4/J4</f>
        <v>750</v>
      </c>
      <c r="Z4" s="638" t="e">
        <f t="shared" ref="Z4:Z285" si="7">Q4/J4</f>
        <v>#VALUE!</v>
      </c>
      <c r="AA4" s="638" t="e">
        <f t="shared" ref="AA4:AA285" si="8">R4/J4</f>
        <v>#VALUE!</v>
      </c>
      <c r="AB4" s="638">
        <f t="shared" ref="AB4:AB285" si="9">P4/K4</f>
        <v>900</v>
      </c>
      <c r="AC4" s="638" t="e">
        <f t="shared" ref="AC4:AC285" si="10">Q4/K4</f>
        <v>#VALUE!</v>
      </c>
      <c r="AD4" s="638" t="e">
        <f t="shared" ref="AD4:AD285" si="11">R4/K4</f>
        <v>#VALUE!</v>
      </c>
      <c r="AE4" s="632" t="s">
        <v>118</v>
      </c>
      <c r="AF4" s="632" t="s">
        <v>119</v>
      </c>
      <c r="AG4" s="632"/>
      <c r="AH4" s="632"/>
      <c r="AI4" s="632" t="s">
        <v>120</v>
      </c>
      <c r="AJ4" s="639">
        <f t="shared" ref="AJ4:AJ24" si="12">O4</f>
        <v>1</v>
      </c>
      <c r="AK4" s="632" t="s">
        <v>120</v>
      </c>
      <c r="AL4" s="632" t="s">
        <v>120</v>
      </c>
      <c r="AM4" s="632" t="s">
        <v>120</v>
      </c>
      <c r="AN4" s="632" t="s">
        <v>120</v>
      </c>
      <c r="AO4" s="632" t="s">
        <v>120</v>
      </c>
    </row>
    <row r="5" customHeight="1" spans="1:41">
      <c r="A5" s="632" t="s">
        <v>121</v>
      </c>
      <c r="B5" s="632" t="s">
        <v>122</v>
      </c>
      <c r="C5" s="632"/>
      <c r="D5" s="632"/>
      <c r="E5" s="632" t="s">
        <v>114</v>
      </c>
      <c r="F5" s="632"/>
      <c r="G5" s="632" t="s">
        <v>123</v>
      </c>
      <c r="H5" s="633">
        <v>1</v>
      </c>
      <c r="I5" s="633">
        <v>0.9</v>
      </c>
      <c r="J5" s="633">
        <v>1.2</v>
      </c>
      <c r="K5" s="633">
        <v>1</v>
      </c>
      <c r="L5" s="633">
        <v>1.19999999999999</v>
      </c>
      <c r="M5" s="632" t="s">
        <v>124</v>
      </c>
      <c r="N5" s="632" t="s">
        <v>116</v>
      </c>
      <c r="O5" s="632">
        <v>2</v>
      </c>
      <c r="P5" s="636">
        <v>250</v>
      </c>
      <c r="Q5" s="636">
        <v>150</v>
      </c>
      <c r="R5" s="636">
        <v>100</v>
      </c>
      <c r="S5" s="638">
        <f t="shared" si="0"/>
        <v>250</v>
      </c>
      <c r="T5" s="638">
        <f t="shared" si="1"/>
        <v>150</v>
      </c>
      <c r="U5" s="638">
        <f t="shared" si="2"/>
        <v>100</v>
      </c>
      <c r="V5" s="638">
        <f t="shared" si="3"/>
        <v>277.777777777778</v>
      </c>
      <c r="W5" s="638">
        <f t="shared" si="4"/>
        <v>166.666666666667</v>
      </c>
      <c r="X5" s="638">
        <f t="shared" si="5"/>
        <v>111.111111111111</v>
      </c>
      <c r="Y5" s="638">
        <f t="shared" si="6"/>
        <v>208.333333333333</v>
      </c>
      <c r="Z5" s="638">
        <f t="shared" si="7"/>
        <v>125</v>
      </c>
      <c r="AA5" s="638">
        <f t="shared" si="8"/>
        <v>83.3333333333333</v>
      </c>
      <c r="AB5" s="638">
        <f t="shared" si="9"/>
        <v>250</v>
      </c>
      <c r="AC5" s="638">
        <f t="shared" si="10"/>
        <v>150</v>
      </c>
      <c r="AD5" s="638">
        <f t="shared" si="11"/>
        <v>100</v>
      </c>
      <c r="AE5" s="632" t="s">
        <v>118</v>
      </c>
      <c r="AF5" s="632" t="s">
        <v>125</v>
      </c>
      <c r="AG5" s="632"/>
      <c r="AH5" s="632" t="s">
        <v>126</v>
      </c>
      <c r="AI5" s="632" t="s">
        <v>120</v>
      </c>
      <c r="AJ5" s="639">
        <f t="shared" si="12"/>
        <v>2</v>
      </c>
      <c r="AK5" s="632" t="s">
        <v>120</v>
      </c>
      <c r="AL5" s="632" t="s">
        <v>120</v>
      </c>
      <c r="AM5" s="632" t="s">
        <v>120</v>
      </c>
      <c r="AN5" s="632" t="s">
        <v>120</v>
      </c>
      <c r="AO5" s="632" t="s">
        <v>120</v>
      </c>
    </row>
    <row r="6" customHeight="1" spans="1:41">
      <c r="A6" s="632" t="s">
        <v>127</v>
      </c>
      <c r="B6" s="632" t="s">
        <v>128</v>
      </c>
      <c r="C6" s="632"/>
      <c r="D6" s="632"/>
      <c r="E6" s="632" t="s">
        <v>114</v>
      </c>
      <c r="F6" s="632"/>
      <c r="G6" s="632" t="s">
        <v>123</v>
      </c>
      <c r="H6" s="633">
        <v>1</v>
      </c>
      <c r="I6" s="633">
        <v>0.9</v>
      </c>
      <c r="J6" s="633">
        <v>1.2</v>
      </c>
      <c r="K6" s="633">
        <v>1</v>
      </c>
      <c r="L6" s="633">
        <v>1.19999999999999</v>
      </c>
      <c r="M6" s="632" t="s">
        <v>129</v>
      </c>
      <c r="N6" s="632" t="s">
        <v>116</v>
      </c>
      <c r="O6" s="632">
        <v>2</v>
      </c>
      <c r="P6" s="636">
        <v>350</v>
      </c>
      <c r="Q6" s="636">
        <v>215</v>
      </c>
      <c r="R6" s="636">
        <v>150</v>
      </c>
      <c r="S6" s="638">
        <f t="shared" si="0"/>
        <v>350</v>
      </c>
      <c r="T6" s="638">
        <f t="shared" si="1"/>
        <v>215</v>
      </c>
      <c r="U6" s="638">
        <f t="shared" si="2"/>
        <v>150</v>
      </c>
      <c r="V6" s="638">
        <f t="shared" si="3"/>
        <v>388.888888888889</v>
      </c>
      <c r="W6" s="638">
        <f t="shared" si="4"/>
        <v>238.888888888889</v>
      </c>
      <c r="X6" s="638">
        <f t="shared" si="5"/>
        <v>166.666666666667</v>
      </c>
      <c r="Y6" s="638">
        <f t="shared" si="6"/>
        <v>291.666666666667</v>
      </c>
      <c r="Z6" s="638">
        <f t="shared" si="7"/>
        <v>179.166666666667</v>
      </c>
      <c r="AA6" s="638">
        <f t="shared" si="8"/>
        <v>125</v>
      </c>
      <c r="AB6" s="638">
        <f t="shared" si="9"/>
        <v>350</v>
      </c>
      <c r="AC6" s="638">
        <f t="shared" si="10"/>
        <v>215</v>
      </c>
      <c r="AD6" s="638">
        <f t="shared" si="11"/>
        <v>150</v>
      </c>
      <c r="AE6" s="632" t="s">
        <v>118</v>
      </c>
      <c r="AF6" s="632" t="s">
        <v>125</v>
      </c>
      <c r="AG6" s="632"/>
      <c r="AH6" s="632" t="s">
        <v>126</v>
      </c>
      <c r="AI6" s="632" t="s">
        <v>120</v>
      </c>
      <c r="AJ6" s="639">
        <f t="shared" si="12"/>
        <v>2</v>
      </c>
      <c r="AK6" s="632" t="s">
        <v>120</v>
      </c>
      <c r="AL6" s="632" t="s">
        <v>120</v>
      </c>
      <c r="AM6" s="632" t="s">
        <v>120</v>
      </c>
      <c r="AN6" s="632" t="s">
        <v>120</v>
      </c>
      <c r="AO6" s="632" t="s">
        <v>120</v>
      </c>
    </row>
    <row r="7" customHeight="1" spans="1:41">
      <c r="A7" s="632" t="s">
        <v>130</v>
      </c>
      <c r="B7" s="632" t="s">
        <v>130</v>
      </c>
      <c r="C7" s="632"/>
      <c r="D7" s="632"/>
      <c r="E7" s="632" t="s">
        <v>114</v>
      </c>
      <c r="F7" s="632"/>
      <c r="G7" s="632" t="s">
        <v>123</v>
      </c>
      <c r="H7" s="633">
        <v>1</v>
      </c>
      <c r="I7" s="633">
        <v>0.9</v>
      </c>
      <c r="J7" s="633">
        <v>1.2</v>
      </c>
      <c r="K7" s="633">
        <v>1</v>
      </c>
      <c r="L7" s="633">
        <v>1.19999999999999</v>
      </c>
      <c r="M7" s="632" t="s">
        <v>124</v>
      </c>
      <c r="N7" s="632" t="s">
        <v>116</v>
      </c>
      <c r="O7" s="632">
        <v>2</v>
      </c>
      <c r="P7" s="636">
        <v>240</v>
      </c>
      <c r="Q7" s="636">
        <v>130</v>
      </c>
      <c r="R7" s="636">
        <v>90</v>
      </c>
      <c r="S7" s="638">
        <f t="shared" si="0"/>
        <v>240</v>
      </c>
      <c r="T7" s="638">
        <f t="shared" si="1"/>
        <v>130</v>
      </c>
      <c r="U7" s="638">
        <f t="shared" si="2"/>
        <v>90</v>
      </c>
      <c r="V7" s="638">
        <f t="shared" si="3"/>
        <v>266.666666666667</v>
      </c>
      <c r="W7" s="638">
        <f t="shared" si="4"/>
        <v>144.444444444444</v>
      </c>
      <c r="X7" s="638">
        <f t="shared" si="5"/>
        <v>100</v>
      </c>
      <c r="Y7" s="638">
        <f t="shared" si="6"/>
        <v>200</v>
      </c>
      <c r="Z7" s="638">
        <f t="shared" si="7"/>
        <v>108.333333333333</v>
      </c>
      <c r="AA7" s="638">
        <f t="shared" si="8"/>
        <v>75</v>
      </c>
      <c r="AB7" s="638">
        <f t="shared" si="9"/>
        <v>240</v>
      </c>
      <c r="AC7" s="638">
        <f t="shared" si="10"/>
        <v>130</v>
      </c>
      <c r="AD7" s="638">
        <f t="shared" si="11"/>
        <v>90</v>
      </c>
      <c r="AE7" s="632" t="s">
        <v>118</v>
      </c>
      <c r="AF7" s="632" t="s">
        <v>125</v>
      </c>
      <c r="AG7" s="632"/>
      <c r="AH7" s="632" t="s">
        <v>126</v>
      </c>
      <c r="AI7" s="632" t="s">
        <v>120</v>
      </c>
      <c r="AJ7" s="639">
        <f t="shared" si="12"/>
        <v>2</v>
      </c>
      <c r="AK7" s="632" t="s">
        <v>120</v>
      </c>
      <c r="AL7" s="632" t="s">
        <v>120</v>
      </c>
      <c r="AM7" s="632" t="s">
        <v>120</v>
      </c>
      <c r="AN7" s="632" t="s">
        <v>120</v>
      </c>
      <c r="AO7" s="632" t="s">
        <v>120</v>
      </c>
    </row>
    <row r="8" customHeight="1" spans="1:41">
      <c r="A8" s="632" t="s">
        <v>131</v>
      </c>
      <c r="B8" s="632" t="s">
        <v>131</v>
      </c>
      <c r="C8" s="632"/>
      <c r="D8" s="632"/>
      <c r="E8" s="632" t="s">
        <v>114</v>
      </c>
      <c r="F8" s="632"/>
      <c r="G8" s="632" t="s">
        <v>123</v>
      </c>
      <c r="H8" s="633">
        <v>1</v>
      </c>
      <c r="I8" s="633">
        <v>0.9</v>
      </c>
      <c r="J8" s="633">
        <v>1.2</v>
      </c>
      <c r="K8" s="633">
        <v>1</v>
      </c>
      <c r="L8" s="633">
        <v>1.19999999999999</v>
      </c>
      <c r="M8" s="632" t="s">
        <v>129</v>
      </c>
      <c r="N8" s="632" t="s">
        <v>116</v>
      </c>
      <c r="O8" s="632">
        <v>2</v>
      </c>
      <c r="P8" s="636">
        <v>325</v>
      </c>
      <c r="Q8" s="636">
        <v>190</v>
      </c>
      <c r="R8" s="636">
        <v>130</v>
      </c>
      <c r="S8" s="638">
        <f t="shared" si="0"/>
        <v>325</v>
      </c>
      <c r="T8" s="638">
        <f t="shared" si="1"/>
        <v>190</v>
      </c>
      <c r="U8" s="638">
        <f t="shared" si="2"/>
        <v>130</v>
      </c>
      <c r="V8" s="638">
        <f t="shared" si="3"/>
        <v>361.111111111111</v>
      </c>
      <c r="W8" s="638">
        <f t="shared" si="4"/>
        <v>211.111111111111</v>
      </c>
      <c r="X8" s="638">
        <f t="shared" si="5"/>
        <v>144.444444444444</v>
      </c>
      <c r="Y8" s="638">
        <f t="shared" si="6"/>
        <v>270.833333333333</v>
      </c>
      <c r="Z8" s="638">
        <f t="shared" si="7"/>
        <v>158.333333333333</v>
      </c>
      <c r="AA8" s="638">
        <f t="shared" si="8"/>
        <v>108.333333333333</v>
      </c>
      <c r="AB8" s="638">
        <f t="shared" si="9"/>
        <v>325</v>
      </c>
      <c r="AC8" s="638">
        <f t="shared" si="10"/>
        <v>190</v>
      </c>
      <c r="AD8" s="638">
        <f t="shared" si="11"/>
        <v>130</v>
      </c>
      <c r="AE8" s="632" t="s">
        <v>118</v>
      </c>
      <c r="AF8" s="632" t="s">
        <v>125</v>
      </c>
      <c r="AG8" s="632"/>
      <c r="AH8" s="632" t="s">
        <v>126</v>
      </c>
      <c r="AI8" s="632" t="s">
        <v>120</v>
      </c>
      <c r="AJ8" s="639">
        <f t="shared" si="12"/>
        <v>2</v>
      </c>
      <c r="AK8" s="632" t="s">
        <v>120</v>
      </c>
      <c r="AL8" s="632" t="s">
        <v>120</v>
      </c>
      <c r="AM8" s="632" t="s">
        <v>120</v>
      </c>
      <c r="AN8" s="632" t="s">
        <v>120</v>
      </c>
      <c r="AO8" s="632" t="s">
        <v>120</v>
      </c>
    </row>
    <row r="9" customHeight="1" spans="1:41">
      <c r="A9" s="632" t="s">
        <v>132</v>
      </c>
      <c r="B9" s="632" t="s">
        <v>132</v>
      </c>
      <c r="C9" s="632"/>
      <c r="D9" s="632"/>
      <c r="E9" s="632" t="s">
        <v>114</v>
      </c>
      <c r="F9" s="632"/>
      <c r="G9" s="632" t="s">
        <v>123</v>
      </c>
      <c r="H9" s="633">
        <v>1</v>
      </c>
      <c r="I9" s="633">
        <v>0.9</v>
      </c>
      <c r="J9" s="633">
        <v>1.2</v>
      </c>
      <c r="K9" s="633">
        <v>1</v>
      </c>
      <c r="L9" s="633">
        <v>1.19999999999999</v>
      </c>
      <c r="M9" s="632" t="s">
        <v>124</v>
      </c>
      <c r="N9" s="632" t="s">
        <v>116</v>
      </c>
      <c r="O9" s="632">
        <v>1</v>
      </c>
      <c r="P9" s="636">
        <v>550</v>
      </c>
      <c r="Q9" s="636" t="s">
        <v>117</v>
      </c>
      <c r="R9" s="636" t="s">
        <v>117</v>
      </c>
      <c r="S9" s="638">
        <f t="shared" si="0"/>
        <v>550</v>
      </c>
      <c r="T9" s="638" t="e">
        <f t="shared" si="1"/>
        <v>#VALUE!</v>
      </c>
      <c r="U9" s="638" t="e">
        <f t="shared" si="2"/>
        <v>#VALUE!</v>
      </c>
      <c r="V9" s="638">
        <f t="shared" si="3"/>
        <v>611.111111111111</v>
      </c>
      <c r="W9" s="638" t="e">
        <f t="shared" si="4"/>
        <v>#VALUE!</v>
      </c>
      <c r="X9" s="638" t="e">
        <f t="shared" si="5"/>
        <v>#VALUE!</v>
      </c>
      <c r="Y9" s="638">
        <f t="shared" si="6"/>
        <v>458.333333333333</v>
      </c>
      <c r="Z9" s="638" t="e">
        <f t="shared" si="7"/>
        <v>#VALUE!</v>
      </c>
      <c r="AA9" s="638" t="e">
        <f t="shared" si="8"/>
        <v>#VALUE!</v>
      </c>
      <c r="AB9" s="638">
        <f t="shared" si="9"/>
        <v>550</v>
      </c>
      <c r="AC9" s="638" t="e">
        <f t="shared" si="10"/>
        <v>#VALUE!</v>
      </c>
      <c r="AD9" s="638" t="e">
        <f t="shared" si="11"/>
        <v>#VALUE!</v>
      </c>
      <c r="AE9" s="632" t="s">
        <v>118</v>
      </c>
      <c r="AF9" s="632" t="s">
        <v>133</v>
      </c>
      <c r="AG9" s="632"/>
      <c r="AH9" s="632" t="s">
        <v>126</v>
      </c>
      <c r="AI9" s="632" t="s">
        <v>120</v>
      </c>
      <c r="AJ9" s="639">
        <f t="shared" si="12"/>
        <v>1</v>
      </c>
      <c r="AK9" s="632" t="s">
        <v>120</v>
      </c>
      <c r="AL9" s="632" t="s">
        <v>120</v>
      </c>
      <c r="AM9" s="632" t="s">
        <v>120</v>
      </c>
      <c r="AN9" s="632" t="s">
        <v>120</v>
      </c>
      <c r="AO9" s="632" t="s">
        <v>120</v>
      </c>
    </row>
    <row r="10" customHeight="1" spans="1:41">
      <c r="A10" s="632" t="s">
        <v>134</v>
      </c>
      <c r="B10" s="632" t="s">
        <v>134</v>
      </c>
      <c r="C10" s="632"/>
      <c r="D10" s="632"/>
      <c r="E10" s="632" t="s">
        <v>114</v>
      </c>
      <c r="F10" s="632"/>
      <c r="G10" s="632" t="s">
        <v>123</v>
      </c>
      <c r="H10" s="633">
        <v>1</v>
      </c>
      <c r="I10" s="633">
        <v>0.9</v>
      </c>
      <c r="J10" s="633">
        <v>1.2</v>
      </c>
      <c r="K10" s="633">
        <v>1</v>
      </c>
      <c r="L10" s="633">
        <v>1.19999999999999</v>
      </c>
      <c r="M10" s="632" t="s">
        <v>129</v>
      </c>
      <c r="N10" s="632" t="s">
        <v>116</v>
      </c>
      <c r="O10" s="632">
        <v>1</v>
      </c>
      <c r="P10" s="636">
        <v>700</v>
      </c>
      <c r="Q10" s="636" t="s">
        <v>117</v>
      </c>
      <c r="R10" s="636" t="s">
        <v>117</v>
      </c>
      <c r="S10" s="638">
        <f t="shared" si="0"/>
        <v>700</v>
      </c>
      <c r="T10" s="638" t="e">
        <f t="shared" si="1"/>
        <v>#VALUE!</v>
      </c>
      <c r="U10" s="638" t="e">
        <f t="shared" si="2"/>
        <v>#VALUE!</v>
      </c>
      <c r="V10" s="638">
        <f t="shared" si="3"/>
        <v>777.777777777778</v>
      </c>
      <c r="W10" s="638" t="e">
        <f t="shared" si="4"/>
        <v>#VALUE!</v>
      </c>
      <c r="X10" s="638" t="e">
        <f t="shared" si="5"/>
        <v>#VALUE!</v>
      </c>
      <c r="Y10" s="638">
        <f t="shared" si="6"/>
        <v>583.333333333333</v>
      </c>
      <c r="Z10" s="638" t="e">
        <f t="shared" si="7"/>
        <v>#VALUE!</v>
      </c>
      <c r="AA10" s="638" t="e">
        <f t="shared" si="8"/>
        <v>#VALUE!</v>
      </c>
      <c r="AB10" s="638">
        <f t="shared" si="9"/>
        <v>700</v>
      </c>
      <c r="AC10" s="638" t="e">
        <f t="shared" si="10"/>
        <v>#VALUE!</v>
      </c>
      <c r="AD10" s="638" t="e">
        <f t="shared" si="11"/>
        <v>#VALUE!</v>
      </c>
      <c r="AE10" s="632" t="s">
        <v>118</v>
      </c>
      <c r="AF10" s="632" t="s">
        <v>133</v>
      </c>
      <c r="AG10" s="632"/>
      <c r="AH10" s="632" t="s">
        <v>126</v>
      </c>
      <c r="AI10" s="632" t="s">
        <v>120</v>
      </c>
      <c r="AJ10" s="639">
        <f t="shared" si="12"/>
        <v>1</v>
      </c>
      <c r="AK10" s="632" t="s">
        <v>120</v>
      </c>
      <c r="AL10" s="632" t="s">
        <v>120</v>
      </c>
      <c r="AM10" s="632" t="s">
        <v>120</v>
      </c>
      <c r="AN10" s="632" t="s">
        <v>120</v>
      </c>
      <c r="AO10" s="632" t="s">
        <v>120</v>
      </c>
    </row>
    <row r="11" customHeight="1" spans="1:41">
      <c r="A11" s="632" t="s">
        <v>135</v>
      </c>
      <c r="B11" s="632" t="s">
        <v>135</v>
      </c>
      <c r="C11" s="632"/>
      <c r="D11" s="632"/>
      <c r="E11" s="632" t="s">
        <v>114</v>
      </c>
      <c r="F11" s="632"/>
      <c r="G11" s="632" t="s">
        <v>123</v>
      </c>
      <c r="H11" s="633">
        <v>1</v>
      </c>
      <c r="I11" s="633">
        <v>0.9</v>
      </c>
      <c r="J11" s="633">
        <v>1.2</v>
      </c>
      <c r="K11" s="633">
        <v>1</v>
      </c>
      <c r="L11" s="633">
        <v>1.19999999999999</v>
      </c>
      <c r="M11" s="632" t="s">
        <v>124</v>
      </c>
      <c r="N11" s="632" t="s">
        <v>116</v>
      </c>
      <c r="O11" s="632">
        <v>1</v>
      </c>
      <c r="P11" s="636">
        <v>325</v>
      </c>
      <c r="Q11" s="636" t="s">
        <v>117</v>
      </c>
      <c r="R11" s="636" t="s">
        <v>117</v>
      </c>
      <c r="S11" s="638">
        <f t="shared" si="0"/>
        <v>325</v>
      </c>
      <c r="T11" s="638" t="e">
        <f t="shared" si="1"/>
        <v>#VALUE!</v>
      </c>
      <c r="U11" s="638" t="e">
        <f t="shared" si="2"/>
        <v>#VALUE!</v>
      </c>
      <c r="V11" s="638">
        <f t="shared" si="3"/>
        <v>361.111111111111</v>
      </c>
      <c r="W11" s="638" t="e">
        <f t="shared" si="4"/>
        <v>#VALUE!</v>
      </c>
      <c r="X11" s="638" t="e">
        <f t="shared" si="5"/>
        <v>#VALUE!</v>
      </c>
      <c r="Y11" s="638">
        <f t="shared" si="6"/>
        <v>270.833333333333</v>
      </c>
      <c r="Z11" s="638" t="e">
        <f t="shared" si="7"/>
        <v>#VALUE!</v>
      </c>
      <c r="AA11" s="638" t="e">
        <f t="shared" si="8"/>
        <v>#VALUE!</v>
      </c>
      <c r="AB11" s="638">
        <f t="shared" si="9"/>
        <v>325</v>
      </c>
      <c r="AC11" s="638" t="e">
        <f t="shared" si="10"/>
        <v>#VALUE!</v>
      </c>
      <c r="AD11" s="638" t="e">
        <f t="shared" si="11"/>
        <v>#VALUE!</v>
      </c>
      <c r="AE11" s="632" t="s">
        <v>118</v>
      </c>
      <c r="AF11" s="632" t="s">
        <v>133</v>
      </c>
      <c r="AG11" s="632"/>
      <c r="AH11" s="632">
        <v>80</v>
      </c>
      <c r="AI11" s="632" t="s">
        <v>120</v>
      </c>
      <c r="AJ11" s="639">
        <f t="shared" si="12"/>
        <v>1</v>
      </c>
      <c r="AK11" s="632" t="s">
        <v>120</v>
      </c>
      <c r="AL11" s="632" t="s">
        <v>120</v>
      </c>
      <c r="AM11" s="632" t="s">
        <v>120</v>
      </c>
      <c r="AN11" s="632" t="s">
        <v>120</v>
      </c>
      <c r="AO11" s="632" t="s">
        <v>120</v>
      </c>
    </row>
    <row r="12" customHeight="1" spans="1:41">
      <c r="A12" s="632" t="s">
        <v>136</v>
      </c>
      <c r="B12" s="632" t="s">
        <v>136</v>
      </c>
      <c r="C12" s="632"/>
      <c r="D12" s="632"/>
      <c r="E12" s="632" t="s">
        <v>114</v>
      </c>
      <c r="F12" s="632"/>
      <c r="G12" s="632" t="s">
        <v>123</v>
      </c>
      <c r="H12" s="633">
        <v>1</v>
      </c>
      <c r="I12" s="633">
        <v>0.9</v>
      </c>
      <c r="J12" s="633">
        <v>1.2</v>
      </c>
      <c r="K12" s="633">
        <v>1</v>
      </c>
      <c r="L12" s="633">
        <v>1.19999999999999</v>
      </c>
      <c r="M12" s="632" t="s">
        <v>129</v>
      </c>
      <c r="N12" s="632" t="s">
        <v>116</v>
      </c>
      <c r="O12" s="632">
        <v>1</v>
      </c>
      <c r="P12" s="636">
        <v>475</v>
      </c>
      <c r="Q12" s="636" t="s">
        <v>117</v>
      </c>
      <c r="R12" s="636" t="s">
        <v>117</v>
      </c>
      <c r="S12" s="638">
        <f t="shared" si="0"/>
        <v>475</v>
      </c>
      <c r="T12" s="638" t="e">
        <f t="shared" si="1"/>
        <v>#VALUE!</v>
      </c>
      <c r="U12" s="638" t="e">
        <f t="shared" si="2"/>
        <v>#VALUE!</v>
      </c>
      <c r="V12" s="638">
        <f t="shared" si="3"/>
        <v>527.777777777778</v>
      </c>
      <c r="W12" s="638" t="e">
        <f t="shared" si="4"/>
        <v>#VALUE!</v>
      </c>
      <c r="X12" s="638" t="e">
        <f t="shared" si="5"/>
        <v>#VALUE!</v>
      </c>
      <c r="Y12" s="638">
        <f t="shared" si="6"/>
        <v>395.833333333333</v>
      </c>
      <c r="Z12" s="638" t="e">
        <f t="shared" si="7"/>
        <v>#VALUE!</v>
      </c>
      <c r="AA12" s="638" t="e">
        <f t="shared" si="8"/>
        <v>#VALUE!</v>
      </c>
      <c r="AB12" s="638">
        <f t="shared" si="9"/>
        <v>475</v>
      </c>
      <c r="AC12" s="638" t="e">
        <f t="shared" si="10"/>
        <v>#VALUE!</v>
      </c>
      <c r="AD12" s="638" t="e">
        <f t="shared" si="11"/>
        <v>#VALUE!</v>
      </c>
      <c r="AE12" s="632" t="s">
        <v>118</v>
      </c>
      <c r="AF12" s="632" t="s">
        <v>133</v>
      </c>
      <c r="AG12" s="632"/>
      <c r="AH12" s="632">
        <v>80</v>
      </c>
      <c r="AI12" s="632" t="s">
        <v>120</v>
      </c>
      <c r="AJ12" s="639">
        <f t="shared" si="12"/>
        <v>1</v>
      </c>
      <c r="AK12" s="632" t="s">
        <v>120</v>
      </c>
      <c r="AL12" s="632" t="s">
        <v>120</v>
      </c>
      <c r="AM12" s="632" t="s">
        <v>120</v>
      </c>
      <c r="AN12" s="632" t="s">
        <v>120</v>
      </c>
      <c r="AO12" s="632" t="s">
        <v>120</v>
      </c>
    </row>
    <row r="13" customHeight="1" spans="1:41">
      <c r="A13" s="632" t="s">
        <v>137</v>
      </c>
      <c r="B13" s="632" t="s">
        <v>138</v>
      </c>
      <c r="C13" s="632"/>
      <c r="D13" s="632"/>
      <c r="E13" s="632" t="s">
        <v>139</v>
      </c>
      <c r="F13" s="632"/>
      <c r="G13" s="632" t="s">
        <v>115</v>
      </c>
      <c r="H13" s="633">
        <v>1</v>
      </c>
      <c r="I13" s="633">
        <v>0.9</v>
      </c>
      <c r="J13" s="633">
        <v>1.2</v>
      </c>
      <c r="K13" s="633">
        <v>1</v>
      </c>
      <c r="L13" s="633">
        <v>1.19999999999999</v>
      </c>
      <c r="M13" s="632" t="s">
        <v>140</v>
      </c>
      <c r="N13" s="632" t="s">
        <v>116</v>
      </c>
      <c r="O13" s="632">
        <v>1</v>
      </c>
      <c r="P13" s="636">
        <v>200</v>
      </c>
      <c r="Q13" s="636">
        <v>120</v>
      </c>
      <c r="R13" s="636">
        <v>75</v>
      </c>
      <c r="S13" s="638">
        <f t="shared" si="0"/>
        <v>200</v>
      </c>
      <c r="T13" s="638">
        <f t="shared" si="1"/>
        <v>120</v>
      </c>
      <c r="U13" s="638">
        <f t="shared" si="2"/>
        <v>75</v>
      </c>
      <c r="V13" s="638">
        <f t="shared" si="3"/>
        <v>222.222222222222</v>
      </c>
      <c r="W13" s="638">
        <f t="shared" si="4"/>
        <v>133.333333333333</v>
      </c>
      <c r="X13" s="638">
        <f t="shared" si="5"/>
        <v>83.3333333333333</v>
      </c>
      <c r="Y13" s="638">
        <f t="shared" si="6"/>
        <v>166.666666666667</v>
      </c>
      <c r="Z13" s="638">
        <f t="shared" si="7"/>
        <v>100</v>
      </c>
      <c r="AA13" s="638">
        <f t="shared" si="8"/>
        <v>62.5</v>
      </c>
      <c r="AB13" s="638">
        <f t="shared" si="9"/>
        <v>200</v>
      </c>
      <c r="AC13" s="638">
        <f t="shared" si="10"/>
        <v>120</v>
      </c>
      <c r="AD13" s="638">
        <f t="shared" si="11"/>
        <v>75</v>
      </c>
      <c r="AE13" s="632" t="s">
        <v>141</v>
      </c>
      <c r="AF13" s="632"/>
      <c r="AG13" s="632"/>
      <c r="AH13" s="632"/>
      <c r="AI13" s="632" t="s">
        <v>142</v>
      </c>
      <c r="AJ13" s="639">
        <f t="shared" si="12"/>
        <v>1</v>
      </c>
      <c r="AK13" s="632" t="s">
        <v>120</v>
      </c>
      <c r="AL13" s="632" t="s">
        <v>120</v>
      </c>
      <c r="AM13" s="632" t="s">
        <v>120</v>
      </c>
      <c r="AN13" s="632" t="s">
        <v>120</v>
      </c>
      <c r="AO13" s="632" t="s">
        <v>120</v>
      </c>
    </row>
    <row r="14" customHeight="1" spans="1:41">
      <c r="A14" s="632" t="s">
        <v>143</v>
      </c>
      <c r="B14" s="632" t="s">
        <v>144</v>
      </c>
      <c r="C14" s="632"/>
      <c r="D14" s="632"/>
      <c r="E14" s="632" t="s">
        <v>139</v>
      </c>
      <c r="F14" s="632"/>
      <c r="G14" s="632" t="s">
        <v>115</v>
      </c>
      <c r="H14" s="633">
        <v>1</v>
      </c>
      <c r="I14" s="633">
        <v>0.9</v>
      </c>
      <c r="J14" s="633">
        <v>1.2</v>
      </c>
      <c r="K14" s="633">
        <v>1</v>
      </c>
      <c r="L14" s="633">
        <v>1.19999999999999</v>
      </c>
      <c r="M14" s="632" t="s">
        <v>140</v>
      </c>
      <c r="N14" s="632" t="s">
        <v>116</v>
      </c>
      <c r="O14" s="632">
        <v>1</v>
      </c>
      <c r="P14" s="636">
        <v>300</v>
      </c>
      <c r="Q14" s="636" t="s">
        <v>117</v>
      </c>
      <c r="R14" s="636" t="s">
        <v>117</v>
      </c>
      <c r="S14" s="638">
        <f t="shared" si="0"/>
        <v>300</v>
      </c>
      <c r="T14" s="638" t="e">
        <f t="shared" si="1"/>
        <v>#VALUE!</v>
      </c>
      <c r="U14" s="638" t="e">
        <f t="shared" si="2"/>
        <v>#VALUE!</v>
      </c>
      <c r="V14" s="638">
        <f t="shared" si="3"/>
        <v>333.333333333333</v>
      </c>
      <c r="W14" s="638" t="e">
        <f t="shared" si="4"/>
        <v>#VALUE!</v>
      </c>
      <c r="X14" s="638" t="e">
        <f t="shared" si="5"/>
        <v>#VALUE!</v>
      </c>
      <c r="Y14" s="638">
        <f t="shared" si="6"/>
        <v>250</v>
      </c>
      <c r="Z14" s="638" t="e">
        <f t="shared" si="7"/>
        <v>#VALUE!</v>
      </c>
      <c r="AA14" s="638" t="e">
        <f t="shared" si="8"/>
        <v>#VALUE!</v>
      </c>
      <c r="AB14" s="638">
        <f t="shared" si="9"/>
        <v>300</v>
      </c>
      <c r="AC14" s="638" t="e">
        <f t="shared" si="10"/>
        <v>#VALUE!</v>
      </c>
      <c r="AD14" s="638" t="e">
        <f t="shared" si="11"/>
        <v>#VALUE!</v>
      </c>
      <c r="AE14" s="632" t="s">
        <v>141</v>
      </c>
      <c r="AF14" s="632"/>
      <c r="AG14" s="632"/>
      <c r="AH14" s="632"/>
      <c r="AI14" s="632" t="s">
        <v>120</v>
      </c>
      <c r="AJ14" s="639">
        <f t="shared" si="12"/>
        <v>1</v>
      </c>
      <c r="AK14" s="632" t="s">
        <v>120</v>
      </c>
      <c r="AL14" s="632" t="s">
        <v>120</v>
      </c>
      <c r="AM14" s="632" t="s">
        <v>120</v>
      </c>
      <c r="AN14" s="632" t="s">
        <v>120</v>
      </c>
      <c r="AO14" s="632" t="s">
        <v>120</v>
      </c>
    </row>
    <row r="15" customHeight="1" spans="1:41">
      <c r="A15" s="632" t="s">
        <v>145</v>
      </c>
      <c r="B15" s="632" t="s">
        <v>146</v>
      </c>
      <c r="C15" s="632"/>
      <c r="D15" s="632"/>
      <c r="E15" s="632" t="s">
        <v>139</v>
      </c>
      <c r="F15" s="632"/>
      <c r="G15" s="632" t="s">
        <v>115</v>
      </c>
      <c r="H15" s="633">
        <v>1</v>
      </c>
      <c r="I15" s="633">
        <v>0.9</v>
      </c>
      <c r="J15" s="633">
        <v>1.2</v>
      </c>
      <c r="K15" s="633">
        <v>1</v>
      </c>
      <c r="L15" s="633">
        <v>1.19999999999999</v>
      </c>
      <c r="M15" s="632" t="s">
        <v>129</v>
      </c>
      <c r="N15" s="632" t="s">
        <v>116</v>
      </c>
      <c r="O15" s="632">
        <v>1</v>
      </c>
      <c r="P15" s="636">
        <v>600</v>
      </c>
      <c r="Q15" s="636" t="s">
        <v>117</v>
      </c>
      <c r="R15" s="636" t="s">
        <v>117</v>
      </c>
      <c r="S15" s="638">
        <f t="shared" si="0"/>
        <v>600</v>
      </c>
      <c r="T15" s="638" t="e">
        <f t="shared" si="1"/>
        <v>#VALUE!</v>
      </c>
      <c r="U15" s="638" t="e">
        <f t="shared" si="2"/>
        <v>#VALUE!</v>
      </c>
      <c r="V15" s="638">
        <f t="shared" si="3"/>
        <v>666.666666666667</v>
      </c>
      <c r="W15" s="638" t="e">
        <f t="shared" si="4"/>
        <v>#VALUE!</v>
      </c>
      <c r="X15" s="638" t="e">
        <f t="shared" si="5"/>
        <v>#VALUE!</v>
      </c>
      <c r="Y15" s="638">
        <f t="shared" si="6"/>
        <v>500</v>
      </c>
      <c r="Z15" s="638" t="e">
        <f t="shared" si="7"/>
        <v>#VALUE!</v>
      </c>
      <c r="AA15" s="638" t="e">
        <f t="shared" si="8"/>
        <v>#VALUE!</v>
      </c>
      <c r="AB15" s="638">
        <f t="shared" si="9"/>
        <v>600</v>
      </c>
      <c r="AC15" s="638" t="e">
        <f t="shared" si="10"/>
        <v>#VALUE!</v>
      </c>
      <c r="AD15" s="638" t="e">
        <f t="shared" si="11"/>
        <v>#VALUE!</v>
      </c>
      <c r="AE15" s="632" t="s">
        <v>141</v>
      </c>
      <c r="AF15" s="632"/>
      <c r="AG15" s="632"/>
      <c r="AH15" s="632"/>
      <c r="AI15" s="632" t="s">
        <v>120</v>
      </c>
      <c r="AJ15" s="639">
        <f t="shared" si="12"/>
        <v>1</v>
      </c>
      <c r="AK15" s="632" t="s">
        <v>120</v>
      </c>
      <c r="AL15" s="632" t="s">
        <v>120</v>
      </c>
      <c r="AM15" s="632" t="s">
        <v>120</v>
      </c>
      <c r="AN15" s="632" t="s">
        <v>120</v>
      </c>
      <c r="AO15" s="632" t="s">
        <v>120</v>
      </c>
    </row>
    <row r="16" customHeight="1" spans="1:41">
      <c r="A16" s="632" t="s">
        <v>147</v>
      </c>
      <c r="B16" s="632" t="s">
        <v>148</v>
      </c>
      <c r="C16" s="632"/>
      <c r="D16" s="632"/>
      <c r="E16" s="632" t="s">
        <v>139</v>
      </c>
      <c r="F16" s="632"/>
      <c r="G16" s="632" t="s">
        <v>115</v>
      </c>
      <c r="H16" s="633">
        <v>1</v>
      </c>
      <c r="I16" s="633">
        <v>0.9</v>
      </c>
      <c r="J16" s="633">
        <v>1.2</v>
      </c>
      <c r="K16" s="633">
        <v>1</v>
      </c>
      <c r="L16" s="633">
        <v>1.19999999999999</v>
      </c>
      <c r="M16" s="632" t="s">
        <v>129</v>
      </c>
      <c r="N16" s="632" t="s">
        <v>116</v>
      </c>
      <c r="O16" s="632">
        <v>2</v>
      </c>
      <c r="P16" s="636">
        <v>150</v>
      </c>
      <c r="Q16" s="636">
        <v>93.75</v>
      </c>
      <c r="R16" s="636">
        <v>62.5</v>
      </c>
      <c r="S16" s="638">
        <f t="shared" si="0"/>
        <v>150</v>
      </c>
      <c r="T16" s="638">
        <f t="shared" si="1"/>
        <v>93.75</v>
      </c>
      <c r="U16" s="638">
        <f t="shared" si="2"/>
        <v>62.5</v>
      </c>
      <c r="V16" s="638">
        <f t="shared" si="3"/>
        <v>166.666666666667</v>
      </c>
      <c r="W16" s="638">
        <f t="shared" si="4"/>
        <v>104.166666666667</v>
      </c>
      <c r="X16" s="638">
        <f t="shared" si="5"/>
        <v>69.4444444444444</v>
      </c>
      <c r="Y16" s="638">
        <f t="shared" si="6"/>
        <v>125</v>
      </c>
      <c r="Z16" s="638">
        <f t="shared" si="7"/>
        <v>78.125</v>
      </c>
      <c r="AA16" s="638">
        <f t="shared" si="8"/>
        <v>52.0833333333333</v>
      </c>
      <c r="AB16" s="638">
        <f t="shared" si="9"/>
        <v>150</v>
      </c>
      <c r="AC16" s="638">
        <f t="shared" si="10"/>
        <v>93.75</v>
      </c>
      <c r="AD16" s="638">
        <f t="shared" si="11"/>
        <v>62.5</v>
      </c>
      <c r="AE16" s="632" t="s">
        <v>141</v>
      </c>
      <c r="AF16" s="632"/>
      <c r="AG16" s="632"/>
      <c r="AH16" s="632"/>
      <c r="AI16" s="632" t="s">
        <v>120</v>
      </c>
      <c r="AJ16" s="639">
        <f t="shared" si="12"/>
        <v>2</v>
      </c>
      <c r="AK16" s="632" t="s">
        <v>120</v>
      </c>
      <c r="AL16" s="632" t="s">
        <v>120</v>
      </c>
      <c r="AM16" s="632" t="s">
        <v>120</v>
      </c>
      <c r="AN16" s="632" t="s">
        <v>120</v>
      </c>
      <c r="AO16" s="632" t="s">
        <v>120</v>
      </c>
    </row>
    <row r="17" customHeight="1" spans="1:41">
      <c r="A17" s="632" t="s">
        <v>149</v>
      </c>
      <c r="B17" s="632"/>
      <c r="C17" s="632" t="s">
        <v>150</v>
      </c>
      <c r="D17" s="632"/>
      <c r="E17" s="632" t="s">
        <v>151</v>
      </c>
      <c r="F17" s="632"/>
      <c r="G17" s="632" t="s">
        <v>115</v>
      </c>
      <c r="H17" s="633">
        <v>1</v>
      </c>
      <c r="I17" s="633">
        <v>0.9</v>
      </c>
      <c r="J17" s="633">
        <v>1.2</v>
      </c>
      <c r="K17" s="633">
        <v>1</v>
      </c>
      <c r="L17" s="633">
        <v>1.2</v>
      </c>
      <c r="M17" s="632" t="s">
        <v>152</v>
      </c>
      <c r="N17" s="632" t="s">
        <v>153</v>
      </c>
      <c r="O17" s="632">
        <v>1</v>
      </c>
      <c r="P17" s="636">
        <v>500</v>
      </c>
      <c r="Q17" s="636" t="s">
        <v>117</v>
      </c>
      <c r="R17" s="636" t="s">
        <v>117</v>
      </c>
      <c r="S17" s="638">
        <f t="shared" si="0"/>
        <v>500</v>
      </c>
      <c r="T17" s="638" t="e">
        <f t="shared" si="1"/>
        <v>#VALUE!</v>
      </c>
      <c r="U17" s="638" t="e">
        <f t="shared" si="2"/>
        <v>#VALUE!</v>
      </c>
      <c r="V17" s="638">
        <f t="shared" si="3"/>
        <v>555.555555555556</v>
      </c>
      <c r="W17" s="638" t="e">
        <f t="shared" si="4"/>
        <v>#VALUE!</v>
      </c>
      <c r="X17" s="638" t="e">
        <f t="shared" si="5"/>
        <v>#VALUE!</v>
      </c>
      <c r="Y17" s="638">
        <f t="shared" si="6"/>
        <v>416.666666666667</v>
      </c>
      <c r="Z17" s="638" t="e">
        <f t="shared" si="7"/>
        <v>#VALUE!</v>
      </c>
      <c r="AA17" s="638" t="e">
        <f t="shared" si="8"/>
        <v>#VALUE!</v>
      </c>
      <c r="AB17" s="638">
        <f t="shared" si="9"/>
        <v>500</v>
      </c>
      <c r="AC17" s="638" t="e">
        <f t="shared" si="10"/>
        <v>#VALUE!</v>
      </c>
      <c r="AD17" s="638" t="e">
        <f t="shared" si="11"/>
        <v>#VALUE!</v>
      </c>
      <c r="AE17" s="632" t="s">
        <v>118</v>
      </c>
      <c r="AF17" s="632" t="s">
        <v>117</v>
      </c>
      <c r="AG17" s="632"/>
      <c r="AH17" s="632" t="s">
        <v>117</v>
      </c>
      <c r="AI17" s="632" t="s">
        <v>120</v>
      </c>
      <c r="AJ17" s="639">
        <f t="shared" si="12"/>
        <v>1</v>
      </c>
      <c r="AK17" s="632" t="s">
        <v>120</v>
      </c>
      <c r="AL17" s="632"/>
      <c r="AM17" s="632"/>
      <c r="AN17" s="632"/>
      <c r="AO17" s="632"/>
    </row>
    <row r="18" customHeight="1" spans="1:41">
      <c r="A18" s="632" t="s">
        <v>154</v>
      </c>
      <c r="B18" s="632" t="s">
        <v>155</v>
      </c>
      <c r="C18" s="632" t="s">
        <v>156</v>
      </c>
      <c r="D18" s="632"/>
      <c r="E18" s="632" t="s">
        <v>139</v>
      </c>
      <c r="F18" s="632"/>
      <c r="G18" s="632" t="s">
        <v>115</v>
      </c>
      <c r="H18" s="633">
        <v>1</v>
      </c>
      <c r="I18" s="633">
        <v>0.9</v>
      </c>
      <c r="J18" s="633">
        <v>1.2</v>
      </c>
      <c r="K18" s="633">
        <v>1</v>
      </c>
      <c r="L18" s="633">
        <v>1.2</v>
      </c>
      <c r="M18" s="632" t="s">
        <v>157</v>
      </c>
      <c r="N18" s="632" t="s">
        <v>158</v>
      </c>
      <c r="O18" s="632" t="s">
        <v>119</v>
      </c>
      <c r="P18" s="637">
        <v>200</v>
      </c>
      <c r="Q18" s="636" t="s">
        <v>117</v>
      </c>
      <c r="R18" s="636" t="s">
        <v>117</v>
      </c>
      <c r="S18" s="638">
        <f t="shared" si="0"/>
        <v>200</v>
      </c>
      <c r="T18" s="638" t="e">
        <f t="shared" si="1"/>
        <v>#VALUE!</v>
      </c>
      <c r="U18" s="638" t="e">
        <f t="shared" si="2"/>
        <v>#VALUE!</v>
      </c>
      <c r="V18" s="638">
        <f t="shared" si="3"/>
        <v>222.222222222222</v>
      </c>
      <c r="W18" s="638" t="e">
        <f t="shared" si="4"/>
        <v>#VALUE!</v>
      </c>
      <c r="X18" s="638" t="e">
        <f t="shared" si="5"/>
        <v>#VALUE!</v>
      </c>
      <c r="Y18" s="638">
        <f t="shared" si="6"/>
        <v>166.666666666667</v>
      </c>
      <c r="Z18" s="638" t="e">
        <f t="shared" si="7"/>
        <v>#VALUE!</v>
      </c>
      <c r="AA18" s="638" t="e">
        <f t="shared" si="8"/>
        <v>#VALUE!</v>
      </c>
      <c r="AB18" s="638">
        <f t="shared" si="9"/>
        <v>200</v>
      </c>
      <c r="AC18" s="638" t="e">
        <f t="shared" si="10"/>
        <v>#VALUE!</v>
      </c>
      <c r="AD18" s="638" t="e">
        <f t="shared" si="11"/>
        <v>#VALUE!</v>
      </c>
      <c r="AE18" s="632" t="s">
        <v>159</v>
      </c>
      <c r="AF18" s="632"/>
      <c r="AG18" s="632"/>
      <c r="AH18" s="632"/>
      <c r="AI18" s="632" t="s">
        <v>120</v>
      </c>
      <c r="AJ18" s="632" t="str">
        <f t="shared" si="12"/>
        <v>n/a</v>
      </c>
      <c r="AK18" s="632" t="s">
        <v>120</v>
      </c>
      <c r="AL18" s="632" t="s">
        <v>120</v>
      </c>
      <c r="AM18" s="632" t="s">
        <v>120</v>
      </c>
      <c r="AN18" s="632" t="s">
        <v>120</v>
      </c>
      <c r="AO18" s="632" t="s">
        <v>120</v>
      </c>
    </row>
    <row r="19" customHeight="1" spans="1:41">
      <c r="A19" s="632" t="s">
        <v>160</v>
      </c>
      <c r="B19" s="632" t="s">
        <v>161</v>
      </c>
      <c r="C19" s="632"/>
      <c r="D19" s="632"/>
      <c r="E19" s="632" t="s">
        <v>139</v>
      </c>
      <c r="F19" s="632"/>
      <c r="G19" s="632" t="s">
        <v>115</v>
      </c>
      <c r="H19" s="633">
        <v>1</v>
      </c>
      <c r="I19" s="633">
        <v>0.9</v>
      </c>
      <c r="J19" s="633">
        <v>1.2</v>
      </c>
      <c r="K19" s="633">
        <v>1</v>
      </c>
      <c r="L19" s="633">
        <v>1.2</v>
      </c>
      <c r="M19" s="632" t="s">
        <v>129</v>
      </c>
      <c r="N19" s="632" t="s">
        <v>158</v>
      </c>
      <c r="O19" s="632">
        <v>2</v>
      </c>
      <c r="P19" s="637">
        <v>130</v>
      </c>
      <c r="Q19" s="636" t="s">
        <v>117</v>
      </c>
      <c r="R19" s="636" t="s">
        <v>117</v>
      </c>
      <c r="S19" s="638">
        <f t="shared" si="0"/>
        <v>130</v>
      </c>
      <c r="T19" s="638" t="e">
        <f t="shared" si="1"/>
        <v>#VALUE!</v>
      </c>
      <c r="U19" s="638" t="e">
        <f t="shared" si="2"/>
        <v>#VALUE!</v>
      </c>
      <c r="V19" s="638">
        <f t="shared" si="3"/>
        <v>144.444444444444</v>
      </c>
      <c r="W19" s="638" t="e">
        <f t="shared" si="4"/>
        <v>#VALUE!</v>
      </c>
      <c r="X19" s="638" t="e">
        <f t="shared" si="5"/>
        <v>#VALUE!</v>
      </c>
      <c r="Y19" s="638">
        <f t="shared" si="6"/>
        <v>108.333333333333</v>
      </c>
      <c r="Z19" s="638" t="e">
        <f t="shared" si="7"/>
        <v>#VALUE!</v>
      </c>
      <c r="AA19" s="638" t="e">
        <f t="shared" si="8"/>
        <v>#VALUE!</v>
      </c>
      <c r="AB19" s="638">
        <f t="shared" si="9"/>
        <v>130</v>
      </c>
      <c r="AC19" s="638" t="e">
        <f t="shared" si="10"/>
        <v>#VALUE!</v>
      </c>
      <c r="AD19" s="638" t="e">
        <f t="shared" si="11"/>
        <v>#VALUE!</v>
      </c>
      <c r="AE19" s="632" t="s">
        <v>159</v>
      </c>
      <c r="AF19" s="632"/>
      <c r="AG19" s="632"/>
      <c r="AH19" s="632">
        <v>0.05</v>
      </c>
      <c r="AI19" s="632" t="s">
        <v>120</v>
      </c>
      <c r="AJ19" s="639">
        <f t="shared" si="12"/>
        <v>2</v>
      </c>
      <c r="AK19" s="632" t="s">
        <v>120</v>
      </c>
      <c r="AL19" s="632" t="s">
        <v>120</v>
      </c>
      <c r="AM19" s="632" t="s">
        <v>120</v>
      </c>
      <c r="AN19" s="632" t="s">
        <v>120</v>
      </c>
      <c r="AO19" s="632" t="s">
        <v>120</v>
      </c>
    </row>
    <row r="20" customHeight="1" spans="1:41">
      <c r="A20" s="632" t="s">
        <v>162</v>
      </c>
      <c r="B20" s="632" t="s">
        <v>163</v>
      </c>
      <c r="C20" s="632"/>
      <c r="D20" s="632"/>
      <c r="E20" s="632" t="s">
        <v>139</v>
      </c>
      <c r="F20" s="632"/>
      <c r="G20" s="632" t="s">
        <v>115</v>
      </c>
      <c r="H20" s="633">
        <v>1</v>
      </c>
      <c r="I20" s="633">
        <v>0.9</v>
      </c>
      <c r="J20" s="633">
        <v>1.2</v>
      </c>
      <c r="K20" s="633">
        <v>1</v>
      </c>
      <c r="L20" s="633">
        <v>1.2</v>
      </c>
      <c r="M20" s="632" t="s">
        <v>129</v>
      </c>
      <c r="N20" s="632" t="s">
        <v>158</v>
      </c>
      <c r="O20" s="632">
        <v>2</v>
      </c>
      <c r="P20" s="637">
        <v>160</v>
      </c>
      <c r="Q20" s="636" t="s">
        <v>117</v>
      </c>
      <c r="R20" s="636" t="s">
        <v>117</v>
      </c>
      <c r="S20" s="638">
        <f t="shared" si="0"/>
        <v>160</v>
      </c>
      <c r="T20" s="638" t="e">
        <f t="shared" si="1"/>
        <v>#VALUE!</v>
      </c>
      <c r="U20" s="638" t="e">
        <f t="shared" si="2"/>
        <v>#VALUE!</v>
      </c>
      <c r="V20" s="638">
        <f t="shared" si="3"/>
        <v>177.777777777778</v>
      </c>
      <c r="W20" s="638" t="e">
        <f t="shared" si="4"/>
        <v>#VALUE!</v>
      </c>
      <c r="X20" s="638" t="e">
        <f t="shared" si="5"/>
        <v>#VALUE!</v>
      </c>
      <c r="Y20" s="638">
        <f t="shared" si="6"/>
        <v>133.333333333333</v>
      </c>
      <c r="Z20" s="638" t="e">
        <f t="shared" si="7"/>
        <v>#VALUE!</v>
      </c>
      <c r="AA20" s="638" t="e">
        <f t="shared" si="8"/>
        <v>#VALUE!</v>
      </c>
      <c r="AB20" s="638">
        <f t="shared" si="9"/>
        <v>160</v>
      </c>
      <c r="AC20" s="638" t="e">
        <f t="shared" si="10"/>
        <v>#VALUE!</v>
      </c>
      <c r="AD20" s="638" t="e">
        <f t="shared" si="11"/>
        <v>#VALUE!</v>
      </c>
      <c r="AE20" s="632" t="s">
        <v>159</v>
      </c>
      <c r="AF20" s="632"/>
      <c r="AG20" s="632"/>
      <c r="AH20" s="632">
        <v>0.04</v>
      </c>
      <c r="AI20" s="632" t="s">
        <v>120</v>
      </c>
      <c r="AJ20" s="639">
        <f t="shared" si="12"/>
        <v>2</v>
      </c>
      <c r="AK20" s="632" t="s">
        <v>120</v>
      </c>
      <c r="AL20" s="632" t="s">
        <v>120</v>
      </c>
      <c r="AM20" s="632" t="s">
        <v>120</v>
      </c>
      <c r="AN20" s="632" t="s">
        <v>120</v>
      </c>
      <c r="AO20" s="632" t="s">
        <v>120</v>
      </c>
    </row>
    <row r="21" customHeight="1" spans="1:41">
      <c r="A21" s="632" t="s">
        <v>164</v>
      </c>
      <c r="B21" s="632" t="s">
        <v>165</v>
      </c>
      <c r="C21" s="632"/>
      <c r="D21" s="632"/>
      <c r="E21" s="632" t="s">
        <v>139</v>
      </c>
      <c r="F21" s="632"/>
      <c r="G21" s="632" t="s">
        <v>115</v>
      </c>
      <c r="H21" s="633">
        <v>1</v>
      </c>
      <c r="I21" s="633">
        <v>0.9</v>
      </c>
      <c r="J21" s="633">
        <v>1.2</v>
      </c>
      <c r="K21" s="633">
        <v>1</v>
      </c>
      <c r="L21" s="633">
        <v>1.2</v>
      </c>
      <c r="M21" s="632" t="s">
        <v>129</v>
      </c>
      <c r="N21" s="632" t="s">
        <v>158</v>
      </c>
      <c r="O21" s="632">
        <v>2</v>
      </c>
      <c r="P21" s="637">
        <v>150</v>
      </c>
      <c r="Q21" s="636" t="s">
        <v>117</v>
      </c>
      <c r="R21" s="636" t="s">
        <v>117</v>
      </c>
      <c r="S21" s="638">
        <f t="shared" si="0"/>
        <v>150</v>
      </c>
      <c r="T21" s="638" t="e">
        <f t="shared" si="1"/>
        <v>#VALUE!</v>
      </c>
      <c r="U21" s="638" t="e">
        <f t="shared" si="2"/>
        <v>#VALUE!</v>
      </c>
      <c r="V21" s="638">
        <f t="shared" si="3"/>
        <v>166.666666666667</v>
      </c>
      <c r="W21" s="638" t="e">
        <f t="shared" si="4"/>
        <v>#VALUE!</v>
      </c>
      <c r="X21" s="638" t="e">
        <f t="shared" si="5"/>
        <v>#VALUE!</v>
      </c>
      <c r="Y21" s="638">
        <f t="shared" si="6"/>
        <v>125</v>
      </c>
      <c r="Z21" s="638" t="e">
        <f t="shared" si="7"/>
        <v>#VALUE!</v>
      </c>
      <c r="AA21" s="638" t="e">
        <f t="shared" si="8"/>
        <v>#VALUE!</v>
      </c>
      <c r="AB21" s="638">
        <f t="shared" si="9"/>
        <v>150</v>
      </c>
      <c r="AC21" s="638" t="e">
        <f t="shared" si="10"/>
        <v>#VALUE!</v>
      </c>
      <c r="AD21" s="638" t="e">
        <f t="shared" si="11"/>
        <v>#VALUE!</v>
      </c>
      <c r="AE21" s="632" t="s">
        <v>159</v>
      </c>
      <c r="AF21" s="632"/>
      <c r="AG21" s="632"/>
      <c r="AH21" s="632">
        <v>0.01</v>
      </c>
      <c r="AI21" s="632" t="s">
        <v>120</v>
      </c>
      <c r="AJ21" s="632">
        <f t="shared" si="12"/>
        <v>2</v>
      </c>
      <c r="AK21" s="632" t="s">
        <v>120</v>
      </c>
      <c r="AL21" s="632" t="s">
        <v>120</v>
      </c>
      <c r="AM21" s="632" t="s">
        <v>120</v>
      </c>
      <c r="AN21" s="632" t="s">
        <v>120</v>
      </c>
      <c r="AO21" s="632" t="s">
        <v>120</v>
      </c>
    </row>
    <row r="22" customHeight="1" spans="1:41">
      <c r="A22" s="632" t="s">
        <v>166</v>
      </c>
      <c r="B22" s="632" t="s">
        <v>167</v>
      </c>
      <c r="C22" s="632"/>
      <c r="D22" s="632"/>
      <c r="E22" s="632" t="s">
        <v>139</v>
      </c>
      <c r="F22" s="632"/>
      <c r="G22" s="632" t="s">
        <v>115</v>
      </c>
      <c r="H22" s="633">
        <v>1</v>
      </c>
      <c r="I22" s="633">
        <v>0.9</v>
      </c>
      <c r="J22" s="633">
        <v>1.2</v>
      </c>
      <c r="K22" s="633">
        <v>1</v>
      </c>
      <c r="L22" s="633">
        <v>1.2</v>
      </c>
      <c r="M22" s="632" t="s">
        <v>129</v>
      </c>
      <c r="N22" s="632" t="s">
        <v>158</v>
      </c>
      <c r="O22" s="632">
        <v>2</v>
      </c>
      <c r="P22" s="637">
        <v>180</v>
      </c>
      <c r="Q22" s="636" t="s">
        <v>117</v>
      </c>
      <c r="R22" s="636" t="s">
        <v>117</v>
      </c>
      <c r="S22" s="638">
        <f t="shared" si="0"/>
        <v>180</v>
      </c>
      <c r="T22" s="638" t="e">
        <f t="shared" si="1"/>
        <v>#VALUE!</v>
      </c>
      <c r="U22" s="638" t="e">
        <f t="shared" si="2"/>
        <v>#VALUE!</v>
      </c>
      <c r="V22" s="638">
        <f t="shared" si="3"/>
        <v>200</v>
      </c>
      <c r="W22" s="638" t="e">
        <f t="shared" si="4"/>
        <v>#VALUE!</v>
      </c>
      <c r="X22" s="638" t="e">
        <f t="shared" si="5"/>
        <v>#VALUE!</v>
      </c>
      <c r="Y22" s="638">
        <f t="shared" si="6"/>
        <v>150</v>
      </c>
      <c r="Z22" s="638" t="e">
        <f t="shared" si="7"/>
        <v>#VALUE!</v>
      </c>
      <c r="AA22" s="638" t="e">
        <f t="shared" si="8"/>
        <v>#VALUE!</v>
      </c>
      <c r="AB22" s="638">
        <f t="shared" si="9"/>
        <v>180</v>
      </c>
      <c r="AC22" s="638" t="e">
        <f t="shared" si="10"/>
        <v>#VALUE!</v>
      </c>
      <c r="AD22" s="638" t="e">
        <f t="shared" si="11"/>
        <v>#VALUE!</v>
      </c>
      <c r="AE22" s="632" t="s">
        <v>159</v>
      </c>
      <c r="AF22" s="632"/>
      <c r="AG22" s="632"/>
      <c r="AH22" s="632">
        <v>0.02</v>
      </c>
      <c r="AI22" s="632" t="s">
        <v>120</v>
      </c>
      <c r="AJ22" s="632">
        <f t="shared" si="12"/>
        <v>2</v>
      </c>
      <c r="AK22" s="632" t="s">
        <v>120</v>
      </c>
      <c r="AL22" s="632" t="s">
        <v>120</v>
      </c>
      <c r="AM22" s="632" t="s">
        <v>120</v>
      </c>
      <c r="AN22" s="632" t="s">
        <v>120</v>
      </c>
      <c r="AO22" s="632" t="s">
        <v>120</v>
      </c>
    </row>
    <row r="23" customHeight="1" spans="1:41">
      <c r="A23" s="632" t="s">
        <v>168</v>
      </c>
      <c r="B23" s="632" t="s">
        <v>169</v>
      </c>
      <c r="C23" s="632"/>
      <c r="D23" s="632"/>
      <c r="E23" s="632" t="s">
        <v>139</v>
      </c>
      <c r="F23" s="632"/>
      <c r="G23" s="632" t="s">
        <v>115</v>
      </c>
      <c r="H23" s="633">
        <v>1</v>
      </c>
      <c r="I23" s="633">
        <v>0.9</v>
      </c>
      <c r="J23" s="633">
        <v>1.2</v>
      </c>
      <c r="K23" s="633">
        <v>1</v>
      </c>
      <c r="L23" s="633">
        <v>1.2</v>
      </c>
      <c r="M23" s="632" t="s">
        <v>129</v>
      </c>
      <c r="N23" s="632" t="s">
        <v>158</v>
      </c>
      <c r="O23" s="632">
        <v>2</v>
      </c>
      <c r="P23" s="637">
        <v>20</v>
      </c>
      <c r="Q23" s="636" t="s">
        <v>117</v>
      </c>
      <c r="R23" s="636" t="s">
        <v>117</v>
      </c>
      <c r="S23" s="638">
        <f t="shared" si="0"/>
        <v>20</v>
      </c>
      <c r="T23" s="638" t="e">
        <f t="shared" si="1"/>
        <v>#VALUE!</v>
      </c>
      <c r="U23" s="638" t="e">
        <f t="shared" si="2"/>
        <v>#VALUE!</v>
      </c>
      <c r="V23" s="638">
        <f t="shared" si="3"/>
        <v>22.2222222222222</v>
      </c>
      <c r="W23" s="638" t="e">
        <f t="shared" si="4"/>
        <v>#VALUE!</v>
      </c>
      <c r="X23" s="638" t="e">
        <f t="shared" si="5"/>
        <v>#VALUE!</v>
      </c>
      <c r="Y23" s="638">
        <f t="shared" si="6"/>
        <v>16.6666666666667</v>
      </c>
      <c r="Z23" s="638" t="e">
        <f t="shared" si="7"/>
        <v>#VALUE!</v>
      </c>
      <c r="AA23" s="638" t="e">
        <f t="shared" si="8"/>
        <v>#VALUE!</v>
      </c>
      <c r="AB23" s="638">
        <f t="shared" si="9"/>
        <v>20</v>
      </c>
      <c r="AC23" s="638" t="e">
        <f t="shared" si="10"/>
        <v>#VALUE!</v>
      </c>
      <c r="AD23" s="638" t="e">
        <f t="shared" si="11"/>
        <v>#VALUE!</v>
      </c>
      <c r="AE23" s="632" t="s">
        <v>170</v>
      </c>
      <c r="AF23" s="632"/>
      <c r="AG23" s="632"/>
      <c r="AH23" s="632">
        <v>300</v>
      </c>
      <c r="AI23" s="632" t="s">
        <v>120</v>
      </c>
      <c r="AJ23" s="639">
        <f t="shared" si="12"/>
        <v>2</v>
      </c>
      <c r="AK23" s="632" t="s">
        <v>120</v>
      </c>
      <c r="AL23" s="632" t="s">
        <v>120</v>
      </c>
      <c r="AM23" s="632" t="s">
        <v>120</v>
      </c>
      <c r="AN23" s="632" t="s">
        <v>120</v>
      </c>
      <c r="AO23" s="632" t="s">
        <v>120</v>
      </c>
    </row>
    <row r="24" customHeight="1" spans="1:41">
      <c r="A24" s="632" t="s">
        <v>171</v>
      </c>
      <c r="B24" s="632"/>
      <c r="C24" s="632"/>
      <c r="D24" s="632"/>
      <c r="E24" s="632" t="s">
        <v>172</v>
      </c>
      <c r="F24" s="632"/>
      <c r="G24" s="632" t="s">
        <v>115</v>
      </c>
      <c r="H24" s="633">
        <v>1</v>
      </c>
      <c r="I24" s="633">
        <v>0.9</v>
      </c>
      <c r="J24" s="633">
        <v>1.2</v>
      </c>
      <c r="K24" s="633">
        <v>1</v>
      </c>
      <c r="L24" s="633">
        <v>1.2</v>
      </c>
      <c r="M24" s="632" t="s">
        <v>157</v>
      </c>
      <c r="N24" s="632" t="s">
        <v>158</v>
      </c>
      <c r="O24" s="632">
        <v>1</v>
      </c>
      <c r="P24" s="636">
        <v>40</v>
      </c>
      <c r="Q24" s="636">
        <v>30</v>
      </c>
      <c r="R24" s="636">
        <v>15</v>
      </c>
      <c r="S24" s="638">
        <f t="shared" si="0"/>
        <v>40</v>
      </c>
      <c r="T24" s="638">
        <f t="shared" si="1"/>
        <v>30</v>
      </c>
      <c r="U24" s="638">
        <f t="shared" si="2"/>
        <v>15</v>
      </c>
      <c r="V24" s="638">
        <f t="shared" si="3"/>
        <v>44.4444444444444</v>
      </c>
      <c r="W24" s="638">
        <f t="shared" si="4"/>
        <v>33.3333333333333</v>
      </c>
      <c r="X24" s="638">
        <f t="shared" si="5"/>
        <v>16.6666666666667</v>
      </c>
      <c r="Y24" s="638">
        <f t="shared" si="6"/>
        <v>33.3333333333333</v>
      </c>
      <c r="Z24" s="638">
        <f t="shared" si="7"/>
        <v>25</v>
      </c>
      <c r="AA24" s="638">
        <f t="shared" si="8"/>
        <v>12.5</v>
      </c>
      <c r="AB24" s="638">
        <f t="shared" si="9"/>
        <v>40</v>
      </c>
      <c r="AC24" s="638">
        <f t="shared" si="10"/>
        <v>30</v>
      </c>
      <c r="AD24" s="638">
        <f t="shared" si="11"/>
        <v>15</v>
      </c>
      <c r="AE24" s="632" t="s">
        <v>118</v>
      </c>
      <c r="AF24" s="632"/>
      <c r="AG24" s="632"/>
      <c r="AH24" s="632"/>
      <c r="AI24" s="632" t="s">
        <v>120</v>
      </c>
      <c r="AJ24" s="639">
        <f t="shared" si="12"/>
        <v>1</v>
      </c>
      <c r="AK24" s="632" t="s">
        <v>120</v>
      </c>
      <c r="AL24" s="632"/>
      <c r="AM24" s="632"/>
      <c r="AN24" s="632"/>
      <c r="AO24" s="632"/>
    </row>
    <row r="25" customHeight="1" spans="1:41">
      <c r="A25" s="632" t="s">
        <v>173</v>
      </c>
      <c r="B25" s="632"/>
      <c r="C25" s="632"/>
      <c r="D25" s="632"/>
      <c r="E25" s="632" t="s">
        <v>172</v>
      </c>
      <c r="F25" s="632"/>
      <c r="G25" s="632" t="s">
        <v>115</v>
      </c>
      <c r="H25" s="633">
        <v>1</v>
      </c>
      <c r="I25" s="633">
        <v>0.9</v>
      </c>
      <c r="J25" s="633">
        <v>1.2</v>
      </c>
      <c r="K25" s="633">
        <v>1</v>
      </c>
      <c r="L25" s="633">
        <v>1.2</v>
      </c>
      <c r="M25" s="632" t="s">
        <v>157</v>
      </c>
      <c r="N25" s="632" t="s">
        <v>158</v>
      </c>
      <c r="O25" s="632">
        <v>1</v>
      </c>
      <c r="P25" s="636">
        <v>40</v>
      </c>
      <c r="Q25" s="636">
        <v>30</v>
      </c>
      <c r="R25" s="636">
        <v>15</v>
      </c>
      <c r="S25" s="638">
        <f t="shared" si="0"/>
        <v>40</v>
      </c>
      <c r="T25" s="638">
        <f t="shared" si="1"/>
        <v>30</v>
      </c>
      <c r="U25" s="638">
        <f t="shared" si="2"/>
        <v>15</v>
      </c>
      <c r="V25" s="638">
        <f t="shared" si="3"/>
        <v>44.4444444444444</v>
      </c>
      <c r="W25" s="638">
        <f t="shared" si="4"/>
        <v>33.3333333333333</v>
      </c>
      <c r="X25" s="638">
        <f t="shared" si="5"/>
        <v>16.6666666666667</v>
      </c>
      <c r="Y25" s="638">
        <f t="shared" si="6"/>
        <v>33.3333333333333</v>
      </c>
      <c r="Z25" s="638">
        <f t="shared" si="7"/>
        <v>25</v>
      </c>
      <c r="AA25" s="638">
        <f t="shared" si="8"/>
        <v>12.5</v>
      </c>
      <c r="AB25" s="638">
        <f t="shared" si="9"/>
        <v>40</v>
      </c>
      <c r="AC25" s="638">
        <f t="shared" si="10"/>
        <v>30</v>
      </c>
      <c r="AD25" s="638">
        <f t="shared" si="11"/>
        <v>15</v>
      </c>
      <c r="AE25" s="632" t="s">
        <v>141</v>
      </c>
      <c r="AF25" s="632"/>
      <c r="AG25" s="632"/>
      <c r="AH25" s="632"/>
      <c r="AI25" s="632" t="s">
        <v>120</v>
      </c>
      <c r="AJ25" s="639">
        <v>1</v>
      </c>
      <c r="AK25" s="632" t="s">
        <v>120</v>
      </c>
      <c r="AL25" s="632"/>
      <c r="AM25" s="632"/>
      <c r="AN25" s="632"/>
      <c r="AO25" s="632"/>
    </row>
    <row r="26" customHeight="1" spans="1:41">
      <c r="A26" s="632" t="s">
        <v>174</v>
      </c>
      <c r="B26" s="632" t="s">
        <v>174</v>
      </c>
      <c r="C26" s="632"/>
      <c r="D26" s="632"/>
      <c r="E26" s="632" t="s">
        <v>114</v>
      </c>
      <c r="F26" s="632"/>
      <c r="G26" s="632" t="s">
        <v>115</v>
      </c>
      <c r="H26" s="633">
        <v>1</v>
      </c>
      <c r="I26" s="633">
        <v>0.9</v>
      </c>
      <c r="J26" s="633">
        <v>1.2</v>
      </c>
      <c r="K26" s="633">
        <v>1</v>
      </c>
      <c r="L26" s="633">
        <v>1.2</v>
      </c>
      <c r="M26" s="632"/>
      <c r="N26" s="632" t="s">
        <v>158</v>
      </c>
      <c r="O26" s="632">
        <v>1</v>
      </c>
      <c r="P26" s="636">
        <v>450</v>
      </c>
      <c r="Q26" s="636" t="s">
        <v>117</v>
      </c>
      <c r="R26" s="636" t="s">
        <v>117</v>
      </c>
      <c r="S26" s="638">
        <f t="shared" si="0"/>
        <v>450</v>
      </c>
      <c r="T26" s="638" t="e">
        <f t="shared" si="1"/>
        <v>#VALUE!</v>
      </c>
      <c r="U26" s="638" t="e">
        <f t="shared" si="2"/>
        <v>#VALUE!</v>
      </c>
      <c r="V26" s="638">
        <f t="shared" si="3"/>
        <v>500</v>
      </c>
      <c r="W26" s="638" t="e">
        <f t="shared" si="4"/>
        <v>#VALUE!</v>
      </c>
      <c r="X26" s="638" t="e">
        <f t="shared" si="5"/>
        <v>#VALUE!</v>
      </c>
      <c r="Y26" s="638">
        <f t="shared" si="6"/>
        <v>375</v>
      </c>
      <c r="Z26" s="638" t="e">
        <f t="shared" si="7"/>
        <v>#VALUE!</v>
      </c>
      <c r="AA26" s="638" t="e">
        <f t="shared" si="8"/>
        <v>#VALUE!</v>
      </c>
      <c r="AB26" s="638">
        <f t="shared" si="9"/>
        <v>450</v>
      </c>
      <c r="AC26" s="638" t="e">
        <f t="shared" si="10"/>
        <v>#VALUE!</v>
      </c>
      <c r="AD26" s="638" t="e">
        <f t="shared" si="11"/>
        <v>#VALUE!</v>
      </c>
      <c r="AE26" s="632" t="s">
        <v>118</v>
      </c>
      <c r="AF26" s="636" t="s">
        <v>117</v>
      </c>
      <c r="AG26" s="632"/>
      <c r="AH26" s="632"/>
      <c r="AI26" s="632" t="s">
        <v>120</v>
      </c>
      <c r="AJ26" s="639">
        <f>O26</f>
        <v>1</v>
      </c>
      <c r="AK26" s="632" t="s">
        <v>120</v>
      </c>
      <c r="AL26" s="632" t="s">
        <v>120</v>
      </c>
      <c r="AM26" s="632" t="s">
        <v>120</v>
      </c>
      <c r="AN26" s="632" t="s">
        <v>120</v>
      </c>
      <c r="AO26" s="632" t="s">
        <v>120</v>
      </c>
    </row>
    <row r="27" customHeight="1" spans="1:41">
      <c r="A27" s="632" t="s">
        <v>175</v>
      </c>
      <c r="B27" s="632" t="s">
        <v>176</v>
      </c>
      <c r="C27" s="632"/>
      <c r="D27" s="632"/>
      <c r="E27" s="632" t="s">
        <v>114</v>
      </c>
      <c r="F27" s="632"/>
      <c r="G27" s="632" t="s">
        <v>115</v>
      </c>
      <c r="H27" s="633">
        <v>1</v>
      </c>
      <c r="I27" s="633">
        <v>0.9</v>
      </c>
      <c r="J27" s="633">
        <v>1.2</v>
      </c>
      <c r="K27" s="633">
        <v>1</v>
      </c>
      <c r="L27" s="633">
        <v>1.2</v>
      </c>
      <c r="M27" s="632"/>
      <c r="N27" s="632" t="s">
        <v>158</v>
      </c>
      <c r="O27" s="632">
        <v>1</v>
      </c>
      <c r="P27" s="636">
        <v>200</v>
      </c>
      <c r="Q27" s="636" t="s">
        <v>117</v>
      </c>
      <c r="R27" s="636" t="s">
        <v>117</v>
      </c>
      <c r="S27" s="638">
        <f t="shared" si="0"/>
        <v>200</v>
      </c>
      <c r="T27" s="638" t="e">
        <f t="shared" si="1"/>
        <v>#VALUE!</v>
      </c>
      <c r="U27" s="638" t="e">
        <f t="shared" si="2"/>
        <v>#VALUE!</v>
      </c>
      <c r="V27" s="638">
        <f t="shared" si="3"/>
        <v>222.222222222222</v>
      </c>
      <c r="W27" s="638" t="e">
        <f t="shared" si="4"/>
        <v>#VALUE!</v>
      </c>
      <c r="X27" s="638" t="e">
        <f t="shared" si="5"/>
        <v>#VALUE!</v>
      </c>
      <c r="Y27" s="638">
        <f t="shared" si="6"/>
        <v>166.666666666667</v>
      </c>
      <c r="Z27" s="638" t="e">
        <f t="shared" si="7"/>
        <v>#VALUE!</v>
      </c>
      <c r="AA27" s="638" t="e">
        <f t="shared" si="8"/>
        <v>#VALUE!</v>
      </c>
      <c r="AB27" s="638">
        <f t="shared" si="9"/>
        <v>200</v>
      </c>
      <c r="AC27" s="638" t="e">
        <f t="shared" si="10"/>
        <v>#VALUE!</v>
      </c>
      <c r="AD27" s="638" t="e">
        <f t="shared" si="11"/>
        <v>#VALUE!</v>
      </c>
      <c r="AE27" s="632" t="s">
        <v>177</v>
      </c>
      <c r="AF27" s="636" t="s">
        <v>117</v>
      </c>
      <c r="AG27" s="632"/>
      <c r="AH27" s="632"/>
      <c r="AI27" s="632"/>
      <c r="AJ27" s="639"/>
      <c r="AK27" s="632"/>
      <c r="AL27" s="632"/>
      <c r="AM27" s="632"/>
      <c r="AN27" s="632"/>
      <c r="AO27" s="632"/>
    </row>
    <row r="28" customHeight="1" spans="1:41">
      <c r="A28" s="632" t="s">
        <v>178</v>
      </c>
      <c r="B28" s="632" t="s">
        <v>178</v>
      </c>
      <c r="C28" s="632"/>
      <c r="D28" s="632"/>
      <c r="E28" s="632" t="s">
        <v>114</v>
      </c>
      <c r="F28" s="632"/>
      <c r="G28" s="632" t="s">
        <v>115</v>
      </c>
      <c r="H28" s="633">
        <v>1</v>
      </c>
      <c r="I28" s="633">
        <v>0.9</v>
      </c>
      <c r="J28" s="633">
        <v>1.2</v>
      </c>
      <c r="K28" s="633">
        <v>1</v>
      </c>
      <c r="L28" s="633">
        <v>1.2</v>
      </c>
      <c r="M28" s="632"/>
      <c r="N28" s="632" t="s">
        <v>158</v>
      </c>
      <c r="O28" s="632">
        <v>1</v>
      </c>
      <c r="P28" s="636">
        <v>225</v>
      </c>
      <c r="Q28" s="636" t="s">
        <v>117</v>
      </c>
      <c r="R28" s="636" t="s">
        <v>117</v>
      </c>
      <c r="S28" s="638">
        <f t="shared" si="0"/>
        <v>225</v>
      </c>
      <c r="T28" s="638" t="e">
        <f t="shared" si="1"/>
        <v>#VALUE!</v>
      </c>
      <c r="U28" s="638" t="e">
        <f t="shared" si="2"/>
        <v>#VALUE!</v>
      </c>
      <c r="V28" s="638">
        <f t="shared" si="3"/>
        <v>250</v>
      </c>
      <c r="W28" s="638" t="e">
        <f t="shared" si="4"/>
        <v>#VALUE!</v>
      </c>
      <c r="X28" s="638" t="e">
        <f t="shared" si="5"/>
        <v>#VALUE!</v>
      </c>
      <c r="Y28" s="638">
        <f t="shared" si="6"/>
        <v>187.5</v>
      </c>
      <c r="Z28" s="638" t="e">
        <f t="shared" si="7"/>
        <v>#VALUE!</v>
      </c>
      <c r="AA28" s="638" t="e">
        <f t="shared" si="8"/>
        <v>#VALUE!</v>
      </c>
      <c r="AB28" s="638">
        <f t="shared" si="9"/>
        <v>225</v>
      </c>
      <c r="AC28" s="638" t="e">
        <f t="shared" si="10"/>
        <v>#VALUE!</v>
      </c>
      <c r="AD28" s="638" t="e">
        <f t="shared" si="11"/>
        <v>#VALUE!</v>
      </c>
      <c r="AE28" s="632" t="s">
        <v>118</v>
      </c>
      <c r="AF28" s="636" t="s">
        <v>117</v>
      </c>
      <c r="AG28" s="632"/>
      <c r="AH28" s="632"/>
      <c r="AI28" s="632"/>
      <c r="AJ28" s="639"/>
      <c r="AK28" s="632"/>
      <c r="AL28" s="632"/>
      <c r="AM28" s="632"/>
      <c r="AN28" s="632"/>
      <c r="AO28" s="632"/>
    </row>
    <row r="29" customHeight="1" spans="1:41">
      <c r="A29" s="632" t="s">
        <v>179</v>
      </c>
      <c r="B29" s="632" t="s">
        <v>180</v>
      </c>
      <c r="C29" s="632"/>
      <c r="D29" s="632"/>
      <c r="E29" s="632" t="s">
        <v>172</v>
      </c>
      <c r="F29" s="632"/>
      <c r="G29" s="632" t="s">
        <v>115</v>
      </c>
      <c r="H29" s="633">
        <v>1</v>
      </c>
      <c r="I29" s="633">
        <v>0.9</v>
      </c>
      <c r="J29" s="633">
        <v>1.2</v>
      </c>
      <c r="K29" s="633">
        <v>1</v>
      </c>
      <c r="L29" s="633">
        <v>1.2</v>
      </c>
      <c r="M29" s="632" t="s">
        <v>181</v>
      </c>
      <c r="N29" s="632" t="s">
        <v>182</v>
      </c>
      <c r="O29" s="632"/>
      <c r="P29" s="637">
        <v>2.5</v>
      </c>
      <c r="Q29" s="636" t="s">
        <v>117</v>
      </c>
      <c r="R29" s="636" t="s">
        <v>117</v>
      </c>
      <c r="S29" s="638">
        <f t="shared" si="0"/>
        <v>2.5</v>
      </c>
      <c r="T29" s="638" t="e">
        <f t="shared" si="1"/>
        <v>#VALUE!</v>
      </c>
      <c r="U29" s="638" t="e">
        <f t="shared" si="2"/>
        <v>#VALUE!</v>
      </c>
      <c r="V29" s="638">
        <f t="shared" si="3"/>
        <v>2.77777777777778</v>
      </c>
      <c r="W29" s="638" t="e">
        <f t="shared" si="4"/>
        <v>#VALUE!</v>
      </c>
      <c r="X29" s="638" t="e">
        <f t="shared" si="5"/>
        <v>#VALUE!</v>
      </c>
      <c r="Y29" s="638">
        <f t="shared" si="6"/>
        <v>2.08333333333333</v>
      </c>
      <c r="Z29" s="638" t="e">
        <f t="shared" si="7"/>
        <v>#VALUE!</v>
      </c>
      <c r="AA29" s="638" t="e">
        <f t="shared" si="8"/>
        <v>#VALUE!</v>
      </c>
      <c r="AB29" s="638">
        <f t="shared" si="9"/>
        <v>2.5</v>
      </c>
      <c r="AC29" s="638" t="e">
        <f t="shared" si="10"/>
        <v>#VALUE!</v>
      </c>
      <c r="AD29" s="638" t="e">
        <f t="shared" si="11"/>
        <v>#VALUE!</v>
      </c>
      <c r="AE29" s="632" t="s">
        <v>170</v>
      </c>
      <c r="AF29" s="632"/>
      <c r="AG29" s="632"/>
      <c r="AH29" s="632"/>
      <c r="AI29" s="632"/>
      <c r="AJ29" s="639"/>
      <c r="AK29" s="632"/>
      <c r="AL29" s="632"/>
      <c r="AM29" s="632"/>
      <c r="AN29" s="632"/>
      <c r="AO29" s="632"/>
    </row>
    <row r="30" customHeight="1" spans="1:41">
      <c r="A30" s="632" t="s">
        <v>183</v>
      </c>
      <c r="B30" s="632" t="s">
        <v>184</v>
      </c>
      <c r="C30" s="632"/>
      <c r="D30" s="632"/>
      <c r="E30" s="632" t="s">
        <v>172</v>
      </c>
      <c r="F30" s="632"/>
      <c r="G30" s="632" t="s">
        <v>115</v>
      </c>
      <c r="H30" s="633">
        <v>1</v>
      </c>
      <c r="I30" s="633">
        <v>0.9</v>
      </c>
      <c r="J30" s="633">
        <v>1.2</v>
      </c>
      <c r="K30" s="633">
        <v>1</v>
      </c>
      <c r="L30" s="633">
        <v>1.2</v>
      </c>
      <c r="M30" s="632" t="s">
        <v>181</v>
      </c>
      <c r="N30" s="632" t="s">
        <v>182</v>
      </c>
      <c r="O30" s="632"/>
      <c r="P30" s="637">
        <v>2</v>
      </c>
      <c r="Q30" s="636" t="s">
        <v>117</v>
      </c>
      <c r="R30" s="636" t="s">
        <v>117</v>
      </c>
      <c r="S30" s="638">
        <f t="shared" si="0"/>
        <v>2</v>
      </c>
      <c r="T30" s="638" t="e">
        <f t="shared" si="1"/>
        <v>#VALUE!</v>
      </c>
      <c r="U30" s="638" t="e">
        <f t="shared" si="2"/>
        <v>#VALUE!</v>
      </c>
      <c r="V30" s="638">
        <f t="shared" si="3"/>
        <v>2.22222222222222</v>
      </c>
      <c r="W30" s="638" t="e">
        <f t="shared" si="4"/>
        <v>#VALUE!</v>
      </c>
      <c r="X30" s="638" t="e">
        <f t="shared" si="5"/>
        <v>#VALUE!</v>
      </c>
      <c r="Y30" s="638">
        <f t="shared" si="6"/>
        <v>1.66666666666667</v>
      </c>
      <c r="Z30" s="638" t="e">
        <f t="shared" si="7"/>
        <v>#VALUE!</v>
      </c>
      <c r="AA30" s="638" t="e">
        <f t="shared" si="8"/>
        <v>#VALUE!</v>
      </c>
      <c r="AB30" s="638">
        <f t="shared" si="9"/>
        <v>2</v>
      </c>
      <c r="AC30" s="638" t="e">
        <f t="shared" si="10"/>
        <v>#VALUE!</v>
      </c>
      <c r="AD30" s="638" t="e">
        <f t="shared" si="11"/>
        <v>#VALUE!</v>
      </c>
      <c r="AE30" s="632" t="s">
        <v>170</v>
      </c>
      <c r="AF30" s="632"/>
      <c r="AG30" s="632"/>
      <c r="AH30" s="632"/>
      <c r="AI30" s="632"/>
      <c r="AJ30" s="639"/>
      <c r="AK30" s="632"/>
      <c r="AL30" s="632"/>
      <c r="AM30" s="632"/>
      <c r="AN30" s="632"/>
      <c r="AO30" s="632"/>
    </row>
    <row r="31" customHeight="1" spans="1:41">
      <c r="A31" s="632" t="s">
        <v>185</v>
      </c>
      <c r="B31" s="632" t="s">
        <v>186</v>
      </c>
      <c r="C31" s="632"/>
      <c r="D31" s="632"/>
      <c r="E31" s="632" t="s">
        <v>172</v>
      </c>
      <c r="F31" s="632"/>
      <c r="G31" s="632" t="s">
        <v>115</v>
      </c>
      <c r="H31" s="633">
        <v>1</v>
      </c>
      <c r="I31" s="633">
        <v>0.9</v>
      </c>
      <c r="J31" s="633">
        <v>1.2</v>
      </c>
      <c r="K31" s="633">
        <v>1</v>
      </c>
      <c r="L31" s="633">
        <v>1.2</v>
      </c>
      <c r="M31" s="632" t="s">
        <v>181</v>
      </c>
      <c r="N31" s="632" t="s">
        <v>182</v>
      </c>
      <c r="O31" s="632"/>
      <c r="P31" s="637">
        <v>2</v>
      </c>
      <c r="Q31" s="636" t="s">
        <v>117</v>
      </c>
      <c r="R31" s="636" t="s">
        <v>117</v>
      </c>
      <c r="S31" s="638">
        <f t="shared" si="0"/>
        <v>2</v>
      </c>
      <c r="T31" s="638" t="e">
        <f t="shared" si="1"/>
        <v>#VALUE!</v>
      </c>
      <c r="U31" s="638" t="e">
        <f t="shared" si="2"/>
        <v>#VALUE!</v>
      </c>
      <c r="V31" s="638">
        <f t="shared" si="3"/>
        <v>2.22222222222222</v>
      </c>
      <c r="W31" s="638" t="e">
        <f t="shared" si="4"/>
        <v>#VALUE!</v>
      </c>
      <c r="X31" s="638" t="e">
        <f t="shared" si="5"/>
        <v>#VALUE!</v>
      </c>
      <c r="Y31" s="638">
        <f t="shared" si="6"/>
        <v>1.66666666666667</v>
      </c>
      <c r="Z31" s="638" t="e">
        <f t="shared" si="7"/>
        <v>#VALUE!</v>
      </c>
      <c r="AA31" s="638" t="e">
        <f t="shared" si="8"/>
        <v>#VALUE!</v>
      </c>
      <c r="AB31" s="638">
        <f t="shared" si="9"/>
        <v>2</v>
      </c>
      <c r="AC31" s="638" t="e">
        <f t="shared" si="10"/>
        <v>#VALUE!</v>
      </c>
      <c r="AD31" s="638" t="e">
        <f t="shared" si="11"/>
        <v>#VALUE!</v>
      </c>
      <c r="AE31" s="632" t="s">
        <v>170</v>
      </c>
      <c r="AF31" s="632"/>
      <c r="AG31" s="632"/>
      <c r="AH31" s="632"/>
      <c r="AI31" s="632"/>
      <c r="AJ31" s="639"/>
      <c r="AK31" s="632"/>
      <c r="AL31" s="632"/>
      <c r="AM31" s="632"/>
      <c r="AN31" s="632"/>
      <c r="AO31" s="632"/>
    </row>
    <row r="32" customHeight="1" spans="1:41">
      <c r="A32" s="632" t="s">
        <v>187</v>
      </c>
      <c r="B32" s="632" t="s">
        <v>188</v>
      </c>
      <c r="C32" s="632"/>
      <c r="D32" s="632"/>
      <c r="E32" s="632" t="s">
        <v>172</v>
      </c>
      <c r="F32" s="632"/>
      <c r="G32" s="632" t="s">
        <v>115</v>
      </c>
      <c r="H32" s="633">
        <v>1</v>
      </c>
      <c r="I32" s="633">
        <v>0.9</v>
      </c>
      <c r="J32" s="633">
        <v>1.2</v>
      </c>
      <c r="K32" s="633">
        <v>1</v>
      </c>
      <c r="L32" s="633">
        <v>1.2</v>
      </c>
      <c r="M32" s="632" t="s">
        <v>181</v>
      </c>
      <c r="N32" s="632" t="s">
        <v>182</v>
      </c>
      <c r="O32" s="632"/>
      <c r="P32" s="637">
        <v>2</v>
      </c>
      <c r="Q32" s="636" t="s">
        <v>117</v>
      </c>
      <c r="R32" s="636" t="s">
        <v>117</v>
      </c>
      <c r="S32" s="638">
        <f t="shared" si="0"/>
        <v>2</v>
      </c>
      <c r="T32" s="638" t="e">
        <f t="shared" si="1"/>
        <v>#VALUE!</v>
      </c>
      <c r="U32" s="638" t="e">
        <f t="shared" si="2"/>
        <v>#VALUE!</v>
      </c>
      <c r="V32" s="638">
        <f t="shared" si="3"/>
        <v>2.22222222222222</v>
      </c>
      <c r="W32" s="638" t="e">
        <f t="shared" si="4"/>
        <v>#VALUE!</v>
      </c>
      <c r="X32" s="638" t="e">
        <f t="shared" si="5"/>
        <v>#VALUE!</v>
      </c>
      <c r="Y32" s="638">
        <f t="shared" si="6"/>
        <v>1.66666666666667</v>
      </c>
      <c r="Z32" s="638" t="e">
        <f t="shared" si="7"/>
        <v>#VALUE!</v>
      </c>
      <c r="AA32" s="638" t="e">
        <f t="shared" si="8"/>
        <v>#VALUE!</v>
      </c>
      <c r="AB32" s="638">
        <f t="shared" si="9"/>
        <v>2</v>
      </c>
      <c r="AC32" s="638" t="e">
        <f t="shared" si="10"/>
        <v>#VALUE!</v>
      </c>
      <c r="AD32" s="638" t="e">
        <f t="shared" si="11"/>
        <v>#VALUE!</v>
      </c>
      <c r="AE32" s="632" t="s">
        <v>170</v>
      </c>
      <c r="AF32" s="632"/>
      <c r="AG32" s="632"/>
      <c r="AH32" s="632"/>
      <c r="AI32" s="632"/>
      <c r="AJ32" s="639"/>
      <c r="AK32" s="632"/>
      <c r="AL32" s="632"/>
      <c r="AM32" s="632"/>
      <c r="AN32" s="632"/>
      <c r="AO32" s="632"/>
    </row>
    <row r="33" customHeight="1" spans="1:41">
      <c r="A33" s="632" t="s">
        <v>189</v>
      </c>
      <c r="B33" s="632" t="s">
        <v>190</v>
      </c>
      <c r="C33" s="632"/>
      <c r="D33" s="632"/>
      <c r="E33" s="632" t="s">
        <v>191</v>
      </c>
      <c r="F33" s="632"/>
      <c r="G33" s="632" t="s">
        <v>115</v>
      </c>
      <c r="H33" s="633">
        <v>1</v>
      </c>
      <c r="I33" s="633">
        <v>0.9</v>
      </c>
      <c r="J33" s="633">
        <v>1.2</v>
      </c>
      <c r="K33" s="633">
        <v>1</v>
      </c>
      <c r="L33" s="633">
        <v>1.2</v>
      </c>
      <c r="M33" s="632"/>
      <c r="N33" s="632" t="s">
        <v>182</v>
      </c>
      <c r="O33" s="632" t="s">
        <v>119</v>
      </c>
      <c r="P33" s="637">
        <v>21</v>
      </c>
      <c r="Q33" s="636" t="s">
        <v>117</v>
      </c>
      <c r="R33" s="636" t="s">
        <v>117</v>
      </c>
      <c r="S33" s="638">
        <f t="shared" si="0"/>
        <v>21</v>
      </c>
      <c r="T33" s="638" t="e">
        <f t="shared" si="1"/>
        <v>#VALUE!</v>
      </c>
      <c r="U33" s="638" t="e">
        <f t="shared" si="2"/>
        <v>#VALUE!</v>
      </c>
      <c r="V33" s="638">
        <f t="shared" si="3"/>
        <v>23.3333333333333</v>
      </c>
      <c r="W33" s="638" t="e">
        <f t="shared" si="4"/>
        <v>#VALUE!</v>
      </c>
      <c r="X33" s="638" t="e">
        <f t="shared" si="5"/>
        <v>#VALUE!</v>
      </c>
      <c r="Y33" s="638">
        <f t="shared" si="6"/>
        <v>17.5</v>
      </c>
      <c r="Z33" s="638" t="e">
        <f t="shared" si="7"/>
        <v>#VALUE!</v>
      </c>
      <c r="AA33" s="638" t="e">
        <f t="shared" si="8"/>
        <v>#VALUE!</v>
      </c>
      <c r="AB33" s="638">
        <f t="shared" si="9"/>
        <v>21</v>
      </c>
      <c r="AC33" s="638" t="e">
        <f t="shared" si="10"/>
        <v>#VALUE!</v>
      </c>
      <c r="AD33" s="638" t="e">
        <f t="shared" si="11"/>
        <v>#VALUE!</v>
      </c>
      <c r="AE33" s="632" t="s">
        <v>192</v>
      </c>
      <c r="AF33" s="632" t="s">
        <v>193</v>
      </c>
      <c r="AG33" s="632"/>
      <c r="AH33" s="632"/>
      <c r="AI33" s="632" t="s">
        <v>120</v>
      </c>
      <c r="AJ33" s="639" t="str">
        <f t="shared" ref="AJ33:AJ43" si="13">O33</f>
        <v>n/a</v>
      </c>
      <c r="AK33" s="632" t="s">
        <v>120</v>
      </c>
      <c r="AL33" s="632"/>
      <c r="AM33" s="632"/>
      <c r="AN33" s="632"/>
      <c r="AO33" s="632"/>
    </row>
    <row r="34" customHeight="1" spans="1:41">
      <c r="A34" s="632" t="s">
        <v>194</v>
      </c>
      <c r="B34" s="632" t="s">
        <v>195</v>
      </c>
      <c r="C34" s="632"/>
      <c r="D34" s="632"/>
      <c r="E34" s="632" t="s">
        <v>191</v>
      </c>
      <c r="F34" s="632"/>
      <c r="G34" s="632" t="s">
        <v>115</v>
      </c>
      <c r="H34" s="633">
        <v>1</v>
      </c>
      <c r="I34" s="633">
        <v>0.9</v>
      </c>
      <c r="J34" s="633">
        <v>1.2</v>
      </c>
      <c r="K34" s="633">
        <v>1</v>
      </c>
      <c r="L34" s="633">
        <v>1.2</v>
      </c>
      <c r="M34" s="632"/>
      <c r="N34" s="632" t="s">
        <v>182</v>
      </c>
      <c r="O34" s="632" t="s">
        <v>119</v>
      </c>
      <c r="P34" s="637">
        <v>21</v>
      </c>
      <c r="Q34" s="636" t="s">
        <v>117</v>
      </c>
      <c r="R34" s="636" t="s">
        <v>117</v>
      </c>
      <c r="S34" s="638">
        <f t="shared" si="0"/>
        <v>21</v>
      </c>
      <c r="T34" s="638" t="e">
        <f t="shared" si="1"/>
        <v>#VALUE!</v>
      </c>
      <c r="U34" s="638" t="e">
        <f t="shared" si="2"/>
        <v>#VALUE!</v>
      </c>
      <c r="V34" s="638">
        <f t="shared" si="3"/>
        <v>23.3333333333333</v>
      </c>
      <c r="W34" s="638" t="e">
        <f t="shared" si="4"/>
        <v>#VALUE!</v>
      </c>
      <c r="X34" s="638" t="e">
        <f t="shared" si="5"/>
        <v>#VALUE!</v>
      </c>
      <c r="Y34" s="638">
        <f t="shared" si="6"/>
        <v>17.5</v>
      </c>
      <c r="Z34" s="638" t="e">
        <f t="shared" si="7"/>
        <v>#VALUE!</v>
      </c>
      <c r="AA34" s="638" t="e">
        <f t="shared" si="8"/>
        <v>#VALUE!</v>
      </c>
      <c r="AB34" s="638">
        <f t="shared" si="9"/>
        <v>21</v>
      </c>
      <c r="AC34" s="638" t="e">
        <f t="shared" si="10"/>
        <v>#VALUE!</v>
      </c>
      <c r="AD34" s="638" t="e">
        <f t="shared" si="11"/>
        <v>#VALUE!</v>
      </c>
      <c r="AE34" s="632" t="s">
        <v>192</v>
      </c>
      <c r="AF34" s="632" t="s">
        <v>196</v>
      </c>
      <c r="AG34" s="632"/>
      <c r="AH34" s="632"/>
      <c r="AI34" s="632" t="s">
        <v>120</v>
      </c>
      <c r="AJ34" s="639" t="str">
        <f t="shared" si="13"/>
        <v>n/a</v>
      </c>
      <c r="AK34" s="632" t="s">
        <v>120</v>
      </c>
      <c r="AL34" s="632"/>
      <c r="AM34" s="632"/>
      <c r="AN34" s="632"/>
      <c r="AO34" s="632"/>
    </row>
    <row r="35" customHeight="1" spans="1:41">
      <c r="A35" s="632" t="s">
        <v>197</v>
      </c>
      <c r="B35" s="632" t="s">
        <v>198</v>
      </c>
      <c r="C35" s="632"/>
      <c r="D35" s="632"/>
      <c r="E35" s="632" t="s">
        <v>191</v>
      </c>
      <c r="F35" s="632"/>
      <c r="G35" s="632" t="s">
        <v>115</v>
      </c>
      <c r="H35" s="633">
        <v>1</v>
      </c>
      <c r="I35" s="633">
        <v>0.9</v>
      </c>
      <c r="J35" s="633">
        <v>1.2</v>
      </c>
      <c r="K35" s="633">
        <v>1</v>
      </c>
      <c r="L35" s="633">
        <v>1.2</v>
      </c>
      <c r="M35" s="632"/>
      <c r="N35" s="632" t="s">
        <v>182</v>
      </c>
      <c r="O35" s="632" t="s">
        <v>119</v>
      </c>
      <c r="P35" s="637">
        <v>21</v>
      </c>
      <c r="Q35" s="636" t="s">
        <v>117</v>
      </c>
      <c r="R35" s="636" t="s">
        <v>117</v>
      </c>
      <c r="S35" s="638">
        <f t="shared" si="0"/>
        <v>21</v>
      </c>
      <c r="T35" s="638" t="e">
        <f t="shared" si="1"/>
        <v>#VALUE!</v>
      </c>
      <c r="U35" s="638" t="e">
        <f t="shared" si="2"/>
        <v>#VALUE!</v>
      </c>
      <c r="V35" s="638">
        <f t="shared" si="3"/>
        <v>23.3333333333333</v>
      </c>
      <c r="W35" s="638" t="e">
        <f t="shared" si="4"/>
        <v>#VALUE!</v>
      </c>
      <c r="X35" s="638" t="e">
        <f t="shared" si="5"/>
        <v>#VALUE!</v>
      </c>
      <c r="Y35" s="638">
        <f t="shared" si="6"/>
        <v>17.5</v>
      </c>
      <c r="Z35" s="638" t="e">
        <f t="shared" si="7"/>
        <v>#VALUE!</v>
      </c>
      <c r="AA35" s="638" t="e">
        <f t="shared" si="8"/>
        <v>#VALUE!</v>
      </c>
      <c r="AB35" s="638">
        <f t="shared" si="9"/>
        <v>21</v>
      </c>
      <c r="AC35" s="638" t="e">
        <f t="shared" si="10"/>
        <v>#VALUE!</v>
      </c>
      <c r="AD35" s="638" t="e">
        <f t="shared" si="11"/>
        <v>#VALUE!</v>
      </c>
      <c r="AE35" s="632" t="s">
        <v>192</v>
      </c>
      <c r="AF35" s="632" t="s">
        <v>199</v>
      </c>
      <c r="AG35" s="632"/>
      <c r="AH35" s="632"/>
      <c r="AI35" s="632" t="s">
        <v>120</v>
      </c>
      <c r="AJ35" s="639" t="str">
        <f t="shared" si="13"/>
        <v>n/a</v>
      </c>
      <c r="AK35" s="632" t="s">
        <v>120</v>
      </c>
      <c r="AL35" s="632"/>
      <c r="AM35" s="632"/>
      <c r="AN35" s="632"/>
      <c r="AO35" s="632"/>
    </row>
    <row r="36" customHeight="1" spans="1:41">
      <c r="A36" s="632" t="s">
        <v>200</v>
      </c>
      <c r="B36" s="632" t="s">
        <v>201</v>
      </c>
      <c r="C36" s="632"/>
      <c r="D36" s="632"/>
      <c r="E36" s="632" t="s">
        <v>191</v>
      </c>
      <c r="F36" s="632"/>
      <c r="G36" s="632" t="s">
        <v>115</v>
      </c>
      <c r="H36" s="633">
        <v>1</v>
      </c>
      <c r="I36" s="633">
        <v>0.9</v>
      </c>
      <c r="J36" s="633">
        <v>1.2</v>
      </c>
      <c r="K36" s="633">
        <v>1</v>
      </c>
      <c r="L36" s="633">
        <v>1.2</v>
      </c>
      <c r="M36" s="632"/>
      <c r="N36" s="632" t="s">
        <v>182</v>
      </c>
      <c r="O36" s="632" t="s">
        <v>119</v>
      </c>
      <c r="P36" s="637">
        <v>29</v>
      </c>
      <c r="Q36" s="636" t="s">
        <v>117</v>
      </c>
      <c r="R36" s="636" t="s">
        <v>117</v>
      </c>
      <c r="S36" s="638">
        <f t="shared" si="0"/>
        <v>29</v>
      </c>
      <c r="T36" s="638" t="e">
        <f t="shared" si="1"/>
        <v>#VALUE!</v>
      </c>
      <c r="U36" s="638" t="e">
        <f t="shared" si="2"/>
        <v>#VALUE!</v>
      </c>
      <c r="V36" s="638">
        <f t="shared" si="3"/>
        <v>32.2222222222222</v>
      </c>
      <c r="W36" s="638" t="e">
        <f t="shared" si="4"/>
        <v>#VALUE!</v>
      </c>
      <c r="X36" s="638" t="e">
        <f t="shared" si="5"/>
        <v>#VALUE!</v>
      </c>
      <c r="Y36" s="638">
        <f t="shared" si="6"/>
        <v>24.1666666666667</v>
      </c>
      <c r="Z36" s="638" t="e">
        <f t="shared" si="7"/>
        <v>#VALUE!</v>
      </c>
      <c r="AA36" s="638" t="e">
        <f t="shared" si="8"/>
        <v>#VALUE!</v>
      </c>
      <c r="AB36" s="638">
        <f t="shared" si="9"/>
        <v>29</v>
      </c>
      <c r="AC36" s="638" t="e">
        <f t="shared" si="10"/>
        <v>#VALUE!</v>
      </c>
      <c r="AD36" s="638" t="e">
        <f t="shared" si="11"/>
        <v>#VALUE!</v>
      </c>
      <c r="AE36" s="632" t="s">
        <v>192</v>
      </c>
      <c r="AF36" s="632" t="s">
        <v>193</v>
      </c>
      <c r="AG36" s="632"/>
      <c r="AH36" s="632"/>
      <c r="AI36" s="632" t="s">
        <v>120</v>
      </c>
      <c r="AJ36" s="639" t="str">
        <f t="shared" si="13"/>
        <v>n/a</v>
      </c>
      <c r="AK36" s="632" t="s">
        <v>120</v>
      </c>
      <c r="AL36" s="632"/>
      <c r="AM36" s="632"/>
      <c r="AN36" s="632"/>
      <c r="AO36" s="632"/>
    </row>
    <row r="37" customHeight="1" spans="1:41">
      <c r="A37" s="632" t="s">
        <v>200</v>
      </c>
      <c r="B37" s="632" t="s">
        <v>202</v>
      </c>
      <c r="C37" s="632"/>
      <c r="D37" s="632"/>
      <c r="E37" s="632" t="s">
        <v>191</v>
      </c>
      <c r="F37" s="632"/>
      <c r="G37" s="632" t="s">
        <v>115</v>
      </c>
      <c r="H37" s="633">
        <v>1</v>
      </c>
      <c r="I37" s="633">
        <v>0.9</v>
      </c>
      <c r="J37" s="633">
        <v>1.2</v>
      </c>
      <c r="K37" s="633">
        <v>1</v>
      </c>
      <c r="L37" s="633">
        <v>1.2</v>
      </c>
      <c r="M37" s="632"/>
      <c r="N37" s="632" t="s">
        <v>182</v>
      </c>
      <c r="O37" s="632" t="s">
        <v>119</v>
      </c>
      <c r="P37" s="637">
        <v>29</v>
      </c>
      <c r="Q37" s="636" t="s">
        <v>117</v>
      </c>
      <c r="R37" s="636" t="s">
        <v>117</v>
      </c>
      <c r="S37" s="638">
        <f t="shared" si="0"/>
        <v>29</v>
      </c>
      <c r="T37" s="638" t="e">
        <f t="shared" si="1"/>
        <v>#VALUE!</v>
      </c>
      <c r="U37" s="638" t="e">
        <f t="shared" si="2"/>
        <v>#VALUE!</v>
      </c>
      <c r="V37" s="638">
        <f t="shared" si="3"/>
        <v>32.2222222222222</v>
      </c>
      <c r="W37" s="638" t="e">
        <f t="shared" si="4"/>
        <v>#VALUE!</v>
      </c>
      <c r="X37" s="638" t="e">
        <f t="shared" si="5"/>
        <v>#VALUE!</v>
      </c>
      <c r="Y37" s="638">
        <f t="shared" si="6"/>
        <v>24.1666666666667</v>
      </c>
      <c r="Z37" s="638" t="e">
        <f t="shared" si="7"/>
        <v>#VALUE!</v>
      </c>
      <c r="AA37" s="638" t="e">
        <f t="shared" si="8"/>
        <v>#VALUE!</v>
      </c>
      <c r="AB37" s="638">
        <f t="shared" si="9"/>
        <v>29</v>
      </c>
      <c r="AC37" s="638" t="e">
        <f t="shared" si="10"/>
        <v>#VALUE!</v>
      </c>
      <c r="AD37" s="638" t="e">
        <f t="shared" si="11"/>
        <v>#VALUE!</v>
      </c>
      <c r="AE37" s="632" t="s">
        <v>192</v>
      </c>
      <c r="AF37" s="632" t="s">
        <v>196</v>
      </c>
      <c r="AG37" s="632"/>
      <c r="AH37" s="632"/>
      <c r="AI37" s="632" t="s">
        <v>120</v>
      </c>
      <c r="AJ37" s="639" t="str">
        <f t="shared" si="13"/>
        <v>n/a</v>
      </c>
      <c r="AK37" s="632" t="s">
        <v>120</v>
      </c>
      <c r="AL37" s="632"/>
      <c r="AM37" s="632"/>
      <c r="AN37" s="632"/>
      <c r="AO37" s="632"/>
    </row>
    <row r="38" customHeight="1" spans="1:41">
      <c r="A38" s="632" t="s">
        <v>203</v>
      </c>
      <c r="B38" s="632" t="s">
        <v>204</v>
      </c>
      <c r="C38" s="632"/>
      <c r="D38" s="632"/>
      <c r="E38" s="632" t="s">
        <v>191</v>
      </c>
      <c r="F38" s="632"/>
      <c r="G38" s="632" t="s">
        <v>115</v>
      </c>
      <c r="H38" s="633">
        <v>1</v>
      </c>
      <c r="I38" s="633">
        <v>0.9</v>
      </c>
      <c r="J38" s="633">
        <v>1.2</v>
      </c>
      <c r="K38" s="633">
        <v>1</v>
      </c>
      <c r="L38" s="633">
        <v>1.2</v>
      </c>
      <c r="M38" s="632"/>
      <c r="N38" s="632" t="s">
        <v>182</v>
      </c>
      <c r="O38" s="632" t="s">
        <v>119</v>
      </c>
      <c r="P38" s="637">
        <v>29</v>
      </c>
      <c r="Q38" s="636" t="s">
        <v>117</v>
      </c>
      <c r="R38" s="636" t="s">
        <v>117</v>
      </c>
      <c r="S38" s="638">
        <f t="shared" si="0"/>
        <v>29</v>
      </c>
      <c r="T38" s="638" t="e">
        <f t="shared" si="1"/>
        <v>#VALUE!</v>
      </c>
      <c r="U38" s="638" t="e">
        <f t="shared" si="2"/>
        <v>#VALUE!</v>
      </c>
      <c r="V38" s="638">
        <f t="shared" si="3"/>
        <v>32.2222222222222</v>
      </c>
      <c r="W38" s="638" t="e">
        <f t="shared" si="4"/>
        <v>#VALUE!</v>
      </c>
      <c r="X38" s="638" t="e">
        <f t="shared" si="5"/>
        <v>#VALUE!</v>
      </c>
      <c r="Y38" s="638">
        <f t="shared" si="6"/>
        <v>24.1666666666667</v>
      </c>
      <c r="Z38" s="638" t="e">
        <f t="shared" si="7"/>
        <v>#VALUE!</v>
      </c>
      <c r="AA38" s="638" t="e">
        <f t="shared" si="8"/>
        <v>#VALUE!</v>
      </c>
      <c r="AB38" s="638">
        <f t="shared" si="9"/>
        <v>29</v>
      </c>
      <c r="AC38" s="638" t="e">
        <f t="shared" si="10"/>
        <v>#VALUE!</v>
      </c>
      <c r="AD38" s="638" t="e">
        <f t="shared" si="11"/>
        <v>#VALUE!</v>
      </c>
      <c r="AE38" s="632" t="s">
        <v>192</v>
      </c>
      <c r="AF38" s="632" t="s">
        <v>199</v>
      </c>
      <c r="AG38" s="632"/>
      <c r="AH38" s="632"/>
      <c r="AI38" s="632" t="s">
        <v>120</v>
      </c>
      <c r="AJ38" s="639" t="str">
        <f t="shared" si="13"/>
        <v>n/a</v>
      </c>
      <c r="AK38" s="632" t="s">
        <v>120</v>
      </c>
      <c r="AL38" s="632"/>
      <c r="AM38" s="632"/>
      <c r="AN38" s="632"/>
      <c r="AO38" s="632"/>
    </row>
    <row r="39" customHeight="1" spans="1:41">
      <c r="A39" s="632" t="s">
        <v>205</v>
      </c>
      <c r="B39" s="632" t="s">
        <v>206</v>
      </c>
      <c r="C39" s="632"/>
      <c r="D39" s="632"/>
      <c r="E39" s="632" t="s">
        <v>191</v>
      </c>
      <c r="F39" s="632"/>
      <c r="G39" s="632" t="s">
        <v>115</v>
      </c>
      <c r="H39" s="633">
        <v>1</v>
      </c>
      <c r="I39" s="633">
        <v>0.9</v>
      </c>
      <c r="J39" s="633">
        <v>1.2</v>
      </c>
      <c r="K39" s="633">
        <v>1</v>
      </c>
      <c r="L39" s="633">
        <v>1.2</v>
      </c>
      <c r="M39" s="632"/>
      <c r="N39" s="632" t="s">
        <v>182</v>
      </c>
      <c r="O39" s="632" t="s">
        <v>119</v>
      </c>
      <c r="P39" s="637">
        <v>6</v>
      </c>
      <c r="Q39" s="636" t="s">
        <v>117</v>
      </c>
      <c r="R39" s="636" t="s">
        <v>117</v>
      </c>
      <c r="S39" s="638">
        <f t="shared" si="0"/>
        <v>6</v>
      </c>
      <c r="T39" s="638" t="e">
        <f t="shared" si="1"/>
        <v>#VALUE!</v>
      </c>
      <c r="U39" s="638" t="e">
        <f t="shared" si="2"/>
        <v>#VALUE!</v>
      </c>
      <c r="V39" s="638">
        <f t="shared" si="3"/>
        <v>6.66666666666667</v>
      </c>
      <c r="W39" s="638" t="e">
        <f t="shared" si="4"/>
        <v>#VALUE!</v>
      </c>
      <c r="X39" s="638" t="e">
        <f t="shared" si="5"/>
        <v>#VALUE!</v>
      </c>
      <c r="Y39" s="638">
        <f t="shared" si="6"/>
        <v>5</v>
      </c>
      <c r="Z39" s="638" t="e">
        <f t="shared" si="7"/>
        <v>#VALUE!</v>
      </c>
      <c r="AA39" s="638" t="e">
        <f t="shared" si="8"/>
        <v>#VALUE!</v>
      </c>
      <c r="AB39" s="638">
        <f t="shared" si="9"/>
        <v>6</v>
      </c>
      <c r="AC39" s="638" t="e">
        <f t="shared" si="10"/>
        <v>#VALUE!</v>
      </c>
      <c r="AD39" s="638" t="e">
        <f t="shared" si="11"/>
        <v>#VALUE!</v>
      </c>
      <c r="AE39" s="632" t="s">
        <v>192</v>
      </c>
      <c r="AF39" s="632" t="s">
        <v>207</v>
      </c>
      <c r="AG39" s="632"/>
      <c r="AH39" s="632"/>
      <c r="AI39" s="632" t="s">
        <v>120</v>
      </c>
      <c r="AJ39" s="639" t="str">
        <f t="shared" si="13"/>
        <v>n/a</v>
      </c>
      <c r="AK39" s="632" t="s">
        <v>120</v>
      </c>
      <c r="AL39" s="632"/>
      <c r="AM39" s="632"/>
      <c r="AN39" s="632"/>
      <c r="AO39" s="632"/>
    </row>
    <row r="40" customHeight="1" spans="1:41">
      <c r="A40" s="632" t="s">
        <v>208</v>
      </c>
      <c r="B40" s="632" t="s">
        <v>209</v>
      </c>
      <c r="C40" s="632"/>
      <c r="D40" s="632"/>
      <c r="E40" s="632" t="s">
        <v>191</v>
      </c>
      <c r="F40" s="632"/>
      <c r="G40" s="632" t="s">
        <v>115</v>
      </c>
      <c r="H40" s="633">
        <v>1</v>
      </c>
      <c r="I40" s="633">
        <v>0.9</v>
      </c>
      <c r="J40" s="633">
        <v>1.2</v>
      </c>
      <c r="K40" s="633">
        <v>1</v>
      </c>
      <c r="L40" s="633">
        <v>1.2</v>
      </c>
      <c r="M40" s="632"/>
      <c r="N40" s="632" t="s">
        <v>182</v>
      </c>
      <c r="O40" s="632" t="s">
        <v>119</v>
      </c>
      <c r="P40" s="637">
        <v>9</v>
      </c>
      <c r="Q40" s="636" t="s">
        <v>117</v>
      </c>
      <c r="R40" s="636" t="s">
        <v>117</v>
      </c>
      <c r="S40" s="638">
        <f t="shared" si="0"/>
        <v>9</v>
      </c>
      <c r="T40" s="638" t="e">
        <f t="shared" si="1"/>
        <v>#VALUE!</v>
      </c>
      <c r="U40" s="638" t="e">
        <f t="shared" si="2"/>
        <v>#VALUE!</v>
      </c>
      <c r="V40" s="638">
        <f t="shared" si="3"/>
        <v>10</v>
      </c>
      <c r="W40" s="638" t="e">
        <f t="shared" si="4"/>
        <v>#VALUE!</v>
      </c>
      <c r="X40" s="638" t="e">
        <f t="shared" si="5"/>
        <v>#VALUE!</v>
      </c>
      <c r="Y40" s="638">
        <f t="shared" si="6"/>
        <v>7.5</v>
      </c>
      <c r="Z40" s="638" t="e">
        <f t="shared" si="7"/>
        <v>#VALUE!</v>
      </c>
      <c r="AA40" s="638" t="e">
        <f t="shared" si="8"/>
        <v>#VALUE!</v>
      </c>
      <c r="AB40" s="638">
        <f t="shared" si="9"/>
        <v>9</v>
      </c>
      <c r="AC40" s="638" t="e">
        <f t="shared" si="10"/>
        <v>#VALUE!</v>
      </c>
      <c r="AD40" s="638" t="e">
        <f t="shared" si="11"/>
        <v>#VALUE!</v>
      </c>
      <c r="AE40" s="632" t="s">
        <v>192</v>
      </c>
      <c r="AF40" s="632" t="s">
        <v>207</v>
      </c>
      <c r="AG40" s="632"/>
      <c r="AH40" s="632"/>
      <c r="AI40" s="632" t="s">
        <v>120</v>
      </c>
      <c r="AJ40" s="639" t="str">
        <f t="shared" si="13"/>
        <v>n/a</v>
      </c>
      <c r="AK40" s="632" t="s">
        <v>120</v>
      </c>
      <c r="AL40" s="632"/>
      <c r="AM40" s="632"/>
      <c r="AN40" s="632"/>
      <c r="AO40" s="632"/>
    </row>
    <row r="41" customHeight="1" spans="1:41">
      <c r="A41" s="632" t="s">
        <v>210</v>
      </c>
      <c r="B41" s="632" t="s">
        <v>211</v>
      </c>
      <c r="C41" s="632"/>
      <c r="D41" s="632"/>
      <c r="E41" s="632" t="s">
        <v>139</v>
      </c>
      <c r="F41" s="632"/>
      <c r="G41" s="632" t="s">
        <v>115</v>
      </c>
      <c r="H41" s="633">
        <v>1</v>
      </c>
      <c r="I41" s="633">
        <v>0.9</v>
      </c>
      <c r="J41" s="633">
        <v>1.2</v>
      </c>
      <c r="K41" s="633">
        <v>1</v>
      </c>
      <c r="L41" s="633">
        <v>1.2</v>
      </c>
      <c r="M41" s="632" t="s">
        <v>157</v>
      </c>
      <c r="N41" s="632" t="s">
        <v>182</v>
      </c>
      <c r="O41" s="632" t="s">
        <v>119</v>
      </c>
      <c r="P41" s="637">
        <v>25</v>
      </c>
      <c r="Q41" s="636" t="s">
        <v>117</v>
      </c>
      <c r="R41" s="636" t="s">
        <v>117</v>
      </c>
      <c r="S41" s="638">
        <f t="shared" si="0"/>
        <v>25</v>
      </c>
      <c r="T41" s="638" t="e">
        <f t="shared" si="1"/>
        <v>#VALUE!</v>
      </c>
      <c r="U41" s="638" t="e">
        <f t="shared" si="2"/>
        <v>#VALUE!</v>
      </c>
      <c r="V41" s="638">
        <f t="shared" si="3"/>
        <v>27.7777777777778</v>
      </c>
      <c r="W41" s="638" t="e">
        <f t="shared" si="4"/>
        <v>#VALUE!</v>
      </c>
      <c r="X41" s="638" t="e">
        <f t="shared" si="5"/>
        <v>#VALUE!</v>
      </c>
      <c r="Y41" s="638">
        <f t="shared" si="6"/>
        <v>20.8333333333333</v>
      </c>
      <c r="Z41" s="638" t="e">
        <f t="shared" si="7"/>
        <v>#VALUE!</v>
      </c>
      <c r="AA41" s="638" t="e">
        <f t="shared" si="8"/>
        <v>#VALUE!</v>
      </c>
      <c r="AB41" s="638">
        <f t="shared" si="9"/>
        <v>25</v>
      </c>
      <c r="AC41" s="638" t="e">
        <f t="shared" si="10"/>
        <v>#VALUE!</v>
      </c>
      <c r="AD41" s="638" t="e">
        <f t="shared" si="11"/>
        <v>#VALUE!</v>
      </c>
      <c r="AE41" s="632" t="s">
        <v>159</v>
      </c>
      <c r="AF41" s="632"/>
      <c r="AG41" s="632"/>
      <c r="AH41" s="632"/>
      <c r="AI41" s="632" t="s">
        <v>120</v>
      </c>
      <c r="AJ41" s="639" t="str">
        <f t="shared" si="13"/>
        <v>n/a</v>
      </c>
      <c r="AK41" s="632" t="s">
        <v>120</v>
      </c>
      <c r="AL41" s="632" t="s">
        <v>120</v>
      </c>
      <c r="AM41" s="632" t="s">
        <v>120</v>
      </c>
      <c r="AN41" s="632" t="s">
        <v>120</v>
      </c>
      <c r="AO41" s="632" t="s">
        <v>120</v>
      </c>
    </row>
    <row r="42" customHeight="1" spans="1:41">
      <c r="A42" s="632" t="s">
        <v>212</v>
      </c>
      <c r="B42" s="632" t="s">
        <v>213</v>
      </c>
      <c r="C42" s="632"/>
      <c r="D42" s="632"/>
      <c r="E42" s="632" t="s">
        <v>139</v>
      </c>
      <c r="F42" s="632"/>
      <c r="G42" s="632" t="s">
        <v>115</v>
      </c>
      <c r="H42" s="633">
        <v>1</v>
      </c>
      <c r="I42" s="633">
        <v>0.9</v>
      </c>
      <c r="J42" s="633">
        <v>1.2</v>
      </c>
      <c r="K42" s="633">
        <v>1</v>
      </c>
      <c r="L42" s="633">
        <v>1.2</v>
      </c>
      <c r="M42" s="632" t="s">
        <v>181</v>
      </c>
      <c r="N42" s="632" t="s">
        <v>182</v>
      </c>
      <c r="O42" s="632">
        <v>2</v>
      </c>
      <c r="P42" s="637">
        <v>9</v>
      </c>
      <c r="Q42" s="636" t="s">
        <v>117</v>
      </c>
      <c r="R42" s="636" t="s">
        <v>117</v>
      </c>
      <c r="S42" s="638">
        <f t="shared" si="0"/>
        <v>9</v>
      </c>
      <c r="T42" s="638" t="e">
        <f t="shared" si="1"/>
        <v>#VALUE!</v>
      </c>
      <c r="U42" s="638" t="e">
        <f t="shared" si="2"/>
        <v>#VALUE!</v>
      </c>
      <c r="V42" s="638">
        <f t="shared" si="3"/>
        <v>10</v>
      </c>
      <c r="W42" s="638" t="e">
        <f t="shared" si="4"/>
        <v>#VALUE!</v>
      </c>
      <c r="X42" s="638" t="e">
        <f t="shared" si="5"/>
        <v>#VALUE!</v>
      </c>
      <c r="Y42" s="638">
        <f t="shared" si="6"/>
        <v>7.5</v>
      </c>
      <c r="Z42" s="638" t="e">
        <f t="shared" si="7"/>
        <v>#VALUE!</v>
      </c>
      <c r="AA42" s="638" t="e">
        <f t="shared" si="8"/>
        <v>#VALUE!</v>
      </c>
      <c r="AB42" s="638">
        <f t="shared" si="9"/>
        <v>9</v>
      </c>
      <c r="AC42" s="638" t="e">
        <f t="shared" si="10"/>
        <v>#VALUE!</v>
      </c>
      <c r="AD42" s="638" t="e">
        <f t="shared" si="11"/>
        <v>#VALUE!</v>
      </c>
      <c r="AE42" s="632" t="s">
        <v>159</v>
      </c>
      <c r="AF42" s="632"/>
      <c r="AG42" s="632"/>
      <c r="AH42" s="632"/>
      <c r="AI42" s="632" t="s">
        <v>120</v>
      </c>
      <c r="AJ42" s="639">
        <f t="shared" si="13"/>
        <v>2</v>
      </c>
      <c r="AK42" s="632" t="s">
        <v>120</v>
      </c>
      <c r="AL42" s="632" t="s">
        <v>120</v>
      </c>
      <c r="AM42" s="632" t="s">
        <v>120</v>
      </c>
      <c r="AN42" s="632" t="s">
        <v>120</v>
      </c>
      <c r="AO42" s="632" t="s">
        <v>120</v>
      </c>
    </row>
    <row r="43" customHeight="1" spans="1:41">
      <c r="A43" s="632" t="s">
        <v>214</v>
      </c>
      <c r="B43" s="632" t="s">
        <v>215</v>
      </c>
      <c r="C43" s="632"/>
      <c r="D43" s="632"/>
      <c r="E43" s="632" t="s">
        <v>139</v>
      </c>
      <c r="F43" s="632"/>
      <c r="G43" s="632" t="s">
        <v>115</v>
      </c>
      <c r="H43" s="633">
        <v>1</v>
      </c>
      <c r="I43" s="633">
        <v>0.9</v>
      </c>
      <c r="J43" s="633">
        <v>1.2</v>
      </c>
      <c r="K43" s="633">
        <v>1</v>
      </c>
      <c r="L43" s="633">
        <v>1.2</v>
      </c>
      <c r="M43" s="632" t="s">
        <v>181</v>
      </c>
      <c r="N43" s="632" t="s">
        <v>182</v>
      </c>
      <c r="O43" s="632">
        <v>2</v>
      </c>
      <c r="P43" s="637">
        <v>25</v>
      </c>
      <c r="Q43" s="636" t="s">
        <v>117</v>
      </c>
      <c r="R43" s="636" t="s">
        <v>117</v>
      </c>
      <c r="S43" s="638">
        <f t="shared" si="0"/>
        <v>25</v>
      </c>
      <c r="T43" s="638" t="e">
        <f t="shared" si="1"/>
        <v>#VALUE!</v>
      </c>
      <c r="U43" s="638" t="e">
        <f t="shared" si="2"/>
        <v>#VALUE!</v>
      </c>
      <c r="V43" s="638">
        <f t="shared" si="3"/>
        <v>27.7777777777778</v>
      </c>
      <c r="W43" s="638" t="e">
        <f t="shared" si="4"/>
        <v>#VALUE!</v>
      </c>
      <c r="X43" s="638" t="e">
        <f t="shared" si="5"/>
        <v>#VALUE!</v>
      </c>
      <c r="Y43" s="638">
        <f t="shared" si="6"/>
        <v>20.8333333333333</v>
      </c>
      <c r="Z43" s="638" t="e">
        <f t="shared" si="7"/>
        <v>#VALUE!</v>
      </c>
      <c r="AA43" s="638" t="e">
        <f t="shared" si="8"/>
        <v>#VALUE!</v>
      </c>
      <c r="AB43" s="638">
        <f t="shared" si="9"/>
        <v>25</v>
      </c>
      <c r="AC43" s="638" t="e">
        <f t="shared" si="10"/>
        <v>#VALUE!</v>
      </c>
      <c r="AD43" s="638" t="e">
        <f t="shared" si="11"/>
        <v>#VALUE!</v>
      </c>
      <c r="AE43" s="632" t="s">
        <v>159</v>
      </c>
      <c r="AF43" s="632"/>
      <c r="AG43" s="632"/>
      <c r="AH43" s="632"/>
      <c r="AI43" s="632" t="s">
        <v>120</v>
      </c>
      <c r="AJ43" s="639">
        <f t="shared" si="13"/>
        <v>2</v>
      </c>
      <c r="AK43" s="632" t="s">
        <v>120</v>
      </c>
      <c r="AL43" s="632" t="s">
        <v>120</v>
      </c>
      <c r="AM43" s="632" t="s">
        <v>120</v>
      </c>
      <c r="AN43" s="632" t="s">
        <v>120</v>
      </c>
      <c r="AO43" s="632" t="s">
        <v>120</v>
      </c>
    </row>
    <row r="44" customHeight="1" spans="1:41">
      <c r="A44" s="632" t="s">
        <v>216</v>
      </c>
      <c r="B44" s="632"/>
      <c r="C44" s="632"/>
      <c r="D44" s="632"/>
      <c r="E44" s="632" t="s">
        <v>217</v>
      </c>
      <c r="F44" s="632"/>
      <c r="G44" s="632" t="s">
        <v>115</v>
      </c>
      <c r="H44" s="633">
        <v>1</v>
      </c>
      <c r="I44" s="633">
        <v>0.9</v>
      </c>
      <c r="J44" s="633">
        <v>1.2</v>
      </c>
      <c r="K44" s="633">
        <v>1</v>
      </c>
      <c r="L44" s="633">
        <v>1.2</v>
      </c>
      <c r="M44" s="632"/>
      <c r="N44" s="632" t="s">
        <v>182</v>
      </c>
      <c r="O44" s="632" t="s">
        <v>119</v>
      </c>
      <c r="P44" s="636"/>
      <c r="Q44" s="636"/>
      <c r="R44" s="636"/>
      <c r="S44" s="638">
        <f t="shared" si="0"/>
        <v>0</v>
      </c>
      <c r="T44" s="638">
        <f t="shared" si="1"/>
        <v>0</v>
      </c>
      <c r="U44" s="638">
        <f t="shared" si="2"/>
        <v>0</v>
      </c>
      <c r="V44" s="638">
        <f t="shared" si="3"/>
        <v>0</v>
      </c>
      <c r="W44" s="638">
        <f t="shared" si="4"/>
        <v>0</v>
      </c>
      <c r="X44" s="638">
        <f t="shared" si="5"/>
        <v>0</v>
      </c>
      <c r="Y44" s="638">
        <f t="shared" si="6"/>
        <v>0</v>
      </c>
      <c r="Z44" s="638">
        <f t="shared" si="7"/>
        <v>0</v>
      </c>
      <c r="AA44" s="638">
        <f t="shared" si="8"/>
        <v>0</v>
      </c>
      <c r="AB44" s="638">
        <f t="shared" si="9"/>
        <v>0</v>
      </c>
      <c r="AC44" s="638">
        <f t="shared" si="10"/>
        <v>0</v>
      </c>
      <c r="AD44" s="638">
        <f t="shared" si="11"/>
        <v>0</v>
      </c>
      <c r="AE44" s="632" t="s">
        <v>159</v>
      </c>
      <c r="AF44" s="632"/>
      <c r="AG44" s="632"/>
      <c r="AH44" s="632"/>
      <c r="AI44" s="632"/>
      <c r="AJ44" s="639"/>
      <c r="AK44" s="632"/>
      <c r="AL44" s="632"/>
      <c r="AM44" s="632"/>
      <c r="AN44" s="632"/>
      <c r="AO44" s="632"/>
    </row>
    <row r="45" customHeight="1" spans="1:41">
      <c r="A45" s="632" t="s">
        <v>218</v>
      </c>
      <c r="B45" s="632"/>
      <c r="C45" s="632"/>
      <c r="D45" s="632"/>
      <c r="E45" s="632" t="s">
        <v>217</v>
      </c>
      <c r="F45" s="632"/>
      <c r="G45" s="632" t="s">
        <v>115</v>
      </c>
      <c r="H45" s="633">
        <v>1</v>
      </c>
      <c r="I45" s="633">
        <v>0.9</v>
      </c>
      <c r="J45" s="633">
        <v>1.2</v>
      </c>
      <c r="K45" s="633">
        <v>1</v>
      </c>
      <c r="L45" s="633">
        <v>1.2</v>
      </c>
      <c r="M45" s="632"/>
      <c r="N45" s="632" t="s">
        <v>182</v>
      </c>
      <c r="O45" s="632" t="s">
        <v>119</v>
      </c>
      <c r="P45" s="636"/>
      <c r="Q45" s="636"/>
      <c r="R45" s="636"/>
      <c r="S45" s="638">
        <f t="shared" si="0"/>
        <v>0</v>
      </c>
      <c r="T45" s="638">
        <f t="shared" si="1"/>
        <v>0</v>
      </c>
      <c r="U45" s="638">
        <f t="shared" si="2"/>
        <v>0</v>
      </c>
      <c r="V45" s="638">
        <f t="shared" si="3"/>
        <v>0</v>
      </c>
      <c r="W45" s="638">
        <f t="shared" si="4"/>
        <v>0</v>
      </c>
      <c r="X45" s="638">
        <f t="shared" si="5"/>
        <v>0</v>
      </c>
      <c r="Y45" s="638">
        <f t="shared" si="6"/>
        <v>0</v>
      </c>
      <c r="Z45" s="638">
        <f t="shared" si="7"/>
        <v>0</v>
      </c>
      <c r="AA45" s="638">
        <f t="shared" si="8"/>
        <v>0</v>
      </c>
      <c r="AB45" s="638">
        <f t="shared" si="9"/>
        <v>0</v>
      </c>
      <c r="AC45" s="638">
        <f t="shared" si="10"/>
        <v>0</v>
      </c>
      <c r="AD45" s="638">
        <f t="shared" si="11"/>
        <v>0</v>
      </c>
      <c r="AE45" s="632" t="s">
        <v>159</v>
      </c>
      <c r="AF45" s="632"/>
      <c r="AG45" s="632"/>
      <c r="AH45" s="632"/>
      <c r="AI45" s="632"/>
      <c r="AJ45" s="639"/>
      <c r="AK45" s="632"/>
      <c r="AL45" s="632"/>
      <c r="AM45" s="632"/>
      <c r="AN45" s="632"/>
      <c r="AO45" s="632"/>
    </row>
    <row r="46" customHeight="1" spans="1:41">
      <c r="A46" s="632" t="s">
        <v>219</v>
      </c>
      <c r="B46" s="632"/>
      <c r="C46" s="632"/>
      <c r="D46" s="632"/>
      <c r="E46" s="632" t="s">
        <v>172</v>
      </c>
      <c r="F46" s="632"/>
      <c r="G46" s="632" t="s">
        <v>115</v>
      </c>
      <c r="H46" s="633">
        <v>1</v>
      </c>
      <c r="I46" s="633">
        <v>0.9</v>
      </c>
      <c r="J46" s="633">
        <v>1.2</v>
      </c>
      <c r="K46" s="633">
        <v>1</v>
      </c>
      <c r="L46" s="633">
        <v>1.2</v>
      </c>
      <c r="M46" s="632" t="s">
        <v>157</v>
      </c>
      <c r="N46" s="632" t="s">
        <v>182</v>
      </c>
      <c r="O46" s="632">
        <v>1</v>
      </c>
      <c r="P46" s="636">
        <v>350</v>
      </c>
      <c r="Q46" s="636" t="s">
        <v>117</v>
      </c>
      <c r="R46" s="636" t="s">
        <v>117</v>
      </c>
      <c r="S46" s="638">
        <f t="shared" si="0"/>
        <v>350</v>
      </c>
      <c r="T46" s="638" t="e">
        <f t="shared" si="1"/>
        <v>#VALUE!</v>
      </c>
      <c r="U46" s="638" t="e">
        <f t="shared" si="2"/>
        <v>#VALUE!</v>
      </c>
      <c r="V46" s="638">
        <f t="shared" si="3"/>
        <v>388.888888888889</v>
      </c>
      <c r="W46" s="638" t="e">
        <f t="shared" si="4"/>
        <v>#VALUE!</v>
      </c>
      <c r="X46" s="638" t="e">
        <f t="shared" si="5"/>
        <v>#VALUE!</v>
      </c>
      <c r="Y46" s="638">
        <f t="shared" si="6"/>
        <v>291.666666666667</v>
      </c>
      <c r="Z46" s="638" t="e">
        <f t="shared" si="7"/>
        <v>#VALUE!</v>
      </c>
      <c r="AA46" s="638" t="e">
        <f t="shared" si="8"/>
        <v>#VALUE!</v>
      </c>
      <c r="AB46" s="638">
        <f t="shared" si="9"/>
        <v>350</v>
      </c>
      <c r="AC46" s="638" t="e">
        <f t="shared" si="10"/>
        <v>#VALUE!</v>
      </c>
      <c r="AD46" s="638" t="e">
        <f t="shared" si="11"/>
        <v>#VALUE!</v>
      </c>
      <c r="AE46" s="632" t="s">
        <v>118</v>
      </c>
      <c r="AF46" s="632"/>
      <c r="AG46" s="632"/>
      <c r="AH46" s="632"/>
      <c r="AI46" s="632" t="s">
        <v>120</v>
      </c>
      <c r="AJ46" s="639">
        <f t="shared" ref="AJ46:AJ58" si="14">O46</f>
        <v>1</v>
      </c>
      <c r="AK46" s="632" t="s">
        <v>120</v>
      </c>
      <c r="AL46" s="632"/>
      <c r="AM46" s="632"/>
      <c r="AN46" s="632"/>
      <c r="AO46" s="632"/>
    </row>
    <row r="47" customHeight="1" spans="1:41">
      <c r="A47" s="632" t="s">
        <v>220</v>
      </c>
      <c r="B47" s="632" t="s">
        <v>221</v>
      </c>
      <c r="C47" s="632"/>
      <c r="D47" s="632"/>
      <c r="E47" s="632" t="s">
        <v>114</v>
      </c>
      <c r="F47" s="632"/>
      <c r="G47" s="632" t="s">
        <v>115</v>
      </c>
      <c r="H47" s="633">
        <v>1</v>
      </c>
      <c r="I47" s="633">
        <v>0.9</v>
      </c>
      <c r="J47" s="633">
        <v>1.2</v>
      </c>
      <c r="K47" s="633">
        <v>1</v>
      </c>
      <c r="L47" s="633">
        <v>1.2</v>
      </c>
      <c r="M47" s="632"/>
      <c r="N47" s="632" t="s">
        <v>182</v>
      </c>
      <c r="O47" s="632">
        <v>1</v>
      </c>
      <c r="P47" s="636">
        <v>150</v>
      </c>
      <c r="Q47" s="636" t="s">
        <v>117</v>
      </c>
      <c r="R47" s="636" t="s">
        <v>117</v>
      </c>
      <c r="S47" s="638">
        <f t="shared" si="0"/>
        <v>150</v>
      </c>
      <c r="T47" s="638" t="e">
        <f t="shared" si="1"/>
        <v>#VALUE!</v>
      </c>
      <c r="U47" s="638" t="e">
        <f t="shared" si="2"/>
        <v>#VALUE!</v>
      </c>
      <c r="V47" s="638">
        <f t="shared" si="3"/>
        <v>166.666666666667</v>
      </c>
      <c r="W47" s="638" t="e">
        <f t="shared" si="4"/>
        <v>#VALUE!</v>
      </c>
      <c r="X47" s="638" t="e">
        <f t="shared" si="5"/>
        <v>#VALUE!</v>
      </c>
      <c r="Y47" s="638">
        <f t="shared" si="6"/>
        <v>125</v>
      </c>
      <c r="Z47" s="638" t="e">
        <f t="shared" si="7"/>
        <v>#VALUE!</v>
      </c>
      <c r="AA47" s="638" t="e">
        <f t="shared" si="8"/>
        <v>#VALUE!</v>
      </c>
      <c r="AB47" s="638">
        <f t="shared" si="9"/>
        <v>150</v>
      </c>
      <c r="AC47" s="638" t="e">
        <f t="shared" si="10"/>
        <v>#VALUE!</v>
      </c>
      <c r="AD47" s="638" t="e">
        <f t="shared" si="11"/>
        <v>#VALUE!</v>
      </c>
      <c r="AE47" s="632" t="s">
        <v>118</v>
      </c>
      <c r="AF47" s="636" t="s">
        <v>117</v>
      </c>
      <c r="AG47" s="632"/>
      <c r="AH47" s="632"/>
      <c r="AI47" s="632" t="s">
        <v>120</v>
      </c>
      <c r="AJ47" s="639">
        <f t="shared" si="14"/>
        <v>1</v>
      </c>
      <c r="AK47" s="632" t="s">
        <v>120</v>
      </c>
      <c r="AL47" s="632" t="s">
        <v>120</v>
      </c>
      <c r="AM47" s="632" t="s">
        <v>120</v>
      </c>
      <c r="AN47" s="632" t="s">
        <v>120</v>
      </c>
      <c r="AO47" s="632" t="s">
        <v>120</v>
      </c>
    </row>
    <row r="48" customHeight="1" spans="1:41">
      <c r="A48" s="632" t="s">
        <v>222</v>
      </c>
      <c r="B48" s="632" t="s">
        <v>222</v>
      </c>
      <c r="C48" s="632"/>
      <c r="D48" s="632"/>
      <c r="E48" s="632" t="s">
        <v>114</v>
      </c>
      <c r="F48" s="632"/>
      <c r="G48" s="632" t="s">
        <v>115</v>
      </c>
      <c r="H48" s="633">
        <v>1</v>
      </c>
      <c r="I48" s="633">
        <v>0.9</v>
      </c>
      <c r="J48" s="633">
        <v>1.2</v>
      </c>
      <c r="K48" s="633">
        <v>1</v>
      </c>
      <c r="L48" s="633">
        <v>1.19999999999999</v>
      </c>
      <c r="M48" s="632"/>
      <c r="N48" s="632" t="s">
        <v>182</v>
      </c>
      <c r="O48" s="632" t="s">
        <v>119</v>
      </c>
      <c r="P48" s="636" t="e">
        <v>#REF!</v>
      </c>
      <c r="Q48" s="636"/>
      <c r="R48" s="636"/>
      <c r="S48" s="638" t="e">
        <f t="shared" si="0"/>
        <v>#REF!</v>
      </c>
      <c r="T48" s="638">
        <f t="shared" si="1"/>
        <v>0</v>
      </c>
      <c r="U48" s="638">
        <f t="shared" si="2"/>
        <v>0</v>
      </c>
      <c r="V48" s="638" t="e">
        <f t="shared" si="3"/>
        <v>#REF!</v>
      </c>
      <c r="W48" s="638">
        <f t="shared" si="4"/>
        <v>0</v>
      </c>
      <c r="X48" s="638">
        <f t="shared" si="5"/>
        <v>0</v>
      </c>
      <c r="Y48" s="638" t="e">
        <f t="shared" si="6"/>
        <v>#REF!</v>
      </c>
      <c r="Z48" s="638">
        <f t="shared" si="7"/>
        <v>0</v>
      </c>
      <c r="AA48" s="638">
        <f t="shared" si="8"/>
        <v>0</v>
      </c>
      <c r="AB48" s="638" t="e">
        <f t="shared" si="9"/>
        <v>#REF!</v>
      </c>
      <c r="AC48" s="638">
        <f t="shared" si="10"/>
        <v>0</v>
      </c>
      <c r="AD48" s="638">
        <f t="shared" si="11"/>
        <v>0</v>
      </c>
      <c r="AE48" s="632" t="s">
        <v>118</v>
      </c>
      <c r="AF48" s="636" t="s">
        <v>117</v>
      </c>
      <c r="AG48" s="632"/>
      <c r="AH48" s="632"/>
      <c r="AI48" s="632" t="s">
        <v>120</v>
      </c>
      <c r="AJ48" s="639" t="str">
        <f t="shared" si="14"/>
        <v>n/a</v>
      </c>
      <c r="AK48" s="632" t="s">
        <v>120</v>
      </c>
      <c r="AL48" s="632"/>
      <c r="AM48" s="632"/>
      <c r="AN48" s="632"/>
      <c r="AO48" s="632"/>
    </row>
    <row r="49" customHeight="1" spans="1:41">
      <c r="A49" s="632" t="s">
        <v>223</v>
      </c>
      <c r="B49" s="632" t="s">
        <v>223</v>
      </c>
      <c r="C49" s="632"/>
      <c r="D49" s="632"/>
      <c r="E49" s="632" t="s">
        <v>114</v>
      </c>
      <c r="F49" s="632"/>
      <c r="G49" s="632" t="s">
        <v>115</v>
      </c>
      <c r="H49" s="633">
        <v>1</v>
      </c>
      <c r="I49" s="633">
        <v>0.9</v>
      </c>
      <c r="J49" s="633">
        <v>1.2</v>
      </c>
      <c r="K49" s="633">
        <v>1</v>
      </c>
      <c r="L49" s="633">
        <v>1.19999999999999</v>
      </c>
      <c r="M49" s="632"/>
      <c r="N49" s="632" t="s">
        <v>182</v>
      </c>
      <c r="O49" s="632" t="s">
        <v>119</v>
      </c>
      <c r="P49" s="636" t="e">
        <v>#REF!</v>
      </c>
      <c r="Q49" s="636"/>
      <c r="R49" s="636"/>
      <c r="S49" s="638" t="e">
        <f t="shared" si="0"/>
        <v>#REF!</v>
      </c>
      <c r="T49" s="638">
        <f t="shared" si="1"/>
        <v>0</v>
      </c>
      <c r="U49" s="638">
        <f t="shared" si="2"/>
        <v>0</v>
      </c>
      <c r="V49" s="638" t="e">
        <f t="shared" si="3"/>
        <v>#REF!</v>
      </c>
      <c r="W49" s="638">
        <f t="shared" si="4"/>
        <v>0</v>
      </c>
      <c r="X49" s="638">
        <f t="shared" si="5"/>
        <v>0</v>
      </c>
      <c r="Y49" s="638" t="e">
        <f t="shared" si="6"/>
        <v>#REF!</v>
      </c>
      <c r="Z49" s="638">
        <f t="shared" si="7"/>
        <v>0</v>
      </c>
      <c r="AA49" s="638">
        <f t="shared" si="8"/>
        <v>0</v>
      </c>
      <c r="AB49" s="638" t="e">
        <f t="shared" si="9"/>
        <v>#REF!</v>
      </c>
      <c r="AC49" s="638">
        <f t="shared" si="10"/>
        <v>0</v>
      </c>
      <c r="AD49" s="638">
        <f t="shared" si="11"/>
        <v>0</v>
      </c>
      <c r="AE49" s="632" t="s">
        <v>118</v>
      </c>
      <c r="AF49" s="636" t="s">
        <v>117</v>
      </c>
      <c r="AG49" s="632"/>
      <c r="AH49" s="632"/>
      <c r="AI49" s="632" t="s">
        <v>120</v>
      </c>
      <c r="AJ49" s="639" t="str">
        <f t="shared" si="14"/>
        <v>n/a</v>
      </c>
      <c r="AK49" s="632" t="s">
        <v>120</v>
      </c>
      <c r="AL49" s="632"/>
      <c r="AM49" s="632"/>
      <c r="AN49" s="632"/>
      <c r="AO49" s="632"/>
    </row>
    <row r="50" customHeight="1" spans="1:41">
      <c r="A50" s="632" t="s">
        <v>224</v>
      </c>
      <c r="B50" s="632"/>
      <c r="C50" s="632"/>
      <c r="D50" s="632"/>
      <c r="E50" s="632"/>
      <c r="F50" s="632"/>
      <c r="G50" s="632"/>
      <c r="H50" s="633">
        <v>1</v>
      </c>
      <c r="I50" s="633">
        <v>0.9</v>
      </c>
      <c r="J50" s="633">
        <v>1.2</v>
      </c>
      <c r="K50" s="633">
        <v>1</v>
      </c>
      <c r="L50" s="633">
        <v>1.19999999999997</v>
      </c>
      <c r="M50" s="632" t="s">
        <v>157</v>
      </c>
      <c r="N50" s="632" t="s">
        <v>182</v>
      </c>
      <c r="O50" s="632">
        <v>1</v>
      </c>
      <c r="P50" s="636">
        <v>450</v>
      </c>
      <c r="Q50" s="636" t="s">
        <v>117</v>
      </c>
      <c r="R50" s="636" t="s">
        <v>117</v>
      </c>
      <c r="S50" s="638">
        <f t="shared" si="0"/>
        <v>450</v>
      </c>
      <c r="T50" s="638" t="e">
        <f t="shared" si="1"/>
        <v>#VALUE!</v>
      </c>
      <c r="U50" s="638" t="e">
        <f t="shared" si="2"/>
        <v>#VALUE!</v>
      </c>
      <c r="V50" s="638">
        <f t="shared" si="3"/>
        <v>500</v>
      </c>
      <c r="W50" s="638" t="e">
        <f t="shared" si="4"/>
        <v>#VALUE!</v>
      </c>
      <c r="X50" s="638" t="e">
        <f t="shared" si="5"/>
        <v>#VALUE!</v>
      </c>
      <c r="Y50" s="638">
        <f t="shared" si="6"/>
        <v>375</v>
      </c>
      <c r="Z50" s="638" t="e">
        <f t="shared" si="7"/>
        <v>#VALUE!</v>
      </c>
      <c r="AA50" s="638" t="e">
        <f t="shared" si="8"/>
        <v>#VALUE!</v>
      </c>
      <c r="AB50" s="638">
        <f t="shared" si="9"/>
        <v>450</v>
      </c>
      <c r="AC50" s="638" t="e">
        <f t="shared" si="10"/>
        <v>#VALUE!</v>
      </c>
      <c r="AD50" s="638" t="e">
        <f t="shared" si="11"/>
        <v>#VALUE!</v>
      </c>
      <c r="AE50" s="632" t="s">
        <v>118</v>
      </c>
      <c r="AF50" s="632"/>
      <c r="AG50" s="632"/>
      <c r="AH50" s="632"/>
      <c r="AI50" s="632" t="s">
        <v>120</v>
      </c>
      <c r="AJ50" s="639">
        <f t="shared" si="14"/>
        <v>1</v>
      </c>
      <c r="AK50" s="632" t="s">
        <v>120</v>
      </c>
      <c r="AL50" s="632"/>
      <c r="AM50" s="632"/>
      <c r="AN50" s="632"/>
      <c r="AO50" s="632"/>
    </row>
    <row r="51" customHeight="1" spans="1:41">
      <c r="A51" s="632" t="s">
        <v>225</v>
      </c>
      <c r="B51" s="632" t="s">
        <v>161</v>
      </c>
      <c r="C51" s="632"/>
      <c r="D51" s="632"/>
      <c r="E51" s="632" t="s">
        <v>139</v>
      </c>
      <c r="F51" s="632"/>
      <c r="G51" s="632" t="s">
        <v>115</v>
      </c>
      <c r="H51" s="633">
        <v>1</v>
      </c>
      <c r="I51" s="633">
        <v>0.9</v>
      </c>
      <c r="J51" s="633">
        <v>1.2</v>
      </c>
      <c r="K51" s="633">
        <v>1</v>
      </c>
      <c r="L51" s="633">
        <v>1.2</v>
      </c>
      <c r="M51" s="632" t="s">
        <v>226</v>
      </c>
      <c r="N51" s="632" t="s">
        <v>227</v>
      </c>
      <c r="O51" s="632">
        <v>2</v>
      </c>
      <c r="P51" s="637"/>
      <c r="Q51" s="636"/>
      <c r="R51" s="636"/>
      <c r="S51" s="638">
        <f t="shared" si="0"/>
        <v>0</v>
      </c>
      <c r="T51" s="638">
        <f t="shared" si="1"/>
        <v>0</v>
      </c>
      <c r="U51" s="638">
        <f t="shared" si="2"/>
        <v>0</v>
      </c>
      <c r="V51" s="638">
        <f t="shared" si="3"/>
        <v>0</v>
      </c>
      <c r="W51" s="638">
        <f t="shared" si="4"/>
        <v>0</v>
      </c>
      <c r="X51" s="638">
        <f t="shared" si="5"/>
        <v>0</v>
      </c>
      <c r="Y51" s="638">
        <f t="shared" si="6"/>
        <v>0</v>
      </c>
      <c r="Z51" s="638">
        <f t="shared" si="7"/>
        <v>0</v>
      </c>
      <c r="AA51" s="638">
        <f t="shared" si="8"/>
        <v>0</v>
      </c>
      <c r="AB51" s="638">
        <f t="shared" si="9"/>
        <v>0</v>
      </c>
      <c r="AC51" s="638">
        <f t="shared" si="10"/>
        <v>0</v>
      </c>
      <c r="AD51" s="638">
        <f t="shared" si="11"/>
        <v>0</v>
      </c>
      <c r="AE51" s="632" t="s">
        <v>159</v>
      </c>
      <c r="AF51" s="632"/>
      <c r="AG51" s="632"/>
      <c r="AH51" s="632"/>
      <c r="AI51" s="632" t="s">
        <v>120</v>
      </c>
      <c r="AJ51" s="639">
        <f t="shared" si="14"/>
        <v>2</v>
      </c>
      <c r="AK51" s="632" t="s">
        <v>120</v>
      </c>
      <c r="AL51" s="632" t="s">
        <v>120</v>
      </c>
      <c r="AM51" s="632" t="s">
        <v>120</v>
      </c>
      <c r="AN51" s="632" t="s">
        <v>120</v>
      </c>
      <c r="AO51" s="632" t="s">
        <v>120</v>
      </c>
    </row>
    <row r="52" customHeight="1" spans="1:41">
      <c r="A52" s="632" t="s">
        <v>228</v>
      </c>
      <c r="B52" s="632" t="s">
        <v>163</v>
      </c>
      <c r="C52" s="632"/>
      <c r="D52" s="632"/>
      <c r="E52" s="632" t="s">
        <v>139</v>
      </c>
      <c r="F52" s="632"/>
      <c r="G52" s="632" t="s">
        <v>115</v>
      </c>
      <c r="H52" s="633">
        <v>1</v>
      </c>
      <c r="I52" s="633">
        <v>0.9</v>
      </c>
      <c r="J52" s="633">
        <v>1.2</v>
      </c>
      <c r="K52" s="633">
        <v>1</v>
      </c>
      <c r="L52" s="633">
        <v>1.2</v>
      </c>
      <c r="M52" s="632" t="s">
        <v>226</v>
      </c>
      <c r="N52" s="632" t="s">
        <v>227</v>
      </c>
      <c r="O52" s="632">
        <v>2</v>
      </c>
      <c r="P52" s="636"/>
      <c r="Q52" s="636"/>
      <c r="R52" s="636"/>
      <c r="S52" s="638">
        <f t="shared" si="0"/>
        <v>0</v>
      </c>
      <c r="T52" s="638">
        <f t="shared" si="1"/>
        <v>0</v>
      </c>
      <c r="U52" s="638">
        <f t="shared" si="2"/>
        <v>0</v>
      </c>
      <c r="V52" s="638">
        <f t="shared" si="3"/>
        <v>0</v>
      </c>
      <c r="W52" s="638">
        <f t="shared" si="4"/>
        <v>0</v>
      </c>
      <c r="X52" s="638">
        <f t="shared" si="5"/>
        <v>0</v>
      </c>
      <c r="Y52" s="638">
        <f t="shared" si="6"/>
        <v>0</v>
      </c>
      <c r="Z52" s="638">
        <f t="shared" si="7"/>
        <v>0</v>
      </c>
      <c r="AA52" s="638">
        <f t="shared" si="8"/>
        <v>0</v>
      </c>
      <c r="AB52" s="638">
        <f t="shared" si="9"/>
        <v>0</v>
      </c>
      <c r="AC52" s="638">
        <f t="shared" si="10"/>
        <v>0</v>
      </c>
      <c r="AD52" s="638">
        <f t="shared" si="11"/>
        <v>0</v>
      </c>
      <c r="AE52" s="632" t="s">
        <v>159</v>
      </c>
      <c r="AF52" s="632"/>
      <c r="AG52" s="632"/>
      <c r="AH52" s="632"/>
      <c r="AI52" s="632" t="s">
        <v>120</v>
      </c>
      <c r="AJ52" s="639">
        <f t="shared" si="14"/>
        <v>2</v>
      </c>
      <c r="AK52" s="632" t="s">
        <v>120</v>
      </c>
      <c r="AL52" s="632" t="s">
        <v>120</v>
      </c>
      <c r="AM52" s="632" t="s">
        <v>120</v>
      </c>
      <c r="AN52" s="632" t="s">
        <v>120</v>
      </c>
      <c r="AO52" s="632" t="s">
        <v>120</v>
      </c>
    </row>
    <row r="53" customHeight="1" spans="1:41">
      <c r="A53" s="632" t="s">
        <v>229</v>
      </c>
      <c r="B53" s="632" t="s">
        <v>161</v>
      </c>
      <c r="C53" s="632"/>
      <c r="D53" s="632"/>
      <c r="E53" s="632" t="s">
        <v>139</v>
      </c>
      <c r="F53" s="632"/>
      <c r="G53" s="632" t="s">
        <v>115</v>
      </c>
      <c r="H53" s="633">
        <v>1</v>
      </c>
      <c r="I53" s="633">
        <v>0.9</v>
      </c>
      <c r="J53" s="633">
        <v>1.2</v>
      </c>
      <c r="K53" s="633">
        <v>1</v>
      </c>
      <c r="L53" s="633">
        <v>1.2</v>
      </c>
      <c r="M53" s="632" t="s">
        <v>226</v>
      </c>
      <c r="N53" s="632" t="s">
        <v>227</v>
      </c>
      <c r="O53" s="632">
        <v>2</v>
      </c>
      <c r="P53" s="636"/>
      <c r="Q53" s="636"/>
      <c r="R53" s="636"/>
      <c r="S53" s="638">
        <f t="shared" si="0"/>
        <v>0</v>
      </c>
      <c r="T53" s="638">
        <f t="shared" si="1"/>
        <v>0</v>
      </c>
      <c r="U53" s="638">
        <f t="shared" si="2"/>
        <v>0</v>
      </c>
      <c r="V53" s="638">
        <f t="shared" si="3"/>
        <v>0</v>
      </c>
      <c r="W53" s="638">
        <f t="shared" si="4"/>
        <v>0</v>
      </c>
      <c r="X53" s="638">
        <f t="shared" si="5"/>
        <v>0</v>
      </c>
      <c r="Y53" s="638">
        <f t="shared" si="6"/>
        <v>0</v>
      </c>
      <c r="Z53" s="638">
        <f t="shared" si="7"/>
        <v>0</v>
      </c>
      <c r="AA53" s="638">
        <f t="shared" si="8"/>
        <v>0</v>
      </c>
      <c r="AB53" s="638">
        <f t="shared" si="9"/>
        <v>0</v>
      </c>
      <c r="AC53" s="638">
        <f t="shared" si="10"/>
        <v>0</v>
      </c>
      <c r="AD53" s="638">
        <f t="shared" si="11"/>
        <v>0</v>
      </c>
      <c r="AE53" s="632" t="s">
        <v>159</v>
      </c>
      <c r="AF53" s="632"/>
      <c r="AG53" s="632"/>
      <c r="AH53" s="632"/>
      <c r="AI53" s="632" t="s">
        <v>120</v>
      </c>
      <c r="AJ53" s="639">
        <f t="shared" si="14"/>
        <v>2</v>
      </c>
      <c r="AK53" s="632" t="s">
        <v>120</v>
      </c>
      <c r="AL53" s="632" t="s">
        <v>120</v>
      </c>
      <c r="AM53" s="632" t="s">
        <v>120</v>
      </c>
      <c r="AN53" s="632" t="s">
        <v>120</v>
      </c>
      <c r="AO53" s="632" t="s">
        <v>120</v>
      </c>
    </row>
    <row r="54" customHeight="1" spans="1:41">
      <c r="A54" s="632" t="s">
        <v>230</v>
      </c>
      <c r="B54" s="632" t="s">
        <v>163</v>
      </c>
      <c r="C54" s="632"/>
      <c r="D54" s="632"/>
      <c r="E54" s="632" t="s">
        <v>139</v>
      </c>
      <c r="F54" s="632"/>
      <c r="G54" s="632" t="s">
        <v>115</v>
      </c>
      <c r="H54" s="633">
        <v>1</v>
      </c>
      <c r="I54" s="633">
        <v>0.9</v>
      </c>
      <c r="J54" s="633">
        <v>1.2</v>
      </c>
      <c r="K54" s="633">
        <v>1</v>
      </c>
      <c r="L54" s="633">
        <v>1.2</v>
      </c>
      <c r="M54" s="632" t="s">
        <v>226</v>
      </c>
      <c r="N54" s="632" t="s">
        <v>227</v>
      </c>
      <c r="O54" s="632">
        <v>2</v>
      </c>
      <c r="P54" s="636"/>
      <c r="Q54" s="636"/>
      <c r="R54" s="636"/>
      <c r="S54" s="638">
        <f t="shared" si="0"/>
        <v>0</v>
      </c>
      <c r="T54" s="638">
        <f t="shared" si="1"/>
        <v>0</v>
      </c>
      <c r="U54" s="638">
        <f t="shared" si="2"/>
        <v>0</v>
      </c>
      <c r="V54" s="638">
        <f t="shared" si="3"/>
        <v>0</v>
      </c>
      <c r="W54" s="638">
        <f t="shared" si="4"/>
        <v>0</v>
      </c>
      <c r="X54" s="638">
        <f t="shared" si="5"/>
        <v>0</v>
      </c>
      <c r="Y54" s="638">
        <f t="shared" si="6"/>
        <v>0</v>
      </c>
      <c r="Z54" s="638">
        <f t="shared" si="7"/>
        <v>0</v>
      </c>
      <c r="AA54" s="638">
        <f t="shared" si="8"/>
        <v>0</v>
      </c>
      <c r="AB54" s="638">
        <f t="shared" si="9"/>
        <v>0</v>
      </c>
      <c r="AC54" s="638">
        <f t="shared" si="10"/>
        <v>0</v>
      </c>
      <c r="AD54" s="638">
        <f t="shared" si="11"/>
        <v>0</v>
      </c>
      <c r="AE54" s="632" t="s">
        <v>159</v>
      </c>
      <c r="AF54" s="632"/>
      <c r="AG54" s="632"/>
      <c r="AH54" s="632"/>
      <c r="AI54" s="632" t="s">
        <v>120</v>
      </c>
      <c r="AJ54" s="639">
        <f t="shared" si="14"/>
        <v>2</v>
      </c>
      <c r="AK54" s="632" t="s">
        <v>120</v>
      </c>
      <c r="AL54" s="632" t="s">
        <v>120</v>
      </c>
      <c r="AM54" s="632" t="s">
        <v>120</v>
      </c>
      <c r="AN54" s="632" t="s">
        <v>120</v>
      </c>
      <c r="AO54" s="632" t="s">
        <v>120</v>
      </c>
    </row>
    <row r="55" customHeight="1" spans="1:41">
      <c r="A55" s="632" t="s">
        <v>231</v>
      </c>
      <c r="B55" s="632" t="s">
        <v>161</v>
      </c>
      <c r="C55" s="632"/>
      <c r="D55" s="632"/>
      <c r="E55" s="632" t="s">
        <v>139</v>
      </c>
      <c r="F55" s="632"/>
      <c r="G55" s="632" t="s">
        <v>115</v>
      </c>
      <c r="H55" s="633">
        <v>1</v>
      </c>
      <c r="I55" s="633">
        <v>0.9</v>
      </c>
      <c r="J55" s="633">
        <v>1.2</v>
      </c>
      <c r="K55" s="633">
        <v>1</v>
      </c>
      <c r="L55" s="633">
        <v>1.2</v>
      </c>
      <c r="M55" s="632" t="s">
        <v>226</v>
      </c>
      <c r="N55" s="632" t="s">
        <v>227</v>
      </c>
      <c r="O55" s="632">
        <v>2</v>
      </c>
      <c r="P55" s="636"/>
      <c r="Q55" s="636"/>
      <c r="R55" s="636"/>
      <c r="S55" s="638">
        <f t="shared" si="0"/>
        <v>0</v>
      </c>
      <c r="T55" s="638">
        <f t="shared" si="1"/>
        <v>0</v>
      </c>
      <c r="U55" s="638">
        <f t="shared" si="2"/>
        <v>0</v>
      </c>
      <c r="V55" s="638">
        <f t="shared" si="3"/>
        <v>0</v>
      </c>
      <c r="W55" s="638">
        <f t="shared" si="4"/>
        <v>0</v>
      </c>
      <c r="X55" s="638">
        <f t="shared" si="5"/>
        <v>0</v>
      </c>
      <c r="Y55" s="638">
        <f t="shared" si="6"/>
        <v>0</v>
      </c>
      <c r="Z55" s="638">
        <f t="shared" si="7"/>
        <v>0</v>
      </c>
      <c r="AA55" s="638">
        <f t="shared" si="8"/>
        <v>0</v>
      </c>
      <c r="AB55" s="638">
        <f t="shared" si="9"/>
        <v>0</v>
      </c>
      <c r="AC55" s="638">
        <f t="shared" si="10"/>
        <v>0</v>
      </c>
      <c r="AD55" s="638">
        <f t="shared" si="11"/>
        <v>0</v>
      </c>
      <c r="AE55" s="632" t="s">
        <v>159</v>
      </c>
      <c r="AF55" s="632"/>
      <c r="AG55" s="632"/>
      <c r="AH55" s="632"/>
      <c r="AI55" s="632" t="s">
        <v>120</v>
      </c>
      <c r="AJ55" s="639">
        <f t="shared" si="14"/>
        <v>2</v>
      </c>
      <c r="AK55" s="632" t="s">
        <v>120</v>
      </c>
      <c r="AL55" s="632" t="s">
        <v>120</v>
      </c>
      <c r="AM55" s="632" t="s">
        <v>120</v>
      </c>
      <c r="AN55" s="632" t="s">
        <v>120</v>
      </c>
      <c r="AO55" s="632" t="s">
        <v>120</v>
      </c>
    </row>
    <row r="56" customHeight="1" spans="1:41">
      <c r="A56" s="632" t="s">
        <v>232</v>
      </c>
      <c r="B56" s="632" t="s">
        <v>163</v>
      </c>
      <c r="C56" s="632"/>
      <c r="D56" s="632"/>
      <c r="E56" s="632" t="s">
        <v>139</v>
      </c>
      <c r="F56" s="632"/>
      <c r="G56" s="632" t="s">
        <v>115</v>
      </c>
      <c r="H56" s="633">
        <v>1</v>
      </c>
      <c r="I56" s="633">
        <v>0.9</v>
      </c>
      <c r="J56" s="633">
        <v>1.2</v>
      </c>
      <c r="K56" s="633">
        <v>1</v>
      </c>
      <c r="L56" s="633">
        <v>1.2</v>
      </c>
      <c r="M56" s="632" t="s">
        <v>226</v>
      </c>
      <c r="N56" s="632" t="s">
        <v>227</v>
      </c>
      <c r="O56" s="632">
        <v>2</v>
      </c>
      <c r="P56" s="636"/>
      <c r="Q56" s="636"/>
      <c r="R56" s="636"/>
      <c r="S56" s="638">
        <f t="shared" si="0"/>
        <v>0</v>
      </c>
      <c r="T56" s="638">
        <f t="shared" si="1"/>
        <v>0</v>
      </c>
      <c r="U56" s="638">
        <f t="shared" si="2"/>
        <v>0</v>
      </c>
      <c r="V56" s="638">
        <f t="shared" si="3"/>
        <v>0</v>
      </c>
      <c r="W56" s="638">
        <f t="shared" si="4"/>
        <v>0</v>
      </c>
      <c r="X56" s="638">
        <f t="shared" si="5"/>
        <v>0</v>
      </c>
      <c r="Y56" s="638">
        <f t="shared" si="6"/>
        <v>0</v>
      </c>
      <c r="Z56" s="638">
        <f t="shared" si="7"/>
        <v>0</v>
      </c>
      <c r="AA56" s="638">
        <f t="shared" si="8"/>
        <v>0</v>
      </c>
      <c r="AB56" s="638">
        <f t="shared" si="9"/>
        <v>0</v>
      </c>
      <c r="AC56" s="638">
        <f t="shared" si="10"/>
        <v>0</v>
      </c>
      <c r="AD56" s="638">
        <f t="shared" si="11"/>
        <v>0</v>
      </c>
      <c r="AE56" s="632" t="s">
        <v>159</v>
      </c>
      <c r="AF56" s="632"/>
      <c r="AG56" s="632"/>
      <c r="AH56" s="632"/>
      <c r="AI56" s="632" t="s">
        <v>120</v>
      </c>
      <c r="AJ56" s="639">
        <f t="shared" si="14"/>
        <v>2</v>
      </c>
      <c r="AK56" s="632" t="s">
        <v>120</v>
      </c>
      <c r="AL56" s="632" t="s">
        <v>120</v>
      </c>
      <c r="AM56" s="632" t="s">
        <v>120</v>
      </c>
      <c r="AN56" s="632" t="s">
        <v>120</v>
      </c>
      <c r="AO56" s="632" t="s">
        <v>120</v>
      </c>
    </row>
    <row r="57" customHeight="1" spans="1:41">
      <c r="A57" s="632" t="s">
        <v>233</v>
      </c>
      <c r="B57" s="632" t="s">
        <v>161</v>
      </c>
      <c r="C57" s="632"/>
      <c r="D57" s="632"/>
      <c r="E57" s="632" t="s">
        <v>139</v>
      </c>
      <c r="F57" s="632"/>
      <c r="G57" s="632" t="s">
        <v>115</v>
      </c>
      <c r="H57" s="633">
        <v>1</v>
      </c>
      <c r="I57" s="633">
        <v>0.9</v>
      </c>
      <c r="J57" s="633">
        <v>1.2</v>
      </c>
      <c r="K57" s="633">
        <v>1</v>
      </c>
      <c r="L57" s="633">
        <v>1.2</v>
      </c>
      <c r="M57" s="632" t="s">
        <v>226</v>
      </c>
      <c r="N57" s="632" t="s">
        <v>227</v>
      </c>
      <c r="O57" s="632">
        <v>2</v>
      </c>
      <c r="P57" s="636"/>
      <c r="Q57" s="636"/>
      <c r="R57" s="636"/>
      <c r="S57" s="638">
        <f t="shared" si="0"/>
        <v>0</v>
      </c>
      <c r="T57" s="638">
        <f t="shared" si="1"/>
        <v>0</v>
      </c>
      <c r="U57" s="638">
        <f t="shared" si="2"/>
        <v>0</v>
      </c>
      <c r="V57" s="638">
        <f t="shared" si="3"/>
        <v>0</v>
      </c>
      <c r="W57" s="638">
        <f t="shared" si="4"/>
        <v>0</v>
      </c>
      <c r="X57" s="638">
        <f t="shared" si="5"/>
        <v>0</v>
      </c>
      <c r="Y57" s="638">
        <f t="shared" si="6"/>
        <v>0</v>
      </c>
      <c r="Z57" s="638">
        <f t="shared" si="7"/>
        <v>0</v>
      </c>
      <c r="AA57" s="638">
        <f t="shared" si="8"/>
        <v>0</v>
      </c>
      <c r="AB57" s="638">
        <f t="shared" si="9"/>
        <v>0</v>
      </c>
      <c r="AC57" s="638">
        <f t="shared" si="10"/>
        <v>0</v>
      </c>
      <c r="AD57" s="638">
        <f t="shared" si="11"/>
        <v>0</v>
      </c>
      <c r="AE57" s="632" t="s">
        <v>159</v>
      </c>
      <c r="AF57" s="632"/>
      <c r="AG57" s="632"/>
      <c r="AH57" s="632"/>
      <c r="AI57" s="632" t="s">
        <v>120</v>
      </c>
      <c r="AJ57" s="639">
        <f t="shared" si="14"/>
        <v>2</v>
      </c>
      <c r="AK57" s="632" t="s">
        <v>120</v>
      </c>
      <c r="AL57" s="632" t="s">
        <v>120</v>
      </c>
      <c r="AM57" s="632" t="s">
        <v>120</v>
      </c>
      <c r="AN57" s="632" t="s">
        <v>120</v>
      </c>
      <c r="AO57" s="632" t="s">
        <v>120</v>
      </c>
    </row>
    <row r="58" customHeight="1" spans="1:41">
      <c r="A58" s="632" t="s">
        <v>234</v>
      </c>
      <c r="B58" s="632" t="s">
        <v>163</v>
      </c>
      <c r="C58" s="632"/>
      <c r="D58" s="632"/>
      <c r="E58" s="632" t="s">
        <v>139</v>
      </c>
      <c r="F58" s="632"/>
      <c r="G58" s="632" t="s">
        <v>115</v>
      </c>
      <c r="H58" s="633">
        <v>1</v>
      </c>
      <c r="I58" s="633">
        <v>0.9</v>
      </c>
      <c r="J58" s="633">
        <v>1.2</v>
      </c>
      <c r="K58" s="633">
        <v>1</v>
      </c>
      <c r="L58" s="633">
        <v>1.2</v>
      </c>
      <c r="M58" s="632" t="s">
        <v>226</v>
      </c>
      <c r="N58" s="632" t="s">
        <v>227</v>
      </c>
      <c r="O58" s="632">
        <v>2</v>
      </c>
      <c r="P58" s="636"/>
      <c r="Q58" s="636"/>
      <c r="R58" s="636"/>
      <c r="S58" s="638">
        <f t="shared" si="0"/>
        <v>0</v>
      </c>
      <c r="T58" s="638">
        <f t="shared" si="1"/>
        <v>0</v>
      </c>
      <c r="U58" s="638">
        <f t="shared" si="2"/>
        <v>0</v>
      </c>
      <c r="V58" s="638">
        <f t="shared" si="3"/>
        <v>0</v>
      </c>
      <c r="W58" s="638">
        <f t="shared" si="4"/>
        <v>0</v>
      </c>
      <c r="X58" s="638">
        <f t="shared" si="5"/>
        <v>0</v>
      </c>
      <c r="Y58" s="638">
        <f t="shared" si="6"/>
        <v>0</v>
      </c>
      <c r="Z58" s="638">
        <f t="shared" si="7"/>
        <v>0</v>
      </c>
      <c r="AA58" s="638">
        <f t="shared" si="8"/>
        <v>0</v>
      </c>
      <c r="AB58" s="638">
        <f t="shared" si="9"/>
        <v>0</v>
      </c>
      <c r="AC58" s="638">
        <f t="shared" si="10"/>
        <v>0</v>
      </c>
      <c r="AD58" s="638">
        <f t="shared" si="11"/>
        <v>0</v>
      </c>
      <c r="AE58" s="632" t="s">
        <v>159</v>
      </c>
      <c r="AF58" s="632"/>
      <c r="AG58" s="632"/>
      <c r="AH58" s="632"/>
      <c r="AI58" s="632" t="s">
        <v>120</v>
      </c>
      <c r="AJ58" s="639">
        <f t="shared" si="14"/>
        <v>2</v>
      </c>
      <c r="AK58" s="632" t="s">
        <v>120</v>
      </c>
      <c r="AL58" s="632" t="s">
        <v>120</v>
      </c>
      <c r="AM58" s="632" t="s">
        <v>120</v>
      </c>
      <c r="AN58" s="632" t="s">
        <v>120</v>
      </c>
      <c r="AO58" s="632" t="s">
        <v>120</v>
      </c>
    </row>
    <row r="59" customHeight="1" spans="1:41">
      <c r="A59" s="632" t="s">
        <v>235</v>
      </c>
      <c r="B59" s="632"/>
      <c r="C59" s="632"/>
      <c r="D59" s="632"/>
      <c r="E59" s="632" t="s">
        <v>217</v>
      </c>
      <c r="F59" s="632"/>
      <c r="G59" s="632" t="s">
        <v>115</v>
      </c>
      <c r="H59" s="633">
        <v>1</v>
      </c>
      <c r="I59" s="633">
        <v>0.9</v>
      </c>
      <c r="J59" s="633">
        <v>1.2</v>
      </c>
      <c r="K59" s="633">
        <v>1</v>
      </c>
      <c r="L59" s="633">
        <v>1.2</v>
      </c>
      <c r="M59" s="632"/>
      <c r="N59" s="632" t="s">
        <v>227</v>
      </c>
      <c r="O59" s="632"/>
      <c r="P59" s="636"/>
      <c r="Q59" s="636"/>
      <c r="R59" s="636"/>
      <c r="S59" s="638">
        <f t="shared" si="0"/>
        <v>0</v>
      </c>
      <c r="T59" s="638">
        <f t="shared" si="1"/>
        <v>0</v>
      </c>
      <c r="U59" s="638">
        <f t="shared" si="2"/>
        <v>0</v>
      </c>
      <c r="V59" s="638">
        <f t="shared" si="3"/>
        <v>0</v>
      </c>
      <c r="W59" s="638">
        <f t="shared" si="4"/>
        <v>0</v>
      </c>
      <c r="X59" s="638">
        <f t="shared" si="5"/>
        <v>0</v>
      </c>
      <c r="Y59" s="638">
        <f t="shared" si="6"/>
        <v>0</v>
      </c>
      <c r="Z59" s="638">
        <f t="shared" si="7"/>
        <v>0</v>
      </c>
      <c r="AA59" s="638">
        <f t="shared" si="8"/>
        <v>0</v>
      </c>
      <c r="AB59" s="638">
        <f t="shared" si="9"/>
        <v>0</v>
      </c>
      <c r="AC59" s="638">
        <f t="shared" si="10"/>
        <v>0</v>
      </c>
      <c r="AD59" s="638">
        <f t="shared" si="11"/>
        <v>0</v>
      </c>
      <c r="AE59" s="632" t="s">
        <v>159</v>
      </c>
      <c r="AF59" s="632"/>
      <c r="AG59" s="632"/>
      <c r="AH59" s="632"/>
      <c r="AI59" s="632"/>
      <c r="AJ59" s="639"/>
      <c r="AK59" s="632"/>
      <c r="AL59" s="632"/>
      <c r="AM59" s="632"/>
      <c r="AN59" s="632"/>
      <c r="AO59" s="632"/>
    </row>
    <row r="60" customHeight="1" spans="1:41">
      <c r="A60" s="632" t="s">
        <v>236</v>
      </c>
      <c r="B60" s="632" t="s">
        <v>236</v>
      </c>
      <c r="C60" s="632"/>
      <c r="D60" s="632"/>
      <c r="E60" s="632" t="s">
        <v>114</v>
      </c>
      <c r="F60" s="632"/>
      <c r="G60" s="632" t="s">
        <v>115</v>
      </c>
      <c r="H60" s="633">
        <v>1</v>
      </c>
      <c r="I60" s="633">
        <v>0.9</v>
      </c>
      <c r="J60" s="633">
        <v>1.2</v>
      </c>
      <c r="K60" s="633">
        <v>1</v>
      </c>
      <c r="L60" s="633">
        <v>1.19999999999999</v>
      </c>
      <c r="M60" s="632"/>
      <c r="N60" s="632" t="s">
        <v>227</v>
      </c>
      <c r="O60" s="632" t="s">
        <v>119</v>
      </c>
      <c r="P60" s="636"/>
      <c r="Q60" s="636"/>
      <c r="R60" s="636"/>
      <c r="S60" s="638">
        <f t="shared" si="0"/>
        <v>0</v>
      </c>
      <c r="T60" s="638">
        <f t="shared" si="1"/>
        <v>0</v>
      </c>
      <c r="U60" s="638">
        <f t="shared" si="2"/>
        <v>0</v>
      </c>
      <c r="V60" s="638">
        <f t="shared" si="3"/>
        <v>0</v>
      </c>
      <c r="W60" s="638">
        <f t="shared" si="4"/>
        <v>0</v>
      </c>
      <c r="X60" s="638">
        <f t="shared" si="5"/>
        <v>0</v>
      </c>
      <c r="Y60" s="638">
        <f t="shared" si="6"/>
        <v>0</v>
      </c>
      <c r="Z60" s="638">
        <f t="shared" si="7"/>
        <v>0</v>
      </c>
      <c r="AA60" s="638">
        <f t="shared" si="8"/>
        <v>0</v>
      </c>
      <c r="AB60" s="638">
        <f t="shared" si="9"/>
        <v>0</v>
      </c>
      <c r="AC60" s="638">
        <f t="shared" si="10"/>
        <v>0</v>
      </c>
      <c r="AD60" s="638">
        <f t="shared" si="11"/>
        <v>0</v>
      </c>
      <c r="AE60" s="632" t="s">
        <v>118</v>
      </c>
      <c r="AF60" s="636" t="s">
        <v>117</v>
      </c>
      <c r="AG60" s="632"/>
      <c r="AH60" s="632"/>
      <c r="AI60" s="632" t="s">
        <v>120</v>
      </c>
      <c r="AJ60" s="639" t="str">
        <f t="shared" ref="AJ60:AJ103" si="15">O60</f>
        <v>n/a</v>
      </c>
      <c r="AK60" s="632" t="s">
        <v>120</v>
      </c>
      <c r="AL60" s="632"/>
      <c r="AM60" s="632"/>
      <c r="AN60" s="632"/>
      <c r="AO60" s="632"/>
    </row>
    <row r="61" customHeight="1" spans="1:41">
      <c r="A61" s="632" t="s">
        <v>237</v>
      </c>
      <c r="B61" s="632" t="s">
        <v>237</v>
      </c>
      <c r="C61" s="632"/>
      <c r="D61" s="632"/>
      <c r="E61" s="632" t="s">
        <v>114</v>
      </c>
      <c r="F61" s="632"/>
      <c r="G61" s="632" t="s">
        <v>115</v>
      </c>
      <c r="H61" s="633">
        <v>1</v>
      </c>
      <c r="I61" s="633">
        <v>0.9</v>
      </c>
      <c r="J61" s="633">
        <v>1.2</v>
      </c>
      <c r="K61" s="633">
        <v>1</v>
      </c>
      <c r="L61" s="633">
        <v>1.19999999999999</v>
      </c>
      <c r="M61" s="632"/>
      <c r="N61" s="632" t="s">
        <v>227</v>
      </c>
      <c r="O61" s="632" t="s">
        <v>119</v>
      </c>
      <c r="P61" s="636"/>
      <c r="Q61" s="636"/>
      <c r="R61" s="636"/>
      <c r="S61" s="638">
        <f t="shared" si="0"/>
        <v>0</v>
      </c>
      <c r="T61" s="638">
        <f t="shared" si="1"/>
        <v>0</v>
      </c>
      <c r="U61" s="638">
        <f t="shared" si="2"/>
        <v>0</v>
      </c>
      <c r="V61" s="638">
        <f t="shared" si="3"/>
        <v>0</v>
      </c>
      <c r="W61" s="638">
        <f t="shared" si="4"/>
        <v>0</v>
      </c>
      <c r="X61" s="638">
        <f t="shared" si="5"/>
        <v>0</v>
      </c>
      <c r="Y61" s="638">
        <f t="shared" si="6"/>
        <v>0</v>
      </c>
      <c r="Z61" s="638">
        <f t="shared" si="7"/>
        <v>0</v>
      </c>
      <c r="AA61" s="638">
        <f t="shared" si="8"/>
        <v>0</v>
      </c>
      <c r="AB61" s="638">
        <f t="shared" si="9"/>
        <v>0</v>
      </c>
      <c r="AC61" s="638">
        <f t="shared" si="10"/>
        <v>0</v>
      </c>
      <c r="AD61" s="638">
        <f t="shared" si="11"/>
        <v>0</v>
      </c>
      <c r="AE61" s="632" t="s">
        <v>118</v>
      </c>
      <c r="AF61" s="636" t="s">
        <v>117</v>
      </c>
      <c r="AG61" s="632"/>
      <c r="AH61" s="632"/>
      <c r="AI61" s="632" t="s">
        <v>120</v>
      </c>
      <c r="AJ61" s="639" t="str">
        <f t="shared" si="15"/>
        <v>n/a</v>
      </c>
      <c r="AK61" s="632" t="s">
        <v>120</v>
      </c>
      <c r="AL61" s="632"/>
      <c r="AM61" s="632"/>
      <c r="AN61" s="632"/>
      <c r="AO61" s="632"/>
    </row>
    <row r="62" customHeight="1" spans="1:41">
      <c r="A62" s="632" t="s">
        <v>238</v>
      </c>
      <c r="B62" s="632" t="s">
        <v>238</v>
      </c>
      <c r="C62" s="632"/>
      <c r="D62" s="632"/>
      <c r="E62" s="632" t="s">
        <v>114</v>
      </c>
      <c r="F62" s="632"/>
      <c r="G62" s="632" t="s">
        <v>115</v>
      </c>
      <c r="H62" s="633">
        <v>1</v>
      </c>
      <c r="I62" s="633">
        <v>0.9</v>
      </c>
      <c r="J62" s="633">
        <v>1.2</v>
      </c>
      <c r="K62" s="633">
        <v>1</v>
      </c>
      <c r="L62" s="633">
        <v>1.19999999999999</v>
      </c>
      <c r="M62" s="632"/>
      <c r="N62" s="632" t="s">
        <v>227</v>
      </c>
      <c r="O62" s="632" t="s">
        <v>119</v>
      </c>
      <c r="P62" s="636"/>
      <c r="Q62" s="636"/>
      <c r="R62" s="636"/>
      <c r="S62" s="638">
        <f t="shared" si="0"/>
        <v>0</v>
      </c>
      <c r="T62" s="638">
        <f t="shared" si="1"/>
        <v>0</v>
      </c>
      <c r="U62" s="638">
        <f t="shared" si="2"/>
        <v>0</v>
      </c>
      <c r="V62" s="638">
        <f t="shared" si="3"/>
        <v>0</v>
      </c>
      <c r="W62" s="638">
        <f t="shared" si="4"/>
        <v>0</v>
      </c>
      <c r="X62" s="638">
        <f t="shared" si="5"/>
        <v>0</v>
      </c>
      <c r="Y62" s="638">
        <f t="shared" si="6"/>
        <v>0</v>
      </c>
      <c r="Z62" s="638">
        <f t="shared" si="7"/>
        <v>0</v>
      </c>
      <c r="AA62" s="638">
        <f t="shared" si="8"/>
        <v>0</v>
      </c>
      <c r="AB62" s="638">
        <f t="shared" si="9"/>
        <v>0</v>
      </c>
      <c r="AC62" s="638">
        <f t="shared" si="10"/>
        <v>0</v>
      </c>
      <c r="AD62" s="638">
        <f t="shared" si="11"/>
        <v>0</v>
      </c>
      <c r="AE62" s="632" t="s">
        <v>118</v>
      </c>
      <c r="AF62" s="636" t="s">
        <v>117</v>
      </c>
      <c r="AG62" s="632"/>
      <c r="AH62" s="632"/>
      <c r="AI62" s="632" t="s">
        <v>120</v>
      </c>
      <c r="AJ62" s="639" t="str">
        <f t="shared" si="15"/>
        <v>n/a</v>
      </c>
      <c r="AK62" s="632" t="s">
        <v>120</v>
      </c>
      <c r="AL62" s="632"/>
      <c r="AM62" s="632"/>
      <c r="AN62" s="632"/>
      <c r="AO62" s="632"/>
    </row>
    <row r="63" customHeight="1" spans="1:41">
      <c r="A63" s="632" t="s">
        <v>239</v>
      </c>
      <c r="B63" s="632"/>
      <c r="C63" s="632"/>
      <c r="D63" s="632"/>
      <c r="E63" s="632" t="s">
        <v>114</v>
      </c>
      <c r="F63" s="632"/>
      <c r="G63" s="632"/>
      <c r="H63" s="633">
        <v>1</v>
      </c>
      <c r="I63" s="633">
        <v>0.9</v>
      </c>
      <c r="J63" s="633">
        <v>1.2</v>
      </c>
      <c r="K63" s="633">
        <v>1</v>
      </c>
      <c r="L63" s="633">
        <v>1.19999999999999</v>
      </c>
      <c r="M63" s="632"/>
      <c r="N63" s="632" t="s">
        <v>227</v>
      </c>
      <c r="O63" s="632">
        <v>2</v>
      </c>
      <c r="P63" s="636"/>
      <c r="Q63" s="636"/>
      <c r="R63" s="636"/>
      <c r="S63" s="638">
        <f t="shared" si="0"/>
        <v>0</v>
      </c>
      <c r="T63" s="638">
        <f t="shared" si="1"/>
        <v>0</v>
      </c>
      <c r="U63" s="638">
        <f t="shared" si="2"/>
        <v>0</v>
      </c>
      <c r="V63" s="638">
        <f t="shared" si="3"/>
        <v>0</v>
      </c>
      <c r="W63" s="638">
        <f t="shared" si="4"/>
        <v>0</v>
      </c>
      <c r="X63" s="638">
        <f t="shared" si="5"/>
        <v>0</v>
      </c>
      <c r="Y63" s="638">
        <f t="shared" si="6"/>
        <v>0</v>
      </c>
      <c r="Z63" s="638">
        <f t="shared" si="7"/>
        <v>0</v>
      </c>
      <c r="AA63" s="638">
        <f t="shared" si="8"/>
        <v>0</v>
      </c>
      <c r="AB63" s="638">
        <f t="shared" si="9"/>
        <v>0</v>
      </c>
      <c r="AC63" s="638">
        <f t="shared" si="10"/>
        <v>0</v>
      </c>
      <c r="AD63" s="638">
        <f t="shared" si="11"/>
        <v>0</v>
      </c>
      <c r="AE63" s="632" t="s">
        <v>118</v>
      </c>
      <c r="AF63" s="632"/>
      <c r="AG63" s="632"/>
      <c r="AH63" s="632"/>
      <c r="AI63" s="632" t="s">
        <v>120</v>
      </c>
      <c r="AJ63" s="639">
        <f t="shared" si="15"/>
        <v>2</v>
      </c>
      <c r="AK63" s="632" t="s">
        <v>120</v>
      </c>
      <c r="AL63" s="632"/>
      <c r="AM63" s="632"/>
      <c r="AN63" s="632"/>
      <c r="AO63" s="632"/>
    </row>
    <row r="64" customHeight="1" spans="1:41">
      <c r="A64" s="632" t="s">
        <v>240</v>
      </c>
      <c r="B64" s="632"/>
      <c r="C64" s="632"/>
      <c r="D64" s="632"/>
      <c r="E64" s="632" t="s">
        <v>114</v>
      </c>
      <c r="F64" s="632"/>
      <c r="G64" s="632"/>
      <c r="H64" s="633">
        <v>1</v>
      </c>
      <c r="I64" s="633">
        <v>0.9</v>
      </c>
      <c r="J64" s="633">
        <v>1.2</v>
      </c>
      <c r="K64" s="633">
        <v>1</v>
      </c>
      <c r="L64" s="633">
        <v>1.19999999999999</v>
      </c>
      <c r="M64" s="632"/>
      <c r="N64" s="632" t="s">
        <v>227</v>
      </c>
      <c r="O64" s="632">
        <v>2</v>
      </c>
      <c r="P64" s="636"/>
      <c r="Q64" s="636"/>
      <c r="R64" s="636"/>
      <c r="S64" s="638">
        <f t="shared" si="0"/>
        <v>0</v>
      </c>
      <c r="T64" s="638">
        <f t="shared" si="1"/>
        <v>0</v>
      </c>
      <c r="U64" s="638">
        <f t="shared" si="2"/>
        <v>0</v>
      </c>
      <c r="V64" s="638">
        <f t="shared" si="3"/>
        <v>0</v>
      </c>
      <c r="W64" s="638">
        <f t="shared" si="4"/>
        <v>0</v>
      </c>
      <c r="X64" s="638">
        <f t="shared" si="5"/>
        <v>0</v>
      </c>
      <c r="Y64" s="638">
        <f t="shared" si="6"/>
        <v>0</v>
      </c>
      <c r="Z64" s="638">
        <f t="shared" si="7"/>
        <v>0</v>
      </c>
      <c r="AA64" s="638">
        <f t="shared" si="8"/>
        <v>0</v>
      </c>
      <c r="AB64" s="638">
        <f t="shared" si="9"/>
        <v>0</v>
      </c>
      <c r="AC64" s="638">
        <f t="shared" si="10"/>
        <v>0</v>
      </c>
      <c r="AD64" s="638">
        <f t="shared" si="11"/>
        <v>0</v>
      </c>
      <c r="AE64" s="632" t="s">
        <v>118</v>
      </c>
      <c r="AF64" s="632"/>
      <c r="AG64" s="632"/>
      <c r="AH64" s="632"/>
      <c r="AI64" s="632" t="s">
        <v>120</v>
      </c>
      <c r="AJ64" s="639">
        <f t="shared" si="15"/>
        <v>2</v>
      </c>
      <c r="AK64" s="632" t="s">
        <v>120</v>
      </c>
      <c r="AL64" s="632"/>
      <c r="AM64" s="632"/>
      <c r="AN64" s="632"/>
      <c r="AO64" s="632"/>
    </row>
    <row r="65" customHeight="1" spans="1:41">
      <c r="A65" s="632" t="s">
        <v>241</v>
      </c>
      <c r="B65" s="632"/>
      <c r="C65" s="632"/>
      <c r="D65" s="632"/>
      <c r="E65" s="632" t="s">
        <v>114</v>
      </c>
      <c r="F65" s="632"/>
      <c r="G65" s="632"/>
      <c r="H65" s="633">
        <v>1</v>
      </c>
      <c r="I65" s="633">
        <v>0.9</v>
      </c>
      <c r="J65" s="633">
        <v>1.2</v>
      </c>
      <c r="K65" s="633">
        <v>1</v>
      </c>
      <c r="L65" s="633">
        <v>1.19999999999999</v>
      </c>
      <c r="M65" s="632"/>
      <c r="N65" s="632" t="s">
        <v>227</v>
      </c>
      <c r="O65" s="632">
        <v>2</v>
      </c>
      <c r="P65" s="636"/>
      <c r="Q65" s="636"/>
      <c r="R65" s="636"/>
      <c r="S65" s="638">
        <f t="shared" si="0"/>
        <v>0</v>
      </c>
      <c r="T65" s="638">
        <f t="shared" si="1"/>
        <v>0</v>
      </c>
      <c r="U65" s="638">
        <f t="shared" si="2"/>
        <v>0</v>
      </c>
      <c r="V65" s="638">
        <f t="shared" si="3"/>
        <v>0</v>
      </c>
      <c r="W65" s="638">
        <f t="shared" si="4"/>
        <v>0</v>
      </c>
      <c r="X65" s="638">
        <f t="shared" si="5"/>
        <v>0</v>
      </c>
      <c r="Y65" s="638">
        <f t="shared" si="6"/>
        <v>0</v>
      </c>
      <c r="Z65" s="638">
        <f t="shared" si="7"/>
        <v>0</v>
      </c>
      <c r="AA65" s="638">
        <f t="shared" si="8"/>
        <v>0</v>
      </c>
      <c r="AB65" s="638">
        <f t="shared" si="9"/>
        <v>0</v>
      </c>
      <c r="AC65" s="638">
        <f t="shared" si="10"/>
        <v>0</v>
      </c>
      <c r="AD65" s="638">
        <f t="shared" si="11"/>
        <v>0</v>
      </c>
      <c r="AE65" s="632" t="s">
        <v>118</v>
      </c>
      <c r="AF65" s="632"/>
      <c r="AG65" s="632"/>
      <c r="AH65" s="632"/>
      <c r="AI65" s="632" t="s">
        <v>120</v>
      </c>
      <c r="AJ65" s="639">
        <f t="shared" si="15"/>
        <v>2</v>
      </c>
      <c r="AK65" s="632" t="s">
        <v>120</v>
      </c>
      <c r="AL65" s="632"/>
      <c r="AM65" s="632"/>
      <c r="AN65" s="632"/>
      <c r="AO65" s="632"/>
    </row>
    <row r="66" customHeight="1" spans="1:41">
      <c r="A66" s="632" t="s">
        <v>242</v>
      </c>
      <c r="B66" s="632"/>
      <c r="C66" s="632"/>
      <c r="D66" s="632"/>
      <c r="E66" s="632" t="s">
        <v>114</v>
      </c>
      <c r="F66" s="632"/>
      <c r="G66" s="632"/>
      <c r="H66" s="633">
        <v>1</v>
      </c>
      <c r="I66" s="633">
        <v>0.9</v>
      </c>
      <c r="J66" s="633">
        <v>1.2</v>
      </c>
      <c r="K66" s="633">
        <v>1</v>
      </c>
      <c r="L66" s="633">
        <v>1.19999999999999</v>
      </c>
      <c r="M66" s="632"/>
      <c r="N66" s="632" t="s">
        <v>227</v>
      </c>
      <c r="O66" s="632">
        <v>2</v>
      </c>
      <c r="P66" s="636"/>
      <c r="Q66" s="636"/>
      <c r="R66" s="636"/>
      <c r="S66" s="638">
        <f t="shared" si="0"/>
        <v>0</v>
      </c>
      <c r="T66" s="638">
        <f t="shared" si="1"/>
        <v>0</v>
      </c>
      <c r="U66" s="638">
        <f t="shared" si="2"/>
        <v>0</v>
      </c>
      <c r="V66" s="638">
        <f t="shared" si="3"/>
        <v>0</v>
      </c>
      <c r="W66" s="638">
        <f t="shared" si="4"/>
        <v>0</v>
      </c>
      <c r="X66" s="638">
        <f t="shared" si="5"/>
        <v>0</v>
      </c>
      <c r="Y66" s="638">
        <f t="shared" si="6"/>
        <v>0</v>
      </c>
      <c r="Z66" s="638">
        <f t="shared" si="7"/>
        <v>0</v>
      </c>
      <c r="AA66" s="638">
        <f t="shared" si="8"/>
        <v>0</v>
      </c>
      <c r="AB66" s="638">
        <f t="shared" si="9"/>
        <v>0</v>
      </c>
      <c r="AC66" s="638">
        <f t="shared" si="10"/>
        <v>0</v>
      </c>
      <c r="AD66" s="638">
        <f t="shared" si="11"/>
        <v>0</v>
      </c>
      <c r="AE66" s="632" t="s">
        <v>118</v>
      </c>
      <c r="AF66" s="632"/>
      <c r="AG66" s="632"/>
      <c r="AH66" s="632"/>
      <c r="AI66" s="632" t="s">
        <v>120</v>
      </c>
      <c r="AJ66" s="639">
        <f t="shared" si="15"/>
        <v>2</v>
      </c>
      <c r="AK66" s="632" t="s">
        <v>120</v>
      </c>
      <c r="AL66" s="632"/>
      <c r="AM66" s="632"/>
      <c r="AN66" s="632"/>
      <c r="AO66" s="632"/>
    </row>
    <row r="67" customHeight="1" spans="1:41">
      <c r="A67" s="632" t="s">
        <v>243</v>
      </c>
      <c r="B67" s="632"/>
      <c r="C67" s="632"/>
      <c r="D67" s="632"/>
      <c r="E67" s="632" t="s">
        <v>114</v>
      </c>
      <c r="F67" s="632"/>
      <c r="G67" s="632"/>
      <c r="H67" s="633">
        <v>1</v>
      </c>
      <c r="I67" s="633">
        <v>0.9</v>
      </c>
      <c r="J67" s="633">
        <v>1.2</v>
      </c>
      <c r="K67" s="633">
        <v>1</v>
      </c>
      <c r="L67" s="633">
        <v>1.19999999999999</v>
      </c>
      <c r="M67" s="632"/>
      <c r="N67" s="632" t="s">
        <v>227</v>
      </c>
      <c r="O67" s="632">
        <v>2</v>
      </c>
      <c r="P67" s="636"/>
      <c r="Q67" s="636"/>
      <c r="R67" s="636"/>
      <c r="S67" s="638">
        <f t="shared" si="0"/>
        <v>0</v>
      </c>
      <c r="T67" s="638">
        <f t="shared" si="1"/>
        <v>0</v>
      </c>
      <c r="U67" s="638">
        <f t="shared" si="2"/>
        <v>0</v>
      </c>
      <c r="V67" s="638">
        <f t="shared" si="3"/>
        <v>0</v>
      </c>
      <c r="W67" s="638">
        <f t="shared" si="4"/>
        <v>0</v>
      </c>
      <c r="X67" s="638">
        <f t="shared" si="5"/>
        <v>0</v>
      </c>
      <c r="Y67" s="638">
        <f t="shared" si="6"/>
        <v>0</v>
      </c>
      <c r="Z67" s="638">
        <f t="shared" si="7"/>
        <v>0</v>
      </c>
      <c r="AA67" s="638">
        <f t="shared" si="8"/>
        <v>0</v>
      </c>
      <c r="AB67" s="638">
        <f t="shared" si="9"/>
        <v>0</v>
      </c>
      <c r="AC67" s="638">
        <f t="shared" si="10"/>
        <v>0</v>
      </c>
      <c r="AD67" s="638">
        <f t="shared" si="11"/>
        <v>0</v>
      </c>
      <c r="AE67" s="632" t="s">
        <v>118</v>
      </c>
      <c r="AF67" s="632"/>
      <c r="AG67" s="632"/>
      <c r="AH67" s="632"/>
      <c r="AI67" s="632" t="s">
        <v>120</v>
      </c>
      <c r="AJ67" s="639">
        <f t="shared" si="15"/>
        <v>2</v>
      </c>
      <c r="AK67" s="632" t="s">
        <v>120</v>
      </c>
      <c r="AL67" s="632"/>
      <c r="AM67" s="632"/>
      <c r="AN67" s="632"/>
      <c r="AO67" s="632"/>
    </row>
    <row r="68" customHeight="1" spans="1:41">
      <c r="A68" s="632" t="s">
        <v>244</v>
      </c>
      <c r="B68" s="632"/>
      <c r="C68" s="632"/>
      <c r="D68" s="632"/>
      <c r="E68" s="632" t="s">
        <v>114</v>
      </c>
      <c r="F68" s="632"/>
      <c r="G68" s="632"/>
      <c r="H68" s="633">
        <v>1</v>
      </c>
      <c r="I68" s="633">
        <v>0.9</v>
      </c>
      <c r="J68" s="633">
        <v>1.2</v>
      </c>
      <c r="K68" s="633">
        <v>1</v>
      </c>
      <c r="L68" s="633">
        <v>1.19999999999999</v>
      </c>
      <c r="M68" s="632"/>
      <c r="N68" s="632" t="s">
        <v>227</v>
      </c>
      <c r="O68" s="632">
        <v>2</v>
      </c>
      <c r="P68" s="636"/>
      <c r="Q68" s="636"/>
      <c r="R68" s="636"/>
      <c r="S68" s="638">
        <f t="shared" si="0"/>
        <v>0</v>
      </c>
      <c r="T68" s="638">
        <f t="shared" si="1"/>
        <v>0</v>
      </c>
      <c r="U68" s="638">
        <f t="shared" si="2"/>
        <v>0</v>
      </c>
      <c r="V68" s="638">
        <f t="shared" si="3"/>
        <v>0</v>
      </c>
      <c r="W68" s="638">
        <f t="shared" si="4"/>
        <v>0</v>
      </c>
      <c r="X68" s="638">
        <f t="shared" si="5"/>
        <v>0</v>
      </c>
      <c r="Y68" s="638">
        <f t="shared" si="6"/>
        <v>0</v>
      </c>
      <c r="Z68" s="638">
        <f t="shared" si="7"/>
        <v>0</v>
      </c>
      <c r="AA68" s="638">
        <f t="shared" si="8"/>
        <v>0</v>
      </c>
      <c r="AB68" s="638">
        <f t="shared" si="9"/>
        <v>0</v>
      </c>
      <c r="AC68" s="638">
        <f t="shared" si="10"/>
        <v>0</v>
      </c>
      <c r="AD68" s="638">
        <f t="shared" si="11"/>
        <v>0</v>
      </c>
      <c r="AE68" s="632" t="s">
        <v>118</v>
      </c>
      <c r="AF68" s="632"/>
      <c r="AG68" s="632"/>
      <c r="AH68" s="632"/>
      <c r="AI68" s="632" t="s">
        <v>120</v>
      </c>
      <c r="AJ68" s="639">
        <f t="shared" si="15"/>
        <v>2</v>
      </c>
      <c r="AK68" s="632" t="s">
        <v>120</v>
      </c>
      <c r="AL68" s="632"/>
      <c r="AM68" s="632"/>
      <c r="AN68" s="632"/>
      <c r="AO68" s="632"/>
    </row>
    <row r="69" customHeight="1" spans="1:41">
      <c r="A69" s="632" t="s">
        <v>245</v>
      </c>
      <c r="B69" s="632"/>
      <c r="C69" s="632"/>
      <c r="D69" s="632"/>
      <c r="E69" s="632" t="s">
        <v>114</v>
      </c>
      <c r="F69" s="632"/>
      <c r="G69" s="632" t="s">
        <v>246</v>
      </c>
      <c r="H69" s="633">
        <v>1</v>
      </c>
      <c r="I69" s="633">
        <v>0.9</v>
      </c>
      <c r="J69" s="633">
        <v>1.2</v>
      </c>
      <c r="K69" s="633">
        <v>1</v>
      </c>
      <c r="L69" s="633">
        <v>1.19999999999999</v>
      </c>
      <c r="M69" s="632"/>
      <c r="N69" s="632" t="s">
        <v>227</v>
      </c>
      <c r="O69" s="632">
        <v>2</v>
      </c>
      <c r="P69" s="636"/>
      <c r="Q69" s="636"/>
      <c r="R69" s="636"/>
      <c r="S69" s="638">
        <f t="shared" si="0"/>
        <v>0</v>
      </c>
      <c r="T69" s="638">
        <f t="shared" si="1"/>
        <v>0</v>
      </c>
      <c r="U69" s="638">
        <f t="shared" si="2"/>
        <v>0</v>
      </c>
      <c r="V69" s="638">
        <f t="shared" si="3"/>
        <v>0</v>
      </c>
      <c r="W69" s="638">
        <f t="shared" si="4"/>
        <v>0</v>
      </c>
      <c r="X69" s="638">
        <f t="shared" si="5"/>
        <v>0</v>
      </c>
      <c r="Y69" s="638">
        <f t="shared" si="6"/>
        <v>0</v>
      </c>
      <c r="Z69" s="638">
        <f t="shared" si="7"/>
        <v>0</v>
      </c>
      <c r="AA69" s="638">
        <f t="shared" si="8"/>
        <v>0</v>
      </c>
      <c r="AB69" s="638">
        <f t="shared" si="9"/>
        <v>0</v>
      </c>
      <c r="AC69" s="638">
        <f t="shared" si="10"/>
        <v>0</v>
      </c>
      <c r="AD69" s="638">
        <f t="shared" si="11"/>
        <v>0</v>
      </c>
      <c r="AE69" s="632" t="s">
        <v>118</v>
      </c>
      <c r="AF69" s="632"/>
      <c r="AG69" s="632"/>
      <c r="AH69" s="632"/>
      <c r="AI69" s="632" t="s">
        <v>120</v>
      </c>
      <c r="AJ69" s="639">
        <f t="shared" si="15"/>
        <v>2</v>
      </c>
      <c r="AK69" s="632" t="s">
        <v>120</v>
      </c>
      <c r="AL69" s="632"/>
      <c r="AM69" s="632"/>
      <c r="AN69" s="632"/>
      <c r="AO69" s="632"/>
    </row>
    <row r="70" customHeight="1" spans="1:41">
      <c r="A70" s="632" t="s">
        <v>247</v>
      </c>
      <c r="B70" s="632"/>
      <c r="C70" s="632"/>
      <c r="D70" s="632"/>
      <c r="E70" s="632" t="s">
        <v>114</v>
      </c>
      <c r="F70" s="632"/>
      <c r="G70" s="632"/>
      <c r="H70" s="633">
        <v>1</v>
      </c>
      <c r="I70" s="633">
        <v>0.9</v>
      </c>
      <c r="J70" s="633">
        <v>1.2</v>
      </c>
      <c r="K70" s="633">
        <v>1</v>
      </c>
      <c r="L70" s="633">
        <v>1.19999999999999</v>
      </c>
      <c r="M70" s="632"/>
      <c r="N70" s="632" t="s">
        <v>227</v>
      </c>
      <c r="O70" s="632">
        <v>2</v>
      </c>
      <c r="P70" s="636"/>
      <c r="Q70" s="636"/>
      <c r="R70" s="636"/>
      <c r="S70" s="638">
        <f t="shared" si="0"/>
        <v>0</v>
      </c>
      <c r="T70" s="638">
        <f t="shared" si="1"/>
        <v>0</v>
      </c>
      <c r="U70" s="638">
        <f t="shared" si="2"/>
        <v>0</v>
      </c>
      <c r="V70" s="638">
        <f t="shared" si="3"/>
        <v>0</v>
      </c>
      <c r="W70" s="638">
        <f t="shared" si="4"/>
        <v>0</v>
      </c>
      <c r="X70" s="638">
        <f t="shared" si="5"/>
        <v>0</v>
      </c>
      <c r="Y70" s="638">
        <f t="shared" si="6"/>
        <v>0</v>
      </c>
      <c r="Z70" s="638">
        <f t="shared" si="7"/>
        <v>0</v>
      </c>
      <c r="AA70" s="638">
        <f t="shared" si="8"/>
        <v>0</v>
      </c>
      <c r="AB70" s="638">
        <f t="shared" si="9"/>
        <v>0</v>
      </c>
      <c r="AC70" s="638">
        <f t="shared" si="10"/>
        <v>0</v>
      </c>
      <c r="AD70" s="638">
        <f t="shared" si="11"/>
        <v>0</v>
      </c>
      <c r="AE70" s="632" t="s">
        <v>118</v>
      </c>
      <c r="AF70" s="632"/>
      <c r="AG70" s="632"/>
      <c r="AH70" s="632"/>
      <c r="AI70" s="632" t="s">
        <v>120</v>
      </c>
      <c r="AJ70" s="639">
        <f t="shared" si="15"/>
        <v>2</v>
      </c>
      <c r="AK70" s="632" t="s">
        <v>120</v>
      </c>
      <c r="AL70" s="632"/>
      <c r="AM70" s="632"/>
      <c r="AN70" s="632"/>
      <c r="AO70" s="632"/>
    </row>
    <row r="71" customHeight="1" spans="1:41">
      <c r="A71" s="632" t="s">
        <v>248</v>
      </c>
      <c r="B71" s="632"/>
      <c r="C71" s="632"/>
      <c r="D71" s="632"/>
      <c r="E71" s="632" t="s">
        <v>114</v>
      </c>
      <c r="F71" s="632"/>
      <c r="G71" s="632"/>
      <c r="H71" s="633">
        <v>1</v>
      </c>
      <c r="I71" s="633">
        <v>0.9</v>
      </c>
      <c r="J71" s="633">
        <v>1.2</v>
      </c>
      <c r="K71" s="633">
        <v>1</v>
      </c>
      <c r="L71" s="633">
        <v>1.19999999999999</v>
      </c>
      <c r="M71" s="632"/>
      <c r="N71" s="632" t="s">
        <v>227</v>
      </c>
      <c r="O71" s="632">
        <v>2</v>
      </c>
      <c r="P71" s="636"/>
      <c r="Q71" s="636"/>
      <c r="R71" s="636"/>
      <c r="S71" s="638">
        <f t="shared" si="0"/>
        <v>0</v>
      </c>
      <c r="T71" s="638">
        <f t="shared" si="1"/>
        <v>0</v>
      </c>
      <c r="U71" s="638">
        <f t="shared" si="2"/>
        <v>0</v>
      </c>
      <c r="V71" s="638">
        <f t="shared" si="3"/>
        <v>0</v>
      </c>
      <c r="W71" s="638">
        <f t="shared" si="4"/>
        <v>0</v>
      </c>
      <c r="X71" s="638">
        <f t="shared" si="5"/>
        <v>0</v>
      </c>
      <c r="Y71" s="638">
        <f t="shared" si="6"/>
        <v>0</v>
      </c>
      <c r="Z71" s="638">
        <f t="shared" si="7"/>
        <v>0</v>
      </c>
      <c r="AA71" s="638">
        <f t="shared" si="8"/>
        <v>0</v>
      </c>
      <c r="AB71" s="638">
        <f t="shared" si="9"/>
        <v>0</v>
      </c>
      <c r="AC71" s="638">
        <f t="shared" si="10"/>
        <v>0</v>
      </c>
      <c r="AD71" s="638">
        <f t="shared" si="11"/>
        <v>0</v>
      </c>
      <c r="AE71" s="632" t="s">
        <v>118</v>
      </c>
      <c r="AF71" s="632"/>
      <c r="AG71" s="632"/>
      <c r="AH71" s="632"/>
      <c r="AI71" s="632" t="s">
        <v>120</v>
      </c>
      <c r="AJ71" s="639">
        <f t="shared" si="15"/>
        <v>2</v>
      </c>
      <c r="AK71" s="632" t="s">
        <v>120</v>
      </c>
      <c r="AL71" s="632"/>
      <c r="AM71" s="632"/>
      <c r="AN71" s="632"/>
      <c r="AO71" s="632"/>
    </row>
    <row r="72" customHeight="1" spans="1:41">
      <c r="A72" s="632" t="s">
        <v>249</v>
      </c>
      <c r="B72" s="632"/>
      <c r="C72" s="632"/>
      <c r="D72" s="632"/>
      <c r="E72" s="632" t="s">
        <v>114</v>
      </c>
      <c r="F72" s="632"/>
      <c r="G72" s="632"/>
      <c r="H72" s="633">
        <v>1</v>
      </c>
      <c r="I72" s="633">
        <v>0.9</v>
      </c>
      <c r="J72" s="633">
        <v>1.2</v>
      </c>
      <c r="K72" s="633">
        <v>1</v>
      </c>
      <c r="L72" s="633">
        <v>1.19999999999999</v>
      </c>
      <c r="M72" s="632"/>
      <c r="N72" s="632" t="s">
        <v>227</v>
      </c>
      <c r="O72" s="632">
        <v>2</v>
      </c>
      <c r="P72" s="636"/>
      <c r="Q72" s="636"/>
      <c r="R72" s="636"/>
      <c r="S72" s="638">
        <f t="shared" si="0"/>
        <v>0</v>
      </c>
      <c r="T72" s="638">
        <f t="shared" si="1"/>
        <v>0</v>
      </c>
      <c r="U72" s="638">
        <f t="shared" si="2"/>
        <v>0</v>
      </c>
      <c r="V72" s="638">
        <f t="shared" si="3"/>
        <v>0</v>
      </c>
      <c r="W72" s="638">
        <f t="shared" si="4"/>
        <v>0</v>
      </c>
      <c r="X72" s="638">
        <f t="shared" si="5"/>
        <v>0</v>
      </c>
      <c r="Y72" s="638">
        <f t="shared" si="6"/>
        <v>0</v>
      </c>
      <c r="Z72" s="638">
        <f t="shared" si="7"/>
        <v>0</v>
      </c>
      <c r="AA72" s="638">
        <f t="shared" si="8"/>
        <v>0</v>
      </c>
      <c r="AB72" s="638">
        <f t="shared" si="9"/>
        <v>0</v>
      </c>
      <c r="AC72" s="638">
        <f t="shared" si="10"/>
        <v>0</v>
      </c>
      <c r="AD72" s="638">
        <f t="shared" si="11"/>
        <v>0</v>
      </c>
      <c r="AE72" s="632" t="s">
        <v>118</v>
      </c>
      <c r="AF72" s="632"/>
      <c r="AG72" s="632"/>
      <c r="AH72" s="632"/>
      <c r="AI72" s="632" t="s">
        <v>120</v>
      </c>
      <c r="AJ72" s="639">
        <f t="shared" si="15"/>
        <v>2</v>
      </c>
      <c r="AK72" s="632" t="s">
        <v>120</v>
      </c>
      <c r="AL72" s="632"/>
      <c r="AM72" s="632"/>
      <c r="AN72" s="632"/>
      <c r="AO72" s="632"/>
    </row>
    <row r="73" customHeight="1" spans="1:41">
      <c r="A73" s="632" t="s">
        <v>250</v>
      </c>
      <c r="B73" s="632"/>
      <c r="C73" s="632"/>
      <c r="D73" s="632"/>
      <c r="E73" s="632" t="s">
        <v>114</v>
      </c>
      <c r="F73" s="632"/>
      <c r="G73" s="632"/>
      <c r="H73" s="633">
        <v>1</v>
      </c>
      <c r="I73" s="633">
        <v>0.9</v>
      </c>
      <c r="J73" s="633">
        <v>1.2</v>
      </c>
      <c r="K73" s="633">
        <v>1</v>
      </c>
      <c r="L73" s="633">
        <v>1.19999999999999</v>
      </c>
      <c r="M73" s="632"/>
      <c r="N73" s="632" t="s">
        <v>227</v>
      </c>
      <c r="O73" s="632">
        <v>2</v>
      </c>
      <c r="P73" s="636"/>
      <c r="Q73" s="636"/>
      <c r="R73" s="636"/>
      <c r="S73" s="638">
        <f t="shared" si="0"/>
        <v>0</v>
      </c>
      <c r="T73" s="638">
        <f t="shared" si="1"/>
        <v>0</v>
      </c>
      <c r="U73" s="638">
        <f t="shared" si="2"/>
        <v>0</v>
      </c>
      <c r="V73" s="638">
        <f t="shared" si="3"/>
        <v>0</v>
      </c>
      <c r="W73" s="638">
        <f t="shared" si="4"/>
        <v>0</v>
      </c>
      <c r="X73" s="638">
        <f t="shared" si="5"/>
        <v>0</v>
      </c>
      <c r="Y73" s="638">
        <f t="shared" si="6"/>
        <v>0</v>
      </c>
      <c r="Z73" s="638">
        <f t="shared" si="7"/>
        <v>0</v>
      </c>
      <c r="AA73" s="638">
        <f t="shared" si="8"/>
        <v>0</v>
      </c>
      <c r="AB73" s="638">
        <f t="shared" si="9"/>
        <v>0</v>
      </c>
      <c r="AC73" s="638">
        <f t="shared" si="10"/>
        <v>0</v>
      </c>
      <c r="AD73" s="638">
        <f t="shared" si="11"/>
        <v>0</v>
      </c>
      <c r="AE73" s="632" t="s">
        <v>118</v>
      </c>
      <c r="AF73" s="632"/>
      <c r="AG73" s="632"/>
      <c r="AH73" s="632"/>
      <c r="AI73" s="632" t="s">
        <v>120</v>
      </c>
      <c r="AJ73" s="639">
        <f t="shared" si="15"/>
        <v>2</v>
      </c>
      <c r="AK73" s="632" t="s">
        <v>120</v>
      </c>
      <c r="AL73" s="632"/>
      <c r="AM73" s="632"/>
      <c r="AN73" s="632"/>
      <c r="AO73" s="632"/>
    </row>
    <row r="74" customHeight="1" spans="1:41">
      <c r="A74" s="632" t="s">
        <v>251</v>
      </c>
      <c r="B74" s="632"/>
      <c r="C74" s="632"/>
      <c r="D74" s="632"/>
      <c r="E74" s="632"/>
      <c r="F74" s="632"/>
      <c r="G74" s="632"/>
      <c r="H74" s="633">
        <v>1</v>
      </c>
      <c r="I74" s="633">
        <v>0.9</v>
      </c>
      <c r="J74" s="633">
        <v>1.2</v>
      </c>
      <c r="K74" s="633">
        <v>1</v>
      </c>
      <c r="L74" s="633">
        <v>1.19999999999997</v>
      </c>
      <c r="M74" s="632"/>
      <c r="N74" s="632" t="s">
        <v>227</v>
      </c>
      <c r="O74" s="632">
        <v>2</v>
      </c>
      <c r="P74" s="636"/>
      <c r="Q74" s="636"/>
      <c r="R74" s="636"/>
      <c r="S74" s="638">
        <f t="shared" si="0"/>
        <v>0</v>
      </c>
      <c r="T74" s="638">
        <f t="shared" si="1"/>
        <v>0</v>
      </c>
      <c r="U74" s="638">
        <f t="shared" si="2"/>
        <v>0</v>
      </c>
      <c r="V74" s="638">
        <f t="shared" si="3"/>
        <v>0</v>
      </c>
      <c r="W74" s="638">
        <f t="shared" si="4"/>
        <v>0</v>
      </c>
      <c r="X74" s="638">
        <f t="shared" si="5"/>
        <v>0</v>
      </c>
      <c r="Y74" s="638">
        <f t="shared" si="6"/>
        <v>0</v>
      </c>
      <c r="Z74" s="638">
        <f t="shared" si="7"/>
        <v>0</v>
      </c>
      <c r="AA74" s="638">
        <f t="shared" si="8"/>
        <v>0</v>
      </c>
      <c r="AB74" s="638">
        <f t="shared" si="9"/>
        <v>0</v>
      </c>
      <c r="AC74" s="638">
        <f t="shared" si="10"/>
        <v>0</v>
      </c>
      <c r="AD74" s="638">
        <f t="shared" si="11"/>
        <v>0</v>
      </c>
      <c r="AE74" s="632"/>
      <c r="AF74" s="632"/>
      <c r="AG74" s="632"/>
      <c r="AH74" s="632"/>
      <c r="AI74" s="632" t="s">
        <v>120</v>
      </c>
      <c r="AJ74" s="639">
        <f t="shared" si="15"/>
        <v>2</v>
      </c>
      <c r="AK74" s="632" t="s">
        <v>120</v>
      </c>
      <c r="AL74" s="632" t="s">
        <v>120</v>
      </c>
      <c r="AM74" s="632" t="s">
        <v>120</v>
      </c>
      <c r="AN74" s="632" t="s">
        <v>120</v>
      </c>
      <c r="AO74" s="632" t="s">
        <v>120</v>
      </c>
    </row>
    <row r="75" customHeight="1" spans="1:41">
      <c r="A75" s="632" t="s">
        <v>252</v>
      </c>
      <c r="B75" s="632"/>
      <c r="C75" s="632"/>
      <c r="D75" s="632"/>
      <c r="E75" s="632"/>
      <c r="F75" s="632"/>
      <c r="G75" s="632"/>
      <c r="H75" s="633">
        <v>1</v>
      </c>
      <c r="I75" s="633">
        <v>0.9</v>
      </c>
      <c r="J75" s="633">
        <v>1.2</v>
      </c>
      <c r="K75" s="633">
        <v>1</v>
      </c>
      <c r="L75" s="633">
        <v>1.19999999999997</v>
      </c>
      <c r="M75" s="632"/>
      <c r="N75" s="632" t="s">
        <v>227</v>
      </c>
      <c r="O75" s="632">
        <v>2</v>
      </c>
      <c r="P75" s="636"/>
      <c r="Q75" s="636"/>
      <c r="R75" s="636"/>
      <c r="S75" s="638">
        <f t="shared" si="0"/>
        <v>0</v>
      </c>
      <c r="T75" s="638">
        <f t="shared" si="1"/>
        <v>0</v>
      </c>
      <c r="U75" s="638">
        <f t="shared" si="2"/>
        <v>0</v>
      </c>
      <c r="V75" s="638">
        <f t="shared" si="3"/>
        <v>0</v>
      </c>
      <c r="W75" s="638">
        <f t="shared" si="4"/>
        <v>0</v>
      </c>
      <c r="X75" s="638">
        <f t="shared" si="5"/>
        <v>0</v>
      </c>
      <c r="Y75" s="638">
        <f t="shared" si="6"/>
        <v>0</v>
      </c>
      <c r="Z75" s="638">
        <f t="shared" si="7"/>
        <v>0</v>
      </c>
      <c r="AA75" s="638">
        <f t="shared" si="8"/>
        <v>0</v>
      </c>
      <c r="AB75" s="638">
        <f t="shared" si="9"/>
        <v>0</v>
      </c>
      <c r="AC75" s="638">
        <f t="shared" si="10"/>
        <v>0</v>
      </c>
      <c r="AD75" s="638">
        <f t="shared" si="11"/>
        <v>0</v>
      </c>
      <c r="AE75" s="632"/>
      <c r="AF75" s="632"/>
      <c r="AG75" s="632"/>
      <c r="AH75" s="632"/>
      <c r="AI75" s="632" t="s">
        <v>120</v>
      </c>
      <c r="AJ75" s="639">
        <f t="shared" si="15"/>
        <v>2</v>
      </c>
      <c r="AK75" s="632" t="s">
        <v>120</v>
      </c>
      <c r="AL75" s="632" t="s">
        <v>120</v>
      </c>
      <c r="AM75" s="632" t="s">
        <v>120</v>
      </c>
      <c r="AN75" s="632" t="s">
        <v>120</v>
      </c>
      <c r="AO75" s="632" t="s">
        <v>120</v>
      </c>
    </row>
    <row r="76" customHeight="1" spans="1:41">
      <c r="A76" s="632" t="s">
        <v>253</v>
      </c>
      <c r="B76" s="632"/>
      <c r="C76" s="632"/>
      <c r="D76" s="632"/>
      <c r="E76" s="632"/>
      <c r="F76" s="632"/>
      <c r="G76" s="632"/>
      <c r="H76" s="633">
        <v>1</v>
      </c>
      <c r="I76" s="633">
        <v>0.9</v>
      </c>
      <c r="J76" s="633">
        <v>1.2</v>
      </c>
      <c r="K76" s="633">
        <v>1</v>
      </c>
      <c r="L76" s="633">
        <v>1.19999999999997</v>
      </c>
      <c r="M76" s="632"/>
      <c r="N76" s="632" t="s">
        <v>227</v>
      </c>
      <c r="O76" s="632">
        <v>2</v>
      </c>
      <c r="P76" s="636"/>
      <c r="Q76" s="636"/>
      <c r="R76" s="636"/>
      <c r="S76" s="638">
        <f t="shared" si="0"/>
        <v>0</v>
      </c>
      <c r="T76" s="638">
        <f t="shared" si="1"/>
        <v>0</v>
      </c>
      <c r="U76" s="638">
        <f t="shared" si="2"/>
        <v>0</v>
      </c>
      <c r="V76" s="638">
        <f t="shared" si="3"/>
        <v>0</v>
      </c>
      <c r="W76" s="638">
        <f t="shared" si="4"/>
        <v>0</v>
      </c>
      <c r="X76" s="638">
        <f t="shared" si="5"/>
        <v>0</v>
      </c>
      <c r="Y76" s="638">
        <f t="shared" si="6"/>
        <v>0</v>
      </c>
      <c r="Z76" s="638">
        <f t="shared" si="7"/>
        <v>0</v>
      </c>
      <c r="AA76" s="638">
        <f t="shared" si="8"/>
        <v>0</v>
      </c>
      <c r="AB76" s="638">
        <f t="shared" si="9"/>
        <v>0</v>
      </c>
      <c r="AC76" s="638">
        <f t="shared" si="10"/>
        <v>0</v>
      </c>
      <c r="AD76" s="638">
        <f t="shared" si="11"/>
        <v>0</v>
      </c>
      <c r="AE76" s="632"/>
      <c r="AF76" s="632"/>
      <c r="AG76" s="632"/>
      <c r="AH76" s="632"/>
      <c r="AI76" s="632" t="s">
        <v>120</v>
      </c>
      <c r="AJ76" s="639">
        <f t="shared" si="15"/>
        <v>2</v>
      </c>
      <c r="AK76" s="632" t="s">
        <v>120</v>
      </c>
      <c r="AL76" s="632" t="s">
        <v>120</v>
      </c>
      <c r="AM76" s="632" t="s">
        <v>120</v>
      </c>
      <c r="AN76" s="632" t="s">
        <v>120</v>
      </c>
      <c r="AO76" s="632" t="s">
        <v>120</v>
      </c>
    </row>
    <row r="77" customHeight="1" spans="1:41">
      <c r="A77" s="632" t="s">
        <v>254</v>
      </c>
      <c r="B77" s="632"/>
      <c r="C77" s="632"/>
      <c r="D77" s="632"/>
      <c r="E77" s="632"/>
      <c r="F77" s="632"/>
      <c r="G77" s="632" t="s">
        <v>123</v>
      </c>
      <c r="H77" s="633">
        <v>1</v>
      </c>
      <c r="I77" s="633">
        <v>0.9</v>
      </c>
      <c r="J77" s="633">
        <v>1.2</v>
      </c>
      <c r="K77" s="633">
        <v>1</v>
      </c>
      <c r="L77" s="633">
        <v>1.19999999999997</v>
      </c>
      <c r="M77" s="632"/>
      <c r="N77" s="632" t="s">
        <v>227</v>
      </c>
      <c r="O77" s="632">
        <v>2</v>
      </c>
      <c r="P77" s="636"/>
      <c r="Q77" s="636"/>
      <c r="R77" s="636"/>
      <c r="S77" s="638">
        <f t="shared" si="0"/>
        <v>0</v>
      </c>
      <c r="T77" s="638">
        <f t="shared" si="1"/>
        <v>0</v>
      </c>
      <c r="U77" s="638">
        <f t="shared" si="2"/>
        <v>0</v>
      </c>
      <c r="V77" s="638">
        <f t="shared" si="3"/>
        <v>0</v>
      </c>
      <c r="W77" s="638">
        <f t="shared" si="4"/>
        <v>0</v>
      </c>
      <c r="X77" s="638">
        <f t="shared" si="5"/>
        <v>0</v>
      </c>
      <c r="Y77" s="638">
        <f t="shared" si="6"/>
        <v>0</v>
      </c>
      <c r="Z77" s="638">
        <f t="shared" si="7"/>
        <v>0</v>
      </c>
      <c r="AA77" s="638">
        <f t="shared" si="8"/>
        <v>0</v>
      </c>
      <c r="AB77" s="638">
        <f t="shared" si="9"/>
        <v>0</v>
      </c>
      <c r="AC77" s="638">
        <f t="shared" si="10"/>
        <v>0</v>
      </c>
      <c r="AD77" s="638">
        <f t="shared" si="11"/>
        <v>0</v>
      </c>
      <c r="AE77" s="632"/>
      <c r="AF77" s="632"/>
      <c r="AG77" s="632"/>
      <c r="AH77" s="632"/>
      <c r="AI77" s="632" t="s">
        <v>120</v>
      </c>
      <c r="AJ77" s="639">
        <f t="shared" si="15"/>
        <v>2</v>
      </c>
      <c r="AK77" s="632" t="s">
        <v>120</v>
      </c>
      <c r="AL77" s="632" t="s">
        <v>120</v>
      </c>
      <c r="AM77" s="632" t="s">
        <v>120</v>
      </c>
      <c r="AN77" s="632" t="s">
        <v>120</v>
      </c>
      <c r="AO77" s="632" t="s">
        <v>120</v>
      </c>
    </row>
    <row r="78" customHeight="1" spans="1:41">
      <c r="A78" s="632" t="s">
        <v>255</v>
      </c>
      <c r="B78" s="632" t="s">
        <v>256</v>
      </c>
      <c r="C78" s="632"/>
      <c r="D78" s="632"/>
      <c r="E78" s="632" t="s">
        <v>114</v>
      </c>
      <c r="F78" s="632"/>
      <c r="G78" s="632" t="s">
        <v>115</v>
      </c>
      <c r="H78" s="633">
        <v>1</v>
      </c>
      <c r="I78" s="633">
        <v>0.9</v>
      </c>
      <c r="J78" s="633">
        <v>1.2</v>
      </c>
      <c r="K78" s="633">
        <v>1</v>
      </c>
      <c r="L78" s="633">
        <v>1.19999999999999</v>
      </c>
      <c r="M78" s="632"/>
      <c r="N78" s="632"/>
      <c r="O78" s="632">
        <v>2</v>
      </c>
      <c r="P78" s="636">
        <v>100</v>
      </c>
      <c r="Q78" s="636">
        <v>60</v>
      </c>
      <c r="R78" s="636">
        <v>30</v>
      </c>
      <c r="S78" s="638">
        <f t="shared" si="0"/>
        <v>100</v>
      </c>
      <c r="T78" s="638">
        <f t="shared" si="1"/>
        <v>60</v>
      </c>
      <c r="U78" s="638">
        <f t="shared" si="2"/>
        <v>30</v>
      </c>
      <c r="V78" s="638">
        <f t="shared" si="3"/>
        <v>111.111111111111</v>
      </c>
      <c r="W78" s="638">
        <f t="shared" si="4"/>
        <v>66.6666666666667</v>
      </c>
      <c r="X78" s="638">
        <f t="shared" si="5"/>
        <v>33.3333333333333</v>
      </c>
      <c r="Y78" s="638">
        <f t="shared" si="6"/>
        <v>83.3333333333333</v>
      </c>
      <c r="Z78" s="638">
        <f t="shared" si="7"/>
        <v>50</v>
      </c>
      <c r="AA78" s="638">
        <f t="shared" si="8"/>
        <v>25</v>
      </c>
      <c r="AB78" s="638">
        <f t="shared" si="9"/>
        <v>100</v>
      </c>
      <c r="AC78" s="638">
        <f t="shared" si="10"/>
        <v>60</v>
      </c>
      <c r="AD78" s="638">
        <f t="shared" si="11"/>
        <v>30</v>
      </c>
      <c r="AE78" s="632" t="s">
        <v>257</v>
      </c>
      <c r="AF78" s="632" t="s">
        <v>258</v>
      </c>
      <c r="AG78" s="632"/>
      <c r="AH78" s="632">
        <v>700</v>
      </c>
      <c r="AI78" s="632" t="s">
        <v>120</v>
      </c>
      <c r="AJ78" s="639">
        <f t="shared" si="15"/>
        <v>2</v>
      </c>
      <c r="AK78" s="632" t="s">
        <v>120</v>
      </c>
      <c r="AL78" s="632" t="s">
        <v>120</v>
      </c>
      <c r="AM78" s="632" t="s">
        <v>120</v>
      </c>
      <c r="AN78" s="632" t="s">
        <v>120</v>
      </c>
      <c r="AO78" s="632" t="s">
        <v>120</v>
      </c>
    </row>
    <row r="79" customHeight="1" spans="1:41">
      <c r="A79" s="632" t="s">
        <v>259</v>
      </c>
      <c r="B79" s="632" t="s">
        <v>260</v>
      </c>
      <c r="C79" s="632"/>
      <c r="D79" s="632"/>
      <c r="E79" s="632" t="s">
        <v>114</v>
      </c>
      <c r="F79" s="632"/>
      <c r="G79" s="632" t="s">
        <v>115</v>
      </c>
      <c r="H79" s="633">
        <v>1</v>
      </c>
      <c r="I79" s="633">
        <v>0.9</v>
      </c>
      <c r="J79" s="633">
        <v>1.2</v>
      </c>
      <c r="K79" s="633">
        <v>1</v>
      </c>
      <c r="L79" s="633">
        <v>1.19999999999999</v>
      </c>
      <c r="M79" s="632"/>
      <c r="N79" s="632"/>
      <c r="O79" s="632">
        <v>2</v>
      </c>
      <c r="P79" s="636">
        <v>60</v>
      </c>
      <c r="Q79" s="636">
        <v>40</v>
      </c>
      <c r="R79" s="636">
        <v>20</v>
      </c>
      <c r="S79" s="638">
        <f t="shared" si="0"/>
        <v>60</v>
      </c>
      <c r="T79" s="638">
        <f t="shared" si="1"/>
        <v>40</v>
      </c>
      <c r="U79" s="638">
        <f t="shared" si="2"/>
        <v>20</v>
      </c>
      <c r="V79" s="638">
        <f t="shared" si="3"/>
        <v>66.6666666666667</v>
      </c>
      <c r="W79" s="638">
        <f t="shared" si="4"/>
        <v>44.4444444444444</v>
      </c>
      <c r="X79" s="638">
        <f t="shared" si="5"/>
        <v>22.2222222222222</v>
      </c>
      <c r="Y79" s="638">
        <f t="shared" si="6"/>
        <v>50</v>
      </c>
      <c r="Z79" s="638">
        <f t="shared" si="7"/>
        <v>33.3333333333333</v>
      </c>
      <c r="AA79" s="638">
        <f t="shared" si="8"/>
        <v>16.6666666666667</v>
      </c>
      <c r="AB79" s="638">
        <f t="shared" si="9"/>
        <v>60</v>
      </c>
      <c r="AC79" s="638">
        <f t="shared" si="10"/>
        <v>40</v>
      </c>
      <c r="AD79" s="638">
        <f t="shared" si="11"/>
        <v>20</v>
      </c>
      <c r="AE79" s="632" t="s">
        <v>257</v>
      </c>
      <c r="AF79" s="632" t="s">
        <v>258</v>
      </c>
      <c r="AG79" s="632"/>
      <c r="AH79" s="632">
        <v>700</v>
      </c>
      <c r="AI79" s="632" t="s">
        <v>120</v>
      </c>
      <c r="AJ79" s="639">
        <f t="shared" si="15"/>
        <v>2</v>
      </c>
      <c r="AK79" s="632" t="s">
        <v>120</v>
      </c>
      <c r="AL79" s="632" t="s">
        <v>120</v>
      </c>
      <c r="AM79" s="632" t="s">
        <v>120</v>
      </c>
      <c r="AN79" s="632" t="s">
        <v>120</v>
      </c>
      <c r="AO79" s="632" t="s">
        <v>120</v>
      </c>
    </row>
    <row r="80" customHeight="1" spans="1:41">
      <c r="A80" s="632" t="s">
        <v>261</v>
      </c>
      <c r="B80" s="632" t="s">
        <v>262</v>
      </c>
      <c r="C80" s="632"/>
      <c r="D80" s="632"/>
      <c r="E80" s="632" t="s">
        <v>114</v>
      </c>
      <c r="F80" s="632"/>
      <c r="G80" s="632" t="s">
        <v>115</v>
      </c>
      <c r="H80" s="633">
        <v>1</v>
      </c>
      <c r="I80" s="633">
        <v>0.9</v>
      </c>
      <c r="J80" s="633">
        <v>1.2</v>
      </c>
      <c r="K80" s="633">
        <v>1</v>
      </c>
      <c r="L80" s="633">
        <v>1.19999999999999</v>
      </c>
      <c r="M80" s="632"/>
      <c r="N80" s="632"/>
      <c r="O80" s="632">
        <v>2</v>
      </c>
      <c r="P80" s="636">
        <v>90</v>
      </c>
      <c r="Q80" s="636">
        <v>45</v>
      </c>
      <c r="R80" s="636">
        <v>17</v>
      </c>
      <c r="S80" s="638">
        <f t="shared" si="0"/>
        <v>90</v>
      </c>
      <c r="T80" s="638">
        <f t="shared" si="1"/>
        <v>45</v>
      </c>
      <c r="U80" s="638">
        <f t="shared" si="2"/>
        <v>17</v>
      </c>
      <c r="V80" s="638">
        <f t="shared" si="3"/>
        <v>100</v>
      </c>
      <c r="W80" s="638">
        <f t="shared" si="4"/>
        <v>50</v>
      </c>
      <c r="X80" s="638">
        <f t="shared" si="5"/>
        <v>18.8888888888889</v>
      </c>
      <c r="Y80" s="638">
        <f t="shared" si="6"/>
        <v>75</v>
      </c>
      <c r="Z80" s="638">
        <f t="shared" si="7"/>
        <v>37.5</v>
      </c>
      <c r="AA80" s="638">
        <f t="shared" si="8"/>
        <v>14.1666666666667</v>
      </c>
      <c r="AB80" s="638">
        <f t="shared" si="9"/>
        <v>90</v>
      </c>
      <c r="AC80" s="638">
        <f t="shared" si="10"/>
        <v>45</v>
      </c>
      <c r="AD80" s="638">
        <f t="shared" si="11"/>
        <v>17</v>
      </c>
      <c r="AE80" s="632" t="s">
        <v>257</v>
      </c>
      <c r="AF80" s="632" t="s">
        <v>258</v>
      </c>
      <c r="AG80" s="632"/>
      <c r="AH80" s="632">
        <v>700</v>
      </c>
      <c r="AI80" s="632" t="s">
        <v>120</v>
      </c>
      <c r="AJ80" s="639">
        <f t="shared" si="15"/>
        <v>2</v>
      </c>
      <c r="AK80" s="632" t="s">
        <v>120</v>
      </c>
      <c r="AL80" s="632" t="s">
        <v>120</v>
      </c>
      <c r="AM80" s="632" t="s">
        <v>120</v>
      </c>
      <c r="AN80" s="632" t="s">
        <v>120</v>
      </c>
      <c r="AO80" s="632" t="s">
        <v>120</v>
      </c>
    </row>
    <row r="81" customHeight="1" spans="1:41">
      <c r="A81" s="632" t="s">
        <v>263</v>
      </c>
      <c r="B81" s="632" t="s">
        <v>264</v>
      </c>
      <c r="C81" s="632"/>
      <c r="D81" s="632"/>
      <c r="E81" s="632" t="s">
        <v>114</v>
      </c>
      <c r="F81" s="632"/>
      <c r="G81" s="632" t="s">
        <v>115</v>
      </c>
      <c r="H81" s="633">
        <v>1</v>
      </c>
      <c r="I81" s="633">
        <v>0.9</v>
      </c>
      <c r="J81" s="633">
        <v>1.2</v>
      </c>
      <c r="K81" s="633">
        <v>1</v>
      </c>
      <c r="L81" s="633">
        <v>1.19999999999999</v>
      </c>
      <c r="M81" s="632"/>
      <c r="N81" s="632"/>
      <c r="O81" s="632">
        <v>2</v>
      </c>
      <c r="P81" s="636">
        <v>45</v>
      </c>
      <c r="Q81" s="636">
        <v>30</v>
      </c>
      <c r="R81" s="636">
        <v>13</v>
      </c>
      <c r="S81" s="638">
        <f t="shared" si="0"/>
        <v>45</v>
      </c>
      <c r="T81" s="638">
        <f t="shared" si="1"/>
        <v>30</v>
      </c>
      <c r="U81" s="638">
        <f t="shared" si="2"/>
        <v>13</v>
      </c>
      <c r="V81" s="638">
        <f t="shared" si="3"/>
        <v>50</v>
      </c>
      <c r="W81" s="638">
        <f t="shared" si="4"/>
        <v>33.3333333333333</v>
      </c>
      <c r="X81" s="638">
        <f t="shared" si="5"/>
        <v>14.4444444444444</v>
      </c>
      <c r="Y81" s="638">
        <f t="shared" si="6"/>
        <v>37.5</v>
      </c>
      <c r="Z81" s="638">
        <f t="shared" si="7"/>
        <v>25</v>
      </c>
      <c r="AA81" s="638">
        <f t="shared" si="8"/>
        <v>10.8333333333333</v>
      </c>
      <c r="AB81" s="638">
        <f t="shared" si="9"/>
        <v>45</v>
      </c>
      <c r="AC81" s="638">
        <f t="shared" si="10"/>
        <v>30</v>
      </c>
      <c r="AD81" s="638">
        <f t="shared" si="11"/>
        <v>13</v>
      </c>
      <c r="AE81" s="632" t="s">
        <v>257</v>
      </c>
      <c r="AF81" s="632" t="s">
        <v>258</v>
      </c>
      <c r="AG81" s="632"/>
      <c r="AH81" s="632">
        <v>700</v>
      </c>
      <c r="AI81" s="632" t="s">
        <v>120</v>
      </c>
      <c r="AJ81" s="639">
        <f t="shared" si="15"/>
        <v>2</v>
      </c>
      <c r="AK81" s="632" t="s">
        <v>120</v>
      </c>
      <c r="AL81" s="632" t="s">
        <v>120</v>
      </c>
      <c r="AM81" s="632" t="s">
        <v>120</v>
      </c>
      <c r="AN81" s="632" t="s">
        <v>120</v>
      </c>
      <c r="AO81" s="632" t="s">
        <v>120</v>
      </c>
    </row>
    <row r="82" customHeight="1" spans="1:41">
      <c r="A82" s="632" t="s">
        <v>265</v>
      </c>
      <c r="B82" s="632" t="s">
        <v>266</v>
      </c>
      <c r="C82" s="632"/>
      <c r="D82" s="632"/>
      <c r="E82" s="632" t="s">
        <v>114</v>
      </c>
      <c r="F82" s="632"/>
      <c r="G82" s="632" t="s">
        <v>115</v>
      </c>
      <c r="H82" s="633">
        <v>1</v>
      </c>
      <c r="I82" s="633">
        <v>0.9</v>
      </c>
      <c r="J82" s="633">
        <v>1.2</v>
      </c>
      <c r="K82" s="633">
        <v>1</v>
      </c>
      <c r="L82" s="633">
        <v>1.19999999999999</v>
      </c>
      <c r="M82" s="632"/>
      <c r="N82" s="632"/>
      <c r="O82" s="632">
        <v>2</v>
      </c>
      <c r="P82" s="636">
        <v>22</v>
      </c>
      <c r="Q82" s="636">
        <v>15</v>
      </c>
      <c r="R82" s="636">
        <v>9</v>
      </c>
      <c r="S82" s="638">
        <f t="shared" si="0"/>
        <v>22</v>
      </c>
      <c r="T82" s="638">
        <f t="shared" si="1"/>
        <v>15</v>
      </c>
      <c r="U82" s="638">
        <f t="shared" si="2"/>
        <v>9</v>
      </c>
      <c r="V82" s="638">
        <f t="shared" si="3"/>
        <v>24.4444444444444</v>
      </c>
      <c r="W82" s="638">
        <f t="shared" si="4"/>
        <v>16.6666666666667</v>
      </c>
      <c r="X82" s="638">
        <f t="shared" si="5"/>
        <v>10</v>
      </c>
      <c r="Y82" s="638">
        <f t="shared" si="6"/>
        <v>18.3333333333333</v>
      </c>
      <c r="Z82" s="638">
        <f t="shared" si="7"/>
        <v>12.5</v>
      </c>
      <c r="AA82" s="638">
        <f t="shared" si="8"/>
        <v>7.5</v>
      </c>
      <c r="AB82" s="638">
        <f t="shared" si="9"/>
        <v>22</v>
      </c>
      <c r="AC82" s="638">
        <f t="shared" si="10"/>
        <v>15</v>
      </c>
      <c r="AD82" s="638">
        <f t="shared" si="11"/>
        <v>9</v>
      </c>
      <c r="AE82" s="632" t="s">
        <v>257</v>
      </c>
      <c r="AF82" s="632" t="s">
        <v>258</v>
      </c>
      <c r="AG82" s="632"/>
      <c r="AH82" s="632">
        <v>700</v>
      </c>
      <c r="AI82" s="632" t="s">
        <v>120</v>
      </c>
      <c r="AJ82" s="639">
        <f t="shared" si="15"/>
        <v>2</v>
      </c>
      <c r="AK82" s="632" t="s">
        <v>120</v>
      </c>
      <c r="AL82" s="632" t="s">
        <v>120</v>
      </c>
      <c r="AM82" s="632" t="s">
        <v>120</v>
      </c>
      <c r="AN82" s="632" t="s">
        <v>120</v>
      </c>
      <c r="AO82" s="632" t="s">
        <v>120</v>
      </c>
    </row>
    <row r="83" customHeight="1" spans="1:41">
      <c r="A83" s="632" t="s">
        <v>267</v>
      </c>
      <c r="B83" s="632" t="s">
        <v>268</v>
      </c>
      <c r="C83" s="632"/>
      <c r="D83" s="632"/>
      <c r="E83" s="632" t="s">
        <v>114</v>
      </c>
      <c r="F83" s="632"/>
      <c r="G83" s="632" t="s">
        <v>115</v>
      </c>
      <c r="H83" s="633">
        <v>1</v>
      </c>
      <c r="I83" s="633">
        <v>0.9</v>
      </c>
      <c r="J83" s="633">
        <v>1.2</v>
      </c>
      <c r="K83" s="633">
        <v>1</v>
      </c>
      <c r="L83" s="633">
        <v>1.19999999999999</v>
      </c>
      <c r="M83" s="632"/>
      <c r="N83" s="632"/>
      <c r="O83" s="632">
        <v>2</v>
      </c>
      <c r="P83" s="636">
        <v>75</v>
      </c>
      <c r="Q83" s="636">
        <v>50</v>
      </c>
      <c r="R83" s="636">
        <v>20</v>
      </c>
      <c r="S83" s="638">
        <f t="shared" si="0"/>
        <v>75</v>
      </c>
      <c r="T83" s="638">
        <f t="shared" si="1"/>
        <v>50</v>
      </c>
      <c r="U83" s="638">
        <f t="shared" si="2"/>
        <v>20</v>
      </c>
      <c r="V83" s="638">
        <f t="shared" si="3"/>
        <v>83.3333333333333</v>
      </c>
      <c r="W83" s="638">
        <f t="shared" si="4"/>
        <v>55.5555555555556</v>
      </c>
      <c r="X83" s="638">
        <f t="shared" si="5"/>
        <v>22.2222222222222</v>
      </c>
      <c r="Y83" s="638">
        <f t="shared" si="6"/>
        <v>62.5</v>
      </c>
      <c r="Z83" s="638">
        <f t="shared" si="7"/>
        <v>41.6666666666667</v>
      </c>
      <c r="AA83" s="638">
        <f t="shared" si="8"/>
        <v>16.6666666666667</v>
      </c>
      <c r="AB83" s="638">
        <f t="shared" si="9"/>
        <v>75</v>
      </c>
      <c r="AC83" s="638">
        <f t="shared" si="10"/>
        <v>50</v>
      </c>
      <c r="AD83" s="638">
        <f t="shared" si="11"/>
        <v>20</v>
      </c>
      <c r="AE83" s="632" t="s">
        <v>257</v>
      </c>
      <c r="AF83" s="632" t="s">
        <v>258</v>
      </c>
      <c r="AG83" s="632"/>
      <c r="AH83" s="632">
        <v>700</v>
      </c>
      <c r="AI83" s="632" t="s">
        <v>120</v>
      </c>
      <c r="AJ83" s="632">
        <f t="shared" si="15"/>
        <v>2</v>
      </c>
      <c r="AK83" s="632" t="s">
        <v>120</v>
      </c>
      <c r="AL83" s="632" t="s">
        <v>120</v>
      </c>
      <c r="AM83" s="632" t="s">
        <v>120</v>
      </c>
      <c r="AN83" s="632" t="s">
        <v>120</v>
      </c>
      <c r="AO83" s="632" t="s">
        <v>120</v>
      </c>
    </row>
    <row r="84" customHeight="1" spans="1:41">
      <c r="A84" s="632" t="s">
        <v>269</v>
      </c>
      <c r="B84" s="632" t="s">
        <v>270</v>
      </c>
      <c r="C84" s="632"/>
      <c r="D84" s="632"/>
      <c r="E84" s="632" t="s">
        <v>114</v>
      </c>
      <c r="F84" s="632"/>
      <c r="G84" s="632" t="s">
        <v>115</v>
      </c>
      <c r="H84" s="633">
        <v>1</v>
      </c>
      <c r="I84" s="633">
        <v>0.9</v>
      </c>
      <c r="J84" s="633">
        <v>1.2</v>
      </c>
      <c r="K84" s="633">
        <v>1</v>
      </c>
      <c r="L84" s="633">
        <v>1.19999999999999</v>
      </c>
      <c r="M84" s="632"/>
      <c r="N84" s="632"/>
      <c r="O84" s="632">
        <v>2</v>
      </c>
      <c r="P84" s="636">
        <v>54</v>
      </c>
      <c r="Q84" s="636">
        <v>30</v>
      </c>
      <c r="R84" s="636">
        <v>13</v>
      </c>
      <c r="S84" s="638">
        <f t="shared" si="0"/>
        <v>54</v>
      </c>
      <c r="T84" s="638">
        <f t="shared" si="1"/>
        <v>30</v>
      </c>
      <c r="U84" s="638">
        <f t="shared" si="2"/>
        <v>13</v>
      </c>
      <c r="V84" s="638">
        <f t="shared" si="3"/>
        <v>60</v>
      </c>
      <c r="W84" s="638">
        <f t="shared" si="4"/>
        <v>33.3333333333333</v>
      </c>
      <c r="X84" s="638">
        <f t="shared" si="5"/>
        <v>14.4444444444444</v>
      </c>
      <c r="Y84" s="638">
        <f t="shared" si="6"/>
        <v>45</v>
      </c>
      <c r="Z84" s="638">
        <f t="shared" si="7"/>
        <v>25</v>
      </c>
      <c r="AA84" s="638">
        <f t="shared" si="8"/>
        <v>10.8333333333333</v>
      </c>
      <c r="AB84" s="638">
        <f t="shared" si="9"/>
        <v>54</v>
      </c>
      <c r="AC84" s="638">
        <f t="shared" si="10"/>
        <v>30</v>
      </c>
      <c r="AD84" s="638">
        <f t="shared" si="11"/>
        <v>13</v>
      </c>
      <c r="AE84" s="632" t="s">
        <v>257</v>
      </c>
      <c r="AF84" s="632" t="s">
        <v>258</v>
      </c>
      <c r="AG84" s="632"/>
      <c r="AH84" s="632">
        <v>700</v>
      </c>
      <c r="AI84" s="632" t="s">
        <v>120</v>
      </c>
      <c r="AJ84" s="632">
        <f t="shared" si="15"/>
        <v>2</v>
      </c>
      <c r="AK84" s="632" t="s">
        <v>120</v>
      </c>
      <c r="AL84" s="632" t="s">
        <v>120</v>
      </c>
      <c r="AM84" s="632" t="s">
        <v>120</v>
      </c>
      <c r="AN84" s="632" t="s">
        <v>120</v>
      </c>
      <c r="AO84" s="632" t="s">
        <v>120</v>
      </c>
    </row>
    <row r="85" customHeight="1" spans="1:41">
      <c r="A85" s="632" t="s">
        <v>271</v>
      </c>
      <c r="B85" s="632" t="s">
        <v>272</v>
      </c>
      <c r="C85" s="632"/>
      <c r="D85" s="632"/>
      <c r="E85" s="632" t="s">
        <v>114</v>
      </c>
      <c r="F85" s="632"/>
      <c r="G85" s="632" t="s">
        <v>115</v>
      </c>
      <c r="H85" s="633">
        <v>1</v>
      </c>
      <c r="I85" s="633">
        <v>0.9</v>
      </c>
      <c r="J85" s="633">
        <v>1.2</v>
      </c>
      <c r="K85" s="633">
        <v>1</v>
      </c>
      <c r="L85" s="633">
        <v>1.19999999999999</v>
      </c>
      <c r="M85" s="632"/>
      <c r="N85" s="632"/>
      <c r="O85" s="632">
        <v>2</v>
      </c>
      <c r="P85" s="636">
        <v>15</v>
      </c>
      <c r="Q85" s="636">
        <v>11.25</v>
      </c>
      <c r="R85" s="636">
        <v>4.36363636363636</v>
      </c>
      <c r="S85" s="638">
        <f t="shared" si="0"/>
        <v>15</v>
      </c>
      <c r="T85" s="638">
        <f t="shared" si="1"/>
        <v>11.25</v>
      </c>
      <c r="U85" s="638">
        <f t="shared" si="2"/>
        <v>4.36363636363636</v>
      </c>
      <c r="V85" s="638">
        <f t="shared" si="3"/>
        <v>16.6666666666667</v>
      </c>
      <c r="W85" s="638">
        <f t="shared" si="4"/>
        <v>12.5</v>
      </c>
      <c r="X85" s="638">
        <f t="shared" si="5"/>
        <v>4.84848484848485</v>
      </c>
      <c r="Y85" s="638">
        <f t="shared" si="6"/>
        <v>12.5</v>
      </c>
      <c r="Z85" s="638">
        <f t="shared" si="7"/>
        <v>9.375</v>
      </c>
      <c r="AA85" s="638">
        <f t="shared" si="8"/>
        <v>3.63636363636364</v>
      </c>
      <c r="AB85" s="638">
        <f t="shared" si="9"/>
        <v>15</v>
      </c>
      <c r="AC85" s="638">
        <f t="shared" si="10"/>
        <v>11.25</v>
      </c>
      <c r="AD85" s="638">
        <f t="shared" si="11"/>
        <v>4.36363636363636</v>
      </c>
      <c r="AE85" s="632" t="s">
        <v>257</v>
      </c>
      <c r="AF85" s="632" t="s">
        <v>258</v>
      </c>
      <c r="AG85" s="632"/>
      <c r="AH85" s="632">
        <v>700</v>
      </c>
      <c r="AI85" s="632" t="s">
        <v>120</v>
      </c>
      <c r="AJ85" s="632">
        <f t="shared" si="15"/>
        <v>2</v>
      </c>
      <c r="AK85" s="632" t="s">
        <v>120</v>
      </c>
      <c r="AL85" s="632" t="s">
        <v>120</v>
      </c>
      <c r="AM85" s="632" t="s">
        <v>120</v>
      </c>
      <c r="AN85" s="632" t="s">
        <v>120</v>
      </c>
      <c r="AO85" s="632" t="s">
        <v>120</v>
      </c>
    </row>
    <row r="86" customHeight="1" spans="1:41">
      <c r="A86" s="632" t="s">
        <v>273</v>
      </c>
      <c r="B86" s="632" t="s">
        <v>274</v>
      </c>
      <c r="C86" s="632"/>
      <c r="D86" s="632"/>
      <c r="E86" s="632" t="s">
        <v>114</v>
      </c>
      <c r="F86" s="632"/>
      <c r="G86" s="632" t="s">
        <v>115</v>
      </c>
      <c r="H86" s="633">
        <v>1</v>
      </c>
      <c r="I86" s="633">
        <v>0.9</v>
      </c>
      <c r="J86" s="633">
        <v>1.2</v>
      </c>
      <c r="K86" s="633">
        <v>1</v>
      </c>
      <c r="L86" s="633">
        <v>1.19999999999999</v>
      </c>
      <c r="M86" s="632"/>
      <c r="N86" s="632"/>
      <c r="O86" s="632">
        <v>2</v>
      </c>
      <c r="P86" s="636">
        <v>11</v>
      </c>
      <c r="Q86" s="636">
        <v>8</v>
      </c>
      <c r="R86" s="636">
        <v>3</v>
      </c>
      <c r="S86" s="638">
        <f t="shared" si="0"/>
        <v>11</v>
      </c>
      <c r="T86" s="638">
        <f t="shared" si="1"/>
        <v>8</v>
      </c>
      <c r="U86" s="638">
        <f t="shared" si="2"/>
        <v>3</v>
      </c>
      <c r="V86" s="638">
        <f t="shared" si="3"/>
        <v>12.2222222222222</v>
      </c>
      <c r="W86" s="638">
        <f t="shared" si="4"/>
        <v>8.88888888888889</v>
      </c>
      <c r="X86" s="638">
        <f t="shared" si="5"/>
        <v>3.33333333333333</v>
      </c>
      <c r="Y86" s="638">
        <f t="shared" si="6"/>
        <v>9.16666666666667</v>
      </c>
      <c r="Z86" s="638">
        <f t="shared" si="7"/>
        <v>6.66666666666667</v>
      </c>
      <c r="AA86" s="638">
        <f t="shared" si="8"/>
        <v>2.5</v>
      </c>
      <c r="AB86" s="638">
        <f t="shared" si="9"/>
        <v>11</v>
      </c>
      <c r="AC86" s="638">
        <f t="shared" si="10"/>
        <v>8</v>
      </c>
      <c r="AD86" s="638">
        <f t="shared" si="11"/>
        <v>3</v>
      </c>
      <c r="AE86" s="632" t="s">
        <v>257</v>
      </c>
      <c r="AF86" s="632" t="s">
        <v>258</v>
      </c>
      <c r="AG86" s="632"/>
      <c r="AH86" s="632">
        <v>700</v>
      </c>
      <c r="AI86" s="632" t="s">
        <v>120</v>
      </c>
      <c r="AJ86" s="632">
        <f t="shared" si="15"/>
        <v>2</v>
      </c>
      <c r="AK86" s="632" t="s">
        <v>120</v>
      </c>
      <c r="AL86" s="632" t="s">
        <v>120</v>
      </c>
      <c r="AM86" s="632" t="s">
        <v>120</v>
      </c>
      <c r="AN86" s="632" t="s">
        <v>120</v>
      </c>
      <c r="AO86" s="632" t="s">
        <v>120</v>
      </c>
    </row>
    <row r="87" customHeight="1" spans="1:41">
      <c r="A87" s="632" t="s">
        <v>275</v>
      </c>
      <c r="B87" s="632" t="s">
        <v>276</v>
      </c>
      <c r="C87" s="632"/>
      <c r="D87" s="632"/>
      <c r="E87" s="632" t="s">
        <v>114</v>
      </c>
      <c r="F87" s="632"/>
      <c r="G87" s="632" t="s">
        <v>115</v>
      </c>
      <c r="H87" s="633">
        <v>1</v>
      </c>
      <c r="I87" s="633">
        <v>0.9</v>
      </c>
      <c r="J87" s="633">
        <v>1.2</v>
      </c>
      <c r="K87" s="633">
        <v>1</v>
      </c>
      <c r="L87" s="633">
        <v>1.19999999999999</v>
      </c>
      <c r="M87" s="632"/>
      <c r="N87" s="632"/>
      <c r="O87" s="632">
        <v>2</v>
      </c>
      <c r="P87" s="636">
        <v>60</v>
      </c>
      <c r="Q87" s="636">
        <v>35</v>
      </c>
      <c r="R87" s="636">
        <v>19</v>
      </c>
      <c r="S87" s="638">
        <f t="shared" si="0"/>
        <v>60</v>
      </c>
      <c r="T87" s="638">
        <f t="shared" si="1"/>
        <v>35</v>
      </c>
      <c r="U87" s="638">
        <f t="shared" si="2"/>
        <v>19</v>
      </c>
      <c r="V87" s="638">
        <f t="shared" si="3"/>
        <v>66.6666666666667</v>
      </c>
      <c r="W87" s="638">
        <f t="shared" si="4"/>
        <v>38.8888888888889</v>
      </c>
      <c r="X87" s="638">
        <f t="shared" si="5"/>
        <v>21.1111111111111</v>
      </c>
      <c r="Y87" s="638">
        <f t="shared" si="6"/>
        <v>50</v>
      </c>
      <c r="Z87" s="638">
        <f t="shared" si="7"/>
        <v>29.1666666666667</v>
      </c>
      <c r="AA87" s="638">
        <f t="shared" si="8"/>
        <v>15.8333333333333</v>
      </c>
      <c r="AB87" s="638">
        <f t="shared" si="9"/>
        <v>60</v>
      </c>
      <c r="AC87" s="638">
        <f t="shared" si="10"/>
        <v>35</v>
      </c>
      <c r="AD87" s="638">
        <f t="shared" si="11"/>
        <v>19</v>
      </c>
      <c r="AE87" s="632" t="s">
        <v>257</v>
      </c>
      <c r="AF87" s="632" t="s">
        <v>258</v>
      </c>
      <c r="AG87" s="632"/>
      <c r="AH87" s="632">
        <v>700</v>
      </c>
      <c r="AI87" s="632" t="s">
        <v>120</v>
      </c>
      <c r="AJ87" s="632">
        <f t="shared" si="15"/>
        <v>2</v>
      </c>
      <c r="AK87" s="632" t="s">
        <v>120</v>
      </c>
      <c r="AL87" s="632" t="s">
        <v>120</v>
      </c>
      <c r="AM87" s="632" t="s">
        <v>120</v>
      </c>
      <c r="AN87" s="632" t="s">
        <v>120</v>
      </c>
      <c r="AO87" s="632" t="s">
        <v>120</v>
      </c>
    </row>
    <row r="88" customHeight="1" spans="1:41">
      <c r="A88" s="632" t="s">
        <v>277</v>
      </c>
      <c r="B88" s="632" t="s">
        <v>278</v>
      </c>
      <c r="C88" s="632"/>
      <c r="D88" s="632"/>
      <c r="E88" s="632" t="s">
        <v>114</v>
      </c>
      <c r="F88" s="632"/>
      <c r="G88" s="632" t="s">
        <v>115</v>
      </c>
      <c r="H88" s="633">
        <v>1</v>
      </c>
      <c r="I88" s="633">
        <v>0.9</v>
      </c>
      <c r="J88" s="633">
        <v>1.2</v>
      </c>
      <c r="K88" s="633">
        <v>1</v>
      </c>
      <c r="L88" s="633">
        <v>1.19999999999999</v>
      </c>
      <c r="M88" s="632"/>
      <c r="N88" s="632"/>
      <c r="O88" s="632">
        <v>2</v>
      </c>
      <c r="P88" s="636">
        <v>90</v>
      </c>
      <c r="Q88" s="636">
        <v>45</v>
      </c>
      <c r="R88" s="636">
        <v>17</v>
      </c>
      <c r="S88" s="638">
        <f t="shared" si="0"/>
        <v>90</v>
      </c>
      <c r="T88" s="638">
        <f t="shared" si="1"/>
        <v>45</v>
      </c>
      <c r="U88" s="638">
        <f t="shared" si="2"/>
        <v>17</v>
      </c>
      <c r="V88" s="638">
        <f t="shared" si="3"/>
        <v>100</v>
      </c>
      <c r="W88" s="638">
        <f t="shared" si="4"/>
        <v>50</v>
      </c>
      <c r="X88" s="638">
        <f t="shared" si="5"/>
        <v>18.8888888888889</v>
      </c>
      <c r="Y88" s="638">
        <f t="shared" si="6"/>
        <v>75</v>
      </c>
      <c r="Z88" s="638">
        <f t="shared" si="7"/>
        <v>37.5</v>
      </c>
      <c r="AA88" s="638">
        <f t="shared" si="8"/>
        <v>14.1666666666667</v>
      </c>
      <c r="AB88" s="638">
        <f t="shared" si="9"/>
        <v>90</v>
      </c>
      <c r="AC88" s="638">
        <f t="shared" si="10"/>
        <v>45</v>
      </c>
      <c r="AD88" s="638">
        <f t="shared" si="11"/>
        <v>17</v>
      </c>
      <c r="AE88" s="632" t="s">
        <v>257</v>
      </c>
      <c r="AF88" s="632" t="s">
        <v>258</v>
      </c>
      <c r="AG88" s="632"/>
      <c r="AH88" s="632">
        <v>700</v>
      </c>
      <c r="AI88" s="632" t="s">
        <v>120</v>
      </c>
      <c r="AJ88" s="632">
        <f t="shared" si="15"/>
        <v>2</v>
      </c>
      <c r="AK88" s="632" t="s">
        <v>120</v>
      </c>
      <c r="AL88" s="632" t="s">
        <v>120</v>
      </c>
      <c r="AM88" s="632" t="s">
        <v>120</v>
      </c>
      <c r="AN88" s="632" t="s">
        <v>120</v>
      </c>
      <c r="AO88" s="632" t="s">
        <v>120</v>
      </c>
    </row>
    <row r="89" customHeight="1" spans="1:41">
      <c r="A89" s="632" t="s">
        <v>279</v>
      </c>
      <c r="B89" s="632" t="s">
        <v>280</v>
      </c>
      <c r="C89" s="632"/>
      <c r="D89" s="632"/>
      <c r="E89" s="632" t="s">
        <v>114</v>
      </c>
      <c r="F89" s="632"/>
      <c r="G89" s="632" t="s">
        <v>115</v>
      </c>
      <c r="H89" s="633">
        <v>1</v>
      </c>
      <c r="I89" s="633">
        <v>0.9</v>
      </c>
      <c r="J89" s="633">
        <v>1.2</v>
      </c>
      <c r="K89" s="633">
        <v>1</v>
      </c>
      <c r="L89" s="633">
        <v>1.19999999999999</v>
      </c>
      <c r="M89" s="632"/>
      <c r="N89" s="632"/>
      <c r="O89" s="632">
        <v>2</v>
      </c>
      <c r="P89" s="636">
        <v>150</v>
      </c>
      <c r="Q89" s="636">
        <v>80</v>
      </c>
      <c r="R89" s="636">
        <v>55</v>
      </c>
      <c r="S89" s="638">
        <f t="shared" si="0"/>
        <v>150</v>
      </c>
      <c r="T89" s="638">
        <f t="shared" si="1"/>
        <v>80</v>
      </c>
      <c r="U89" s="638">
        <f t="shared" si="2"/>
        <v>55</v>
      </c>
      <c r="V89" s="638">
        <f t="shared" si="3"/>
        <v>166.666666666667</v>
      </c>
      <c r="W89" s="638">
        <f t="shared" si="4"/>
        <v>88.8888888888889</v>
      </c>
      <c r="X89" s="638">
        <f t="shared" si="5"/>
        <v>61.1111111111111</v>
      </c>
      <c r="Y89" s="638">
        <f t="shared" si="6"/>
        <v>125</v>
      </c>
      <c r="Z89" s="638">
        <f t="shared" si="7"/>
        <v>66.6666666666667</v>
      </c>
      <c r="AA89" s="638">
        <f t="shared" si="8"/>
        <v>45.8333333333333</v>
      </c>
      <c r="AB89" s="638">
        <f t="shared" si="9"/>
        <v>150</v>
      </c>
      <c r="AC89" s="638">
        <f t="shared" si="10"/>
        <v>80</v>
      </c>
      <c r="AD89" s="638">
        <f t="shared" si="11"/>
        <v>55</v>
      </c>
      <c r="AE89" s="632" t="s">
        <v>257</v>
      </c>
      <c r="AF89" s="632" t="s">
        <v>258</v>
      </c>
      <c r="AG89" s="632"/>
      <c r="AH89" s="632"/>
      <c r="AI89" s="632" t="s">
        <v>120</v>
      </c>
      <c r="AJ89" s="632">
        <f t="shared" si="15"/>
        <v>2</v>
      </c>
      <c r="AK89" s="632" t="s">
        <v>120</v>
      </c>
      <c r="AL89" s="632" t="s">
        <v>120</v>
      </c>
      <c r="AM89" s="632" t="s">
        <v>120</v>
      </c>
      <c r="AN89" s="632" t="s">
        <v>120</v>
      </c>
      <c r="AO89" s="632" t="s">
        <v>120</v>
      </c>
    </row>
    <row r="90" customHeight="1" spans="1:41">
      <c r="A90" s="632" t="s">
        <v>281</v>
      </c>
      <c r="B90" s="632" t="s">
        <v>282</v>
      </c>
      <c r="C90" s="632"/>
      <c r="D90" s="632"/>
      <c r="E90" s="632" t="s">
        <v>114</v>
      </c>
      <c r="F90" s="632"/>
      <c r="G90" s="632" t="s">
        <v>115</v>
      </c>
      <c r="H90" s="633">
        <v>1</v>
      </c>
      <c r="I90" s="633">
        <v>0.9</v>
      </c>
      <c r="J90" s="633">
        <v>1.2</v>
      </c>
      <c r="K90" s="633">
        <v>1</v>
      </c>
      <c r="L90" s="633">
        <v>1.19999999999999</v>
      </c>
      <c r="M90" s="632"/>
      <c r="N90" s="632"/>
      <c r="O90" s="632">
        <v>2</v>
      </c>
      <c r="P90" s="636">
        <v>75</v>
      </c>
      <c r="Q90" s="636">
        <v>55</v>
      </c>
      <c r="R90" s="636">
        <v>40</v>
      </c>
      <c r="S90" s="638">
        <f t="shared" si="0"/>
        <v>75</v>
      </c>
      <c r="T90" s="638">
        <f t="shared" si="1"/>
        <v>55</v>
      </c>
      <c r="U90" s="638">
        <f t="shared" si="2"/>
        <v>40</v>
      </c>
      <c r="V90" s="638">
        <f t="shared" si="3"/>
        <v>83.3333333333333</v>
      </c>
      <c r="W90" s="638">
        <f t="shared" si="4"/>
        <v>61.1111111111111</v>
      </c>
      <c r="X90" s="638">
        <f t="shared" si="5"/>
        <v>44.4444444444444</v>
      </c>
      <c r="Y90" s="638">
        <f t="shared" si="6"/>
        <v>62.5</v>
      </c>
      <c r="Z90" s="638">
        <f t="shared" si="7"/>
        <v>45.8333333333333</v>
      </c>
      <c r="AA90" s="638">
        <f t="shared" si="8"/>
        <v>33.3333333333333</v>
      </c>
      <c r="AB90" s="638">
        <f t="shared" si="9"/>
        <v>75</v>
      </c>
      <c r="AC90" s="638">
        <f t="shared" si="10"/>
        <v>55</v>
      </c>
      <c r="AD90" s="638">
        <f t="shared" si="11"/>
        <v>40</v>
      </c>
      <c r="AE90" s="632" t="s">
        <v>257</v>
      </c>
      <c r="AF90" s="632" t="s">
        <v>258</v>
      </c>
      <c r="AG90" s="632"/>
      <c r="AH90" s="632"/>
      <c r="AI90" s="632" t="s">
        <v>120</v>
      </c>
      <c r="AJ90" s="632">
        <f t="shared" si="15"/>
        <v>2</v>
      </c>
      <c r="AK90" s="632" t="s">
        <v>120</v>
      </c>
      <c r="AL90" s="632" t="s">
        <v>120</v>
      </c>
      <c r="AM90" s="632" t="s">
        <v>120</v>
      </c>
      <c r="AN90" s="632" t="s">
        <v>120</v>
      </c>
      <c r="AO90" s="632" t="s">
        <v>120</v>
      </c>
    </row>
    <row r="91" customHeight="1" spans="1:41">
      <c r="A91" s="632" t="s">
        <v>283</v>
      </c>
      <c r="B91" s="632" t="s">
        <v>284</v>
      </c>
      <c r="C91" s="632"/>
      <c r="D91" s="632"/>
      <c r="E91" s="632" t="s">
        <v>114</v>
      </c>
      <c r="F91" s="632"/>
      <c r="G91" s="632" t="s">
        <v>115</v>
      </c>
      <c r="H91" s="633">
        <v>1</v>
      </c>
      <c r="I91" s="633">
        <v>0.9</v>
      </c>
      <c r="J91" s="633">
        <v>1.2</v>
      </c>
      <c r="K91" s="633">
        <v>1</v>
      </c>
      <c r="L91" s="633">
        <v>1.19999999999999</v>
      </c>
      <c r="M91" s="632"/>
      <c r="N91" s="632"/>
      <c r="O91" s="632">
        <v>2</v>
      </c>
      <c r="P91" s="636">
        <v>70</v>
      </c>
      <c r="Q91" s="636">
        <v>45</v>
      </c>
      <c r="R91" s="636">
        <v>35</v>
      </c>
      <c r="S91" s="638">
        <f t="shared" si="0"/>
        <v>70</v>
      </c>
      <c r="T91" s="638">
        <f t="shared" si="1"/>
        <v>45</v>
      </c>
      <c r="U91" s="638">
        <f t="shared" si="2"/>
        <v>35</v>
      </c>
      <c r="V91" s="638">
        <f t="shared" si="3"/>
        <v>77.7777777777778</v>
      </c>
      <c r="W91" s="638">
        <f t="shared" si="4"/>
        <v>50</v>
      </c>
      <c r="X91" s="638">
        <f t="shared" si="5"/>
        <v>38.8888888888889</v>
      </c>
      <c r="Y91" s="638">
        <f t="shared" si="6"/>
        <v>58.3333333333333</v>
      </c>
      <c r="Z91" s="638">
        <f t="shared" si="7"/>
        <v>37.5</v>
      </c>
      <c r="AA91" s="638">
        <f t="shared" si="8"/>
        <v>29.1666666666667</v>
      </c>
      <c r="AB91" s="638">
        <f t="shared" si="9"/>
        <v>70</v>
      </c>
      <c r="AC91" s="638">
        <f t="shared" si="10"/>
        <v>45</v>
      </c>
      <c r="AD91" s="638">
        <f t="shared" si="11"/>
        <v>35</v>
      </c>
      <c r="AE91" s="632" t="s">
        <v>257</v>
      </c>
      <c r="AF91" s="632" t="s">
        <v>258</v>
      </c>
      <c r="AG91" s="632"/>
      <c r="AH91" s="632"/>
      <c r="AI91" s="632" t="s">
        <v>120</v>
      </c>
      <c r="AJ91" s="632">
        <f t="shared" si="15"/>
        <v>2</v>
      </c>
      <c r="AK91" s="632" t="s">
        <v>120</v>
      </c>
      <c r="AL91" s="632" t="s">
        <v>120</v>
      </c>
      <c r="AM91" s="632" t="s">
        <v>120</v>
      </c>
      <c r="AN91" s="632" t="s">
        <v>120</v>
      </c>
      <c r="AO91" s="632" t="s">
        <v>120</v>
      </c>
    </row>
    <row r="92" customHeight="1" spans="1:41">
      <c r="A92" s="632" t="s">
        <v>285</v>
      </c>
      <c r="B92" s="632" t="s">
        <v>286</v>
      </c>
      <c r="C92" s="632"/>
      <c r="D92" s="632"/>
      <c r="E92" s="632" t="s">
        <v>114</v>
      </c>
      <c r="F92" s="632"/>
      <c r="G92" s="632" t="s">
        <v>115</v>
      </c>
      <c r="H92" s="633">
        <v>1</v>
      </c>
      <c r="I92" s="633">
        <v>0.9</v>
      </c>
      <c r="J92" s="633">
        <v>1.2</v>
      </c>
      <c r="K92" s="633">
        <v>1</v>
      </c>
      <c r="L92" s="633">
        <v>1.19999999999999</v>
      </c>
      <c r="M92" s="632"/>
      <c r="N92" s="632"/>
      <c r="O92" s="632">
        <v>2</v>
      </c>
      <c r="P92" s="636">
        <v>30</v>
      </c>
      <c r="Q92" s="636">
        <v>18</v>
      </c>
      <c r="R92" s="636">
        <v>12</v>
      </c>
      <c r="S92" s="638">
        <f t="shared" si="0"/>
        <v>30</v>
      </c>
      <c r="T92" s="638">
        <f t="shared" si="1"/>
        <v>18</v>
      </c>
      <c r="U92" s="638">
        <f t="shared" si="2"/>
        <v>12</v>
      </c>
      <c r="V92" s="638">
        <f t="shared" si="3"/>
        <v>33.3333333333333</v>
      </c>
      <c r="W92" s="638">
        <f t="shared" si="4"/>
        <v>20</v>
      </c>
      <c r="X92" s="638">
        <f t="shared" si="5"/>
        <v>13.3333333333333</v>
      </c>
      <c r="Y92" s="638">
        <f t="shared" si="6"/>
        <v>25</v>
      </c>
      <c r="Z92" s="638">
        <f t="shared" si="7"/>
        <v>15</v>
      </c>
      <c r="AA92" s="638">
        <f t="shared" si="8"/>
        <v>10</v>
      </c>
      <c r="AB92" s="638">
        <f t="shared" si="9"/>
        <v>30</v>
      </c>
      <c r="AC92" s="638">
        <f t="shared" si="10"/>
        <v>18</v>
      </c>
      <c r="AD92" s="638">
        <f t="shared" si="11"/>
        <v>12</v>
      </c>
      <c r="AE92" s="632" t="s">
        <v>257</v>
      </c>
      <c r="AF92" s="632" t="s">
        <v>258</v>
      </c>
      <c r="AG92" s="632"/>
      <c r="AH92" s="632"/>
      <c r="AI92" s="632" t="s">
        <v>120</v>
      </c>
      <c r="AJ92" s="632">
        <f t="shared" si="15"/>
        <v>2</v>
      </c>
      <c r="AK92" s="632" t="s">
        <v>120</v>
      </c>
      <c r="AL92" s="632" t="s">
        <v>120</v>
      </c>
      <c r="AM92" s="632" t="s">
        <v>120</v>
      </c>
      <c r="AN92" s="632" t="s">
        <v>120</v>
      </c>
      <c r="AO92" s="632" t="s">
        <v>120</v>
      </c>
    </row>
    <row r="93" customHeight="1" spans="1:41">
      <c r="A93" s="632" t="s">
        <v>287</v>
      </c>
      <c r="B93" s="632" t="s">
        <v>288</v>
      </c>
      <c r="C93" s="632"/>
      <c r="D93" s="632"/>
      <c r="E93" s="632" t="s">
        <v>114</v>
      </c>
      <c r="F93" s="632"/>
      <c r="G93" s="632" t="s">
        <v>115</v>
      </c>
      <c r="H93" s="633">
        <v>1</v>
      </c>
      <c r="I93" s="633">
        <v>0.9</v>
      </c>
      <c r="J93" s="633">
        <v>1.2</v>
      </c>
      <c r="K93" s="633">
        <v>1</v>
      </c>
      <c r="L93" s="633">
        <v>1.19999999999999</v>
      </c>
      <c r="M93" s="632"/>
      <c r="N93" s="632"/>
      <c r="O93" s="632" t="s">
        <v>119</v>
      </c>
      <c r="P93" s="636">
        <v>10</v>
      </c>
      <c r="Q93" s="636" t="s">
        <v>117</v>
      </c>
      <c r="R93" s="636" t="s">
        <v>117</v>
      </c>
      <c r="S93" s="638">
        <f t="shared" si="0"/>
        <v>10</v>
      </c>
      <c r="T93" s="638" t="e">
        <f t="shared" si="1"/>
        <v>#VALUE!</v>
      </c>
      <c r="U93" s="638" t="e">
        <f t="shared" si="2"/>
        <v>#VALUE!</v>
      </c>
      <c r="V93" s="638">
        <f t="shared" si="3"/>
        <v>11.1111111111111</v>
      </c>
      <c r="W93" s="638" t="e">
        <f t="shared" si="4"/>
        <v>#VALUE!</v>
      </c>
      <c r="X93" s="638" t="e">
        <f t="shared" si="5"/>
        <v>#VALUE!</v>
      </c>
      <c r="Y93" s="638">
        <f t="shared" si="6"/>
        <v>8.33333333333333</v>
      </c>
      <c r="Z93" s="638" t="e">
        <f t="shared" si="7"/>
        <v>#VALUE!</v>
      </c>
      <c r="AA93" s="638" t="e">
        <f t="shared" si="8"/>
        <v>#VALUE!</v>
      </c>
      <c r="AB93" s="638">
        <f t="shared" si="9"/>
        <v>10</v>
      </c>
      <c r="AC93" s="638" t="e">
        <f t="shared" si="10"/>
        <v>#VALUE!</v>
      </c>
      <c r="AD93" s="638" t="e">
        <f t="shared" si="11"/>
        <v>#VALUE!</v>
      </c>
      <c r="AE93" s="632" t="s">
        <v>289</v>
      </c>
      <c r="AF93" s="632"/>
      <c r="AG93" s="632"/>
      <c r="AH93" s="632"/>
      <c r="AI93" s="632" t="s">
        <v>120</v>
      </c>
      <c r="AJ93" s="639" t="str">
        <f t="shared" si="15"/>
        <v>n/a</v>
      </c>
      <c r="AK93" s="632" t="s">
        <v>120</v>
      </c>
      <c r="AL93" s="632"/>
      <c r="AM93" s="632"/>
      <c r="AN93" s="632"/>
      <c r="AO93" s="632"/>
    </row>
    <row r="94" customHeight="1" spans="1:41">
      <c r="A94" s="632" t="s">
        <v>290</v>
      </c>
      <c r="B94" s="632" t="s">
        <v>291</v>
      </c>
      <c r="C94" s="632"/>
      <c r="D94" s="632"/>
      <c r="E94" s="632" t="s">
        <v>114</v>
      </c>
      <c r="F94" s="632"/>
      <c r="G94" s="632" t="s">
        <v>115</v>
      </c>
      <c r="H94" s="633">
        <v>1</v>
      </c>
      <c r="I94" s="633">
        <v>0.9</v>
      </c>
      <c r="J94" s="633">
        <v>1.2</v>
      </c>
      <c r="K94" s="633">
        <v>1</v>
      </c>
      <c r="L94" s="633">
        <v>1.19999999999999</v>
      </c>
      <c r="M94" s="632"/>
      <c r="N94" s="632"/>
      <c r="O94" s="632" t="s">
        <v>119</v>
      </c>
      <c r="P94" s="636">
        <v>7</v>
      </c>
      <c r="Q94" s="636" t="s">
        <v>117</v>
      </c>
      <c r="R94" s="636" t="s">
        <v>117</v>
      </c>
      <c r="S94" s="638">
        <f t="shared" si="0"/>
        <v>7</v>
      </c>
      <c r="T94" s="638" t="e">
        <f t="shared" si="1"/>
        <v>#VALUE!</v>
      </c>
      <c r="U94" s="638" t="e">
        <f t="shared" si="2"/>
        <v>#VALUE!</v>
      </c>
      <c r="V94" s="638">
        <f t="shared" si="3"/>
        <v>7.77777777777778</v>
      </c>
      <c r="W94" s="638" t="e">
        <f t="shared" si="4"/>
        <v>#VALUE!</v>
      </c>
      <c r="X94" s="638" t="e">
        <f t="shared" si="5"/>
        <v>#VALUE!</v>
      </c>
      <c r="Y94" s="638">
        <f t="shared" si="6"/>
        <v>5.83333333333333</v>
      </c>
      <c r="Z94" s="638" t="e">
        <f t="shared" si="7"/>
        <v>#VALUE!</v>
      </c>
      <c r="AA94" s="638" t="e">
        <f t="shared" si="8"/>
        <v>#VALUE!</v>
      </c>
      <c r="AB94" s="638">
        <f t="shared" si="9"/>
        <v>7</v>
      </c>
      <c r="AC94" s="638" t="e">
        <f t="shared" si="10"/>
        <v>#VALUE!</v>
      </c>
      <c r="AD94" s="638" t="e">
        <f t="shared" si="11"/>
        <v>#VALUE!</v>
      </c>
      <c r="AE94" s="632" t="s">
        <v>289</v>
      </c>
      <c r="AF94" s="632"/>
      <c r="AG94" s="632"/>
      <c r="AH94" s="632"/>
      <c r="AI94" s="632" t="s">
        <v>120</v>
      </c>
      <c r="AJ94" s="639" t="str">
        <f t="shared" si="15"/>
        <v>n/a</v>
      </c>
      <c r="AK94" s="632" t="s">
        <v>120</v>
      </c>
      <c r="AL94" s="632"/>
      <c r="AM94" s="632"/>
      <c r="AN94" s="632"/>
      <c r="AO94" s="632"/>
    </row>
    <row r="95" customHeight="1" spans="1:41">
      <c r="A95" s="632" t="s">
        <v>292</v>
      </c>
      <c r="B95" s="632" t="s">
        <v>293</v>
      </c>
      <c r="C95" s="632"/>
      <c r="D95" s="632"/>
      <c r="E95" s="632" t="s">
        <v>114</v>
      </c>
      <c r="F95" s="632"/>
      <c r="G95" s="632" t="s">
        <v>115</v>
      </c>
      <c r="H95" s="633">
        <v>1</v>
      </c>
      <c r="I95" s="633">
        <v>0.9</v>
      </c>
      <c r="J95" s="633">
        <v>1.2</v>
      </c>
      <c r="K95" s="633">
        <v>1</v>
      </c>
      <c r="L95" s="633">
        <v>1.19999999999999</v>
      </c>
      <c r="M95" s="632"/>
      <c r="N95" s="632"/>
      <c r="O95" s="632" t="s">
        <v>119</v>
      </c>
      <c r="P95" s="636">
        <v>4</v>
      </c>
      <c r="Q95" s="636" t="s">
        <v>117</v>
      </c>
      <c r="R95" s="636" t="s">
        <v>117</v>
      </c>
      <c r="S95" s="638">
        <f t="shared" si="0"/>
        <v>4</v>
      </c>
      <c r="T95" s="638" t="e">
        <f t="shared" si="1"/>
        <v>#VALUE!</v>
      </c>
      <c r="U95" s="638" t="e">
        <f t="shared" si="2"/>
        <v>#VALUE!</v>
      </c>
      <c r="V95" s="638">
        <f t="shared" si="3"/>
        <v>4.44444444444444</v>
      </c>
      <c r="W95" s="638" t="e">
        <f t="shared" si="4"/>
        <v>#VALUE!</v>
      </c>
      <c r="X95" s="638" t="e">
        <f t="shared" si="5"/>
        <v>#VALUE!</v>
      </c>
      <c r="Y95" s="638">
        <f t="shared" si="6"/>
        <v>3.33333333333333</v>
      </c>
      <c r="Z95" s="638" t="e">
        <f t="shared" si="7"/>
        <v>#VALUE!</v>
      </c>
      <c r="AA95" s="638" t="e">
        <f t="shared" si="8"/>
        <v>#VALUE!</v>
      </c>
      <c r="AB95" s="638">
        <f t="shared" si="9"/>
        <v>4</v>
      </c>
      <c r="AC95" s="638" t="e">
        <f t="shared" si="10"/>
        <v>#VALUE!</v>
      </c>
      <c r="AD95" s="638" t="e">
        <f t="shared" si="11"/>
        <v>#VALUE!</v>
      </c>
      <c r="AE95" s="632" t="s">
        <v>289</v>
      </c>
      <c r="AF95" s="632"/>
      <c r="AG95" s="632"/>
      <c r="AH95" s="632"/>
      <c r="AI95" s="632" t="s">
        <v>120</v>
      </c>
      <c r="AJ95" s="639" t="str">
        <f t="shared" si="15"/>
        <v>n/a</v>
      </c>
      <c r="AK95" s="632" t="s">
        <v>120</v>
      </c>
      <c r="AL95" s="632"/>
      <c r="AM95" s="632"/>
      <c r="AN95" s="632"/>
      <c r="AO95" s="632"/>
    </row>
    <row r="96" customHeight="1" spans="1:41">
      <c r="A96" s="632" t="s">
        <v>294</v>
      </c>
      <c r="B96" s="632" t="s">
        <v>294</v>
      </c>
      <c r="C96" s="632"/>
      <c r="D96" s="632"/>
      <c r="E96" s="632" t="s">
        <v>114</v>
      </c>
      <c r="F96" s="632"/>
      <c r="G96" s="632" t="s">
        <v>115</v>
      </c>
      <c r="H96" s="633">
        <v>1</v>
      </c>
      <c r="I96" s="633">
        <v>0.9</v>
      </c>
      <c r="J96" s="633">
        <v>1.2</v>
      </c>
      <c r="K96" s="633">
        <v>1</v>
      </c>
      <c r="L96" s="633">
        <v>1.19999999999999</v>
      </c>
      <c r="M96" s="632" t="s">
        <v>129</v>
      </c>
      <c r="N96" s="632"/>
      <c r="O96" s="632">
        <v>2</v>
      </c>
      <c r="P96" s="637">
        <v>149</v>
      </c>
      <c r="Q96" s="636" t="s">
        <v>117</v>
      </c>
      <c r="R96" s="636" t="s">
        <v>117</v>
      </c>
      <c r="S96" s="638">
        <f t="shared" si="0"/>
        <v>149</v>
      </c>
      <c r="T96" s="638" t="e">
        <f t="shared" si="1"/>
        <v>#VALUE!</v>
      </c>
      <c r="U96" s="638" t="e">
        <f t="shared" si="2"/>
        <v>#VALUE!</v>
      </c>
      <c r="V96" s="638">
        <f t="shared" si="3"/>
        <v>165.555555555556</v>
      </c>
      <c r="W96" s="638" t="e">
        <f t="shared" si="4"/>
        <v>#VALUE!</v>
      </c>
      <c r="X96" s="638" t="e">
        <f t="shared" si="5"/>
        <v>#VALUE!</v>
      </c>
      <c r="Y96" s="638">
        <f t="shared" si="6"/>
        <v>124.166666666667</v>
      </c>
      <c r="Z96" s="638" t="e">
        <f t="shared" si="7"/>
        <v>#VALUE!</v>
      </c>
      <c r="AA96" s="638" t="e">
        <f t="shared" si="8"/>
        <v>#VALUE!</v>
      </c>
      <c r="AB96" s="638">
        <f t="shared" si="9"/>
        <v>149</v>
      </c>
      <c r="AC96" s="638" t="e">
        <f t="shared" si="10"/>
        <v>#VALUE!</v>
      </c>
      <c r="AD96" s="638" t="e">
        <f t="shared" si="11"/>
        <v>#VALUE!</v>
      </c>
      <c r="AE96" s="632" t="s">
        <v>159</v>
      </c>
      <c r="AF96" s="632" t="s">
        <v>295</v>
      </c>
      <c r="AG96" s="632"/>
      <c r="AH96" s="632"/>
      <c r="AI96" s="632" t="s">
        <v>120</v>
      </c>
      <c r="AJ96" s="639">
        <f t="shared" si="15"/>
        <v>2</v>
      </c>
      <c r="AK96" s="632" t="s">
        <v>120</v>
      </c>
      <c r="AL96" s="632" t="s">
        <v>120</v>
      </c>
      <c r="AM96" s="632" t="s">
        <v>120</v>
      </c>
      <c r="AN96" s="632" t="s">
        <v>120</v>
      </c>
      <c r="AO96" s="632" t="s">
        <v>120</v>
      </c>
    </row>
    <row r="97" customHeight="1" spans="1:41">
      <c r="A97" s="632" t="s">
        <v>296</v>
      </c>
      <c r="B97" s="632" t="s">
        <v>297</v>
      </c>
      <c r="C97" s="632"/>
      <c r="D97" s="632"/>
      <c r="E97" s="632" t="s">
        <v>114</v>
      </c>
      <c r="F97" s="632"/>
      <c r="G97" s="632" t="s">
        <v>115</v>
      </c>
      <c r="H97" s="633">
        <v>1</v>
      </c>
      <c r="I97" s="633">
        <v>0.9</v>
      </c>
      <c r="J97" s="633">
        <v>1.2</v>
      </c>
      <c r="K97" s="633">
        <v>1</v>
      </c>
      <c r="L97" s="633">
        <v>1.19999999999999</v>
      </c>
      <c r="M97" s="632" t="s">
        <v>129</v>
      </c>
      <c r="N97" s="632"/>
      <c r="O97" s="632">
        <v>2</v>
      </c>
      <c r="P97" s="637">
        <v>329</v>
      </c>
      <c r="Q97" s="636" t="s">
        <v>117</v>
      </c>
      <c r="R97" s="636" t="s">
        <v>117</v>
      </c>
      <c r="S97" s="638">
        <f t="shared" si="0"/>
        <v>329</v>
      </c>
      <c r="T97" s="638" t="e">
        <f t="shared" si="1"/>
        <v>#VALUE!</v>
      </c>
      <c r="U97" s="638" t="e">
        <f t="shared" si="2"/>
        <v>#VALUE!</v>
      </c>
      <c r="V97" s="638">
        <f t="shared" si="3"/>
        <v>365.555555555556</v>
      </c>
      <c r="W97" s="638" t="e">
        <f t="shared" si="4"/>
        <v>#VALUE!</v>
      </c>
      <c r="X97" s="638" t="e">
        <f t="shared" si="5"/>
        <v>#VALUE!</v>
      </c>
      <c r="Y97" s="638">
        <f t="shared" si="6"/>
        <v>274.166666666667</v>
      </c>
      <c r="Z97" s="638" t="e">
        <f t="shared" si="7"/>
        <v>#VALUE!</v>
      </c>
      <c r="AA97" s="638" t="e">
        <f t="shared" si="8"/>
        <v>#VALUE!</v>
      </c>
      <c r="AB97" s="638">
        <f t="shared" si="9"/>
        <v>329</v>
      </c>
      <c r="AC97" s="638" t="e">
        <f t="shared" si="10"/>
        <v>#VALUE!</v>
      </c>
      <c r="AD97" s="638" t="e">
        <f t="shared" si="11"/>
        <v>#VALUE!</v>
      </c>
      <c r="AE97" s="632" t="s">
        <v>159</v>
      </c>
      <c r="AF97" s="632" t="s">
        <v>295</v>
      </c>
      <c r="AG97" s="632"/>
      <c r="AH97" s="632"/>
      <c r="AI97" s="632" t="s">
        <v>120</v>
      </c>
      <c r="AJ97" s="639">
        <f t="shared" si="15"/>
        <v>2</v>
      </c>
      <c r="AK97" s="632" t="s">
        <v>120</v>
      </c>
      <c r="AL97" s="632" t="s">
        <v>120</v>
      </c>
      <c r="AM97" s="632" t="s">
        <v>120</v>
      </c>
      <c r="AN97" s="632" t="s">
        <v>120</v>
      </c>
      <c r="AO97" s="632" t="s">
        <v>120</v>
      </c>
    </row>
    <row r="98" customHeight="1" spans="1:41">
      <c r="A98" s="632" t="s">
        <v>298</v>
      </c>
      <c r="B98" s="632" t="s">
        <v>299</v>
      </c>
      <c r="C98" s="632"/>
      <c r="D98" s="632"/>
      <c r="E98" s="632" t="s">
        <v>114</v>
      </c>
      <c r="F98" s="632"/>
      <c r="G98" s="632" t="s">
        <v>115</v>
      </c>
      <c r="H98" s="633">
        <v>1</v>
      </c>
      <c r="I98" s="633">
        <v>0.9</v>
      </c>
      <c r="J98" s="633">
        <v>1.2</v>
      </c>
      <c r="K98" s="633">
        <v>1</v>
      </c>
      <c r="L98" s="633">
        <v>1.19999999999999</v>
      </c>
      <c r="M98" s="632" t="s">
        <v>129</v>
      </c>
      <c r="N98" s="632"/>
      <c r="O98" s="632">
        <v>2</v>
      </c>
      <c r="P98" s="637">
        <v>289</v>
      </c>
      <c r="Q98" s="636" t="s">
        <v>117</v>
      </c>
      <c r="R98" s="636" t="s">
        <v>117</v>
      </c>
      <c r="S98" s="638">
        <f t="shared" si="0"/>
        <v>289</v>
      </c>
      <c r="T98" s="638" t="e">
        <f t="shared" si="1"/>
        <v>#VALUE!</v>
      </c>
      <c r="U98" s="638" t="e">
        <f t="shared" si="2"/>
        <v>#VALUE!</v>
      </c>
      <c r="V98" s="638">
        <f t="shared" si="3"/>
        <v>321.111111111111</v>
      </c>
      <c r="W98" s="638" t="e">
        <f t="shared" si="4"/>
        <v>#VALUE!</v>
      </c>
      <c r="X98" s="638" t="e">
        <f t="shared" si="5"/>
        <v>#VALUE!</v>
      </c>
      <c r="Y98" s="638">
        <f t="shared" si="6"/>
        <v>240.833333333333</v>
      </c>
      <c r="Z98" s="638" t="e">
        <f t="shared" si="7"/>
        <v>#VALUE!</v>
      </c>
      <c r="AA98" s="638" t="e">
        <f t="shared" si="8"/>
        <v>#VALUE!</v>
      </c>
      <c r="AB98" s="638">
        <f t="shared" si="9"/>
        <v>289</v>
      </c>
      <c r="AC98" s="638" t="e">
        <f t="shared" si="10"/>
        <v>#VALUE!</v>
      </c>
      <c r="AD98" s="638" t="e">
        <f t="shared" si="11"/>
        <v>#VALUE!</v>
      </c>
      <c r="AE98" s="632" t="s">
        <v>159</v>
      </c>
      <c r="AF98" s="632" t="s">
        <v>295</v>
      </c>
      <c r="AG98" s="632"/>
      <c r="AH98" s="632"/>
      <c r="AI98" s="632" t="s">
        <v>120</v>
      </c>
      <c r="AJ98" s="639">
        <f t="shared" si="15"/>
        <v>2</v>
      </c>
      <c r="AK98" s="632" t="s">
        <v>120</v>
      </c>
      <c r="AL98" s="632" t="s">
        <v>120</v>
      </c>
      <c r="AM98" s="632" t="s">
        <v>120</v>
      </c>
      <c r="AN98" s="632" t="s">
        <v>120</v>
      </c>
      <c r="AO98" s="632" t="s">
        <v>120</v>
      </c>
    </row>
    <row r="99" customHeight="1" spans="1:41">
      <c r="A99" s="632" t="s">
        <v>300</v>
      </c>
      <c r="B99" s="632" t="s">
        <v>301</v>
      </c>
      <c r="C99" s="632"/>
      <c r="D99" s="632"/>
      <c r="E99" s="632" t="s">
        <v>114</v>
      </c>
      <c r="F99" s="632"/>
      <c r="G99" s="632" t="s">
        <v>115</v>
      </c>
      <c r="H99" s="633">
        <v>1</v>
      </c>
      <c r="I99" s="633">
        <v>0.9</v>
      </c>
      <c r="J99" s="633">
        <v>1.2</v>
      </c>
      <c r="K99" s="633">
        <v>1</v>
      </c>
      <c r="L99" s="633">
        <v>1.19999999999999</v>
      </c>
      <c r="M99" s="632" t="s">
        <v>129</v>
      </c>
      <c r="N99" s="632"/>
      <c r="O99" s="632">
        <v>2</v>
      </c>
      <c r="P99" s="637">
        <v>249</v>
      </c>
      <c r="Q99" s="636" t="s">
        <v>117</v>
      </c>
      <c r="R99" s="636" t="s">
        <v>117</v>
      </c>
      <c r="S99" s="638">
        <f t="shared" si="0"/>
        <v>249</v>
      </c>
      <c r="T99" s="638" t="e">
        <f t="shared" si="1"/>
        <v>#VALUE!</v>
      </c>
      <c r="U99" s="638" t="e">
        <f t="shared" si="2"/>
        <v>#VALUE!</v>
      </c>
      <c r="V99" s="638">
        <f t="shared" si="3"/>
        <v>276.666666666667</v>
      </c>
      <c r="W99" s="638" t="e">
        <f t="shared" si="4"/>
        <v>#VALUE!</v>
      </c>
      <c r="X99" s="638" t="e">
        <f t="shared" si="5"/>
        <v>#VALUE!</v>
      </c>
      <c r="Y99" s="638">
        <f t="shared" si="6"/>
        <v>207.5</v>
      </c>
      <c r="Z99" s="638" t="e">
        <f t="shared" si="7"/>
        <v>#VALUE!</v>
      </c>
      <c r="AA99" s="638" t="e">
        <f t="shared" si="8"/>
        <v>#VALUE!</v>
      </c>
      <c r="AB99" s="638">
        <f t="shared" si="9"/>
        <v>249</v>
      </c>
      <c r="AC99" s="638" t="e">
        <f t="shared" si="10"/>
        <v>#VALUE!</v>
      </c>
      <c r="AD99" s="638" t="e">
        <f t="shared" si="11"/>
        <v>#VALUE!</v>
      </c>
      <c r="AE99" s="632" t="s">
        <v>159</v>
      </c>
      <c r="AF99" s="632" t="s">
        <v>295</v>
      </c>
      <c r="AG99" s="632"/>
      <c r="AH99" s="632"/>
      <c r="AI99" s="632" t="s">
        <v>120</v>
      </c>
      <c r="AJ99" s="639">
        <f t="shared" si="15"/>
        <v>2</v>
      </c>
      <c r="AK99" s="632" t="s">
        <v>120</v>
      </c>
      <c r="AL99" s="632" t="s">
        <v>120</v>
      </c>
      <c r="AM99" s="632" t="s">
        <v>120</v>
      </c>
      <c r="AN99" s="632" t="s">
        <v>120</v>
      </c>
      <c r="AO99" s="632" t="s">
        <v>120</v>
      </c>
    </row>
    <row r="100" customHeight="1" spans="1:41">
      <c r="A100" s="632" t="s">
        <v>302</v>
      </c>
      <c r="B100" s="632" t="s">
        <v>302</v>
      </c>
      <c r="C100" s="632"/>
      <c r="D100" s="632"/>
      <c r="E100" s="632" t="s">
        <v>114</v>
      </c>
      <c r="F100" s="632"/>
      <c r="G100" s="632" t="s">
        <v>115</v>
      </c>
      <c r="H100" s="633">
        <v>1</v>
      </c>
      <c r="I100" s="633">
        <v>0.9</v>
      </c>
      <c r="J100" s="633">
        <v>1.2</v>
      </c>
      <c r="K100" s="633">
        <v>1</v>
      </c>
      <c r="L100" s="633">
        <v>1.19999999999999</v>
      </c>
      <c r="M100" s="632" t="s">
        <v>129</v>
      </c>
      <c r="N100" s="632"/>
      <c r="O100" s="632">
        <v>2</v>
      </c>
      <c r="P100" s="636">
        <v>100</v>
      </c>
      <c r="Q100" s="636">
        <v>80</v>
      </c>
      <c r="R100" s="636">
        <v>60</v>
      </c>
      <c r="S100" s="638">
        <f t="shared" si="0"/>
        <v>100</v>
      </c>
      <c r="T100" s="638">
        <f t="shared" si="1"/>
        <v>80</v>
      </c>
      <c r="U100" s="638">
        <f t="shared" si="2"/>
        <v>60</v>
      </c>
      <c r="V100" s="638">
        <f t="shared" si="3"/>
        <v>111.111111111111</v>
      </c>
      <c r="W100" s="638">
        <f t="shared" si="4"/>
        <v>88.8888888888889</v>
      </c>
      <c r="X100" s="638">
        <f t="shared" si="5"/>
        <v>66.6666666666667</v>
      </c>
      <c r="Y100" s="638">
        <f t="shared" si="6"/>
        <v>83.3333333333333</v>
      </c>
      <c r="Z100" s="638">
        <f t="shared" si="7"/>
        <v>66.6666666666667</v>
      </c>
      <c r="AA100" s="638">
        <f t="shared" si="8"/>
        <v>50</v>
      </c>
      <c r="AB100" s="638">
        <f t="shared" si="9"/>
        <v>100</v>
      </c>
      <c r="AC100" s="638">
        <f t="shared" si="10"/>
        <v>80</v>
      </c>
      <c r="AD100" s="638">
        <f t="shared" si="11"/>
        <v>60</v>
      </c>
      <c r="AE100" s="632" t="s">
        <v>118</v>
      </c>
      <c r="AF100" s="632" t="s">
        <v>295</v>
      </c>
      <c r="AG100" s="632"/>
      <c r="AH100" s="632"/>
      <c r="AI100" s="632" t="s">
        <v>120</v>
      </c>
      <c r="AJ100" s="639">
        <f t="shared" si="15"/>
        <v>2</v>
      </c>
      <c r="AK100" s="632" t="s">
        <v>120</v>
      </c>
      <c r="AL100" s="632" t="s">
        <v>120</v>
      </c>
      <c r="AM100" s="632" t="s">
        <v>120</v>
      </c>
      <c r="AN100" s="632" t="s">
        <v>120</v>
      </c>
      <c r="AO100" s="632" t="s">
        <v>120</v>
      </c>
    </row>
    <row r="101" customHeight="1" spans="1:41">
      <c r="A101" s="632" t="s">
        <v>303</v>
      </c>
      <c r="B101" s="632" t="s">
        <v>303</v>
      </c>
      <c r="C101" s="632"/>
      <c r="D101" s="632"/>
      <c r="E101" s="632" t="s">
        <v>114</v>
      </c>
      <c r="F101" s="632"/>
      <c r="G101" s="632" t="s">
        <v>115</v>
      </c>
      <c r="H101" s="633">
        <v>1</v>
      </c>
      <c r="I101" s="633">
        <v>0.9</v>
      </c>
      <c r="J101" s="633">
        <v>1.2</v>
      </c>
      <c r="K101" s="633">
        <v>1</v>
      </c>
      <c r="L101" s="633">
        <v>1.19999999999999</v>
      </c>
      <c r="M101" s="632" t="s">
        <v>129</v>
      </c>
      <c r="N101" s="632"/>
      <c r="O101" s="632">
        <v>2</v>
      </c>
      <c r="P101" s="636">
        <v>80</v>
      </c>
      <c r="Q101" s="636">
        <v>55</v>
      </c>
      <c r="R101" s="636">
        <v>30</v>
      </c>
      <c r="S101" s="638">
        <f t="shared" si="0"/>
        <v>80</v>
      </c>
      <c r="T101" s="638">
        <f t="shared" si="1"/>
        <v>55</v>
      </c>
      <c r="U101" s="638">
        <f t="shared" si="2"/>
        <v>30</v>
      </c>
      <c r="V101" s="638">
        <f t="shared" si="3"/>
        <v>88.8888888888889</v>
      </c>
      <c r="W101" s="638">
        <f t="shared" si="4"/>
        <v>61.1111111111111</v>
      </c>
      <c r="X101" s="638">
        <f t="shared" si="5"/>
        <v>33.3333333333333</v>
      </c>
      <c r="Y101" s="638">
        <f t="shared" si="6"/>
        <v>66.6666666666667</v>
      </c>
      <c r="Z101" s="638">
        <f t="shared" si="7"/>
        <v>45.8333333333333</v>
      </c>
      <c r="AA101" s="638">
        <f t="shared" si="8"/>
        <v>25</v>
      </c>
      <c r="AB101" s="638">
        <f t="shared" si="9"/>
        <v>80</v>
      </c>
      <c r="AC101" s="638">
        <f t="shared" si="10"/>
        <v>55</v>
      </c>
      <c r="AD101" s="638">
        <f t="shared" si="11"/>
        <v>30</v>
      </c>
      <c r="AE101" s="632" t="s">
        <v>118</v>
      </c>
      <c r="AF101" s="632" t="s">
        <v>295</v>
      </c>
      <c r="AG101" s="632"/>
      <c r="AH101" s="632"/>
      <c r="AI101" s="632" t="s">
        <v>120</v>
      </c>
      <c r="AJ101" s="639">
        <f t="shared" si="15"/>
        <v>2</v>
      </c>
      <c r="AK101" s="632" t="s">
        <v>120</v>
      </c>
      <c r="AL101" s="632" t="s">
        <v>120</v>
      </c>
      <c r="AM101" s="632" t="s">
        <v>120</v>
      </c>
      <c r="AN101" s="632" t="s">
        <v>120</v>
      </c>
      <c r="AO101" s="632" t="s">
        <v>120</v>
      </c>
    </row>
    <row r="102" customHeight="1" spans="1:41">
      <c r="A102" s="632" t="s">
        <v>304</v>
      </c>
      <c r="B102" s="632" t="s">
        <v>304</v>
      </c>
      <c r="C102" s="632"/>
      <c r="D102" s="632"/>
      <c r="E102" s="632" t="s">
        <v>114</v>
      </c>
      <c r="F102" s="632"/>
      <c r="G102" s="632" t="s">
        <v>115</v>
      </c>
      <c r="H102" s="633">
        <v>1</v>
      </c>
      <c r="I102" s="633">
        <v>0.9</v>
      </c>
      <c r="J102" s="633">
        <v>1.2</v>
      </c>
      <c r="K102" s="633">
        <v>1</v>
      </c>
      <c r="L102" s="633">
        <v>1.19999999999999</v>
      </c>
      <c r="M102" s="632" t="s">
        <v>129</v>
      </c>
      <c r="N102" s="632"/>
      <c r="O102" s="632">
        <v>2</v>
      </c>
      <c r="P102" s="637">
        <v>1500</v>
      </c>
      <c r="Q102" s="636" t="s">
        <v>117</v>
      </c>
      <c r="R102" s="636" t="s">
        <v>117</v>
      </c>
      <c r="S102" s="638">
        <f t="shared" si="0"/>
        <v>1500</v>
      </c>
      <c r="T102" s="638" t="e">
        <f t="shared" si="1"/>
        <v>#VALUE!</v>
      </c>
      <c r="U102" s="638" t="e">
        <f t="shared" si="2"/>
        <v>#VALUE!</v>
      </c>
      <c r="V102" s="638">
        <f t="shared" si="3"/>
        <v>1666.66666666667</v>
      </c>
      <c r="W102" s="638" t="e">
        <f t="shared" si="4"/>
        <v>#VALUE!</v>
      </c>
      <c r="X102" s="638" t="e">
        <f t="shared" si="5"/>
        <v>#VALUE!</v>
      </c>
      <c r="Y102" s="638">
        <f t="shared" si="6"/>
        <v>1250</v>
      </c>
      <c r="Z102" s="638" t="e">
        <f t="shared" si="7"/>
        <v>#VALUE!</v>
      </c>
      <c r="AA102" s="638" t="e">
        <f t="shared" si="8"/>
        <v>#VALUE!</v>
      </c>
      <c r="AB102" s="638">
        <f t="shared" si="9"/>
        <v>1500</v>
      </c>
      <c r="AC102" s="638" t="e">
        <f t="shared" si="10"/>
        <v>#VALUE!</v>
      </c>
      <c r="AD102" s="638" t="e">
        <f t="shared" si="11"/>
        <v>#VALUE!</v>
      </c>
      <c r="AE102" s="632" t="s">
        <v>159</v>
      </c>
      <c r="AF102" s="632" t="s">
        <v>295</v>
      </c>
      <c r="AG102" s="632"/>
      <c r="AH102" s="632"/>
      <c r="AI102" s="632" t="s">
        <v>120</v>
      </c>
      <c r="AJ102" s="639">
        <f t="shared" si="15"/>
        <v>2</v>
      </c>
      <c r="AK102" s="632" t="s">
        <v>120</v>
      </c>
      <c r="AL102" s="632" t="s">
        <v>120</v>
      </c>
      <c r="AM102" s="632" t="s">
        <v>120</v>
      </c>
      <c r="AN102" s="632" t="s">
        <v>120</v>
      </c>
      <c r="AO102" s="632" t="s">
        <v>120</v>
      </c>
    </row>
    <row r="103" customHeight="1" spans="1:41">
      <c r="A103" s="632" t="s">
        <v>305</v>
      </c>
      <c r="B103" s="632" t="s">
        <v>306</v>
      </c>
      <c r="C103" s="632"/>
      <c r="D103" s="632"/>
      <c r="E103" s="632" t="s">
        <v>114</v>
      </c>
      <c r="F103" s="632"/>
      <c r="G103" s="632" t="s">
        <v>115</v>
      </c>
      <c r="H103" s="633">
        <v>1</v>
      </c>
      <c r="I103" s="633">
        <v>0.9</v>
      </c>
      <c r="J103" s="633">
        <v>1.2</v>
      </c>
      <c r="K103" s="633">
        <v>1</v>
      </c>
      <c r="L103" s="633">
        <v>1.19999999999999</v>
      </c>
      <c r="M103" s="632" t="s">
        <v>129</v>
      </c>
      <c r="N103" s="632"/>
      <c r="O103" s="632">
        <v>2</v>
      </c>
      <c r="P103" s="637">
        <v>1250</v>
      </c>
      <c r="Q103" s="636" t="s">
        <v>117</v>
      </c>
      <c r="R103" s="636" t="s">
        <v>117</v>
      </c>
      <c r="S103" s="638">
        <f t="shared" si="0"/>
        <v>1250</v>
      </c>
      <c r="T103" s="638" t="e">
        <f t="shared" si="1"/>
        <v>#VALUE!</v>
      </c>
      <c r="U103" s="638" t="e">
        <f t="shared" si="2"/>
        <v>#VALUE!</v>
      </c>
      <c r="V103" s="638">
        <f t="shared" si="3"/>
        <v>1388.88888888889</v>
      </c>
      <c r="W103" s="638" t="e">
        <f t="shared" si="4"/>
        <v>#VALUE!</v>
      </c>
      <c r="X103" s="638" t="e">
        <f t="shared" si="5"/>
        <v>#VALUE!</v>
      </c>
      <c r="Y103" s="638">
        <f t="shared" si="6"/>
        <v>1041.66666666667</v>
      </c>
      <c r="Z103" s="638" t="e">
        <f t="shared" si="7"/>
        <v>#VALUE!</v>
      </c>
      <c r="AA103" s="638" t="e">
        <f t="shared" si="8"/>
        <v>#VALUE!</v>
      </c>
      <c r="AB103" s="638">
        <f t="shared" si="9"/>
        <v>1250</v>
      </c>
      <c r="AC103" s="638" t="e">
        <f t="shared" si="10"/>
        <v>#VALUE!</v>
      </c>
      <c r="AD103" s="638" t="e">
        <f t="shared" si="11"/>
        <v>#VALUE!</v>
      </c>
      <c r="AE103" s="632" t="s">
        <v>159</v>
      </c>
      <c r="AF103" s="632" t="s">
        <v>295</v>
      </c>
      <c r="AG103" s="632"/>
      <c r="AH103" s="632"/>
      <c r="AI103" s="632" t="s">
        <v>120</v>
      </c>
      <c r="AJ103" s="639">
        <f t="shared" si="15"/>
        <v>2</v>
      </c>
      <c r="AK103" s="632" t="s">
        <v>120</v>
      </c>
      <c r="AL103" s="632" t="s">
        <v>120</v>
      </c>
      <c r="AM103" s="632" t="s">
        <v>120</v>
      </c>
      <c r="AN103" s="632" t="s">
        <v>120</v>
      </c>
      <c r="AO103" s="632" t="s">
        <v>120</v>
      </c>
    </row>
    <row r="104" customHeight="1" spans="1:41">
      <c r="A104" s="632" t="s">
        <v>307</v>
      </c>
      <c r="B104" s="632" t="s">
        <v>308</v>
      </c>
      <c r="C104" s="632"/>
      <c r="D104" s="632"/>
      <c r="E104" s="632" t="s">
        <v>114</v>
      </c>
      <c r="F104" s="632"/>
      <c r="G104" s="632" t="s">
        <v>115</v>
      </c>
      <c r="H104" s="633">
        <v>1</v>
      </c>
      <c r="I104" s="633">
        <v>0.9</v>
      </c>
      <c r="J104" s="633">
        <v>1.2</v>
      </c>
      <c r="K104" s="633">
        <v>1</v>
      </c>
      <c r="L104" s="633">
        <v>1.19999999999999</v>
      </c>
      <c r="M104" s="632" t="s">
        <v>226</v>
      </c>
      <c r="N104" s="632" t="s">
        <v>227</v>
      </c>
      <c r="O104" s="632">
        <v>2</v>
      </c>
      <c r="P104" s="637">
        <v>70</v>
      </c>
      <c r="Q104" s="636" t="s">
        <v>117</v>
      </c>
      <c r="R104" s="636" t="s">
        <v>117</v>
      </c>
      <c r="S104" s="638">
        <f t="shared" si="0"/>
        <v>70</v>
      </c>
      <c r="T104" s="638" t="e">
        <f t="shared" si="1"/>
        <v>#VALUE!</v>
      </c>
      <c r="U104" s="638" t="e">
        <f t="shared" si="2"/>
        <v>#VALUE!</v>
      </c>
      <c r="V104" s="638">
        <f t="shared" si="3"/>
        <v>77.7777777777778</v>
      </c>
      <c r="W104" s="638" t="e">
        <f t="shared" si="4"/>
        <v>#VALUE!</v>
      </c>
      <c r="X104" s="638" t="e">
        <f t="shared" si="5"/>
        <v>#VALUE!</v>
      </c>
      <c r="Y104" s="638">
        <f t="shared" si="6"/>
        <v>58.3333333333333</v>
      </c>
      <c r="Z104" s="638" t="e">
        <f t="shared" si="7"/>
        <v>#VALUE!</v>
      </c>
      <c r="AA104" s="638" t="e">
        <f t="shared" si="8"/>
        <v>#VALUE!</v>
      </c>
      <c r="AB104" s="638">
        <f t="shared" si="9"/>
        <v>70</v>
      </c>
      <c r="AC104" s="638" t="e">
        <f t="shared" si="10"/>
        <v>#VALUE!</v>
      </c>
      <c r="AD104" s="638" t="e">
        <f t="shared" si="11"/>
        <v>#VALUE!</v>
      </c>
      <c r="AE104" s="632" t="s">
        <v>159</v>
      </c>
      <c r="AF104" s="632" t="s">
        <v>309</v>
      </c>
      <c r="AG104" s="632"/>
      <c r="AH104" s="632"/>
      <c r="AI104" s="632"/>
      <c r="AJ104" s="639"/>
      <c r="AK104" s="632"/>
      <c r="AL104" s="632"/>
      <c r="AM104" s="632"/>
      <c r="AN104" s="632"/>
      <c r="AO104" s="632"/>
    </row>
    <row r="105" customHeight="1" spans="1:41">
      <c r="A105" s="632" t="s">
        <v>310</v>
      </c>
      <c r="B105" s="632" t="s">
        <v>311</v>
      </c>
      <c r="C105" s="632"/>
      <c r="D105" s="632"/>
      <c r="E105" s="632" t="s">
        <v>114</v>
      </c>
      <c r="F105" s="632"/>
      <c r="G105" s="632" t="s">
        <v>115</v>
      </c>
      <c r="H105" s="633">
        <v>1</v>
      </c>
      <c r="I105" s="633">
        <v>0.9</v>
      </c>
      <c r="J105" s="633">
        <v>1.2</v>
      </c>
      <c r="K105" s="633">
        <v>1</v>
      </c>
      <c r="L105" s="633">
        <v>1.19999999999999</v>
      </c>
      <c r="M105" s="632" t="s">
        <v>226</v>
      </c>
      <c r="N105" s="632" t="s">
        <v>227</v>
      </c>
      <c r="O105" s="632">
        <v>2</v>
      </c>
      <c r="P105" s="637">
        <v>90</v>
      </c>
      <c r="Q105" s="636" t="s">
        <v>117</v>
      </c>
      <c r="R105" s="636" t="s">
        <v>117</v>
      </c>
      <c r="S105" s="638">
        <f t="shared" si="0"/>
        <v>90</v>
      </c>
      <c r="T105" s="638" t="e">
        <f t="shared" si="1"/>
        <v>#VALUE!</v>
      </c>
      <c r="U105" s="638" t="e">
        <f t="shared" si="2"/>
        <v>#VALUE!</v>
      </c>
      <c r="V105" s="638">
        <f t="shared" si="3"/>
        <v>100</v>
      </c>
      <c r="W105" s="638" t="e">
        <f t="shared" si="4"/>
        <v>#VALUE!</v>
      </c>
      <c r="X105" s="638" t="e">
        <f t="shared" si="5"/>
        <v>#VALUE!</v>
      </c>
      <c r="Y105" s="638">
        <f t="shared" si="6"/>
        <v>75</v>
      </c>
      <c r="Z105" s="638" t="e">
        <f t="shared" si="7"/>
        <v>#VALUE!</v>
      </c>
      <c r="AA105" s="638" t="e">
        <f t="shared" si="8"/>
        <v>#VALUE!</v>
      </c>
      <c r="AB105" s="638">
        <f t="shared" si="9"/>
        <v>90</v>
      </c>
      <c r="AC105" s="638" t="e">
        <f t="shared" si="10"/>
        <v>#VALUE!</v>
      </c>
      <c r="AD105" s="638" t="e">
        <f t="shared" si="11"/>
        <v>#VALUE!</v>
      </c>
      <c r="AE105" s="632" t="s">
        <v>159</v>
      </c>
      <c r="AF105" s="632" t="s">
        <v>309</v>
      </c>
      <c r="AG105" s="632"/>
      <c r="AH105" s="632"/>
      <c r="AI105" s="632"/>
      <c r="AJ105" s="639"/>
      <c r="AK105" s="632"/>
      <c r="AL105" s="632"/>
      <c r="AM105" s="632"/>
      <c r="AN105" s="632"/>
      <c r="AO105" s="632"/>
    </row>
    <row r="106" customHeight="1" spans="1:41">
      <c r="A106" s="632" t="s">
        <v>312</v>
      </c>
      <c r="B106" s="632" t="s">
        <v>313</v>
      </c>
      <c r="C106" s="632"/>
      <c r="D106" s="632"/>
      <c r="E106" s="632" t="s">
        <v>114</v>
      </c>
      <c r="F106" s="632"/>
      <c r="G106" s="632" t="s">
        <v>115</v>
      </c>
      <c r="H106" s="633">
        <v>1</v>
      </c>
      <c r="I106" s="633">
        <v>0.9</v>
      </c>
      <c r="J106" s="633">
        <v>1.2</v>
      </c>
      <c r="K106" s="633">
        <v>1</v>
      </c>
      <c r="L106" s="633">
        <v>1.19999999999999</v>
      </c>
      <c r="M106" s="632" t="s">
        <v>226</v>
      </c>
      <c r="N106" s="632" t="s">
        <v>227</v>
      </c>
      <c r="O106" s="632">
        <v>2</v>
      </c>
      <c r="P106" s="636">
        <v>110</v>
      </c>
      <c r="Q106" s="636" t="s">
        <v>117</v>
      </c>
      <c r="R106" s="636" t="s">
        <v>117</v>
      </c>
      <c r="S106" s="638">
        <f t="shared" si="0"/>
        <v>110</v>
      </c>
      <c r="T106" s="638" t="e">
        <f t="shared" si="1"/>
        <v>#VALUE!</v>
      </c>
      <c r="U106" s="638" t="e">
        <f t="shared" si="2"/>
        <v>#VALUE!</v>
      </c>
      <c r="V106" s="638">
        <f t="shared" si="3"/>
        <v>122.222222222222</v>
      </c>
      <c r="W106" s="638" t="e">
        <f t="shared" si="4"/>
        <v>#VALUE!</v>
      </c>
      <c r="X106" s="638" t="e">
        <f t="shared" si="5"/>
        <v>#VALUE!</v>
      </c>
      <c r="Y106" s="638">
        <f t="shared" si="6"/>
        <v>91.6666666666667</v>
      </c>
      <c r="Z106" s="638" t="e">
        <f t="shared" si="7"/>
        <v>#VALUE!</v>
      </c>
      <c r="AA106" s="638" t="e">
        <f t="shared" si="8"/>
        <v>#VALUE!</v>
      </c>
      <c r="AB106" s="638">
        <f t="shared" si="9"/>
        <v>110</v>
      </c>
      <c r="AC106" s="638" t="e">
        <f t="shared" si="10"/>
        <v>#VALUE!</v>
      </c>
      <c r="AD106" s="638" t="e">
        <f t="shared" si="11"/>
        <v>#VALUE!</v>
      </c>
      <c r="AE106" s="632" t="s">
        <v>159</v>
      </c>
      <c r="AF106" s="632" t="s">
        <v>309</v>
      </c>
      <c r="AG106" s="632"/>
      <c r="AH106" s="632"/>
      <c r="AI106" s="632"/>
      <c r="AJ106" s="639"/>
      <c r="AK106" s="632"/>
      <c r="AL106" s="632"/>
      <c r="AM106" s="632"/>
      <c r="AN106" s="632"/>
      <c r="AO106" s="632"/>
    </row>
    <row r="107" customHeight="1" spans="1:41">
      <c r="A107" s="632" t="s">
        <v>314</v>
      </c>
      <c r="B107" s="632" t="s">
        <v>315</v>
      </c>
      <c r="C107" s="632"/>
      <c r="D107" s="632"/>
      <c r="E107" s="632" t="s">
        <v>114</v>
      </c>
      <c r="F107" s="632"/>
      <c r="G107" s="632" t="s">
        <v>115</v>
      </c>
      <c r="H107" s="633">
        <v>1</v>
      </c>
      <c r="I107" s="633">
        <v>0.9</v>
      </c>
      <c r="J107" s="633">
        <v>1.2</v>
      </c>
      <c r="K107" s="633">
        <v>1</v>
      </c>
      <c r="L107" s="633">
        <v>1.19999999999999</v>
      </c>
      <c r="M107" s="632" t="s">
        <v>129</v>
      </c>
      <c r="N107" s="632" t="s">
        <v>158</v>
      </c>
      <c r="O107" s="632">
        <v>2</v>
      </c>
      <c r="P107" s="637">
        <v>328</v>
      </c>
      <c r="Q107" s="636" t="s">
        <v>117</v>
      </c>
      <c r="R107" s="636" t="s">
        <v>117</v>
      </c>
      <c r="S107" s="638">
        <f t="shared" si="0"/>
        <v>328</v>
      </c>
      <c r="T107" s="638" t="e">
        <f t="shared" si="1"/>
        <v>#VALUE!</v>
      </c>
      <c r="U107" s="638" t="e">
        <f t="shared" si="2"/>
        <v>#VALUE!</v>
      </c>
      <c r="V107" s="638">
        <f t="shared" si="3"/>
        <v>364.444444444444</v>
      </c>
      <c r="W107" s="638" t="e">
        <f t="shared" si="4"/>
        <v>#VALUE!</v>
      </c>
      <c r="X107" s="638" t="e">
        <f t="shared" si="5"/>
        <v>#VALUE!</v>
      </c>
      <c r="Y107" s="638">
        <f t="shared" si="6"/>
        <v>273.333333333333</v>
      </c>
      <c r="Z107" s="638" t="e">
        <f t="shared" si="7"/>
        <v>#VALUE!</v>
      </c>
      <c r="AA107" s="638" t="e">
        <f t="shared" si="8"/>
        <v>#VALUE!</v>
      </c>
      <c r="AB107" s="638">
        <f t="shared" si="9"/>
        <v>328</v>
      </c>
      <c r="AC107" s="638" t="e">
        <f t="shared" si="10"/>
        <v>#VALUE!</v>
      </c>
      <c r="AD107" s="638" t="e">
        <f t="shared" si="11"/>
        <v>#VALUE!</v>
      </c>
      <c r="AE107" s="632" t="s">
        <v>159</v>
      </c>
      <c r="AF107" s="632" t="s">
        <v>295</v>
      </c>
      <c r="AG107" s="632"/>
      <c r="AH107" s="632"/>
      <c r="AI107" s="632" t="s">
        <v>120</v>
      </c>
      <c r="AJ107" s="639">
        <f t="shared" ref="AJ107:AJ124" si="16">O107</f>
        <v>2</v>
      </c>
      <c r="AK107" s="632" t="s">
        <v>120</v>
      </c>
      <c r="AL107" s="632" t="s">
        <v>120</v>
      </c>
      <c r="AM107" s="632" t="s">
        <v>120</v>
      </c>
      <c r="AN107" s="632" t="s">
        <v>120</v>
      </c>
      <c r="AO107" s="632" t="s">
        <v>120</v>
      </c>
    </row>
    <row r="108" customHeight="1" spans="1:41">
      <c r="A108" s="632" t="s">
        <v>316</v>
      </c>
      <c r="B108" s="632"/>
      <c r="C108" s="632"/>
      <c r="D108" s="632"/>
      <c r="E108" s="632" t="s">
        <v>114</v>
      </c>
      <c r="F108" s="632"/>
      <c r="G108" s="632"/>
      <c r="H108" s="633">
        <v>1</v>
      </c>
      <c r="I108" s="633">
        <v>0.9</v>
      </c>
      <c r="J108" s="633">
        <v>1.2</v>
      </c>
      <c r="K108" s="633">
        <v>1</v>
      </c>
      <c r="L108" s="633">
        <v>1.19999999999999</v>
      </c>
      <c r="M108" s="632"/>
      <c r="N108" s="632"/>
      <c r="O108" s="632">
        <v>2</v>
      </c>
      <c r="P108" s="636"/>
      <c r="Q108" s="636"/>
      <c r="R108" s="636"/>
      <c r="S108" s="638">
        <f t="shared" si="0"/>
        <v>0</v>
      </c>
      <c r="T108" s="638">
        <f t="shared" si="1"/>
        <v>0</v>
      </c>
      <c r="U108" s="638">
        <f t="shared" si="2"/>
        <v>0</v>
      </c>
      <c r="V108" s="638">
        <f t="shared" si="3"/>
        <v>0</v>
      </c>
      <c r="W108" s="638">
        <f t="shared" si="4"/>
        <v>0</v>
      </c>
      <c r="X108" s="638">
        <f t="shared" si="5"/>
        <v>0</v>
      </c>
      <c r="Y108" s="638">
        <f t="shared" si="6"/>
        <v>0</v>
      </c>
      <c r="Z108" s="638">
        <f t="shared" si="7"/>
        <v>0</v>
      </c>
      <c r="AA108" s="638">
        <f t="shared" si="8"/>
        <v>0</v>
      </c>
      <c r="AB108" s="638">
        <f t="shared" si="9"/>
        <v>0</v>
      </c>
      <c r="AC108" s="638">
        <f t="shared" si="10"/>
        <v>0</v>
      </c>
      <c r="AD108" s="638">
        <f t="shared" si="11"/>
        <v>0</v>
      </c>
      <c r="AE108" s="632" t="s">
        <v>257</v>
      </c>
      <c r="AF108" s="632"/>
      <c r="AG108" s="632"/>
      <c r="AH108" s="632"/>
      <c r="AI108" s="632" t="s">
        <v>120</v>
      </c>
      <c r="AJ108" s="639">
        <f t="shared" si="16"/>
        <v>2</v>
      </c>
      <c r="AK108" s="632" t="s">
        <v>120</v>
      </c>
      <c r="AL108" s="632"/>
      <c r="AM108" s="632"/>
      <c r="AN108" s="632"/>
      <c r="AO108" s="632"/>
    </row>
    <row r="109" customHeight="1" spans="1:41">
      <c r="A109" s="641" t="s">
        <v>317</v>
      </c>
      <c r="B109" s="632"/>
      <c r="C109" s="632"/>
      <c r="D109" s="632"/>
      <c r="E109" s="632" t="s">
        <v>114</v>
      </c>
      <c r="F109" s="632"/>
      <c r="G109" s="632"/>
      <c r="H109" s="633">
        <v>1</v>
      </c>
      <c r="I109" s="633">
        <v>0.9</v>
      </c>
      <c r="J109" s="633">
        <v>1.2</v>
      </c>
      <c r="K109" s="633">
        <v>1</v>
      </c>
      <c r="L109" s="633">
        <v>1.19999999999999</v>
      </c>
      <c r="M109" s="632"/>
      <c r="N109" s="632"/>
      <c r="O109" s="632">
        <v>2</v>
      </c>
      <c r="P109" s="636"/>
      <c r="Q109" s="636"/>
      <c r="R109" s="636"/>
      <c r="S109" s="638">
        <f t="shared" si="0"/>
        <v>0</v>
      </c>
      <c r="T109" s="638">
        <f t="shared" si="1"/>
        <v>0</v>
      </c>
      <c r="U109" s="638">
        <f t="shared" si="2"/>
        <v>0</v>
      </c>
      <c r="V109" s="638">
        <f t="shared" si="3"/>
        <v>0</v>
      </c>
      <c r="W109" s="638">
        <f t="shared" si="4"/>
        <v>0</v>
      </c>
      <c r="X109" s="638">
        <f t="shared" si="5"/>
        <v>0</v>
      </c>
      <c r="Y109" s="638">
        <f t="shared" si="6"/>
        <v>0</v>
      </c>
      <c r="Z109" s="638">
        <f t="shared" si="7"/>
        <v>0</v>
      </c>
      <c r="AA109" s="638">
        <f t="shared" si="8"/>
        <v>0</v>
      </c>
      <c r="AB109" s="638">
        <f t="shared" si="9"/>
        <v>0</v>
      </c>
      <c r="AC109" s="638">
        <f t="shared" si="10"/>
        <v>0</v>
      </c>
      <c r="AD109" s="638">
        <f t="shared" si="11"/>
        <v>0</v>
      </c>
      <c r="AE109" s="632" t="s">
        <v>257</v>
      </c>
      <c r="AF109" s="632"/>
      <c r="AG109" s="632"/>
      <c r="AH109" s="632"/>
      <c r="AI109" s="632" t="s">
        <v>120</v>
      </c>
      <c r="AJ109" s="639">
        <f t="shared" si="16"/>
        <v>2</v>
      </c>
      <c r="AK109" s="632" t="s">
        <v>120</v>
      </c>
      <c r="AL109" s="632"/>
      <c r="AM109" s="632"/>
      <c r="AN109" s="632"/>
      <c r="AO109" s="632"/>
    </row>
    <row r="110" customHeight="1" spans="1:41">
      <c r="A110" s="632" t="s">
        <v>318</v>
      </c>
      <c r="B110" s="632"/>
      <c r="C110" s="632"/>
      <c r="D110" s="632"/>
      <c r="E110" s="632" t="s">
        <v>319</v>
      </c>
      <c r="F110" s="632"/>
      <c r="G110" s="632"/>
      <c r="H110" s="633">
        <v>1</v>
      </c>
      <c r="I110" s="633">
        <v>0.9</v>
      </c>
      <c r="J110" s="633">
        <v>1.2</v>
      </c>
      <c r="K110" s="633">
        <v>1</v>
      </c>
      <c r="L110" s="633">
        <v>1.19999999999999</v>
      </c>
      <c r="M110" s="632"/>
      <c r="N110" s="632"/>
      <c r="O110" s="632">
        <v>2</v>
      </c>
      <c r="P110" s="636"/>
      <c r="Q110" s="636"/>
      <c r="R110" s="636"/>
      <c r="S110" s="638">
        <f t="shared" si="0"/>
        <v>0</v>
      </c>
      <c r="T110" s="638">
        <f t="shared" si="1"/>
        <v>0</v>
      </c>
      <c r="U110" s="638">
        <f t="shared" si="2"/>
        <v>0</v>
      </c>
      <c r="V110" s="638">
        <f t="shared" si="3"/>
        <v>0</v>
      </c>
      <c r="W110" s="638">
        <f t="shared" si="4"/>
        <v>0</v>
      </c>
      <c r="X110" s="638">
        <f t="shared" si="5"/>
        <v>0</v>
      </c>
      <c r="Y110" s="638">
        <f t="shared" si="6"/>
        <v>0</v>
      </c>
      <c r="Z110" s="638">
        <f t="shared" si="7"/>
        <v>0</v>
      </c>
      <c r="AA110" s="638">
        <f t="shared" si="8"/>
        <v>0</v>
      </c>
      <c r="AB110" s="638">
        <f t="shared" si="9"/>
        <v>0</v>
      </c>
      <c r="AC110" s="638">
        <f t="shared" si="10"/>
        <v>0</v>
      </c>
      <c r="AD110" s="638">
        <f t="shared" si="11"/>
        <v>0</v>
      </c>
      <c r="AE110" s="632" t="s">
        <v>257</v>
      </c>
      <c r="AF110" s="632"/>
      <c r="AG110" s="632"/>
      <c r="AH110" s="632"/>
      <c r="AI110" s="632" t="s">
        <v>120</v>
      </c>
      <c r="AJ110" s="639">
        <f t="shared" si="16"/>
        <v>2</v>
      </c>
      <c r="AK110" s="632" t="s">
        <v>120</v>
      </c>
      <c r="AL110" s="632"/>
      <c r="AM110" s="632"/>
      <c r="AN110" s="632"/>
      <c r="AO110" s="632"/>
    </row>
    <row r="111" customHeight="1" spans="1:41">
      <c r="A111" s="632" t="s">
        <v>320</v>
      </c>
      <c r="B111" s="632"/>
      <c r="C111" s="632"/>
      <c r="D111" s="632"/>
      <c r="E111" s="632" t="s">
        <v>114</v>
      </c>
      <c r="F111" s="632"/>
      <c r="G111" s="632"/>
      <c r="H111" s="633">
        <v>1</v>
      </c>
      <c r="I111" s="633">
        <v>0.9</v>
      </c>
      <c r="J111" s="633">
        <v>1.2</v>
      </c>
      <c r="K111" s="633">
        <v>1</v>
      </c>
      <c r="L111" s="633">
        <v>1.19999999999999</v>
      </c>
      <c r="M111" s="632"/>
      <c r="N111" s="632"/>
      <c r="O111" s="632">
        <v>2</v>
      </c>
      <c r="P111" s="636"/>
      <c r="Q111" s="636"/>
      <c r="R111" s="636"/>
      <c r="S111" s="638">
        <f t="shared" si="0"/>
        <v>0</v>
      </c>
      <c r="T111" s="638">
        <f t="shared" si="1"/>
        <v>0</v>
      </c>
      <c r="U111" s="638">
        <f t="shared" si="2"/>
        <v>0</v>
      </c>
      <c r="V111" s="638">
        <f t="shared" si="3"/>
        <v>0</v>
      </c>
      <c r="W111" s="638">
        <f t="shared" si="4"/>
        <v>0</v>
      </c>
      <c r="X111" s="638">
        <f t="shared" si="5"/>
        <v>0</v>
      </c>
      <c r="Y111" s="638">
        <f t="shared" si="6"/>
        <v>0</v>
      </c>
      <c r="Z111" s="638">
        <f t="shared" si="7"/>
        <v>0</v>
      </c>
      <c r="AA111" s="638">
        <f t="shared" si="8"/>
        <v>0</v>
      </c>
      <c r="AB111" s="638">
        <f t="shared" si="9"/>
        <v>0</v>
      </c>
      <c r="AC111" s="638">
        <f t="shared" si="10"/>
        <v>0</v>
      </c>
      <c r="AD111" s="638">
        <f t="shared" si="11"/>
        <v>0</v>
      </c>
      <c r="AE111" s="632" t="s">
        <v>321</v>
      </c>
      <c r="AF111" s="632" t="s">
        <v>322</v>
      </c>
      <c r="AG111" s="632"/>
      <c r="AH111" s="632"/>
      <c r="AI111" s="632" t="s">
        <v>120</v>
      </c>
      <c r="AJ111" s="639">
        <f t="shared" si="16"/>
        <v>2</v>
      </c>
      <c r="AK111" s="632" t="s">
        <v>120</v>
      </c>
      <c r="AL111" s="632"/>
      <c r="AM111" s="632"/>
      <c r="AN111" s="632"/>
      <c r="AO111" s="632"/>
    </row>
    <row r="112" customHeight="1" spans="1:41">
      <c r="A112" s="632" t="s">
        <v>323</v>
      </c>
      <c r="B112" s="632"/>
      <c r="C112" s="632"/>
      <c r="D112" s="632"/>
      <c r="E112" s="632" t="s">
        <v>114</v>
      </c>
      <c r="F112" s="632"/>
      <c r="G112" s="632"/>
      <c r="H112" s="633">
        <v>1</v>
      </c>
      <c r="I112" s="633">
        <v>0.9</v>
      </c>
      <c r="J112" s="633">
        <v>1.2</v>
      </c>
      <c r="K112" s="633">
        <v>1</v>
      </c>
      <c r="L112" s="633">
        <v>1.19999999999999</v>
      </c>
      <c r="M112" s="632"/>
      <c r="N112" s="632"/>
      <c r="O112" s="632">
        <v>2</v>
      </c>
      <c r="P112" s="636"/>
      <c r="Q112" s="636"/>
      <c r="R112" s="636"/>
      <c r="S112" s="638">
        <f t="shared" si="0"/>
        <v>0</v>
      </c>
      <c r="T112" s="638">
        <f t="shared" si="1"/>
        <v>0</v>
      </c>
      <c r="U112" s="638">
        <f t="shared" si="2"/>
        <v>0</v>
      </c>
      <c r="V112" s="638">
        <f t="shared" si="3"/>
        <v>0</v>
      </c>
      <c r="W112" s="638">
        <f t="shared" si="4"/>
        <v>0</v>
      </c>
      <c r="X112" s="638">
        <f t="shared" si="5"/>
        <v>0</v>
      </c>
      <c r="Y112" s="638">
        <f t="shared" si="6"/>
        <v>0</v>
      </c>
      <c r="Z112" s="638">
        <f t="shared" si="7"/>
        <v>0</v>
      </c>
      <c r="AA112" s="638">
        <f t="shared" si="8"/>
        <v>0</v>
      </c>
      <c r="AB112" s="638">
        <f t="shared" si="9"/>
        <v>0</v>
      </c>
      <c r="AC112" s="638">
        <f t="shared" si="10"/>
        <v>0</v>
      </c>
      <c r="AD112" s="638">
        <f t="shared" si="11"/>
        <v>0</v>
      </c>
      <c r="AE112" s="632" t="s">
        <v>321</v>
      </c>
      <c r="AF112" s="632"/>
      <c r="AG112" s="632"/>
      <c r="AH112" s="632"/>
      <c r="AI112" s="632" t="s">
        <v>120</v>
      </c>
      <c r="AJ112" s="639">
        <f t="shared" si="16"/>
        <v>2</v>
      </c>
      <c r="AK112" s="632" t="s">
        <v>120</v>
      </c>
      <c r="AL112" s="632"/>
      <c r="AM112" s="632"/>
      <c r="AN112" s="632"/>
      <c r="AO112" s="632"/>
    </row>
    <row r="113" customHeight="1" spans="1:41">
      <c r="A113" s="632" t="s">
        <v>324</v>
      </c>
      <c r="B113" s="632"/>
      <c r="C113" s="632"/>
      <c r="D113" s="632"/>
      <c r="E113" s="632" t="s">
        <v>114</v>
      </c>
      <c r="F113" s="632"/>
      <c r="G113" s="632"/>
      <c r="H113" s="633">
        <v>1</v>
      </c>
      <c r="I113" s="633">
        <v>0.9</v>
      </c>
      <c r="J113" s="633">
        <v>1.2</v>
      </c>
      <c r="K113" s="633">
        <v>1</v>
      </c>
      <c r="L113" s="633">
        <v>1.19999999999999</v>
      </c>
      <c r="M113" s="632"/>
      <c r="N113" s="632"/>
      <c r="O113" s="632">
        <v>2</v>
      </c>
      <c r="P113" s="636"/>
      <c r="Q113" s="636"/>
      <c r="R113" s="636"/>
      <c r="S113" s="638">
        <f t="shared" si="0"/>
        <v>0</v>
      </c>
      <c r="T113" s="638">
        <f t="shared" si="1"/>
        <v>0</v>
      </c>
      <c r="U113" s="638">
        <f t="shared" si="2"/>
        <v>0</v>
      </c>
      <c r="V113" s="638">
        <f t="shared" si="3"/>
        <v>0</v>
      </c>
      <c r="W113" s="638">
        <f t="shared" si="4"/>
        <v>0</v>
      </c>
      <c r="X113" s="638">
        <f t="shared" si="5"/>
        <v>0</v>
      </c>
      <c r="Y113" s="638">
        <f t="shared" si="6"/>
        <v>0</v>
      </c>
      <c r="Z113" s="638">
        <f t="shared" si="7"/>
        <v>0</v>
      </c>
      <c r="AA113" s="638">
        <f t="shared" si="8"/>
        <v>0</v>
      </c>
      <c r="AB113" s="638">
        <f t="shared" si="9"/>
        <v>0</v>
      </c>
      <c r="AC113" s="638">
        <f t="shared" si="10"/>
        <v>0</v>
      </c>
      <c r="AD113" s="638">
        <f t="shared" si="11"/>
        <v>0</v>
      </c>
      <c r="AE113" s="632" t="s">
        <v>321</v>
      </c>
      <c r="AF113" s="632"/>
      <c r="AG113" s="632"/>
      <c r="AH113" s="632"/>
      <c r="AI113" s="632" t="s">
        <v>120</v>
      </c>
      <c r="AJ113" s="639">
        <f t="shared" si="16"/>
        <v>2</v>
      </c>
      <c r="AK113" s="632" t="s">
        <v>120</v>
      </c>
      <c r="AL113" s="632"/>
      <c r="AM113" s="632"/>
      <c r="AN113" s="632"/>
      <c r="AO113" s="632"/>
    </row>
    <row r="114" customHeight="1" spans="1:41">
      <c r="A114" s="632" t="s">
        <v>325</v>
      </c>
      <c r="B114" s="632"/>
      <c r="C114" s="632"/>
      <c r="D114" s="632"/>
      <c r="E114" s="632" t="s">
        <v>114</v>
      </c>
      <c r="F114" s="632"/>
      <c r="G114" s="632"/>
      <c r="H114" s="633">
        <v>1</v>
      </c>
      <c r="I114" s="633">
        <v>0.9</v>
      </c>
      <c r="J114" s="633">
        <v>1.2</v>
      </c>
      <c r="K114" s="633">
        <v>1</v>
      </c>
      <c r="L114" s="633">
        <v>1.19999999999999</v>
      </c>
      <c r="M114" s="632"/>
      <c r="N114" s="632"/>
      <c r="O114" s="632">
        <v>2</v>
      </c>
      <c r="P114" s="636"/>
      <c r="Q114" s="636"/>
      <c r="R114" s="636"/>
      <c r="S114" s="638">
        <f t="shared" si="0"/>
        <v>0</v>
      </c>
      <c r="T114" s="638">
        <f t="shared" si="1"/>
        <v>0</v>
      </c>
      <c r="U114" s="638">
        <f t="shared" si="2"/>
        <v>0</v>
      </c>
      <c r="V114" s="638">
        <f t="shared" si="3"/>
        <v>0</v>
      </c>
      <c r="W114" s="638">
        <f t="shared" si="4"/>
        <v>0</v>
      </c>
      <c r="X114" s="638">
        <f t="shared" si="5"/>
        <v>0</v>
      </c>
      <c r="Y114" s="638">
        <f t="shared" si="6"/>
        <v>0</v>
      </c>
      <c r="Z114" s="638">
        <f t="shared" si="7"/>
        <v>0</v>
      </c>
      <c r="AA114" s="638">
        <f t="shared" si="8"/>
        <v>0</v>
      </c>
      <c r="AB114" s="638">
        <f t="shared" si="9"/>
        <v>0</v>
      </c>
      <c r="AC114" s="638">
        <f t="shared" si="10"/>
        <v>0</v>
      </c>
      <c r="AD114" s="638">
        <f t="shared" si="11"/>
        <v>0</v>
      </c>
      <c r="AE114" s="632" t="s">
        <v>321</v>
      </c>
      <c r="AF114" s="632"/>
      <c r="AG114" s="632"/>
      <c r="AH114" s="632"/>
      <c r="AI114" s="632" t="s">
        <v>120</v>
      </c>
      <c r="AJ114" s="639">
        <f t="shared" si="16"/>
        <v>2</v>
      </c>
      <c r="AK114" s="632" t="s">
        <v>120</v>
      </c>
      <c r="AL114" s="632"/>
      <c r="AM114" s="632"/>
      <c r="AN114" s="632"/>
      <c r="AO114" s="632"/>
    </row>
    <row r="115" customHeight="1" spans="1:41">
      <c r="A115" s="632" t="s">
        <v>326</v>
      </c>
      <c r="B115" s="632"/>
      <c r="C115" s="632"/>
      <c r="D115" s="632"/>
      <c r="E115" s="632" t="s">
        <v>114</v>
      </c>
      <c r="F115" s="632"/>
      <c r="G115" s="632"/>
      <c r="H115" s="633">
        <v>1</v>
      </c>
      <c r="I115" s="633">
        <v>0.9</v>
      </c>
      <c r="J115" s="633">
        <v>1.2</v>
      </c>
      <c r="K115" s="633">
        <v>1</v>
      </c>
      <c r="L115" s="633">
        <v>1.19999999999999</v>
      </c>
      <c r="M115" s="632"/>
      <c r="N115" s="632"/>
      <c r="O115" s="632">
        <v>2</v>
      </c>
      <c r="P115" s="636"/>
      <c r="Q115" s="636"/>
      <c r="R115" s="636"/>
      <c r="S115" s="638">
        <f t="shared" si="0"/>
        <v>0</v>
      </c>
      <c r="T115" s="638">
        <f t="shared" si="1"/>
        <v>0</v>
      </c>
      <c r="U115" s="638">
        <f t="shared" si="2"/>
        <v>0</v>
      </c>
      <c r="V115" s="638">
        <f t="shared" si="3"/>
        <v>0</v>
      </c>
      <c r="W115" s="638">
        <f t="shared" si="4"/>
        <v>0</v>
      </c>
      <c r="X115" s="638">
        <f t="shared" si="5"/>
        <v>0</v>
      </c>
      <c r="Y115" s="638">
        <f t="shared" si="6"/>
        <v>0</v>
      </c>
      <c r="Z115" s="638">
        <f t="shared" si="7"/>
        <v>0</v>
      </c>
      <c r="AA115" s="638">
        <f t="shared" si="8"/>
        <v>0</v>
      </c>
      <c r="AB115" s="638">
        <f t="shared" si="9"/>
        <v>0</v>
      </c>
      <c r="AC115" s="638">
        <f t="shared" si="10"/>
        <v>0</v>
      </c>
      <c r="AD115" s="638">
        <f t="shared" si="11"/>
        <v>0</v>
      </c>
      <c r="AE115" s="632" t="s">
        <v>321</v>
      </c>
      <c r="AF115" s="632"/>
      <c r="AG115" s="632"/>
      <c r="AH115" s="632"/>
      <c r="AI115" s="632" t="s">
        <v>120</v>
      </c>
      <c r="AJ115" s="639">
        <f t="shared" si="16"/>
        <v>2</v>
      </c>
      <c r="AK115" s="632" t="s">
        <v>120</v>
      </c>
      <c r="AL115" s="632"/>
      <c r="AM115" s="632"/>
      <c r="AN115" s="632"/>
      <c r="AO115" s="632"/>
    </row>
    <row r="116" customHeight="1" spans="1:41">
      <c r="A116" s="632" t="s">
        <v>327</v>
      </c>
      <c r="B116" s="632"/>
      <c r="C116" s="632"/>
      <c r="D116" s="632"/>
      <c r="E116" s="632" t="s">
        <v>114</v>
      </c>
      <c r="F116" s="632"/>
      <c r="G116" s="632"/>
      <c r="H116" s="633">
        <v>1</v>
      </c>
      <c r="I116" s="633">
        <v>0.9</v>
      </c>
      <c r="J116" s="633">
        <v>1.2</v>
      </c>
      <c r="K116" s="633">
        <v>1</v>
      </c>
      <c r="L116" s="633">
        <v>1.19999999999999</v>
      </c>
      <c r="M116" s="632"/>
      <c r="N116" s="632"/>
      <c r="O116" s="632">
        <v>2</v>
      </c>
      <c r="P116" s="636"/>
      <c r="Q116" s="636"/>
      <c r="R116" s="636"/>
      <c r="S116" s="638">
        <f t="shared" si="0"/>
        <v>0</v>
      </c>
      <c r="T116" s="638">
        <f t="shared" si="1"/>
        <v>0</v>
      </c>
      <c r="U116" s="638">
        <f t="shared" si="2"/>
        <v>0</v>
      </c>
      <c r="V116" s="638">
        <f t="shared" si="3"/>
        <v>0</v>
      </c>
      <c r="W116" s="638">
        <f t="shared" si="4"/>
        <v>0</v>
      </c>
      <c r="X116" s="638">
        <f t="shared" si="5"/>
        <v>0</v>
      </c>
      <c r="Y116" s="638">
        <f t="shared" si="6"/>
        <v>0</v>
      </c>
      <c r="Z116" s="638">
        <f t="shared" si="7"/>
        <v>0</v>
      </c>
      <c r="AA116" s="638">
        <f t="shared" si="8"/>
        <v>0</v>
      </c>
      <c r="AB116" s="638">
        <f t="shared" si="9"/>
        <v>0</v>
      </c>
      <c r="AC116" s="638">
        <f t="shared" si="10"/>
        <v>0</v>
      </c>
      <c r="AD116" s="638">
        <f t="shared" si="11"/>
        <v>0</v>
      </c>
      <c r="AE116" s="632" t="s">
        <v>321</v>
      </c>
      <c r="AF116" s="632"/>
      <c r="AG116" s="632"/>
      <c r="AH116" s="632"/>
      <c r="AI116" s="632" t="s">
        <v>120</v>
      </c>
      <c r="AJ116" s="639">
        <f t="shared" si="16"/>
        <v>2</v>
      </c>
      <c r="AK116" s="632" t="s">
        <v>120</v>
      </c>
      <c r="AL116" s="632"/>
      <c r="AM116" s="632"/>
      <c r="AN116" s="632"/>
      <c r="AO116" s="632"/>
    </row>
    <row r="117" customHeight="1" spans="1:41">
      <c r="A117" s="632" t="s">
        <v>328</v>
      </c>
      <c r="B117" s="632"/>
      <c r="C117" s="632"/>
      <c r="D117" s="632"/>
      <c r="E117" s="632" t="s">
        <v>114</v>
      </c>
      <c r="F117" s="632"/>
      <c r="G117" s="632"/>
      <c r="H117" s="633">
        <v>1</v>
      </c>
      <c r="I117" s="633">
        <v>0.9</v>
      </c>
      <c r="J117" s="633">
        <v>1.2</v>
      </c>
      <c r="K117" s="633">
        <v>1</v>
      </c>
      <c r="L117" s="633">
        <v>1.19999999999999</v>
      </c>
      <c r="M117" s="632"/>
      <c r="N117" s="632"/>
      <c r="O117" s="632">
        <v>2</v>
      </c>
      <c r="P117" s="636"/>
      <c r="Q117" s="636"/>
      <c r="R117" s="636"/>
      <c r="S117" s="638">
        <f t="shared" si="0"/>
        <v>0</v>
      </c>
      <c r="T117" s="638">
        <f t="shared" si="1"/>
        <v>0</v>
      </c>
      <c r="U117" s="638">
        <f t="shared" si="2"/>
        <v>0</v>
      </c>
      <c r="V117" s="638">
        <f t="shared" si="3"/>
        <v>0</v>
      </c>
      <c r="W117" s="638">
        <f t="shared" si="4"/>
        <v>0</v>
      </c>
      <c r="X117" s="638">
        <f t="shared" si="5"/>
        <v>0</v>
      </c>
      <c r="Y117" s="638">
        <f t="shared" si="6"/>
        <v>0</v>
      </c>
      <c r="Z117" s="638">
        <f t="shared" si="7"/>
        <v>0</v>
      </c>
      <c r="AA117" s="638">
        <f t="shared" si="8"/>
        <v>0</v>
      </c>
      <c r="AB117" s="638">
        <f t="shared" si="9"/>
        <v>0</v>
      </c>
      <c r="AC117" s="638">
        <f t="shared" si="10"/>
        <v>0</v>
      </c>
      <c r="AD117" s="638">
        <f t="shared" si="11"/>
        <v>0</v>
      </c>
      <c r="AE117" s="632" t="s">
        <v>321</v>
      </c>
      <c r="AF117" s="632"/>
      <c r="AG117" s="632"/>
      <c r="AH117" s="632"/>
      <c r="AI117" s="632" t="s">
        <v>120</v>
      </c>
      <c r="AJ117" s="639">
        <f t="shared" si="16"/>
        <v>2</v>
      </c>
      <c r="AK117" s="632" t="s">
        <v>120</v>
      </c>
      <c r="AL117" s="632"/>
      <c r="AM117" s="632"/>
      <c r="AN117" s="632"/>
      <c r="AO117" s="632"/>
    </row>
    <row r="118" customHeight="1" spans="1:41">
      <c r="A118" s="632" t="s">
        <v>329</v>
      </c>
      <c r="B118" s="632" t="s">
        <v>329</v>
      </c>
      <c r="C118" s="632"/>
      <c r="D118" s="632"/>
      <c r="E118" s="632" t="s">
        <v>139</v>
      </c>
      <c r="F118" s="632"/>
      <c r="G118" s="632" t="s">
        <v>115</v>
      </c>
      <c r="H118" s="633">
        <v>1</v>
      </c>
      <c r="I118" s="633">
        <v>0.9</v>
      </c>
      <c r="J118" s="633">
        <v>1.2</v>
      </c>
      <c r="K118" s="633">
        <v>1</v>
      </c>
      <c r="L118" s="633">
        <v>1.19999999999999</v>
      </c>
      <c r="M118" s="632"/>
      <c r="N118" s="632"/>
      <c r="O118" s="632" t="s">
        <v>119</v>
      </c>
      <c r="P118" s="636">
        <v>50</v>
      </c>
      <c r="Q118" s="636"/>
      <c r="R118" s="636"/>
      <c r="S118" s="638">
        <f t="shared" si="0"/>
        <v>50</v>
      </c>
      <c r="T118" s="638">
        <f t="shared" si="1"/>
        <v>0</v>
      </c>
      <c r="U118" s="638">
        <f t="shared" si="2"/>
        <v>0</v>
      </c>
      <c r="V118" s="638">
        <f t="shared" si="3"/>
        <v>55.5555555555556</v>
      </c>
      <c r="W118" s="638">
        <f t="shared" si="4"/>
        <v>0</v>
      </c>
      <c r="X118" s="638">
        <f t="shared" si="5"/>
        <v>0</v>
      </c>
      <c r="Y118" s="638">
        <f t="shared" si="6"/>
        <v>41.6666666666667</v>
      </c>
      <c r="Z118" s="638">
        <f t="shared" si="7"/>
        <v>0</v>
      </c>
      <c r="AA118" s="638">
        <f t="shared" si="8"/>
        <v>0</v>
      </c>
      <c r="AB118" s="638">
        <f t="shared" si="9"/>
        <v>50</v>
      </c>
      <c r="AC118" s="638">
        <f t="shared" si="10"/>
        <v>0</v>
      </c>
      <c r="AD118" s="638">
        <f t="shared" si="11"/>
        <v>0</v>
      </c>
      <c r="AE118" s="632" t="s">
        <v>321</v>
      </c>
      <c r="AF118" s="632"/>
      <c r="AG118" s="632"/>
      <c r="AH118" s="632"/>
      <c r="AI118" s="632" t="s">
        <v>120</v>
      </c>
      <c r="AJ118" s="639" t="str">
        <f t="shared" si="16"/>
        <v>n/a</v>
      </c>
      <c r="AK118" s="632" t="s">
        <v>120</v>
      </c>
      <c r="AL118" s="632" t="s">
        <v>120</v>
      </c>
      <c r="AM118" s="632" t="s">
        <v>120</v>
      </c>
      <c r="AN118" s="632" t="s">
        <v>120</v>
      </c>
      <c r="AO118" s="632" t="s">
        <v>120</v>
      </c>
    </row>
    <row r="119" customHeight="1" spans="1:41">
      <c r="A119" s="632" t="s">
        <v>330</v>
      </c>
      <c r="B119" s="632" t="s">
        <v>330</v>
      </c>
      <c r="C119" s="632"/>
      <c r="D119" s="632"/>
      <c r="E119" s="632" t="s">
        <v>139</v>
      </c>
      <c r="F119" s="632"/>
      <c r="G119" s="632" t="s">
        <v>115</v>
      </c>
      <c r="H119" s="633">
        <v>1</v>
      </c>
      <c r="I119" s="633">
        <v>0.9</v>
      </c>
      <c r="J119" s="633">
        <v>1.2</v>
      </c>
      <c r="K119" s="633">
        <v>1</v>
      </c>
      <c r="L119" s="633">
        <v>1.19999999999999</v>
      </c>
      <c r="M119" s="632"/>
      <c r="N119" s="632"/>
      <c r="O119" s="632" t="s">
        <v>119</v>
      </c>
      <c r="P119" s="636">
        <v>0.11</v>
      </c>
      <c r="Q119" s="636"/>
      <c r="R119" s="636"/>
      <c r="S119" s="638">
        <f t="shared" si="0"/>
        <v>0.11</v>
      </c>
      <c r="T119" s="638">
        <f t="shared" si="1"/>
        <v>0</v>
      </c>
      <c r="U119" s="638">
        <f t="shared" si="2"/>
        <v>0</v>
      </c>
      <c r="V119" s="638">
        <f t="shared" si="3"/>
        <v>0.122222222222222</v>
      </c>
      <c r="W119" s="638">
        <f t="shared" si="4"/>
        <v>0</v>
      </c>
      <c r="X119" s="638">
        <f t="shared" si="5"/>
        <v>0</v>
      </c>
      <c r="Y119" s="638">
        <f t="shared" si="6"/>
        <v>0.0916666666666667</v>
      </c>
      <c r="Z119" s="638">
        <f t="shared" si="7"/>
        <v>0</v>
      </c>
      <c r="AA119" s="638">
        <f t="shared" si="8"/>
        <v>0</v>
      </c>
      <c r="AB119" s="638">
        <f t="shared" si="9"/>
        <v>0.11</v>
      </c>
      <c r="AC119" s="638">
        <f t="shared" si="10"/>
        <v>0</v>
      </c>
      <c r="AD119" s="638">
        <f t="shared" si="11"/>
        <v>0</v>
      </c>
      <c r="AE119" s="632" t="s">
        <v>321</v>
      </c>
      <c r="AF119" s="632"/>
      <c r="AG119" s="632"/>
      <c r="AH119" s="632"/>
      <c r="AI119" s="632" t="s">
        <v>120</v>
      </c>
      <c r="AJ119" s="639" t="str">
        <f t="shared" si="16"/>
        <v>n/a</v>
      </c>
      <c r="AK119" s="632" t="s">
        <v>120</v>
      </c>
      <c r="AL119" s="632"/>
      <c r="AM119" s="632"/>
      <c r="AN119" s="632"/>
      <c r="AO119" s="632"/>
    </row>
    <row r="120" customHeight="1" spans="1:41">
      <c r="A120" s="632" t="s">
        <v>331</v>
      </c>
      <c r="B120" s="632" t="s">
        <v>332</v>
      </c>
      <c r="C120" s="632"/>
      <c r="D120" s="632"/>
      <c r="E120" s="632" t="s">
        <v>139</v>
      </c>
      <c r="F120" s="632"/>
      <c r="G120" s="632" t="s">
        <v>115</v>
      </c>
      <c r="H120" s="633">
        <v>1</v>
      </c>
      <c r="I120" s="633">
        <v>0.9</v>
      </c>
      <c r="J120" s="633">
        <v>1.2</v>
      </c>
      <c r="K120" s="633">
        <v>1</v>
      </c>
      <c r="L120" s="633">
        <v>1.19999999999999</v>
      </c>
      <c r="M120" s="632"/>
      <c r="N120" s="632"/>
      <c r="O120" s="632">
        <v>1</v>
      </c>
      <c r="P120" s="642">
        <v>0.01</v>
      </c>
      <c r="Q120" s="636"/>
      <c r="R120" s="636"/>
      <c r="S120" s="638">
        <f t="shared" si="0"/>
        <v>0.01</v>
      </c>
      <c r="T120" s="638">
        <f t="shared" si="1"/>
        <v>0</v>
      </c>
      <c r="U120" s="638">
        <f t="shared" si="2"/>
        <v>0</v>
      </c>
      <c r="V120" s="638">
        <f t="shared" si="3"/>
        <v>0.0111111111111111</v>
      </c>
      <c r="W120" s="638">
        <f t="shared" si="4"/>
        <v>0</v>
      </c>
      <c r="X120" s="638">
        <f t="shared" si="5"/>
        <v>0</v>
      </c>
      <c r="Y120" s="638">
        <f t="shared" si="6"/>
        <v>0.00833333333333333</v>
      </c>
      <c r="Z120" s="638">
        <f t="shared" si="7"/>
        <v>0</v>
      </c>
      <c r="AA120" s="638">
        <f t="shared" si="8"/>
        <v>0</v>
      </c>
      <c r="AB120" s="638">
        <f t="shared" si="9"/>
        <v>0.01</v>
      </c>
      <c r="AC120" s="638">
        <f t="shared" si="10"/>
        <v>0</v>
      </c>
      <c r="AD120" s="638">
        <f t="shared" si="11"/>
        <v>0</v>
      </c>
      <c r="AE120" s="632" t="s">
        <v>321</v>
      </c>
      <c r="AF120" s="632"/>
      <c r="AG120" s="632"/>
      <c r="AH120" s="632"/>
      <c r="AI120" s="632" t="s">
        <v>120</v>
      </c>
      <c r="AJ120" s="639">
        <f t="shared" si="16"/>
        <v>1</v>
      </c>
      <c r="AK120" s="632" t="s">
        <v>120</v>
      </c>
      <c r="AL120" s="632"/>
      <c r="AM120" s="632"/>
      <c r="AN120" s="632"/>
      <c r="AO120" s="632"/>
    </row>
    <row r="121" customHeight="1" spans="1:41">
      <c r="A121" s="632" t="s">
        <v>333</v>
      </c>
      <c r="B121" s="632" t="s">
        <v>333</v>
      </c>
      <c r="C121" s="632"/>
      <c r="D121" s="632"/>
      <c r="E121" s="632" t="s">
        <v>139</v>
      </c>
      <c r="F121" s="632"/>
      <c r="G121" s="632" t="s">
        <v>115</v>
      </c>
      <c r="H121" s="633">
        <v>1</v>
      </c>
      <c r="I121" s="633">
        <v>0.9</v>
      </c>
      <c r="J121" s="633">
        <v>1.2</v>
      </c>
      <c r="K121" s="633">
        <v>1</v>
      </c>
      <c r="L121" s="633">
        <v>1.19999999999999</v>
      </c>
      <c r="M121" s="632"/>
      <c r="N121" s="632"/>
      <c r="O121" s="632" t="s">
        <v>119</v>
      </c>
      <c r="P121" s="636">
        <v>550</v>
      </c>
      <c r="Q121" s="636" t="s">
        <v>13</v>
      </c>
      <c r="R121" s="636" t="s">
        <v>13</v>
      </c>
      <c r="S121" s="638">
        <f t="shared" si="0"/>
        <v>550</v>
      </c>
      <c r="T121" s="638" t="e">
        <f t="shared" si="1"/>
        <v>#VALUE!</v>
      </c>
      <c r="U121" s="638" t="e">
        <f t="shared" si="2"/>
        <v>#VALUE!</v>
      </c>
      <c r="V121" s="638">
        <f t="shared" si="3"/>
        <v>611.111111111111</v>
      </c>
      <c r="W121" s="638" t="e">
        <f t="shared" si="4"/>
        <v>#VALUE!</v>
      </c>
      <c r="X121" s="638" t="e">
        <f t="shared" si="5"/>
        <v>#VALUE!</v>
      </c>
      <c r="Y121" s="638">
        <f t="shared" si="6"/>
        <v>458.333333333333</v>
      </c>
      <c r="Z121" s="638" t="e">
        <f t="shared" si="7"/>
        <v>#VALUE!</v>
      </c>
      <c r="AA121" s="638" t="e">
        <f t="shared" si="8"/>
        <v>#VALUE!</v>
      </c>
      <c r="AB121" s="638">
        <f t="shared" si="9"/>
        <v>550</v>
      </c>
      <c r="AC121" s="638" t="e">
        <f t="shared" si="10"/>
        <v>#VALUE!</v>
      </c>
      <c r="AD121" s="638" t="e">
        <f t="shared" si="11"/>
        <v>#VALUE!</v>
      </c>
      <c r="AE121" s="632" t="s">
        <v>118</v>
      </c>
      <c r="AF121" s="632"/>
      <c r="AG121" s="632"/>
      <c r="AH121" s="632"/>
      <c r="AI121" s="632" t="s">
        <v>120</v>
      </c>
      <c r="AJ121" s="639" t="str">
        <f t="shared" si="16"/>
        <v>n/a</v>
      </c>
      <c r="AK121" s="632" t="s">
        <v>120</v>
      </c>
      <c r="AL121" s="632"/>
      <c r="AM121" s="632"/>
      <c r="AN121" s="632"/>
      <c r="AO121" s="632"/>
    </row>
    <row r="122" customHeight="1" spans="1:41">
      <c r="A122" s="632" t="s">
        <v>334</v>
      </c>
      <c r="B122" s="632" t="s">
        <v>334</v>
      </c>
      <c r="C122" s="632"/>
      <c r="D122" s="632"/>
      <c r="E122" s="632" t="s">
        <v>139</v>
      </c>
      <c r="F122" s="632"/>
      <c r="G122" s="632" t="s">
        <v>115</v>
      </c>
      <c r="H122" s="633">
        <v>1</v>
      </c>
      <c r="I122" s="633">
        <v>0.9</v>
      </c>
      <c r="J122" s="633">
        <v>1.2</v>
      </c>
      <c r="K122" s="633">
        <v>1</v>
      </c>
      <c r="L122" s="633">
        <v>1.19999999999999</v>
      </c>
      <c r="M122" s="632"/>
      <c r="N122" s="632"/>
      <c r="O122" s="632" t="s">
        <v>119</v>
      </c>
      <c r="P122" s="636">
        <v>1.25</v>
      </c>
      <c r="Q122" s="636"/>
      <c r="R122" s="636"/>
      <c r="S122" s="638">
        <f t="shared" si="0"/>
        <v>1.25</v>
      </c>
      <c r="T122" s="638">
        <f t="shared" si="1"/>
        <v>0</v>
      </c>
      <c r="U122" s="638">
        <f t="shared" si="2"/>
        <v>0</v>
      </c>
      <c r="V122" s="638">
        <f t="shared" si="3"/>
        <v>1.38888888888889</v>
      </c>
      <c r="W122" s="638">
        <f t="shared" si="4"/>
        <v>0</v>
      </c>
      <c r="X122" s="638">
        <f t="shared" si="5"/>
        <v>0</v>
      </c>
      <c r="Y122" s="638">
        <f t="shared" si="6"/>
        <v>1.04166666666667</v>
      </c>
      <c r="Z122" s="638">
        <f t="shared" si="7"/>
        <v>0</v>
      </c>
      <c r="AA122" s="638">
        <f t="shared" si="8"/>
        <v>0</v>
      </c>
      <c r="AB122" s="638">
        <f t="shared" si="9"/>
        <v>1.25</v>
      </c>
      <c r="AC122" s="638">
        <f t="shared" si="10"/>
        <v>0</v>
      </c>
      <c r="AD122" s="638">
        <f t="shared" si="11"/>
        <v>0</v>
      </c>
      <c r="AE122" s="632" t="s">
        <v>321</v>
      </c>
      <c r="AF122" s="632"/>
      <c r="AG122" s="632"/>
      <c r="AH122" s="632"/>
      <c r="AI122" s="632" t="s">
        <v>120</v>
      </c>
      <c r="AJ122" s="639" t="str">
        <f t="shared" si="16"/>
        <v>n/a</v>
      </c>
      <c r="AK122" s="632" t="s">
        <v>120</v>
      </c>
      <c r="AL122" s="632"/>
      <c r="AM122" s="632"/>
      <c r="AN122" s="632"/>
      <c r="AO122" s="632"/>
    </row>
    <row r="123" customHeight="1" spans="1:41">
      <c r="A123" s="632" t="s">
        <v>335</v>
      </c>
      <c r="B123" s="632" t="s">
        <v>335</v>
      </c>
      <c r="C123" s="632"/>
      <c r="D123" s="632"/>
      <c r="E123" s="632" t="s">
        <v>139</v>
      </c>
      <c r="F123" s="632"/>
      <c r="G123" s="632" t="s">
        <v>115</v>
      </c>
      <c r="H123" s="633">
        <v>1</v>
      </c>
      <c r="I123" s="633">
        <v>0.9</v>
      </c>
      <c r="J123" s="633">
        <v>1.2</v>
      </c>
      <c r="K123" s="633">
        <v>1</v>
      </c>
      <c r="L123" s="633">
        <v>1.19999999999999</v>
      </c>
      <c r="M123" s="632"/>
      <c r="N123" s="632"/>
      <c r="O123" s="632" t="s">
        <v>119</v>
      </c>
      <c r="P123" s="636">
        <v>750</v>
      </c>
      <c r="Q123" s="636"/>
      <c r="R123" s="636"/>
      <c r="S123" s="638">
        <f t="shared" si="0"/>
        <v>750</v>
      </c>
      <c r="T123" s="638">
        <f t="shared" si="1"/>
        <v>0</v>
      </c>
      <c r="U123" s="638">
        <f t="shared" si="2"/>
        <v>0</v>
      </c>
      <c r="V123" s="638">
        <f t="shared" si="3"/>
        <v>833.333333333333</v>
      </c>
      <c r="W123" s="638">
        <f t="shared" si="4"/>
        <v>0</v>
      </c>
      <c r="X123" s="638">
        <f t="shared" si="5"/>
        <v>0</v>
      </c>
      <c r="Y123" s="638">
        <f t="shared" si="6"/>
        <v>625</v>
      </c>
      <c r="Z123" s="638">
        <f t="shared" si="7"/>
        <v>0</v>
      </c>
      <c r="AA123" s="638">
        <f t="shared" si="8"/>
        <v>0</v>
      </c>
      <c r="AB123" s="638">
        <f t="shared" si="9"/>
        <v>750</v>
      </c>
      <c r="AC123" s="638">
        <f t="shared" si="10"/>
        <v>0</v>
      </c>
      <c r="AD123" s="638">
        <f t="shared" si="11"/>
        <v>0</v>
      </c>
      <c r="AE123" s="632" t="s">
        <v>118</v>
      </c>
      <c r="AF123" s="632"/>
      <c r="AG123" s="632"/>
      <c r="AH123" s="632"/>
      <c r="AI123" s="632" t="s">
        <v>120</v>
      </c>
      <c r="AJ123" s="639" t="str">
        <f t="shared" si="16"/>
        <v>n/a</v>
      </c>
      <c r="AK123" s="632" t="s">
        <v>120</v>
      </c>
      <c r="AL123" s="632"/>
      <c r="AM123" s="632"/>
      <c r="AN123" s="632"/>
      <c r="AO123" s="632"/>
    </row>
    <row r="124" customHeight="1" spans="1:41">
      <c r="A124" s="632" t="s">
        <v>336</v>
      </c>
      <c r="B124" s="632" t="s">
        <v>336</v>
      </c>
      <c r="C124" s="632"/>
      <c r="D124" s="632"/>
      <c r="E124" s="632" t="s">
        <v>139</v>
      </c>
      <c r="F124" s="632"/>
      <c r="G124" s="632" t="s">
        <v>115</v>
      </c>
      <c r="H124" s="633">
        <v>1</v>
      </c>
      <c r="I124" s="633">
        <v>0.9</v>
      </c>
      <c r="J124" s="633">
        <v>1.2</v>
      </c>
      <c r="K124" s="633">
        <v>1</v>
      </c>
      <c r="L124" s="633">
        <v>1.19999999999999</v>
      </c>
      <c r="M124" s="632"/>
      <c r="N124" s="632"/>
      <c r="O124" s="632" t="s">
        <v>119</v>
      </c>
      <c r="P124" s="636">
        <v>50</v>
      </c>
      <c r="Q124" s="636" t="s">
        <v>117</v>
      </c>
      <c r="R124" s="636" t="s">
        <v>117</v>
      </c>
      <c r="S124" s="638">
        <f t="shared" si="0"/>
        <v>50</v>
      </c>
      <c r="T124" s="638" t="e">
        <f t="shared" si="1"/>
        <v>#VALUE!</v>
      </c>
      <c r="U124" s="638" t="e">
        <f t="shared" si="2"/>
        <v>#VALUE!</v>
      </c>
      <c r="V124" s="638">
        <f t="shared" si="3"/>
        <v>55.5555555555556</v>
      </c>
      <c r="W124" s="638" t="e">
        <f t="shared" si="4"/>
        <v>#VALUE!</v>
      </c>
      <c r="X124" s="638" t="e">
        <f t="shared" si="5"/>
        <v>#VALUE!</v>
      </c>
      <c r="Y124" s="638">
        <f t="shared" si="6"/>
        <v>41.6666666666667</v>
      </c>
      <c r="Z124" s="638" t="e">
        <f t="shared" si="7"/>
        <v>#VALUE!</v>
      </c>
      <c r="AA124" s="638" t="e">
        <f t="shared" si="8"/>
        <v>#VALUE!</v>
      </c>
      <c r="AB124" s="638">
        <f t="shared" si="9"/>
        <v>50</v>
      </c>
      <c r="AC124" s="638" t="e">
        <f t="shared" si="10"/>
        <v>#VALUE!</v>
      </c>
      <c r="AD124" s="638" t="e">
        <f t="shared" si="11"/>
        <v>#VALUE!</v>
      </c>
      <c r="AE124" s="632" t="s">
        <v>118</v>
      </c>
      <c r="AF124" s="632"/>
      <c r="AG124" s="632"/>
      <c r="AH124" s="632"/>
      <c r="AI124" s="632" t="s">
        <v>120</v>
      </c>
      <c r="AJ124" s="639" t="str">
        <f t="shared" si="16"/>
        <v>n/a</v>
      </c>
      <c r="AK124" s="632" t="s">
        <v>120</v>
      </c>
      <c r="AL124" s="632"/>
      <c r="AM124" s="632"/>
      <c r="AN124" s="632"/>
      <c r="AO124" s="632"/>
    </row>
    <row r="125" customHeight="1" spans="1:41">
      <c r="A125" s="632" t="s">
        <v>337</v>
      </c>
      <c r="B125" s="632" t="s">
        <v>337</v>
      </c>
      <c r="C125" s="632"/>
      <c r="D125" s="632"/>
      <c r="E125" s="632" t="s">
        <v>139</v>
      </c>
      <c r="F125" s="632"/>
      <c r="G125" s="632" t="s">
        <v>115</v>
      </c>
      <c r="H125" s="633">
        <v>1</v>
      </c>
      <c r="I125" s="633">
        <v>0.9</v>
      </c>
      <c r="J125" s="633">
        <v>1.2</v>
      </c>
      <c r="K125" s="633">
        <v>1</v>
      </c>
      <c r="L125" s="633">
        <v>1.19999999999999</v>
      </c>
      <c r="M125" s="632" t="s">
        <v>181</v>
      </c>
      <c r="N125" s="632"/>
      <c r="O125" s="632" t="s">
        <v>119</v>
      </c>
      <c r="P125" s="637">
        <v>13</v>
      </c>
      <c r="Q125" s="636" t="s">
        <v>117</v>
      </c>
      <c r="R125" s="636" t="s">
        <v>117</v>
      </c>
      <c r="S125" s="638">
        <f t="shared" si="0"/>
        <v>13</v>
      </c>
      <c r="T125" s="638" t="e">
        <f t="shared" si="1"/>
        <v>#VALUE!</v>
      </c>
      <c r="U125" s="638" t="e">
        <f t="shared" si="2"/>
        <v>#VALUE!</v>
      </c>
      <c r="V125" s="638">
        <f t="shared" si="3"/>
        <v>14.4444444444444</v>
      </c>
      <c r="W125" s="638" t="e">
        <f t="shared" si="4"/>
        <v>#VALUE!</v>
      </c>
      <c r="X125" s="638" t="e">
        <f t="shared" si="5"/>
        <v>#VALUE!</v>
      </c>
      <c r="Y125" s="638">
        <f t="shared" si="6"/>
        <v>10.8333333333333</v>
      </c>
      <c r="Z125" s="638" t="e">
        <f t="shared" si="7"/>
        <v>#VALUE!</v>
      </c>
      <c r="AA125" s="638" t="e">
        <f t="shared" si="8"/>
        <v>#VALUE!</v>
      </c>
      <c r="AB125" s="638">
        <f t="shared" si="9"/>
        <v>13</v>
      </c>
      <c r="AC125" s="638" t="e">
        <f t="shared" si="10"/>
        <v>#VALUE!</v>
      </c>
      <c r="AD125" s="638" t="e">
        <f t="shared" si="11"/>
        <v>#VALUE!</v>
      </c>
      <c r="AE125" s="632" t="s">
        <v>192</v>
      </c>
      <c r="AF125" s="632"/>
      <c r="AG125" s="632"/>
      <c r="AH125" s="632"/>
      <c r="AI125" s="632"/>
      <c r="AJ125" s="639"/>
      <c r="AK125" s="632"/>
      <c r="AL125" s="632"/>
      <c r="AM125" s="632"/>
      <c r="AN125" s="632"/>
      <c r="AO125" s="632"/>
    </row>
    <row r="126" customHeight="1" spans="1:41">
      <c r="A126" s="632" t="s">
        <v>338</v>
      </c>
      <c r="B126" s="632" t="s">
        <v>338</v>
      </c>
      <c r="C126" s="632"/>
      <c r="D126" s="632"/>
      <c r="E126" s="632" t="s">
        <v>139</v>
      </c>
      <c r="F126" s="632"/>
      <c r="G126" s="632" t="s">
        <v>115</v>
      </c>
      <c r="H126" s="633">
        <v>1</v>
      </c>
      <c r="I126" s="633">
        <v>0.9</v>
      </c>
      <c r="J126" s="633">
        <v>1.2</v>
      </c>
      <c r="K126" s="633">
        <v>1</v>
      </c>
      <c r="L126" s="633">
        <v>1.19999999999999</v>
      </c>
      <c r="M126" s="632" t="s">
        <v>181</v>
      </c>
      <c r="N126" s="632"/>
      <c r="O126" s="632" t="s">
        <v>119</v>
      </c>
      <c r="P126" s="637">
        <v>25</v>
      </c>
      <c r="Q126" s="636" t="s">
        <v>117</v>
      </c>
      <c r="R126" s="636" t="s">
        <v>117</v>
      </c>
      <c r="S126" s="638">
        <f t="shared" si="0"/>
        <v>25</v>
      </c>
      <c r="T126" s="638" t="e">
        <f t="shared" si="1"/>
        <v>#VALUE!</v>
      </c>
      <c r="U126" s="638" t="e">
        <f t="shared" si="2"/>
        <v>#VALUE!</v>
      </c>
      <c r="V126" s="638">
        <f t="shared" si="3"/>
        <v>27.7777777777778</v>
      </c>
      <c r="W126" s="638" t="e">
        <f t="shared" si="4"/>
        <v>#VALUE!</v>
      </c>
      <c r="X126" s="638" t="e">
        <f t="shared" si="5"/>
        <v>#VALUE!</v>
      </c>
      <c r="Y126" s="638">
        <f t="shared" si="6"/>
        <v>20.8333333333333</v>
      </c>
      <c r="Z126" s="638" t="e">
        <f t="shared" si="7"/>
        <v>#VALUE!</v>
      </c>
      <c r="AA126" s="638" t="e">
        <f t="shared" si="8"/>
        <v>#VALUE!</v>
      </c>
      <c r="AB126" s="638">
        <f t="shared" si="9"/>
        <v>25</v>
      </c>
      <c r="AC126" s="638" t="e">
        <f t="shared" si="10"/>
        <v>#VALUE!</v>
      </c>
      <c r="AD126" s="638" t="e">
        <f t="shared" si="11"/>
        <v>#VALUE!</v>
      </c>
      <c r="AE126" s="632" t="s">
        <v>192</v>
      </c>
      <c r="AF126" s="632"/>
      <c r="AG126" s="632"/>
      <c r="AH126" s="632"/>
      <c r="AI126" s="632"/>
      <c r="AJ126" s="639"/>
      <c r="AK126" s="632"/>
      <c r="AL126" s="632"/>
      <c r="AM126" s="632"/>
      <c r="AN126" s="632"/>
      <c r="AO126" s="632"/>
    </row>
    <row r="127" customHeight="1" spans="1:41">
      <c r="A127" s="632" t="s">
        <v>339</v>
      </c>
      <c r="B127" s="632" t="s">
        <v>340</v>
      </c>
      <c r="C127" s="632"/>
      <c r="D127" s="632"/>
      <c r="E127" s="632" t="s">
        <v>139</v>
      </c>
      <c r="F127" s="632"/>
      <c r="G127" s="632" t="s">
        <v>115</v>
      </c>
      <c r="H127" s="633">
        <v>1</v>
      </c>
      <c r="I127" s="633">
        <v>0.9</v>
      </c>
      <c r="J127" s="633">
        <v>1.2</v>
      </c>
      <c r="K127" s="633">
        <v>1</v>
      </c>
      <c r="L127" s="633">
        <v>1.19999999999999</v>
      </c>
      <c r="M127" s="632" t="s">
        <v>140</v>
      </c>
      <c r="N127" s="632"/>
      <c r="O127" s="632">
        <v>2</v>
      </c>
      <c r="P127" s="636">
        <v>110</v>
      </c>
      <c r="Q127" s="636">
        <v>70</v>
      </c>
      <c r="R127" s="636">
        <v>50</v>
      </c>
      <c r="S127" s="638">
        <f t="shared" si="0"/>
        <v>110</v>
      </c>
      <c r="T127" s="638">
        <f t="shared" si="1"/>
        <v>70</v>
      </c>
      <c r="U127" s="638">
        <f t="shared" si="2"/>
        <v>50</v>
      </c>
      <c r="V127" s="638">
        <f t="shared" si="3"/>
        <v>122.222222222222</v>
      </c>
      <c r="W127" s="638">
        <f t="shared" si="4"/>
        <v>77.7777777777778</v>
      </c>
      <c r="X127" s="638">
        <f t="shared" si="5"/>
        <v>55.5555555555556</v>
      </c>
      <c r="Y127" s="638">
        <f t="shared" si="6"/>
        <v>91.6666666666667</v>
      </c>
      <c r="Z127" s="638">
        <f t="shared" si="7"/>
        <v>58.3333333333333</v>
      </c>
      <c r="AA127" s="638">
        <f t="shared" si="8"/>
        <v>41.6666666666667</v>
      </c>
      <c r="AB127" s="638">
        <f t="shared" si="9"/>
        <v>110</v>
      </c>
      <c r="AC127" s="638">
        <f t="shared" si="10"/>
        <v>70</v>
      </c>
      <c r="AD127" s="638">
        <f t="shared" si="11"/>
        <v>50</v>
      </c>
      <c r="AE127" s="632" t="s">
        <v>141</v>
      </c>
      <c r="AF127" s="632"/>
      <c r="AG127" s="632"/>
      <c r="AH127" s="632"/>
      <c r="AI127" s="632" t="s">
        <v>142</v>
      </c>
      <c r="AJ127" s="639">
        <f t="shared" ref="AJ127:AJ180" si="17">O127</f>
        <v>2</v>
      </c>
      <c r="AK127" s="632" t="s">
        <v>120</v>
      </c>
      <c r="AL127" s="632" t="s">
        <v>120</v>
      </c>
      <c r="AM127" s="632" t="s">
        <v>120</v>
      </c>
      <c r="AN127" s="632" t="s">
        <v>120</v>
      </c>
      <c r="AO127" s="632" t="s">
        <v>120</v>
      </c>
    </row>
    <row r="128" customHeight="1" spans="1:41">
      <c r="A128" s="632" t="s">
        <v>341</v>
      </c>
      <c r="B128" s="632" t="s">
        <v>342</v>
      </c>
      <c r="C128" s="632"/>
      <c r="D128" s="632"/>
      <c r="E128" s="632" t="s">
        <v>139</v>
      </c>
      <c r="F128" s="632"/>
      <c r="G128" s="632" t="s">
        <v>115</v>
      </c>
      <c r="H128" s="633">
        <v>1</v>
      </c>
      <c r="I128" s="633">
        <v>0.9</v>
      </c>
      <c r="J128" s="633">
        <v>1.2</v>
      </c>
      <c r="K128" s="633">
        <v>1</v>
      </c>
      <c r="L128" s="633">
        <v>1.19999999999999</v>
      </c>
      <c r="M128" s="632" t="s">
        <v>140</v>
      </c>
      <c r="N128" s="632"/>
      <c r="O128" s="632">
        <v>2</v>
      </c>
      <c r="P128" s="637">
        <v>8</v>
      </c>
      <c r="Q128" s="637">
        <v>13</v>
      </c>
      <c r="R128" s="636" t="s">
        <v>13</v>
      </c>
      <c r="S128" s="638">
        <f t="shared" si="0"/>
        <v>8</v>
      </c>
      <c r="T128" s="638">
        <f t="shared" si="1"/>
        <v>13</v>
      </c>
      <c r="U128" s="638" t="e">
        <f t="shared" si="2"/>
        <v>#VALUE!</v>
      </c>
      <c r="V128" s="638">
        <f t="shared" si="3"/>
        <v>8.88888888888889</v>
      </c>
      <c r="W128" s="638">
        <f t="shared" si="4"/>
        <v>14.4444444444444</v>
      </c>
      <c r="X128" s="638" t="e">
        <f t="shared" si="5"/>
        <v>#VALUE!</v>
      </c>
      <c r="Y128" s="638">
        <f t="shared" si="6"/>
        <v>6.66666666666667</v>
      </c>
      <c r="Z128" s="638">
        <f t="shared" si="7"/>
        <v>10.8333333333333</v>
      </c>
      <c r="AA128" s="638" t="e">
        <f t="shared" si="8"/>
        <v>#VALUE!</v>
      </c>
      <c r="AB128" s="638">
        <f t="shared" si="9"/>
        <v>8</v>
      </c>
      <c r="AC128" s="638">
        <f t="shared" si="10"/>
        <v>13</v>
      </c>
      <c r="AD128" s="638" t="e">
        <f t="shared" si="11"/>
        <v>#VALUE!</v>
      </c>
      <c r="AE128" s="632" t="s">
        <v>192</v>
      </c>
      <c r="AF128" s="632"/>
      <c r="AG128" s="632"/>
      <c r="AH128" s="632"/>
      <c r="AI128" s="632" t="s">
        <v>142</v>
      </c>
      <c r="AJ128" s="639">
        <f t="shared" si="17"/>
        <v>2</v>
      </c>
      <c r="AK128" s="632" t="s">
        <v>120</v>
      </c>
      <c r="AL128" s="632" t="s">
        <v>120</v>
      </c>
      <c r="AM128" s="632" t="s">
        <v>120</v>
      </c>
      <c r="AN128" s="632" t="s">
        <v>120</v>
      </c>
      <c r="AO128" s="632" t="s">
        <v>120</v>
      </c>
    </row>
    <row r="129" customHeight="1" spans="1:41">
      <c r="A129" s="632" t="s">
        <v>343</v>
      </c>
      <c r="B129" s="632"/>
      <c r="C129" s="632"/>
      <c r="D129" s="632"/>
      <c r="E129" s="632" t="s">
        <v>139</v>
      </c>
      <c r="F129" s="632"/>
      <c r="G129" s="632" t="s">
        <v>115</v>
      </c>
      <c r="H129" s="633">
        <v>1</v>
      </c>
      <c r="I129" s="633">
        <v>0.9</v>
      </c>
      <c r="J129" s="633">
        <v>1.2</v>
      </c>
      <c r="K129" s="633">
        <v>1</v>
      </c>
      <c r="L129" s="633">
        <v>1.19999999999999</v>
      </c>
      <c r="M129" s="632" t="s">
        <v>140</v>
      </c>
      <c r="N129" s="632"/>
      <c r="O129" s="632">
        <v>2</v>
      </c>
      <c r="P129" s="636">
        <v>100</v>
      </c>
      <c r="Q129" s="636">
        <v>62.5</v>
      </c>
      <c r="R129" s="636">
        <v>41.67</v>
      </c>
      <c r="S129" s="638">
        <f t="shared" si="0"/>
        <v>100</v>
      </c>
      <c r="T129" s="638">
        <f t="shared" si="1"/>
        <v>62.5</v>
      </c>
      <c r="U129" s="638">
        <f t="shared" si="2"/>
        <v>41.67</v>
      </c>
      <c r="V129" s="638">
        <f t="shared" si="3"/>
        <v>111.111111111111</v>
      </c>
      <c r="W129" s="638">
        <f t="shared" si="4"/>
        <v>69.4444444444444</v>
      </c>
      <c r="X129" s="638">
        <f t="shared" si="5"/>
        <v>46.3</v>
      </c>
      <c r="Y129" s="638">
        <f t="shared" si="6"/>
        <v>83.3333333333333</v>
      </c>
      <c r="Z129" s="638">
        <f t="shared" si="7"/>
        <v>52.0833333333333</v>
      </c>
      <c r="AA129" s="638">
        <f t="shared" si="8"/>
        <v>34.725</v>
      </c>
      <c r="AB129" s="638">
        <f t="shared" si="9"/>
        <v>100</v>
      </c>
      <c r="AC129" s="638">
        <f t="shared" si="10"/>
        <v>62.5</v>
      </c>
      <c r="AD129" s="638">
        <f t="shared" si="11"/>
        <v>41.67</v>
      </c>
      <c r="AE129" s="632" t="s">
        <v>141</v>
      </c>
      <c r="AF129" s="632"/>
      <c r="AG129" s="632"/>
      <c r="AH129" s="632"/>
      <c r="AI129" s="632" t="s">
        <v>120</v>
      </c>
      <c r="AJ129" s="639">
        <f t="shared" si="17"/>
        <v>2</v>
      </c>
      <c r="AK129" s="632" t="s">
        <v>120</v>
      </c>
      <c r="AL129" s="632" t="s">
        <v>120</v>
      </c>
      <c r="AM129" s="632" t="s">
        <v>120</v>
      </c>
      <c r="AN129" s="632" t="s">
        <v>120</v>
      </c>
      <c r="AO129" s="632" t="s">
        <v>120</v>
      </c>
    </row>
    <row r="130" customHeight="1" spans="1:41">
      <c r="A130" s="632" t="s">
        <v>344</v>
      </c>
      <c r="B130" s="632"/>
      <c r="C130" s="632"/>
      <c r="D130" s="632"/>
      <c r="E130" s="632" t="s">
        <v>139</v>
      </c>
      <c r="F130" s="632"/>
      <c r="G130" s="632" t="s">
        <v>115</v>
      </c>
      <c r="H130" s="633">
        <v>1</v>
      </c>
      <c r="I130" s="633">
        <v>0.9</v>
      </c>
      <c r="J130" s="633">
        <v>1.2</v>
      </c>
      <c r="K130" s="633">
        <v>1</v>
      </c>
      <c r="L130" s="633">
        <v>1.19999999999999</v>
      </c>
      <c r="M130" s="632" t="s">
        <v>345</v>
      </c>
      <c r="N130" s="632"/>
      <c r="O130" s="632">
        <v>2</v>
      </c>
      <c r="P130" s="636">
        <v>100</v>
      </c>
      <c r="Q130" s="636">
        <v>62.5</v>
      </c>
      <c r="R130" s="636">
        <v>41.67</v>
      </c>
      <c r="S130" s="638">
        <f t="shared" si="0"/>
        <v>100</v>
      </c>
      <c r="T130" s="638">
        <f t="shared" si="1"/>
        <v>62.5</v>
      </c>
      <c r="U130" s="638">
        <f t="shared" si="2"/>
        <v>41.67</v>
      </c>
      <c r="V130" s="638">
        <f t="shared" si="3"/>
        <v>111.111111111111</v>
      </c>
      <c r="W130" s="638">
        <f t="shared" si="4"/>
        <v>69.4444444444444</v>
      </c>
      <c r="X130" s="638">
        <f t="shared" si="5"/>
        <v>46.3</v>
      </c>
      <c r="Y130" s="638">
        <f t="shared" si="6"/>
        <v>83.3333333333333</v>
      </c>
      <c r="Z130" s="638">
        <f t="shared" si="7"/>
        <v>52.0833333333333</v>
      </c>
      <c r="AA130" s="638">
        <f t="shared" si="8"/>
        <v>34.725</v>
      </c>
      <c r="AB130" s="638">
        <f t="shared" si="9"/>
        <v>100</v>
      </c>
      <c r="AC130" s="638">
        <f t="shared" si="10"/>
        <v>62.5</v>
      </c>
      <c r="AD130" s="638">
        <f t="shared" si="11"/>
        <v>41.67</v>
      </c>
      <c r="AE130" s="632" t="s">
        <v>141</v>
      </c>
      <c r="AF130" s="632"/>
      <c r="AG130" s="632"/>
      <c r="AH130" s="632"/>
      <c r="AI130" s="632" t="s">
        <v>120</v>
      </c>
      <c r="AJ130" s="639">
        <f t="shared" si="17"/>
        <v>2</v>
      </c>
      <c r="AK130" s="632" t="s">
        <v>120</v>
      </c>
      <c r="AL130" s="632" t="s">
        <v>120</v>
      </c>
      <c r="AM130" s="632" t="s">
        <v>120</v>
      </c>
      <c r="AN130" s="632" t="s">
        <v>120</v>
      </c>
      <c r="AO130" s="632" t="s">
        <v>120</v>
      </c>
    </row>
    <row r="131" customHeight="1" spans="1:41">
      <c r="A131" s="632" t="s">
        <v>346</v>
      </c>
      <c r="B131" s="632" t="s">
        <v>347</v>
      </c>
      <c r="C131" s="632"/>
      <c r="D131" s="632"/>
      <c r="E131" s="632" t="s">
        <v>139</v>
      </c>
      <c r="F131" s="632"/>
      <c r="G131" s="632" t="s">
        <v>115</v>
      </c>
      <c r="H131" s="633">
        <v>1</v>
      </c>
      <c r="I131" s="633">
        <v>0.9</v>
      </c>
      <c r="J131" s="633">
        <v>1.2</v>
      </c>
      <c r="K131" s="633">
        <v>1</v>
      </c>
      <c r="L131" s="633">
        <v>1.19999999999999</v>
      </c>
      <c r="M131" s="632" t="s">
        <v>140</v>
      </c>
      <c r="N131" s="632"/>
      <c r="O131" s="632">
        <v>2</v>
      </c>
      <c r="P131" s="636">
        <v>85</v>
      </c>
      <c r="Q131" s="636">
        <v>55</v>
      </c>
      <c r="R131" s="636">
        <v>35</v>
      </c>
      <c r="S131" s="638">
        <f t="shared" si="0"/>
        <v>85</v>
      </c>
      <c r="T131" s="638">
        <f t="shared" si="1"/>
        <v>55</v>
      </c>
      <c r="U131" s="638">
        <f t="shared" si="2"/>
        <v>35</v>
      </c>
      <c r="V131" s="638">
        <f t="shared" si="3"/>
        <v>94.4444444444444</v>
      </c>
      <c r="W131" s="638">
        <f t="shared" si="4"/>
        <v>61.1111111111111</v>
      </c>
      <c r="X131" s="638">
        <f t="shared" si="5"/>
        <v>38.8888888888889</v>
      </c>
      <c r="Y131" s="638">
        <f t="shared" si="6"/>
        <v>70.8333333333333</v>
      </c>
      <c r="Z131" s="638">
        <f t="shared" si="7"/>
        <v>45.8333333333333</v>
      </c>
      <c r="AA131" s="638">
        <f t="shared" si="8"/>
        <v>29.1666666666667</v>
      </c>
      <c r="AB131" s="638">
        <f t="shared" si="9"/>
        <v>85</v>
      </c>
      <c r="AC131" s="638">
        <f t="shared" si="10"/>
        <v>55</v>
      </c>
      <c r="AD131" s="638">
        <f t="shared" si="11"/>
        <v>35</v>
      </c>
      <c r="AE131" s="632" t="s">
        <v>141</v>
      </c>
      <c r="AF131" s="632"/>
      <c r="AG131" s="632"/>
      <c r="AH131" s="632"/>
      <c r="AI131" s="632" t="s">
        <v>120</v>
      </c>
      <c r="AJ131" s="639">
        <f t="shared" si="17"/>
        <v>2</v>
      </c>
      <c r="AK131" s="632" t="s">
        <v>120</v>
      </c>
      <c r="AL131" s="632" t="s">
        <v>120</v>
      </c>
      <c r="AM131" s="632" t="s">
        <v>120</v>
      </c>
      <c r="AN131" s="632" t="s">
        <v>120</v>
      </c>
      <c r="AO131" s="632" t="s">
        <v>120</v>
      </c>
    </row>
    <row r="132" customHeight="1" spans="1:41">
      <c r="A132" s="632" t="s">
        <v>348</v>
      </c>
      <c r="B132" s="632" t="s">
        <v>349</v>
      </c>
      <c r="C132" s="632"/>
      <c r="D132" s="632"/>
      <c r="E132" s="632" t="s">
        <v>139</v>
      </c>
      <c r="F132" s="632"/>
      <c r="G132" s="632" t="s">
        <v>115</v>
      </c>
      <c r="H132" s="633">
        <v>1</v>
      </c>
      <c r="I132" s="633">
        <v>0.9</v>
      </c>
      <c r="J132" s="633">
        <v>1.2</v>
      </c>
      <c r="K132" s="633">
        <v>1</v>
      </c>
      <c r="L132" s="633">
        <v>1.19999999999998</v>
      </c>
      <c r="M132" s="632" t="s">
        <v>140</v>
      </c>
      <c r="N132" s="632"/>
      <c r="O132" s="632">
        <v>2</v>
      </c>
      <c r="P132" s="636">
        <v>240</v>
      </c>
      <c r="Q132" s="636">
        <v>155</v>
      </c>
      <c r="R132" s="636">
        <v>105</v>
      </c>
      <c r="S132" s="638">
        <f t="shared" si="0"/>
        <v>240</v>
      </c>
      <c r="T132" s="638">
        <f t="shared" si="1"/>
        <v>155</v>
      </c>
      <c r="U132" s="638">
        <f t="shared" si="2"/>
        <v>105</v>
      </c>
      <c r="V132" s="638">
        <f t="shared" si="3"/>
        <v>266.666666666667</v>
      </c>
      <c r="W132" s="638">
        <f t="shared" si="4"/>
        <v>172.222222222222</v>
      </c>
      <c r="X132" s="638">
        <f t="shared" si="5"/>
        <v>116.666666666667</v>
      </c>
      <c r="Y132" s="638">
        <f t="shared" si="6"/>
        <v>200</v>
      </c>
      <c r="Z132" s="638">
        <f t="shared" si="7"/>
        <v>129.166666666667</v>
      </c>
      <c r="AA132" s="638">
        <f t="shared" si="8"/>
        <v>87.5</v>
      </c>
      <c r="AB132" s="638">
        <f t="shared" si="9"/>
        <v>240</v>
      </c>
      <c r="AC132" s="638">
        <f t="shared" si="10"/>
        <v>155</v>
      </c>
      <c r="AD132" s="638">
        <f t="shared" si="11"/>
        <v>105</v>
      </c>
      <c r="AE132" s="632" t="s">
        <v>118</v>
      </c>
      <c r="AF132" s="632" t="s">
        <v>350</v>
      </c>
      <c r="AG132" s="632"/>
      <c r="AH132" s="632" t="s">
        <v>126</v>
      </c>
      <c r="AI132" s="632" t="s">
        <v>142</v>
      </c>
      <c r="AJ132" s="639">
        <f t="shared" si="17"/>
        <v>2</v>
      </c>
      <c r="AK132" s="632" t="s">
        <v>142</v>
      </c>
      <c r="AL132" s="632" t="s">
        <v>120</v>
      </c>
      <c r="AM132" s="632" t="s">
        <v>120</v>
      </c>
      <c r="AN132" s="632" t="s">
        <v>120</v>
      </c>
      <c r="AO132" s="632" t="s">
        <v>142</v>
      </c>
    </row>
    <row r="133" customHeight="1" spans="1:41">
      <c r="A133" s="632" t="s">
        <v>351</v>
      </c>
      <c r="B133" s="632" t="s">
        <v>352</v>
      </c>
      <c r="C133" s="632"/>
      <c r="D133" s="632"/>
      <c r="E133" s="632" t="s">
        <v>139</v>
      </c>
      <c r="F133" s="632"/>
      <c r="G133" s="632" t="s">
        <v>115</v>
      </c>
      <c r="H133" s="633">
        <v>1</v>
      </c>
      <c r="I133" s="633">
        <v>0.9</v>
      </c>
      <c r="J133" s="633">
        <v>1.2</v>
      </c>
      <c r="K133" s="633">
        <v>1</v>
      </c>
      <c r="L133" s="633">
        <v>1.19999999999998</v>
      </c>
      <c r="M133" s="632" t="s">
        <v>140</v>
      </c>
      <c r="N133" s="632"/>
      <c r="O133" s="632">
        <v>2</v>
      </c>
      <c r="P133" s="636">
        <v>215</v>
      </c>
      <c r="Q133" s="636">
        <v>130</v>
      </c>
      <c r="R133" s="636">
        <v>90</v>
      </c>
      <c r="S133" s="638">
        <f t="shared" si="0"/>
        <v>215</v>
      </c>
      <c r="T133" s="638">
        <f t="shared" si="1"/>
        <v>130</v>
      </c>
      <c r="U133" s="638">
        <f t="shared" si="2"/>
        <v>90</v>
      </c>
      <c r="V133" s="638">
        <f t="shared" si="3"/>
        <v>238.888888888889</v>
      </c>
      <c r="W133" s="638">
        <f t="shared" si="4"/>
        <v>144.444444444444</v>
      </c>
      <c r="X133" s="638">
        <f t="shared" si="5"/>
        <v>100</v>
      </c>
      <c r="Y133" s="638">
        <f t="shared" si="6"/>
        <v>179.166666666667</v>
      </c>
      <c r="Z133" s="638">
        <f t="shared" si="7"/>
        <v>108.333333333333</v>
      </c>
      <c r="AA133" s="638">
        <f t="shared" si="8"/>
        <v>75</v>
      </c>
      <c r="AB133" s="638">
        <f t="shared" si="9"/>
        <v>215</v>
      </c>
      <c r="AC133" s="638">
        <f t="shared" si="10"/>
        <v>130</v>
      </c>
      <c r="AD133" s="638">
        <f t="shared" si="11"/>
        <v>90</v>
      </c>
      <c r="AE133" s="632" t="s">
        <v>118</v>
      </c>
      <c r="AF133" s="632"/>
      <c r="AG133" s="632"/>
      <c r="AH133" s="632" t="s">
        <v>126</v>
      </c>
      <c r="AI133" s="632" t="s">
        <v>142</v>
      </c>
      <c r="AJ133" s="639">
        <f t="shared" si="17"/>
        <v>2</v>
      </c>
      <c r="AK133" s="632" t="s">
        <v>142</v>
      </c>
      <c r="AL133" s="632" t="s">
        <v>120</v>
      </c>
      <c r="AM133" s="632" t="s">
        <v>120</v>
      </c>
      <c r="AN133" s="632" t="s">
        <v>120</v>
      </c>
      <c r="AO133" s="632" t="s">
        <v>142</v>
      </c>
    </row>
    <row r="134" customHeight="1" spans="1:41">
      <c r="A134" s="632" t="s">
        <v>353</v>
      </c>
      <c r="B134" s="632" t="s">
        <v>354</v>
      </c>
      <c r="C134" s="632"/>
      <c r="D134" s="632"/>
      <c r="E134" s="632" t="s">
        <v>139</v>
      </c>
      <c r="F134" s="632"/>
      <c r="G134" s="632" t="s">
        <v>115</v>
      </c>
      <c r="H134" s="633">
        <v>1</v>
      </c>
      <c r="I134" s="633">
        <v>0.9</v>
      </c>
      <c r="J134" s="633">
        <v>1.2</v>
      </c>
      <c r="K134" s="633">
        <v>1</v>
      </c>
      <c r="L134" s="633">
        <v>1.19999999999998</v>
      </c>
      <c r="M134" s="632" t="s">
        <v>140</v>
      </c>
      <c r="N134" s="632"/>
      <c r="O134" s="632">
        <v>2</v>
      </c>
      <c r="P134" s="636">
        <v>115.2</v>
      </c>
      <c r="Q134" s="636">
        <v>74.4</v>
      </c>
      <c r="R134" s="636">
        <v>50.4</v>
      </c>
      <c r="S134" s="638">
        <f t="shared" si="0"/>
        <v>115.2</v>
      </c>
      <c r="T134" s="638">
        <f t="shared" si="1"/>
        <v>74.4</v>
      </c>
      <c r="U134" s="638">
        <f t="shared" si="2"/>
        <v>50.4</v>
      </c>
      <c r="V134" s="638">
        <f t="shared" si="3"/>
        <v>128</v>
      </c>
      <c r="W134" s="638">
        <f t="shared" si="4"/>
        <v>82.6666666666667</v>
      </c>
      <c r="X134" s="638">
        <f t="shared" si="5"/>
        <v>56</v>
      </c>
      <c r="Y134" s="638">
        <f t="shared" si="6"/>
        <v>96</v>
      </c>
      <c r="Z134" s="638">
        <f t="shared" si="7"/>
        <v>62</v>
      </c>
      <c r="AA134" s="638">
        <f t="shared" si="8"/>
        <v>42</v>
      </c>
      <c r="AB134" s="638">
        <f t="shared" si="9"/>
        <v>115.2</v>
      </c>
      <c r="AC134" s="638">
        <f t="shared" si="10"/>
        <v>74.4</v>
      </c>
      <c r="AD134" s="638">
        <f t="shared" si="11"/>
        <v>50.4</v>
      </c>
      <c r="AE134" s="632" t="s">
        <v>118</v>
      </c>
      <c r="AF134" s="632"/>
      <c r="AG134" s="632"/>
      <c r="AH134" s="632" t="s">
        <v>126</v>
      </c>
      <c r="AI134" s="632" t="s">
        <v>142</v>
      </c>
      <c r="AJ134" s="639">
        <f t="shared" si="17"/>
        <v>2</v>
      </c>
      <c r="AK134" s="632" t="s">
        <v>142</v>
      </c>
      <c r="AL134" s="632" t="s">
        <v>120</v>
      </c>
      <c r="AM134" s="632" t="s">
        <v>120</v>
      </c>
      <c r="AN134" s="632" t="s">
        <v>120</v>
      </c>
      <c r="AO134" s="632" t="s">
        <v>120</v>
      </c>
    </row>
    <row r="135" customHeight="1" spans="1:41">
      <c r="A135" s="632" t="s">
        <v>355</v>
      </c>
      <c r="B135" s="632" t="s">
        <v>356</v>
      </c>
      <c r="C135" s="632"/>
      <c r="D135" s="632"/>
      <c r="E135" s="632" t="s">
        <v>139</v>
      </c>
      <c r="F135" s="632"/>
      <c r="G135" s="632" t="s">
        <v>57</v>
      </c>
      <c r="H135" s="633">
        <v>1</v>
      </c>
      <c r="I135" s="633">
        <v>0.9</v>
      </c>
      <c r="J135" s="633">
        <v>1.2</v>
      </c>
      <c r="K135" s="633">
        <v>1</v>
      </c>
      <c r="L135" s="633">
        <v>1.19999999999998</v>
      </c>
      <c r="M135" s="632" t="s">
        <v>129</v>
      </c>
      <c r="N135" s="632"/>
      <c r="O135" s="632">
        <v>2</v>
      </c>
      <c r="P135" s="636">
        <v>600</v>
      </c>
      <c r="Q135" s="636">
        <v>325</v>
      </c>
      <c r="R135" s="636">
        <v>215</v>
      </c>
      <c r="S135" s="638">
        <f t="shared" si="0"/>
        <v>600</v>
      </c>
      <c r="T135" s="638">
        <f t="shared" si="1"/>
        <v>325</v>
      </c>
      <c r="U135" s="638">
        <f t="shared" si="2"/>
        <v>215</v>
      </c>
      <c r="V135" s="638">
        <f t="shared" si="3"/>
        <v>666.666666666667</v>
      </c>
      <c r="W135" s="638">
        <f t="shared" si="4"/>
        <v>361.111111111111</v>
      </c>
      <c r="X135" s="638">
        <f t="shared" si="5"/>
        <v>238.888888888889</v>
      </c>
      <c r="Y135" s="638">
        <f t="shared" si="6"/>
        <v>500</v>
      </c>
      <c r="Z135" s="638">
        <f t="shared" si="7"/>
        <v>270.833333333333</v>
      </c>
      <c r="AA135" s="638">
        <f t="shared" si="8"/>
        <v>179.166666666667</v>
      </c>
      <c r="AB135" s="638">
        <f t="shared" si="9"/>
        <v>600</v>
      </c>
      <c r="AC135" s="638">
        <f t="shared" si="10"/>
        <v>325</v>
      </c>
      <c r="AD135" s="638">
        <f t="shared" si="11"/>
        <v>215</v>
      </c>
      <c r="AE135" s="632" t="s">
        <v>118</v>
      </c>
      <c r="AF135" s="632"/>
      <c r="AG135" s="632"/>
      <c r="AH135" s="632"/>
      <c r="AI135" s="632" t="s">
        <v>142</v>
      </c>
      <c r="AJ135" s="639">
        <f t="shared" si="17"/>
        <v>2</v>
      </c>
      <c r="AK135" s="632" t="s">
        <v>120</v>
      </c>
      <c r="AL135" s="632" t="s">
        <v>120</v>
      </c>
      <c r="AM135" s="632" t="s">
        <v>120</v>
      </c>
      <c r="AN135" s="632" t="s">
        <v>120</v>
      </c>
      <c r="AO135" s="632" t="s">
        <v>120</v>
      </c>
    </row>
    <row r="136" customHeight="1" spans="1:41">
      <c r="A136" s="632" t="s">
        <v>357</v>
      </c>
      <c r="B136" s="632" t="s">
        <v>358</v>
      </c>
      <c r="C136" s="632"/>
      <c r="D136" s="632"/>
      <c r="E136" s="632" t="s">
        <v>139</v>
      </c>
      <c r="F136" s="632"/>
      <c r="G136" s="632" t="s">
        <v>57</v>
      </c>
      <c r="H136" s="633">
        <v>1</v>
      </c>
      <c r="I136" s="633">
        <v>0.9</v>
      </c>
      <c r="J136" s="633">
        <v>1.2</v>
      </c>
      <c r="K136" s="633">
        <v>1</v>
      </c>
      <c r="L136" s="633">
        <v>1.19999999999998</v>
      </c>
      <c r="M136" s="632" t="s">
        <v>129</v>
      </c>
      <c r="N136" s="632"/>
      <c r="O136" s="632">
        <v>2</v>
      </c>
      <c r="P136" s="636">
        <v>305</v>
      </c>
      <c r="Q136" s="636">
        <v>175</v>
      </c>
      <c r="R136" s="636">
        <v>100</v>
      </c>
      <c r="S136" s="638">
        <f t="shared" si="0"/>
        <v>305</v>
      </c>
      <c r="T136" s="638">
        <f t="shared" si="1"/>
        <v>175</v>
      </c>
      <c r="U136" s="638">
        <f t="shared" si="2"/>
        <v>100</v>
      </c>
      <c r="V136" s="638">
        <f t="shared" si="3"/>
        <v>338.888888888889</v>
      </c>
      <c r="W136" s="638">
        <f t="shared" si="4"/>
        <v>194.444444444444</v>
      </c>
      <c r="X136" s="638">
        <f t="shared" si="5"/>
        <v>111.111111111111</v>
      </c>
      <c r="Y136" s="638">
        <f t="shared" si="6"/>
        <v>254.166666666667</v>
      </c>
      <c r="Z136" s="638">
        <f t="shared" si="7"/>
        <v>145.833333333333</v>
      </c>
      <c r="AA136" s="638">
        <f t="shared" si="8"/>
        <v>83.3333333333333</v>
      </c>
      <c r="AB136" s="638">
        <f t="shared" si="9"/>
        <v>305</v>
      </c>
      <c r="AC136" s="638">
        <f t="shared" si="10"/>
        <v>175</v>
      </c>
      <c r="AD136" s="638">
        <f t="shared" si="11"/>
        <v>100</v>
      </c>
      <c r="AE136" s="632" t="s">
        <v>118</v>
      </c>
      <c r="AF136" s="632"/>
      <c r="AG136" s="632"/>
      <c r="AH136" s="632"/>
      <c r="AI136" s="632" t="s">
        <v>142</v>
      </c>
      <c r="AJ136" s="639">
        <f t="shared" si="17"/>
        <v>2</v>
      </c>
      <c r="AK136" s="632" t="s">
        <v>120</v>
      </c>
      <c r="AL136" s="632" t="s">
        <v>120</v>
      </c>
      <c r="AM136" s="632" t="s">
        <v>120</v>
      </c>
      <c r="AN136" s="632" t="s">
        <v>120</v>
      </c>
      <c r="AO136" s="632" t="s">
        <v>120</v>
      </c>
    </row>
    <row r="137" customHeight="1" spans="1:41">
      <c r="A137" s="632" t="s">
        <v>359</v>
      </c>
      <c r="B137" s="632" t="s">
        <v>360</v>
      </c>
      <c r="C137" s="632"/>
      <c r="D137" s="632"/>
      <c r="E137" s="632" t="s">
        <v>139</v>
      </c>
      <c r="F137" s="632"/>
      <c r="G137" s="632" t="s">
        <v>115</v>
      </c>
      <c r="H137" s="633">
        <v>1</v>
      </c>
      <c r="I137" s="633">
        <v>0.9</v>
      </c>
      <c r="J137" s="633">
        <v>1.2</v>
      </c>
      <c r="K137" s="633">
        <v>1</v>
      </c>
      <c r="L137" s="633">
        <v>1.19999999999998</v>
      </c>
      <c r="M137" s="632" t="s">
        <v>140</v>
      </c>
      <c r="N137" s="632"/>
      <c r="O137" s="632">
        <v>1</v>
      </c>
      <c r="P137" s="636">
        <v>350</v>
      </c>
      <c r="Q137" s="636" t="s">
        <v>117</v>
      </c>
      <c r="R137" s="636" t="s">
        <v>117</v>
      </c>
      <c r="S137" s="638">
        <f t="shared" si="0"/>
        <v>350</v>
      </c>
      <c r="T137" s="638" t="e">
        <f t="shared" si="1"/>
        <v>#VALUE!</v>
      </c>
      <c r="U137" s="638" t="e">
        <f t="shared" si="2"/>
        <v>#VALUE!</v>
      </c>
      <c r="V137" s="638">
        <f t="shared" si="3"/>
        <v>388.888888888889</v>
      </c>
      <c r="W137" s="638" t="e">
        <f t="shared" si="4"/>
        <v>#VALUE!</v>
      </c>
      <c r="X137" s="638" t="e">
        <f t="shared" si="5"/>
        <v>#VALUE!</v>
      </c>
      <c r="Y137" s="638">
        <f t="shared" si="6"/>
        <v>291.666666666667</v>
      </c>
      <c r="Z137" s="638" t="e">
        <f t="shared" si="7"/>
        <v>#VALUE!</v>
      </c>
      <c r="AA137" s="638" t="e">
        <f t="shared" si="8"/>
        <v>#VALUE!</v>
      </c>
      <c r="AB137" s="638">
        <f t="shared" si="9"/>
        <v>350</v>
      </c>
      <c r="AC137" s="638" t="e">
        <f t="shared" si="10"/>
        <v>#VALUE!</v>
      </c>
      <c r="AD137" s="638" t="e">
        <f t="shared" si="11"/>
        <v>#VALUE!</v>
      </c>
      <c r="AE137" s="632" t="s">
        <v>118</v>
      </c>
      <c r="AF137" s="632"/>
      <c r="AG137" s="632"/>
      <c r="AH137" s="632"/>
      <c r="AI137" s="632" t="s">
        <v>142</v>
      </c>
      <c r="AJ137" s="639">
        <f t="shared" si="17"/>
        <v>1</v>
      </c>
      <c r="AK137" s="632" t="s">
        <v>120</v>
      </c>
      <c r="AL137" s="632" t="s">
        <v>120</v>
      </c>
      <c r="AM137" s="632" t="s">
        <v>120</v>
      </c>
      <c r="AN137" s="632" t="s">
        <v>120</v>
      </c>
      <c r="AO137" s="632" t="s">
        <v>120</v>
      </c>
    </row>
    <row r="138" customHeight="1" spans="1:41">
      <c r="A138" s="632" t="s">
        <v>361</v>
      </c>
      <c r="B138" s="632" t="s">
        <v>362</v>
      </c>
      <c r="C138" s="632"/>
      <c r="D138" s="632"/>
      <c r="E138" s="632" t="s">
        <v>139</v>
      </c>
      <c r="F138" s="632"/>
      <c r="G138" s="632" t="s">
        <v>57</v>
      </c>
      <c r="H138" s="633">
        <v>1</v>
      </c>
      <c r="I138" s="633">
        <v>0.9</v>
      </c>
      <c r="J138" s="633">
        <v>1.2</v>
      </c>
      <c r="K138" s="633">
        <v>1</v>
      </c>
      <c r="L138" s="633">
        <v>1.19999999999998</v>
      </c>
      <c r="M138" s="632" t="s">
        <v>129</v>
      </c>
      <c r="N138" s="632"/>
      <c r="O138" s="632">
        <v>1</v>
      </c>
      <c r="P138" s="636">
        <v>700</v>
      </c>
      <c r="Q138" s="636" t="s">
        <v>117</v>
      </c>
      <c r="R138" s="636" t="s">
        <v>117</v>
      </c>
      <c r="S138" s="638">
        <f t="shared" si="0"/>
        <v>700</v>
      </c>
      <c r="T138" s="638" t="e">
        <f t="shared" si="1"/>
        <v>#VALUE!</v>
      </c>
      <c r="U138" s="638" t="e">
        <f t="shared" si="2"/>
        <v>#VALUE!</v>
      </c>
      <c r="V138" s="638">
        <f t="shared" si="3"/>
        <v>777.777777777778</v>
      </c>
      <c r="W138" s="638" t="e">
        <f t="shared" si="4"/>
        <v>#VALUE!</v>
      </c>
      <c r="X138" s="638" t="e">
        <f t="shared" si="5"/>
        <v>#VALUE!</v>
      </c>
      <c r="Y138" s="638">
        <f t="shared" si="6"/>
        <v>583.333333333333</v>
      </c>
      <c r="Z138" s="638" t="e">
        <f t="shared" si="7"/>
        <v>#VALUE!</v>
      </c>
      <c r="AA138" s="638" t="e">
        <f t="shared" si="8"/>
        <v>#VALUE!</v>
      </c>
      <c r="AB138" s="638">
        <f t="shared" si="9"/>
        <v>700</v>
      </c>
      <c r="AC138" s="638" t="e">
        <f t="shared" si="10"/>
        <v>#VALUE!</v>
      </c>
      <c r="AD138" s="638" t="e">
        <f t="shared" si="11"/>
        <v>#VALUE!</v>
      </c>
      <c r="AE138" s="632" t="s">
        <v>118</v>
      </c>
      <c r="AF138" s="632"/>
      <c r="AG138" s="632"/>
      <c r="AH138" s="632"/>
      <c r="AI138" s="632" t="s">
        <v>142</v>
      </c>
      <c r="AJ138" s="639">
        <f t="shared" si="17"/>
        <v>1</v>
      </c>
      <c r="AK138" s="632" t="s">
        <v>120</v>
      </c>
      <c r="AL138" s="632" t="s">
        <v>120</v>
      </c>
      <c r="AM138" s="632" t="s">
        <v>120</v>
      </c>
      <c r="AN138" s="632" t="s">
        <v>120</v>
      </c>
      <c r="AO138" s="632" t="s">
        <v>120</v>
      </c>
    </row>
    <row r="139" customHeight="1" spans="1:41">
      <c r="A139" s="632" t="s">
        <v>363</v>
      </c>
      <c r="B139" s="632" t="s">
        <v>364</v>
      </c>
      <c r="C139" s="632"/>
      <c r="D139" s="632"/>
      <c r="E139" s="632" t="s">
        <v>139</v>
      </c>
      <c r="F139" s="632"/>
      <c r="G139" s="632" t="s">
        <v>115</v>
      </c>
      <c r="H139" s="633">
        <v>1</v>
      </c>
      <c r="I139" s="633">
        <v>0.9</v>
      </c>
      <c r="J139" s="633">
        <v>1.2</v>
      </c>
      <c r="K139" s="633">
        <v>1</v>
      </c>
      <c r="L139" s="633">
        <v>1.19999999999998</v>
      </c>
      <c r="M139" s="632" t="s">
        <v>140</v>
      </c>
      <c r="N139" s="632"/>
      <c r="O139" s="632">
        <v>1</v>
      </c>
      <c r="P139" s="636">
        <v>175</v>
      </c>
      <c r="Q139" s="636" t="s">
        <v>117</v>
      </c>
      <c r="R139" s="636" t="s">
        <v>117</v>
      </c>
      <c r="S139" s="638">
        <f t="shared" si="0"/>
        <v>175</v>
      </c>
      <c r="T139" s="638" t="e">
        <f t="shared" si="1"/>
        <v>#VALUE!</v>
      </c>
      <c r="U139" s="638" t="e">
        <f t="shared" si="2"/>
        <v>#VALUE!</v>
      </c>
      <c r="V139" s="638">
        <f t="shared" si="3"/>
        <v>194.444444444444</v>
      </c>
      <c r="W139" s="638" t="e">
        <f t="shared" si="4"/>
        <v>#VALUE!</v>
      </c>
      <c r="X139" s="638" t="e">
        <f t="shared" si="5"/>
        <v>#VALUE!</v>
      </c>
      <c r="Y139" s="638">
        <f t="shared" si="6"/>
        <v>145.833333333333</v>
      </c>
      <c r="Z139" s="638" t="e">
        <f t="shared" si="7"/>
        <v>#VALUE!</v>
      </c>
      <c r="AA139" s="638" t="e">
        <f t="shared" si="8"/>
        <v>#VALUE!</v>
      </c>
      <c r="AB139" s="638">
        <f t="shared" si="9"/>
        <v>175</v>
      </c>
      <c r="AC139" s="638" t="e">
        <f t="shared" si="10"/>
        <v>#VALUE!</v>
      </c>
      <c r="AD139" s="638" t="e">
        <f t="shared" si="11"/>
        <v>#VALUE!</v>
      </c>
      <c r="AE139" s="632" t="s">
        <v>118</v>
      </c>
      <c r="AF139" s="632"/>
      <c r="AG139" s="632"/>
      <c r="AH139" s="632"/>
      <c r="AI139" s="632" t="s">
        <v>142</v>
      </c>
      <c r="AJ139" s="639">
        <f t="shared" si="17"/>
        <v>1</v>
      </c>
      <c r="AK139" s="632" t="s">
        <v>120</v>
      </c>
      <c r="AL139" s="632" t="s">
        <v>120</v>
      </c>
      <c r="AM139" s="632" t="s">
        <v>120</v>
      </c>
      <c r="AN139" s="632" t="s">
        <v>120</v>
      </c>
      <c r="AO139" s="632" t="s">
        <v>120</v>
      </c>
    </row>
    <row r="140" customHeight="1" spans="1:41">
      <c r="A140" s="632" t="s">
        <v>365</v>
      </c>
      <c r="B140" s="632" t="s">
        <v>366</v>
      </c>
      <c r="C140" s="632"/>
      <c r="D140" s="632"/>
      <c r="E140" s="632" t="s">
        <v>139</v>
      </c>
      <c r="F140" s="632"/>
      <c r="G140" s="632" t="s">
        <v>57</v>
      </c>
      <c r="H140" s="633">
        <v>1</v>
      </c>
      <c r="I140" s="633">
        <v>0.9</v>
      </c>
      <c r="J140" s="633">
        <v>1.2</v>
      </c>
      <c r="K140" s="633">
        <v>1</v>
      </c>
      <c r="L140" s="633">
        <v>1.19999999999998</v>
      </c>
      <c r="M140" s="632" t="s">
        <v>129</v>
      </c>
      <c r="N140" s="632"/>
      <c r="O140" s="632">
        <v>1</v>
      </c>
      <c r="P140" s="636">
        <v>400</v>
      </c>
      <c r="Q140" s="636" t="s">
        <v>117</v>
      </c>
      <c r="R140" s="636" t="s">
        <v>117</v>
      </c>
      <c r="S140" s="638">
        <f t="shared" si="0"/>
        <v>400</v>
      </c>
      <c r="T140" s="638" t="e">
        <f t="shared" si="1"/>
        <v>#VALUE!</v>
      </c>
      <c r="U140" s="638" t="e">
        <f t="shared" si="2"/>
        <v>#VALUE!</v>
      </c>
      <c r="V140" s="638">
        <f t="shared" si="3"/>
        <v>444.444444444444</v>
      </c>
      <c r="W140" s="638" t="e">
        <f t="shared" si="4"/>
        <v>#VALUE!</v>
      </c>
      <c r="X140" s="638" t="e">
        <f t="shared" si="5"/>
        <v>#VALUE!</v>
      </c>
      <c r="Y140" s="638">
        <f t="shared" si="6"/>
        <v>333.333333333333</v>
      </c>
      <c r="Z140" s="638" t="e">
        <f t="shared" si="7"/>
        <v>#VALUE!</v>
      </c>
      <c r="AA140" s="638" t="e">
        <f t="shared" si="8"/>
        <v>#VALUE!</v>
      </c>
      <c r="AB140" s="638">
        <f t="shared" si="9"/>
        <v>400</v>
      </c>
      <c r="AC140" s="638" t="e">
        <f t="shared" si="10"/>
        <v>#VALUE!</v>
      </c>
      <c r="AD140" s="638" t="e">
        <f t="shared" si="11"/>
        <v>#VALUE!</v>
      </c>
      <c r="AE140" s="632" t="s">
        <v>118</v>
      </c>
      <c r="AF140" s="632"/>
      <c r="AG140" s="632"/>
      <c r="AH140" s="632"/>
      <c r="AI140" s="632" t="s">
        <v>142</v>
      </c>
      <c r="AJ140" s="639">
        <f t="shared" si="17"/>
        <v>1</v>
      </c>
      <c r="AK140" s="632" t="s">
        <v>120</v>
      </c>
      <c r="AL140" s="632" t="s">
        <v>120</v>
      </c>
      <c r="AM140" s="632" t="s">
        <v>120</v>
      </c>
      <c r="AN140" s="632" t="s">
        <v>120</v>
      </c>
      <c r="AO140" s="632" t="s">
        <v>120</v>
      </c>
    </row>
    <row r="141" customHeight="1" spans="1:41">
      <c r="A141" s="632" t="s">
        <v>367</v>
      </c>
      <c r="B141" s="632"/>
      <c r="C141" s="632"/>
      <c r="D141" s="632"/>
      <c r="E141" s="632" t="s">
        <v>139</v>
      </c>
      <c r="F141" s="632"/>
      <c r="G141" s="632" t="s">
        <v>115</v>
      </c>
      <c r="H141" s="633">
        <v>1</v>
      </c>
      <c r="I141" s="633">
        <v>0.9</v>
      </c>
      <c r="J141" s="633">
        <v>1.2</v>
      </c>
      <c r="K141" s="633">
        <v>1</v>
      </c>
      <c r="L141" s="633">
        <v>1.19999999999998</v>
      </c>
      <c r="M141" s="632" t="s">
        <v>140</v>
      </c>
      <c r="N141" s="632"/>
      <c r="O141" s="632">
        <v>2</v>
      </c>
      <c r="P141" s="636">
        <v>85</v>
      </c>
      <c r="Q141" s="636">
        <v>55</v>
      </c>
      <c r="R141" s="636">
        <v>35</v>
      </c>
      <c r="S141" s="638">
        <f t="shared" si="0"/>
        <v>85</v>
      </c>
      <c r="T141" s="638">
        <f t="shared" si="1"/>
        <v>55</v>
      </c>
      <c r="U141" s="638">
        <f t="shared" si="2"/>
        <v>35</v>
      </c>
      <c r="V141" s="638">
        <f t="shared" si="3"/>
        <v>94.4444444444444</v>
      </c>
      <c r="W141" s="638">
        <f t="shared" si="4"/>
        <v>61.1111111111111</v>
      </c>
      <c r="X141" s="638">
        <f t="shared" si="5"/>
        <v>38.8888888888889</v>
      </c>
      <c r="Y141" s="638">
        <f t="shared" si="6"/>
        <v>70.8333333333333</v>
      </c>
      <c r="Z141" s="638">
        <f t="shared" si="7"/>
        <v>45.8333333333333</v>
      </c>
      <c r="AA141" s="638">
        <f t="shared" si="8"/>
        <v>29.1666666666667</v>
      </c>
      <c r="AB141" s="638">
        <f t="shared" si="9"/>
        <v>85</v>
      </c>
      <c r="AC141" s="638">
        <f t="shared" si="10"/>
        <v>55</v>
      </c>
      <c r="AD141" s="638">
        <f t="shared" si="11"/>
        <v>35</v>
      </c>
      <c r="AE141" s="632" t="s">
        <v>257</v>
      </c>
      <c r="AF141" s="632"/>
      <c r="AG141" s="632"/>
      <c r="AH141" s="632">
        <v>700</v>
      </c>
      <c r="AI141" s="632" t="s">
        <v>120</v>
      </c>
      <c r="AJ141" s="639">
        <f t="shared" si="17"/>
        <v>2</v>
      </c>
      <c r="AK141" s="632" t="s">
        <v>120</v>
      </c>
      <c r="AL141" s="632"/>
      <c r="AM141" s="632"/>
      <c r="AN141" s="632"/>
      <c r="AO141" s="632"/>
    </row>
    <row r="142" customHeight="1" spans="1:41">
      <c r="A142" s="632" t="s">
        <v>368</v>
      </c>
      <c r="B142" s="632"/>
      <c r="C142" s="632"/>
      <c r="D142" s="632"/>
      <c r="E142" s="632" t="s">
        <v>139</v>
      </c>
      <c r="F142" s="632"/>
      <c r="G142" s="632" t="s">
        <v>115</v>
      </c>
      <c r="H142" s="633">
        <v>1</v>
      </c>
      <c r="I142" s="633">
        <v>0.9</v>
      </c>
      <c r="J142" s="633">
        <v>1.2</v>
      </c>
      <c r="K142" s="633">
        <v>1</v>
      </c>
      <c r="L142" s="633">
        <v>1.19999999999998</v>
      </c>
      <c r="M142" s="632" t="s">
        <v>140</v>
      </c>
      <c r="N142" s="632"/>
      <c r="O142" s="632">
        <v>2</v>
      </c>
      <c r="P142" s="636">
        <v>60</v>
      </c>
      <c r="Q142" s="636">
        <v>35</v>
      </c>
      <c r="R142" s="636">
        <v>22</v>
      </c>
      <c r="S142" s="638">
        <f t="shared" si="0"/>
        <v>60</v>
      </c>
      <c r="T142" s="638">
        <f t="shared" si="1"/>
        <v>35</v>
      </c>
      <c r="U142" s="638">
        <f t="shared" si="2"/>
        <v>22</v>
      </c>
      <c r="V142" s="638">
        <f t="shared" si="3"/>
        <v>66.6666666666667</v>
      </c>
      <c r="W142" s="638">
        <f t="shared" si="4"/>
        <v>38.8888888888889</v>
      </c>
      <c r="X142" s="638">
        <f t="shared" si="5"/>
        <v>24.4444444444444</v>
      </c>
      <c r="Y142" s="638">
        <f t="shared" si="6"/>
        <v>50</v>
      </c>
      <c r="Z142" s="638">
        <f t="shared" si="7"/>
        <v>29.1666666666667</v>
      </c>
      <c r="AA142" s="638">
        <f t="shared" si="8"/>
        <v>18.3333333333333</v>
      </c>
      <c r="AB142" s="638">
        <f t="shared" si="9"/>
        <v>60</v>
      </c>
      <c r="AC142" s="638">
        <f t="shared" si="10"/>
        <v>35</v>
      </c>
      <c r="AD142" s="638">
        <f t="shared" si="11"/>
        <v>22</v>
      </c>
      <c r="AE142" s="632" t="s">
        <v>257</v>
      </c>
      <c r="AF142" s="632"/>
      <c r="AG142" s="632"/>
      <c r="AH142" s="632">
        <v>700</v>
      </c>
      <c r="AI142" s="632" t="s">
        <v>120</v>
      </c>
      <c r="AJ142" s="639">
        <f t="shared" si="17"/>
        <v>2</v>
      </c>
      <c r="AK142" s="632" t="s">
        <v>120</v>
      </c>
      <c r="AL142" s="632"/>
      <c r="AM142" s="632"/>
      <c r="AN142" s="632"/>
      <c r="AO142" s="632"/>
    </row>
    <row r="143" customHeight="1" spans="1:41">
      <c r="A143" s="632" t="s">
        <v>369</v>
      </c>
      <c r="B143" s="632"/>
      <c r="C143" s="632"/>
      <c r="D143" s="632"/>
      <c r="E143" s="632" t="s">
        <v>139</v>
      </c>
      <c r="F143" s="632"/>
      <c r="G143" s="632" t="s">
        <v>115</v>
      </c>
      <c r="H143" s="633">
        <v>1</v>
      </c>
      <c r="I143" s="633">
        <v>0.9</v>
      </c>
      <c r="J143" s="633">
        <v>1.2</v>
      </c>
      <c r="K143" s="633">
        <v>1</v>
      </c>
      <c r="L143" s="633">
        <v>1.19999999999998</v>
      </c>
      <c r="M143" s="632" t="s">
        <v>140</v>
      </c>
      <c r="N143" s="632"/>
      <c r="O143" s="632">
        <v>2</v>
      </c>
      <c r="P143" s="636" t="s">
        <v>370</v>
      </c>
      <c r="Q143" s="636"/>
      <c r="R143" s="636"/>
      <c r="S143" s="638" t="e">
        <f t="shared" si="0"/>
        <v>#VALUE!</v>
      </c>
      <c r="T143" s="638">
        <f t="shared" si="1"/>
        <v>0</v>
      </c>
      <c r="U143" s="638">
        <f t="shared" si="2"/>
        <v>0</v>
      </c>
      <c r="V143" s="638" t="e">
        <f t="shared" si="3"/>
        <v>#VALUE!</v>
      </c>
      <c r="W143" s="638">
        <f t="shared" si="4"/>
        <v>0</v>
      </c>
      <c r="X143" s="638">
        <f t="shared" si="5"/>
        <v>0</v>
      </c>
      <c r="Y143" s="638" t="e">
        <f t="shared" si="6"/>
        <v>#VALUE!</v>
      </c>
      <c r="Z143" s="638">
        <f t="shared" si="7"/>
        <v>0</v>
      </c>
      <c r="AA143" s="638">
        <f t="shared" si="8"/>
        <v>0</v>
      </c>
      <c r="AB143" s="638" t="e">
        <f t="shared" si="9"/>
        <v>#VALUE!</v>
      </c>
      <c r="AC143" s="638">
        <f t="shared" si="10"/>
        <v>0</v>
      </c>
      <c r="AD143" s="638">
        <f t="shared" si="11"/>
        <v>0</v>
      </c>
      <c r="AE143" s="632" t="s">
        <v>257</v>
      </c>
      <c r="AF143" s="632"/>
      <c r="AG143" s="632"/>
      <c r="AH143" s="632">
        <v>700</v>
      </c>
      <c r="AI143" s="632" t="s">
        <v>120</v>
      </c>
      <c r="AJ143" s="639">
        <f t="shared" si="17"/>
        <v>2</v>
      </c>
      <c r="AK143" s="632" t="s">
        <v>120</v>
      </c>
      <c r="AL143" s="632" t="s">
        <v>120</v>
      </c>
      <c r="AM143" s="632" t="s">
        <v>120</v>
      </c>
      <c r="AN143" s="632" t="s">
        <v>120</v>
      </c>
      <c r="AO143" s="632" t="s">
        <v>120</v>
      </c>
    </row>
    <row r="144" customHeight="1" spans="1:41">
      <c r="A144" s="632" t="s">
        <v>371</v>
      </c>
      <c r="B144" s="632"/>
      <c r="C144" s="632"/>
      <c r="D144" s="632"/>
      <c r="E144" s="632" t="s">
        <v>139</v>
      </c>
      <c r="F144" s="632"/>
      <c r="G144" s="632" t="s">
        <v>115</v>
      </c>
      <c r="H144" s="633">
        <v>1</v>
      </c>
      <c r="I144" s="633">
        <v>0.9</v>
      </c>
      <c r="J144" s="633">
        <v>1.2</v>
      </c>
      <c r="K144" s="633">
        <v>1</v>
      </c>
      <c r="L144" s="633">
        <v>1.19999999999998</v>
      </c>
      <c r="M144" s="632" t="s">
        <v>140</v>
      </c>
      <c r="N144" s="632"/>
      <c r="O144" s="632">
        <v>2</v>
      </c>
      <c r="P144" s="636" t="s">
        <v>370</v>
      </c>
      <c r="Q144" s="636"/>
      <c r="R144" s="636"/>
      <c r="S144" s="638" t="e">
        <f t="shared" si="0"/>
        <v>#VALUE!</v>
      </c>
      <c r="T144" s="638">
        <f t="shared" si="1"/>
        <v>0</v>
      </c>
      <c r="U144" s="638">
        <f t="shared" si="2"/>
        <v>0</v>
      </c>
      <c r="V144" s="638" t="e">
        <f t="shared" si="3"/>
        <v>#VALUE!</v>
      </c>
      <c r="W144" s="638">
        <f t="shared" si="4"/>
        <v>0</v>
      </c>
      <c r="X144" s="638">
        <f t="shared" si="5"/>
        <v>0</v>
      </c>
      <c r="Y144" s="638" t="e">
        <f t="shared" si="6"/>
        <v>#VALUE!</v>
      </c>
      <c r="Z144" s="638">
        <f t="shared" si="7"/>
        <v>0</v>
      </c>
      <c r="AA144" s="638">
        <f t="shared" si="8"/>
        <v>0</v>
      </c>
      <c r="AB144" s="638" t="e">
        <f t="shared" si="9"/>
        <v>#VALUE!</v>
      </c>
      <c r="AC144" s="638">
        <f t="shared" si="10"/>
        <v>0</v>
      </c>
      <c r="AD144" s="638">
        <f t="shared" si="11"/>
        <v>0</v>
      </c>
      <c r="AE144" s="632" t="s">
        <v>257</v>
      </c>
      <c r="AF144" s="632"/>
      <c r="AG144" s="632"/>
      <c r="AH144" s="632">
        <v>700</v>
      </c>
      <c r="AI144" s="632" t="s">
        <v>120</v>
      </c>
      <c r="AJ144" s="639">
        <f t="shared" si="17"/>
        <v>2</v>
      </c>
      <c r="AK144" s="632" t="s">
        <v>120</v>
      </c>
      <c r="AL144" s="632" t="s">
        <v>120</v>
      </c>
      <c r="AM144" s="632" t="s">
        <v>120</v>
      </c>
      <c r="AN144" s="632" t="s">
        <v>120</v>
      </c>
      <c r="AO144" s="632" t="s">
        <v>120</v>
      </c>
    </row>
    <row r="145" customHeight="1" spans="1:41">
      <c r="A145" s="632" t="s">
        <v>372</v>
      </c>
      <c r="B145" s="632"/>
      <c r="C145" s="632"/>
      <c r="D145" s="632"/>
      <c r="E145" s="632" t="s">
        <v>139</v>
      </c>
      <c r="F145" s="632"/>
      <c r="G145" s="632" t="s">
        <v>115</v>
      </c>
      <c r="H145" s="633">
        <v>1</v>
      </c>
      <c r="I145" s="633">
        <v>0.9</v>
      </c>
      <c r="J145" s="633">
        <v>1.2</v>
      </c>
      <c r="K145" s="633">
        <v>1</v>
      </c>
      <c r="L145" s="633">
        <v>1.19999999999998</v>
      </c>
      <c r="M145" s="632"/>
      <c r="N145" s="632"/>
      <c r="O145" s="632">
        <v>2</v>
      </c>
      <c r="P145" s="636">
        <v>4</v>
      </c>
      <c r="Q145" s="636">
        <v>2.5</v>
      </c>
      <c r="R145" s="636">
        <v>1.67</v>
      </c>
      <c r="S145" s="638">
        <f t="shared" si="0"/>
        <v>4</v>
      </c>
      <c r="T145" s="638">
        <f t="shared" si="1"/>
        <v>2.5</v>
      </c>
      <c r="U145" s="638">
        <f t="shared" si="2"/>
        <v>1.67</v>
      </c>
      <c r="V145" s="638">
        <f t="shared" si="3"/>
        <v>4.44444444444444</v>
      </c>
      <c r="W145" s="638">
        <f t="shared" si="4"/>
        <v>2.77777777777778</v>
      </c>
      <c r="X145" s="638">
        <f t="shared" si="5"/>
        <v>1.85555555555556</v>
      </c>
      <c r="Y145" s="638">
        <f t="shared" si="6"/>
        <v>3.33333333333333</v>
      </c>
      <c r="Z145" s="638">
        <f t="shared" si="7"/>
        <v>2.08333333333333</v>
      </c>
      <c r="AA145" s="638">
        <f t="shared" si="8"/>
        <v>1.39166666666667</v>
      </c>
      <c r="AB145" s="638">
        <f t="shared" si="9"/>
        <v>4</v>
      </c>
      <c r="AC145" s="638">
        <f t="shared" si="10"/>
        <v>2.5</v>
      </c>
      <c r="AD145" s="638">
        <f t="shared" si="11"/>
        <v>1.67</v>
      </c>
      <c r="AE145" s="632"/>
      <c r="AF145" s="632"/>
      <c r="AG145" s="632"/>
      <c r="AH145" s="632"/>
      <c r="AI145" s="632" t="s">
        <v>120</v>
      </c>
      <c r="AJ145" s="639">
        <f t="shared" si="17"/>
        <v>2</v>
      </c>
      <c r="AK145" s="632" t="s">
        <v>120</v>
      </c>
      <c r="AL145" s="632" t="s">
        <v>120</v>
      </c>
      <c r="AM145" s="632" t="s">
        <v>120</v>
      </c>
      <c r="AN145" s="632" t="s">
        <v>120</v>
      </c>
      <c r="AO145" s="632" t="s">
        <v>120</v>
      </c>
    </row>
    <row r="146" customHeight="1" spans="1:41">
      <c r="A146" s="632" t="s">
        <v>373</v>
      </c>
      <c r="B146" s="632"/>
      <c r="C146" s="632"/>
      <c r="D146" s="632"/>
      <c r="E146" s="632" t="s">
        <v>139</v>
      </c>
      <c r="F146" s="632"/>
      <c r="G146" s="632" t="s">
        <v>115</v>
      </c>
      <c r="H146" s="633">
        <v>1</v>
      </c>
      <c r="I146" s="633">
        <v>0.9</v>
      </c>
      <c r="J146" s="633">
        <v>1.2</v>
      </c>
      <c r="K146" s="633">
        <v>1</v>
      </c>
      <c r="L146" s="633">
        <v>1.19999999999998</v>
      </c>
      <c r="M146" s="632"/>
      <c r="N146" s="632"/>
      <c r="O146" s="632">
        <v>2</v>
      </c>
      <c r="P146" s="636">
        <v>3.33</v>
      </c>
      <c r="Q146" s="636">
        <v>2.08</v>
      </c>
      <c r="R146" s="636">
        <v>1.39</v>
      </c>
      <c r="S146" s="638">
        <f t="shared" si="0"/>
        <v>3.33</v>
      </c>
      <c r="T146" s="638">
        <f t="shared" si="1"/>
        <v>2.08</v>
      </c>
      <c r="U146" s="638">
        <f t="shared" si="2"/>
        <v>1.39</v>
      </c>
      <c r="V146" s="638">
        <f t="shared" si="3"/>
        <v>3.7</v>
      </c>
      <c r="W146" s="638">
        <f t="shared" si="4"/>
        <v>2.31111111111111</v>
      </c>
      <c r="X146" s="638">
        <f t="shared" si="5"/>
        <v>1.54444444444444</v>
      </c>
      <c r="Y146" s="638">
        <f t="shared" si="6"/>
        <v>2.775</v>
      </c>
      <c r="Z146" s="638">
        <f t="shared" si="7"/>
        <v>1.73333333333333</v>
      </c>
      <c r="AA146" s="638">
        <f t="shared" si="8"/>
        <v>1.15833333333333</v>
      </c>
      <c r="AB146" s="638">
        <f t="shared" si="9"/>
        <v>3.33</v>
      </c>
      <c r="AC146" s="638">
        <f t="shared" si="10"/>
        <v>2.08</v>
      </c>
      <c r="AD146" s="638">
        <f t="shared" si="11"/>
        <v>1.39</v>
      </c>
      <c r="AE146" s="632"/>
      <c r="AF146" s="632"/>
      <c r="AG146" s="632"/>
      <c r="AH146" s="632"/>
      <c r="AI146" s="632" t="s">
        <v>120</v>
      </c>
      <c r="AJ146" s="639">
        <f t="shared" si="17"/>
        <v>2</v>
      </c>
      <c r="AK146" s="632" t="s">
        <v>120</v>
      </c>
      <c r="AL146" s="632" t="s">
        <v>120</v>
      </c>
      <c r="AM146" s="632" t="s">
        <v>120</v>
      </c>
      <c r="AN146" s="632" t="s">
        <v>120</v>
      </c>
      <c r="AO146" s="632" t="s">
        <v>120</v>
      </c>
    </row>
    <row r="147" customHeight="1" spans="1:41">
      <c r="A147" s="632" t="s">
        <v>374</v>
      </c>
      <c r="B147" s="632"/>
      <c r="C147" s="632"/>
      <c r="D147" s="632"/>
      <c r="E147" s="632" t="s">
        <v>139</v>
      </c>
      <c r="F147" s="632"/>
      <c r="G147" s="632" t="s">
        <v>115</v>
      </c>
      <c r="H147" s="633">
        <v>1</v>
      </c>
      <c r="I147" s="633">
        <v>0.9</v>
      </c>
      <c r="J147" s="633">
        <v>1.2</v>
      </c>
      <c r="K147" s="633">
        <v>1</v>
      </c>
      <c r="L147" s="633">
        <v>1.19999999999998</v>
      </c>
      <c r="M147" s="632"/>
      <c r="N147" s="632"/>
      <c r="O147" s="632">
        <v>2</v>
      </c>
      <c r="P147" s="636">
        <v>6</v>
      </c>
      <c r="Q147" s="636">
        <v>3.75</v>
      </c>
      <c r="R147" s="636">
        <v>2.5</v>
      </c>
      <c r="S147" s="638">
        <f t="shared" si="0"/>
        <v>6</v>
      </c>
      <c r="T147" s="638">
        <f t="shared" si="1"/>
        <v>3.75</v>
      </c>
      <c r="U147" s="638">
        <f t="shared" si="2"/>
        <v>2.5</v>
      </c>
      <c r="V147" s="638">
        <f t="shared" si="3"/>
        <v>6.66666666666667</v>
      </c>
      <c r="W147" s="638">
        <f t="shared" si="4"/>
        <v>4.16666666666667</v>
      </c>
      <c r="X147" s="638">
        <f t="shared" si="5"/>
        <v>2.77777777777778</v>
      </c>
      <c r="Y147" s="638">
        <f t="shared" si="6"/>
        <v>5</v>
      </c>
      <c r="Z147" s="638">
        <f t="shared" si="7"/>
        <v>3.125</v>
      </c>
      <c r="AA147" s="638">
        <f t="shared" si="8"/>
        <v>2.08333333333333</v>
      </c>
      <c r="AB147" s="638">
        <f t="shared" si="9"/>
        <v>6</v>
      </c>
      <c r="AC147" s="638">
        <f t="shared" si="10"/>
        <v>3.75</v>
      </c>
      <c r="AD147" s="638">
        <f t="shared" si="11"/>
        <v>2.5</v>
      </c>
      <c r="AE147" s="632"/>
      <c r="AF147" s="632"/>
      <c r="AG147" s="632"/>
      <c r="AH147" s="632"/>
      <c r="AI147" s="632" t="s">
        <v>120</v>
      </c>
      <c r="AJ147" s="639">
        <f t="shared" si="17"/>
        <v>2</v>
      </c>
      <c r="AK147" s="632" t="s">
        <v>120</v>
      </c>
      <c r="AL147" s="632" t="s">
        <v>120</v>
      </c>
      <c r="AM147" s="632" t="s">
        <v>120</v>
      </c>
      <c r="AN147" s="632" t="s">
        <v>120</v>
      </c>
      <c r="AO147" s="632" t="s">
        <v>120</v>
      </c>
    </row>
    <row r="148" customHeight="1" spans="1:41">
      <c r="A148" s="632" t="s">
        <v>375</v>
      </c>
      <c r="B148" s="632"/>
      <c r="C148" s="632"/>
      <c r="D148" s="632"/>
      <c r="E148" s="632" t="s">
        <v>139</v>
      </c>
      <c r="F148" s="632"/>
      <c r="G148" s="632" t="s">
        <v>115</v>
      </c>
      <c r="H148" s="633">
        <v>1</v>
      </c>
      <c r="I148" s="633">
        <v>0.9</v>
      </c>
      <c r="J148" s="633">
        <v>1.2</v>
      </c>
      <c r="K148" s="633">
        <v>1</v>
      </c>
      <c r="L148" s="633">
        <v>1.19999999999998</v>
      </c>
      <c r="M148" s="632"/>
      <c r="N148" s="632"/>
      <c r="O148" s="632">
        <v>2</v>
      </c>
      <c r="P148" s="636">
        <v>20</v>
      </c>
      <c r="Q148" s="636">
        <v>12.5</v>
      </c>
      <c r="R148" s="636">
        <v>8.33</v>
      </c>
      <c r="S148" s="638">
        <f t="shared" si="0"/>
        <v>20</v>
      </c>
      <c r="T148" s="638">
        <f t="shared" si="1"/>
        <v>12.5</v>
      </c>
      <c r="U148" s="638">
        <f t="shared" si="2"/>
        <v>8.33</v>
      </c>
      <c r="V148" s="638">
        <f t="shared" si="3"/>
        <v>22.2222222222222</v>
      </c>
      <c r="W148" s="638">
        <f t="shared" si="4"/>
        <v>13.8888888888889</v>
      </c>
      <c r="X148" s="638">
        <f t="shared" si="5"/>
        <v>9.25555555555555</v>
      </c>
      <c r="Y148" s="638">
        <f t="shared" si="6"/>
        <v>16.6666666666667</v>
      </c>
      <c r="Z148" s="638">
        <f t="shared" si="7"/>
        <v>10.4166666666667</v>
      </c>
      <c r="AA148" s="638">
        <f t="shared" si="8"/>
        <v>6.94166666666667</v>
      </c>
      <c r="AB148" s="638">
        <f t="shared" si="9"/>
        <v>20</v>
      </c>
      <c r="AC148" s="638">
        <f t="shared" si="10"/>
        <v>12.5</v>
      </c>
      <c r="AD148" s="638">
        <f t="shared" si="11"/>
        <v>8.33</v>
      </c>
      <c r="AE148" s="632"/>
      <c r="AF148" s="632"/>
      <c r="AG148" s="632"/>
      <c r="AH148" s="632"/>
      <c r="AI148" s="632" t="s">
        <v>120</v>
      </c>
      <c r="AJ148" s="639">
        <f t="shared" si="17"/>
        <v>2</v>
      </c>
      <c r="AK148" s="632" t="s">
        <v>120</v>
      </c>
      <c r="AL148" s="632" t="s">
        <v>120</v>
      </c>
      <c r="AM148" s="632" t="s">
        <v>120</v>
      </c>
      <c r="AN148" s="632" t="s">
        <v>120</v>
      </c>
      <c r="AO148" s="632" t="s">
        <v>120</v>
      </c>
    </row>
    <row r="149" customHeight="1" spans="1:41">
      <c r="A149" s="632" t="s">
        <v>376</v>
      </c>
      <c r="B149" s="632"/>
      <c r="C149" s="632"/>
      <c r="D149" s="632"/>
      <c r="E149" s="632" t="s">
        <v>139</v>
      </c>
      <c r="F149" s="632"/>
      <c r="G149" s="632" t="s">
        <v>115</v>
      </c>
      <c r="H149" s="633">
        <v>1</v>
      </c>
      <c r="I149" s="633">
        <v>0.9</v>
      </c>
      <c r="J149" s="633">
        <v>1.2</v>
      </c>
      <c r="K149" s="633">
        <v>1</v>
      </c>
      <c r="L149" s="633">
        <v>1.19999999999998</v>
      </c>
      <c r="M149" s="632"/>
      <c r="N149" s="632"/>
      <c r="O149" s="632">
        <v>2</v>
      </c>
      <c r="P149" s="636">
        <v>2</v>
      </c>
      <c r="Q149" s="636">
        <v>1.25</v>
      </c>
      <c r="R149" s="636">
        <v>0.83</v>
      </c>
      <c r="S149" s="638">
        <f t="shared" si="0"/>
        <v>2</v>
      </c>
      <c r="T149" s="638">
        <f t="shared" si="1"/>
        <v>1.25</v>
      </c>
      <c r="U149" s="638">
        <f t="shared" si="2"/>
        <v>0.83</v>
      </c>
      <c r="V149" s="638">
        <f t="shared" si="3"/>
        <v>2.22222222222222</v>
      </c>
      <c r="W149" s="638">
        <f t="shared" si="4"/>
        <v>1.38888888888889</v>
      </c>
      <c r="X149" s="638">
        <f t="shared" si="5"/>
        <v>0.922222222222222</v>
      </c>
      <c r="Y149" s="638">
        <f t="shared" si="6"/>
        <v>1.66666666666667</v>
      </c>
      <c r="Z149" s="638">
        <f t="shared" si="7"/>
        <v>1.04166666666667</v>
      </c>
      <c r="AA149" s="638">
        <f t="shared" si="8"/>
        <v>0.691666666666667</v>
      </c>
      <c r="AB149" s="638">
        <f t="shared" si="9"/>
        <v>2</v>
      </c>
      <c r="AC149" s="638">
        <f t="shared" si="10"/>
        <v>1.25</v>
      </c>
      <c r="AD149" s="638">
        <f t="shared" si="11"/>
        <v>0.83</v>
      </c>
      <c r="AE149" s="632"/>
      <c r="AF149" s="632"/>
      <c r="AG149" s="632"/>
      <c r="AH149" s="632"/>
      <c r="AI149" s="632" t="s">
        <v>120</v>
      </c>
      <c r="AJ149" s="639">
        <f t="shared" si="17"/>
        <v>2</v>
      </c>
      <c r="AK149" s="632" t="s">
        <v>120</v>
      </c>
      <c r="AL149" s="632" t="s">
        <v>120</v>
      </c>
      <c r="AM149" s="632" t="s">
        <v>120</v>
      </c>
      <c r="AN149" s="632" t="s">
        <v>120</v>
      </c>
      <c r="AO149" s="632" t="s">
        <v>120</v>
      </c>
    </row>
    <row r="150" customHeight="1" spans="1:41">
      <c r="A150" s="632" t="s">
        <v>377</v>
      </c>
      <c r="B150" s="632"/>
      <c r="C150" s="632"/>
      <c r="D150" s="632"/>
      <c r="E150" s="632" t="s">
        <v>139</v>
      </c>
      <c r="F150" s="632"/>
      <c r="G150" s="632" t="s">
        <v>115</v>
      </c>
      <c r="H150" s="633">
        <v>1</v>
      </c>
      <c r="I150" s="633">
        <v>0.9</v>
      </c>
      <c r="J150" s="633">
        <v>1.2</v>
      </c>
      <c r="K150" s="633">
        <v>1</v>
      </c>
      <c r="L150" s="633">
        <v>1.19999999999998</v>
      </c>
      <c r="M150" s="632"/>
      <c r="N150" s="632"/>
      <c r="O150" s="632">
        <v>2</v>
      </c>
      <c r="P150" s="636">
        <v>12</v>
      </c>
      <c r="Q150" s="636">
        <v>7.5</v>
      </c>
      <c r="R150" s="636">
        <v>5</v>
      </c>
      <c r="S150" s="638">
        <f t="shared" si="0"/>
        <v>12</v>
      </c>
      <c r="T150" s="638">
        <f t="shared" si="1"/>
        <v>7.5</v>
      </c>
      <c r="U150" s="638">
        <f t="shared" si="2"/>
        <v>5</v>
      </c>
      <c r="V150" s="638">
        <f t="shared" si="3"/>
        <v>13.3333333333333</v>
      </c>
      <c r="W150" s="638">
        <f t="shared" si="4"/>
        <v>8.33333333333333</v>
      </c>
      <c r="X150" s="638">
        <f t="shared" si="5"/>
        <v>5.55555555555556</v>
      </c>
      <c r="Y150" s="638">
        <f t="shared" si="6"/>
        <v>10</v>
      </c>
      <c r="Z150" s="638">
        <f t="shared" si="7"/>
        <v>6.25</v>
      </c>
      <c r="AA150" s="638">
        <f t="shared" si="8"/>
        <v>4.16666666666667</v>
      </c>
      <c r="AB150" s="638">
        <f t="shared" si="9"/>
        <v>12</v>
      </c>
      <c r="AC150" s="638">
        <f t="shared" si="10"/>
        <v>7.5</v>
      </c>
      <c r="AD150" s="638">
        <f t="shared" si="11"/>
        <v>5</v>
      </c>
      <c r="AE150" s="632"/>
      <c r="AF150" s="632"/>
      <c r="AG150" s="632"/>
      <c r="AH150" s="632"/>
      <c r="AI150" s="632" t="s">
        <v>120</v>
      </c>
      <c r="AJ150" s="639">
        <f t="shared" si="17"/>
        <v>2</v>
      </c>
      <c r="AK150" s="632" t="s">
        <v>120</v>
      </c>
      <c r="AL150" s="632" t="s">
        <v>120</v>
      </c>
      <c r="AM150" s="632" t="s">
        <v>120</v>
      </c>
      <c r="AN150" s="632" t="s">
        <v>120</v>
      </c>
      <c r="AO150" s="632" t="s">
        <v>120</v>
      </c>
    </row>
    <row r="151" customHeight="1" spans="1:41">
      <c r="A151" s="632" t="s">
        <v>378</v>
      </c>
      <c r="B151" s="632"/>
      <c r="C151" s="632"/>
      <c r="D151" s="632"/>
      <c r="E151" s="632" t="s">
        <v>139</v>
      </c>
      <c r="F151" s="632"/>
      <c r="G151" s="632" t="s">
        <v>115</v>
      </c>
      <c r="H151" s="633">
        <v>1</v>
      </c>
      <c r="I151" s="633">
        <v>0.9</v>
      </c>
      <c r="J151" s="633">
        <v>1.2</v>
      </c>
      <c r="K151" s="633">
        <v>1</v>
      </c>
      <c r="L151" s="633">
        <v>1.19999999999998</v>
      </c>
      <c r="M151" s="632"/>
      <c r="N151" s="632"/>
      <c r="O151" s="632">
        <v>2</v>
      </c>
      <c r="P151" s="636">
        <v>15</v>
      </c>
      <c r="Q151" s="636">
        <v>9.38</v>
      </c>
      <c r="R151" s="636">
        <v>6.25</v>
      </c>
      <c r="S151" s="638">
        <f t="shared" si="0"/>
        <v>15</v>
      </c>
      <c r="T151" s="638">
        <f t="shared" si="1"/>
        <v>9.38</v>
      </c>
      <c r="U151" s="638">
        <f t="shared" si="2"/>
        <v>6.25</v>
      </c>
      <c r="V151" s="638">
        <f t="shared" si="3"/>
        <v>16.6666666666667</v>
      </c>
      <c r="W151" s="638">
        <f t="shared" si="4"/>
        <v>10.4222222222222</v>
      </c>
      <c r="X151" s="638">
        <f t="shared" si="5"/>
        <v>6.94444444444444</v>
      </c>
      <c r="Y151" s="638">
        <f t="shared" si="6"/>
        <v>12.5</v>
      </c>
      <c r="Z151" s="638">
        <f t="shared" si="7"/>
        <v>7.81666666666667</v>
      </c>
      <c r="AA151" s="638">
        <f t="shared" si="8"/>
        <v>5.20833333333333</v>
      </c>
      <c r="AB151" s="638">
        <f t="shared" si="9"/>
        <v>15</v>
      </c>
      <c r="AC151" s="638">
        <f t="shared" si="10"/>
        <v>9.38</v>
      </c>
      <c r="AD151" s="638">
        <f t="shared" si="11"/>
        <v>6.25</v>
      </c>
      <c r="AE151" s="632"/>
      <c r="AF151" s="632"/>
      <c r="AG151" s="632"/>
      <c r="AH151" s="632"/>
      <c r="AI151" s="632" t="s">
        <v>120</v>
      </c>
      <c r="AJ151" s="639">
        <f t="shared" si="17"/>
        <v>2</v>
      </c>
      <c r="AK151" s="632" t="s">
        <v>120</v>
      </c>
      <c r="AL151" s="632" t="s">
        <v>120</v>
      </c>
      <c r="AM151" s="632" t="s">
        <v>120</v>
      </c>
      <c r="AN151" s="632" t="s">
        <v>120</v>
      </c>
      <c r="AO151" s="632" t="s">
        <v>120</v>
      </c>
    </row>
    <row r="152" customHeight="1" spans="1:41">
      <c r="A152" s="632" t="s">
        <v>379</v>
      </c>
      <c r="B152" s="632" t="s">
        <v>380</v>
      </c>
      <c r="C152" s="632"/>
      <c r="D152" s="632"/>
      <c r="E152" s="632" t="s">
        <v>139</v>
      </c>
      <c r="F152" s="632"/>
      <c r="G152" s="632" t="s">
        <v>115</v>
      </c>
      <c r="H152" s="633">
        <v>1</v>
      </c>
      <c r="I152" s="633">
        <v>0.9</v>
      </c>
      <c r="J152" s="633">
        <v>1.2</v>
      </c>
      <c r="K152" s="633">
        <v>1</v>
      </c>
      <c r="L152" s="633">
        <v>1.19999999999998</v>
      </c>
      <c r="M152" s="632" t="s">
        <v>381</v>
      </c>
      <c r="N152" s="632"/>
      <c r="O152" s="632">
        <v>2</v>
      </c>
      <c r="P152" s="636">
        <v>55</v>
      </c>
      <c r="Q152" s="636">
        <v>30</v>
      </c>
      <c r="R152" s="636">
        <v>25</v>
      </c>
      <c r="S152" s="638">
        <f t="shared" si="0"/>
        <v>55</v>
      </c>
      <c r="T152" s="638">
        <f t="shared" si="1"/>
        <v>30</v>
      </c>
      <c r="U152" s="638">
        <f t="shared" si="2"/>
        <v>25</v>
      </c>
      <c r="V152" s="638">
        <f t="shared" si="3"/>
        <v>61.1111111111111</v>
      </c>
      <c r="W152" s="638">
        <f t="shared" si="4"/>
        <v>33.3333333333333</v>
      </c>
      <c r="X152" s="638">
        <f t="shared" si="5"/>
        <v>27.7777777777778</v>
      </c>
      <c r="Y152" s="638">
        <f t="shared" si="6"/>
        <v>45.8333333333333</v>
      </c>
      <c r="Z152" s="638">
        <f t="shared" si="7"/>
        <v>25</v>
      </c>
      <c r="AA152" s="638">
        <f t="shared" si="8"/>
        <v>20.8333333333333</v>
      </c>
      <c r="AB152" s="638">
        <f t="shared" si="9"/>
        <v>55</v>
      </c>
      <c r="AC152" s="638">
        <f t="shared" si="10"/>
        <v>30</v>
      </c>
      <c r="AD152" s="638">
        <f t="shared" si="11"/>
        <v>25</v>
      </c>
      <c r="AE152" s="632" t="s">
        <v>257</v>
      </c>
      <c r="AF152" s="632" t="s">
        <v>382</v>
      </c>
      <c r="AG152" s="636"/>
      <c r="AH152" s="636">
        <v>700</v>
      </c>
      <c r="AI152" s="632" t="s">
        <v>142</v>
      </c>
      <c r="AJ152" s="639">
        <f t="shared" si="17"/>
        <v>2</v>
      </c>
      <c r="AK152" s="632" t="s">
        <v>120</v>
      </c>
      <c r="AL152" s="632" t="s">
        <v>120</v>
      </c>
      <c r="AM152" s="632" t="s">
        <v>120</v>
      </c>
      <c r="AN152" s="632" t="s">
        <v>120</v>
      </c>
      <c r="AO152" s="632" t="s">
        <v>120</v>
      </c>
    </row>
    <row r="153" customHeight="1" spans="1:41">
      <c r="A153" s="632" t="s">
        <v>383</v>
      </c>
      <c r="B153" s="632" t="s">
        <v>384</v>
      </c>
      <c r="C153" s="632"/>
      <c r="D153" s="632"/>
      <c r="E153" s="632" t="s">
        <v>139</v>
      </c>
      <c r="F153" s="632"/>
      <c r="G153" s="632" t="s">
        <v>115</v>
      </c>
      <c r="H153" s="633">
        <v>1</v>
      </c>
      <c r="I153" s="633">
        <v>0.9</v>
      </c>
      <c r="J153" s="633">
        <v>1.2</v>
      </c>
      <c r="K153" s="633">
        <v>1</v>
      </c>
      <c r="L153" s="633">
        <v>1.19999999999998</v>
      </c>
      <c r="M153" s="632" t="s">
        <v>381</v>
      </c>
      <c r="N153" s="632"/>
      <c r="O153" s="632">
        <v>2</v>
      </c>
      <c r="P153" s="636">
        <v>30</v>
      </c>
      <c r="Q153" s="636">
        <v>22</v>
      </c>
      <c r="R153" s="636">
        <v>13</v>
      </c>
      <c r="S153" s="638">
        <f t="shared" si="0"/>
        <v>30</v>
      </c>
      <c r="T153" s="638">
        <f t="shared" si="1"/>
        <v>22</v>
      </c>
      <c r="U153" s="638">
        <f t="shared" si="2"/>
        <v>13</v>
      </c>
      <c r="V153" s="638">
        <f t="shared" si="3"/>
        <v>33.3333333333333</v>
      </c>
      <c r="W153" s="638">
        <f t="shared" si="4"/>
        <v>24.4444444444444</v>
      </c>
      <c r="X153" s="638">
        <f t="shared" si="5"/>
        <v>14.4444444444444</v>
      </c>
      <c r="Y153" s="638">
        <f t="shared" si="6"/>
        <v>25</v>
      </c>
      <c r="Z153" s="638">
        <f t="shared" si="7"/>
        <v>18.3333333333333</v>
      </c>
      <c r="AA153" s="638">
        <f t="shared" si="8"/>
        <v>10.8333333333333</v>
      </c>
      <c r="AB153" s="638">
        <f t="shared" si="9"/>
        <v>30</v>
      </c>
      <c r="AC153" s="638">
        <f t="shared" si="10"/>
        <v>22</v>
      </c>
      <c r="AD153" s="638">
        <f t="shared" si="11"/>
        <v>13</v>
      </c>
      <c r="AE153" s="632" t="s">
        <v>257</v>
      </c>
      <c r="AF153" s="632" t="s">
        <v>382</v>
      </c>
      <c r="AG153" s="636"/>
      <c r="AH153" s="636">
        <v>700</v>
      </c>
      <c r="AI153" s="632" t="s">
        <v>120</v>
      </c>
      <c r="AJ153" s="639">
        <f t="shared" si="17"/>
        <v>2</v>
      </c>
      <c r="AK153" s="632" t="s">
        <v>120</v>
      </c>
      <c r="AL153" s="632" t="s">
        <v>120</v>
      </c>
      <c r="AM153" s="632" t="s">
        <v>120</v>
      </c>
      <c r="AN153" s="632" t="s">
        <v>120</v>
      </c>
      <c r="AO153" s="632" t="s">
        <v>120</v>
      </c>
    </row>
    <row r="154" customHeight="1" spans="1:41">
      <c r="A154" s="632" t="s">
        <v>385</v>
      </c>
      <c r="B154" s="632" t="s">
        <v>386</v>
      </c>
      <c r="C154" s="632"/>
      <c r="D154" s="632"/>
      <c r="E154" s="632" t="s">
        <v>139</v>
      </c>
      <c r="F154" s="632"/>
      <c r="G154" s="632" t="s">
        <v>115</v>
      </c>
      <c r="H154" s="633">
        <v>1</v>
      </c>
      <c r="I154" s="633">
        <v>0.9</v>
      </c>
      <c r="J154" s="633">
        <v>1.2</v>
      </c>
      <c r="K154" s="633">
        <v>1</v>
      </c>
      <c r="L154" s="633">
        <v>1.19999999999998</v>
      </c>
      <c r="M154" s="632" t="s">
        <v>381</v>
      </c>
      <c r="N154" s="632"/>
      <c r="O154" s="632">
        <v>2</v>
      </c>
      <c r="P154" s="636">
        <v>30</v>
      </c>
      <c r="Q154" s="636">
        <v>22</v>
      </c>
      <c r="R154" s="636">
        <v>13</v>
      </c>
      <c r="S154" s="638">
        <f t="shared" si="0"/>
        <v>30</v>
      </c>
      <c r="T154" s="638">
        <f t="shared" si="1"/>
        <v>22</v>
      </c>
      <c r="U154" s="638">
        <f t="shared" si="2"/>
        <v>13</v>
      </c>
      <c r="V154" s="638">
        <f t="shared" si="3"/>
        <v>33.3333333333333</v>
      </c>
      <c r="W154" s="638">
        <f t="shared" si="4"/>
        <v>24.4444444444444</v>
      </c>
      <c r="X154" s="638">
        <f t="shared" si="5"/>
        <v>14.4444444444444</v>
      </c>
      <c r="Y154" s="638">
        <f t="shared" si="6"/>
        <v>25</v>
      </c>
      <c r="Z154" s="638">
        <f t="shared" si="7"/>
        <v>18.3333333333333</v>
      </c>
      <c r="AA154" s="638">
        <f t="shared" si="8"/>
        <v>10.8333333333333</v>
      </c>
      <c r="AB154" s="638">
        <f t="shared" si="9"/>
        <v>30</v>
      </c>
      <c r="AC154" s="638">
        <f t="shared" si="10"/>
        <v>22</v>
      </c>
      <c r="AD154" s="638">
        <f t="shared" si="11"/>
        <v>13</v>
      </c>
      <c r="AE154" s="632" t="s">
        <v>257</v>
      </c>
      <c r="AF154" s="632" t="s">
        <v>382</v>
      </c>
      <c r="AG154" s="636"/>
      <c r="AH154" s="636">
        <v>700</v>
      </c>
      <c r="AI154" s="632" t="s">
        <v>120</v>
      </c>
      <c r="AJ154" s="639">
        <f t="shared" si="17"/>
        <v>2</v>
      </c>
      <c r="AK154" s="632" t="s">
        <v>120</v>
      </c>
      <c r="AL154" s="632" t="s">
        <v>120</v>
      </c>
      <c r="AM154" s="632" t="s">
        <v>120</v>
      </c>
      <c r="AN154" s="632" t="s">
        <v>120</v>
      </c>
      <c r="AO154" s="632" t="s">
        <v>120</v>
      </c>
    </row>
    <row r="155" customHeight="1" spans="1:41">
      <c r="A155" s="632" t="s">
        <v>387</v>
      </c>
      <c r="B155" s="632" t="s">
        <v>388</v>
      </c>
      <c r="C155" s="632"/>
      <c r="D155" s="632"/>
      <c r="E155" s="632" t="s">
        <v>139</v>
      </c>
      <c r="F155" s="632"/>
      <c r="G155" s="632" t="s">
        <v>115</v>
      </c>
      <c r="H155" s="633">
        <v>1</v>
      </c>
      <c r="I155" s="633">
        <v>0.9</v>
      </c>
      <c r="J155" s="633">
        <v>1.2</v>
      </c>
      <c r="K155" s="633">
        <v>1</v>
      </c>
      <c r="L155" s="633">
        <v>1.19999999999998</v>
      </c>
      <c r="M155" s="632" t="s">
        <v>381</v>
      </c>
      <c r="N155" s="632"/>
      <c r="O155" s="632">
        <v>2</v>
      </c>
      <c r="P155" s="636">
        <v>0.45</v>
      </c>
      <c r="Q155" s="636">
        <v>0.6</v>
      </c>
      <c r="R155" s="636">
        <v>0.8</v>
      </c>
      <c r="S155" s="638">
        <f t="shared" si="0"/>
        <v>0.45</v>
      </c>
      <c r="T155" s="638">
        <f t="shared" si="1"/>
        <v>0.6</v>
      </c>
      <c r="U155" s="638">
        <f t="shared" si="2"/>
        <v>0.8</v>
      </c>
      <c r="V155" s="638">
        <f t="shared" si="3"/>
        <v>0.5</v>
      </c>
      <c r="W155" s="638">
        <f t="shared" si="4"/>
        <v>0.666666666666667</v>
      </c>
      <c r="X155" s="638">
        <f t="shared" si="5"/>
        <v>0.888888888888889</v>
      </c>
      <c r="Y155" s="638">
        <f t="shared" si="6"/>
        <v>0.375</v>
      </c>
      <c r="Z155" s="638">
        <f t="shared" si="7"/>
        <v>0.5</v>
      </c>
      <c r="AA155" s="638">
        <f t="shared" si="8"/>
        <v>0.666666666666667</v>
      </c>
      <c r="AB155" s="638">
        <f t="shared" si="9"/>
        <v>0.45</v>
      </c>
      <c r="AC155" s="638">
        <f t="shared" si="10"/>
        <v>0.6</v>
      </c>
      <c r="AD155" s="638">
        <f t="shared" si="11"/>
        <v>0.8</v>
      </c>
      <c r="AE155" s="632" t="s">
        <v>321</v>
      </c>
      <c r="AF155" s="632"/>
      <c r="AG155" s="636"/>
      <c r="AH155" s="636">
        <v>0.05</v>
      </c>
      <c r="AI155" s="632" t="s">
        <v>120</v>
      </c>
      <c r="AJ155" s="639">
        <f t="shared" si="17"/>
        <v>2</v>
      </c>
      <c r="AK155" s="632" t="s">
        <v>120</v>
      </c>
      <c r="AL155" s="632" t="s">
        <v>120</v>
      </c>
      <c r="AM155" s="632" t="s">
        <v>120</v>
      </c>
      <c r="AN155" s="632" t="s">
        <v>120</v>
      </c>
      <c r="AO155" s="632" t="s">
        <v>120</v>
      </c>
    </row>
    <row r="156" customHeight="1" spans="1:41">
      <c r="A156" s="632" t="s">
        <v>389</v>
      </c>
      <c r="B156" s="632" t="s">
        <v>390</v>
      </c>
      <c r="C156" s="632"/>
      <c r="D156" s="632"/>
      <c r="E156" s="632" t="s">
        <v>139</v>
      </c>
      <c r="F156" s="632"/>
      <c r="G156" s="632" t="s">
        <v>115</v>
      </c>
      <c r="H156" s="633">
        <v>1</v>
      </c>
      <c r="I156" s="633">
        <v>0.9</v>
      </c>
      <c r="J156" s="633">
        <v>1.2</v>
      </c>
      <c r="K156" s="633">
        <v>1</v>
      </c>
      <c r="L156" s="633">
        <v>1.19999999999998</v>
      </c>
      <c r="M156" s="632" t="s">
        <v>129</v>
      </c>
      <c r="N156" s="632"/>
      <c r="O156" s="632">
        <v>2</v>
      </c>
      <c r="P156" s="636">
        <v>0.24</v>
      </c>
      <c r="Q156" s="636">
        <v>0.4</v>
      </c>
      <c r="R156" s="636">
        <v>0.56</v>
      </c>
      <c r="S156" s="638">
        <f t="shared" si="0"/>
        <v>0.24</v>
      </c>
      <c r="T156" s="638">
        <f t="shared" si="1"/>
        <v>0.4</v>
      </c>
      <c r="U156" s="638">
        <f t="shared" si="2"/>
        <v>0.56</v>
      </c>
      <c r="V156" s="638">
        <f t="shared" si="3"/>
        <v>0.266666666666667</v>
      </c>
      <c r="W156" s="638">
        <f t="shared" si="4"/>
        <v>0.444444444444444</v>
      </c>
      <c r="X156" s="638">
        <f t="shared" si="5"/>
        <v>0.622222222222222</v>
      </c>
      <c r="Y156" s="638">
        <f t="shared" si="6"/>
        <v>0.2</v>
      </c>
      <c r="Z156" s="638">
        <f t="shared" si="7"/>
        <v>0.333333333333333</v>
      </c>
      <c r="AA156" s="638">
        <f t="shared" si="8"/>
        <v>0.466666666666667</v>
      </c>
      <c r="AB156" s="638">
        <f t="shared" si="9"/>
        <v>0.24</v>
      </c>
      <c r="AC156" s="638">
        <f t="shared" si="10"/>
        <v>0.4</v>
      </c>
      <c r="AD156" s="638">
        <f t="shared" si="11"/>
        <v>0.56</v>
      </c>
      <c r="AE156" s="632" t="s">
        <v>321</v>
      </c>
      <c r="AF156" s="632"/>
      <c r="AG156" s="632"/>
      <c r="AH156" s="632"/>
      <c r="AI156" s="632" t="s">
        <v>120</v>
      </c>
      <c r="AJ156" s="639">
        <f t="shared" si="17"/>
        <v>2</v>
      </c>
      <c r="AK156" s="632" t="s">
        <v>120</v>
      </c>
      <c r="AL156" s="632" t="s">
        <v>120</v>
      </c>
      <c r="AM156" s="632" t="s">
        <v>120</v>
      </c>
      <c r="AN156" s="632" t="s">
        <v>120</v>
      </c>
      <c r="AO156" s="632" t="s">
        <v>120</v>
      </c>
    </row>
    <row r="157" customHeight="1" spans="1:41">
      <c r="A157" s="632" t="s">
        <v>391</v>
      </c>
      <c r="B157" s="632" t="s">
        <v>392</v>
      </c>
      <c r="C157" s="632"/>
      <c r="D157" s="632"/>
      <c r="E157" s="632" t="s">
        <v>139</v>
      </c>
      <c r="F157" s="632"/>
      <c r="G157" s="632" t="s">
        <v>115</v>
      </c>
      <c r="H157" s="633">
        <v>1</v>
      </c>
      <c r="I157" s="633">
        <v>0.9</v>
      </c>
      <c r="J157" s="633">
        <v>1.2</v>
      </c>
      <c r="K157" s="633">
        <v>1</v>
      </c>
      <c r="L157" s="633">
        <v>1.19999999999998</v>
      </c>
      <c r="M157" s="632" t="s">
        <v>381</v>
      </c>
      <c r="N157" s="632"/>
      <c r="O157" s="632">
        <v>2</v>
      </c>
      <c r="P157" s="636">
        <v>0.25</v>
      </c>
      <c r="Q157" s="636">
        <v>0.36</v>
      </c>
      <c r="R157" s="636">
        <v>0.59</v>
      </c>
      <c r="S157" s="638">
        <f t="shared" si="0"/>
        <v>0.25</v>
      </c>
      <c r="T157" s="638">
        <f t="shared" si="1"/>
        <v>0.36</v>
      </c>
      <c r="U157" s="638">
        <f t="shared" si="2"/>
        <v>0.59</v>
      </c>
      <c r="V157" s="638">
        <f t="shared" si="3"/>
        <v>0.277777777777778</v>
      </c>
      <c r="W157" s="638">
        <f t="shared" si="4"/>
        <v>0.4</v>
      </c>
      <c r="X157" s="638">
        <f t="shared" si="5"/>
        <v>0.655555555555556</v>
      </c>
      <c r="Y157" s="638">
        <f t="shared" si="6"/>
        <v>0.208333333333333</v>
      </c>
      <c r="Z157" s="638">
        <f t="shared" si="7"/>
        <v>0.3</v>
      </c>
      <c r="AA157" s="638">
        <f t="shared" si="8"/>
        <v>0.491666666666667</v>
      </c>
      <c r="AB157" s="638">
        <f t="shared" si="9"/>
        <v>0.25</v>
      </c>
      <c r="AC157" s="638">
        <f t="shared" si="10"/>
        <v>0.36</v>
      </c>
      <c r="AD157" s="638">
        <f t="shared" si="11"/>
        <v>0.59</v>
      </c>
      <c r="AE157" s="632" t="s">
        <v>321</v>
      </c>
      <c r="AF157" s="632"/>
      <c r="AG157" s="636"/>
      <c r="AH157" s="636"/>
      <c r="AI157" s="632" t="s">
        <v>120</v>
      </c>
      <c r="AJ157" s="639">
        <f t="shared" si="17"/>
        <v>2</v>
      </c>
      <c r="AK157" s="632" t="s">
        <v>120</v>
      </c>
      <c r="AL157" s="632" t="s">
        <v>120</v>
      </c>
      <c r="AM157" s="632" t="s">
        <v>120</v>
      </c>
      <c r="AN157" s="632" t="s">
        <v>120</v>
      </c>
      <c r="AO157" s="632" t="s">
        <v>120</v>
      </c>
    </row>
    <row r="158" customHeight="1" spans="1:41">
      <c r="A158" s="632" t="s">
        <v>393</v>
      </c>
      <c r="B158" s="632" t="s">
        <v>394</v>
      </c>
      <c r="C158" s="632"/>
      <c r="D158" s="632"/>
      <c r="E158" s="632" t="s">
        <v>139</v>
      </c>
      <c r="F158" s="632"/>
      <c r="G158" s="632" t="s">
        <v>115</v>
      </c>
      <c r="H158" s="633">
        <v>1</v>
      </c>
      <c r="I158" s="633">
        <v>0.9</v>
      </c>
      <c r="J158" s="633">
        <v>1.2</v>
      </c>
      <c r="K158" s="633">
        <v>1</v>
      </c>
      <c r="L158" s="633">
        <v>1.19999999999998</v>
      </c>
      <c r="M158" s="632" t="s">
        <v>129</v>
      </c>
      <c r="N158" s="632"/>
      <c r="O158" s="632">
        <v>2</v>
      </c>
      <c r="P158" s="636">
        <v>0.12</v>
      </c>
      <c r="Q158" s="636">
        <v>0.2</v>
      </c>
      <c r="R158" s="636">
        <v>0.3</v>
      </c>
      <c r="S158" s="638">
        <f t="shared" si="0"/>
        <v>0.12</v>
      </c>
      <c r="T158" s="638">
        <f t="shared" si="1"/>
        <v>0.2</v>
      </c>
      <c r="U158" s="638">
        <f t="shared" si="2"/>
        <v>0.3</v>
      </c>
      <c r="V158" s="638">
        <f t="shared" si="3"/>
        <v>0.133333333333333</v>
      </c>
      <c r="W158" s="638">
        <f t="shared" si="4"/>
        <v>0.222222222222222</v>
      </c>
      <c r="X158" s="638">
        <f t="shared" si="5"/>
        <v>0.333333333333333</v>
      </c>
      <c r="Y158" s="638">
        <f t="shared" si="6"/>
        <v>0.1</v>
      </c>
      <c r="Z158" s="638">
        <f t="shared" si="7"/>
        <v>0.166666666666667</v>
      </c>
      <c r="AA158" s="638">
        <f t="shared" si="8"/>
        <v>0.25</v>
      </c>
      <c r="AB158" s="638">
        <f t="shared" si="9"/>
        <v>0.12</v>
      </c>
      <c r="AC158" s="638">
        <f t="shared" si="10"/>
        <v>0.2</v>
      </c>
      <c r="AD158" s="638">
        <f t="shared" si="11"/>
        <v>0.3</v>
      </c>
      <c r="AE158" s="632" t="s">
        <v>321</v>
      </c>
      <c r="AF158" s="632"/>
      <c r="AG158" s="636"/>
      <c r="AH158" s="636"/>
      <c r="AI158" s="632" t="s">
        <v>120</v>
      </c>
      <c r="AJ158" s="639">
        <f t="shared" si="17"/>
        <v>2</v>
      </c>
      <c r="AK158" s="632" t="s">
        <v>120</v>
      </c>
      <c r="AL158" s="632" t="s">
        <v>120</v>
      </c>
      <c r="AM158" s="632" t="s">
        <v>120</v>
      </c>
      <c r="AN158" s="632" t="s">
        <v>120</v>
      </c>
      <c r="AO158" s="632" t="s">
        <v>120</v>
      </c>
    </row>
    <row r="159" customHeight="1" spans="1:41">
      <c r="A159" s="632" t="s">
        <v>395</v>
      </c>
      <c r="B159" s="632" t="s">
        <v>396</v>
      </c>
      <c r="C159" s="632"/>
      <c r="D159" s="632"/>
      <c r="E159" s="632" t="s">
        <v>139</v>
      </c>
      <c r="F159" s="632"/>
      <c r="G159" s="632" t="s">
        <v>115</v>
      </c>
      <c r="H159" s="633">
        <v>1</v>
      </c>
      <c r="I159" s="633">
        <v>0.9</v>
      </c>
      <c r="J159" s="633">
        <v>1.2</v>
      </c>
      <c r="K159" s="633">
        <v>1</v>
      </c>
      <c r="L159" s="633">
        <v>1.19999999999998</v>
      </c>
      <c r="M159" s="632" t="s">
        <v>124</v>
      </c>
      <c r="N159" s="632"/>
      <c r="O159" s="632">
        <v>2</v>
      </c>
      <c r="P159" s="636">
        <v>0.333333333333333</v>
      </c>
      <c r="Q159" s="636">
        <v>0.416666666666667</v>
      </c>
      <c r="R159" s="636">
        <v>0.520833333333333</v>
      </c>
      <c r="S159" s="638">
        <f t="shared" si="0"/>
        <v>0.333333333333333</v>
      </c>
      <c r="T159" s="638">
        <f t="shared" si="1"/>
        <v>0.416666666666667</v>
      </c>
      <c r="U159" s="638">
        <f t="shared" si="2"/>
        <v>0.520833333333333</v>
      </c>
      <c r="V159" s="638">
        <f t="shared" si="3"/>
        <v>0.37037037037037</v>
      </c>
      <c r="W159" s="638">
        <f t="shared" si="4"/>
        <v>0.462962962962963</v>
      </c>
      <c r="X159" s="638">
        <f t="shared" si="5"/>
        <v>0.578703703703704</v>
      </c>
      <c r="Y159" s="638">
        <f t="shared" si="6"/>
        <v>0.277777777777778</v>
      </c>
      <c r="Z159" s="638">
        <f t="shared" si="7"/>
        <v>0.347222222222222</v>
      </c>
      <c r="AA159" s="638">
        <f t="shared" si="8"/>
        <v>0.434027777777778</v>
      </c>
      <c r="AB159" s="638">
        <f t="shared" si="9"/>
        <v>0.333333333333333</v>
      </c>
      <c r="AC159" s="638">
        <f t="shared" si="10"/>
        <v>0.416666666666667</v>
      </c>
      <c r="AD159" s="638">
        <f t="shared" si="11"/>
        <v>0.520833333333333</v>
      </c>
      <c r="AE159" s="632" t="s">
        <v>321</v>
      </c>
      <c r="AF159" s="632"/>
      <c r="AG159" s="636"/>
      <c r="AH159" s="636">
        <v>0.15</v>
      </c>
      <c r="AI159" s="632" t="s">
        <v>120</v>
      </c>
      <c r="AJ159" s="639">
        <f t="shared" si="17"/>
        <v>2</v>
      </c>
      <c r="AK159" s="632" t="s">
        <v>120</v>
      </c>
      <c r="AL159" s="632" t="s">
        <v>120</v>
      </c>
      <c r="AM159" s="632" t="s">
        <v>120</v>
      </c>
      <c r="AN159" s="632" t="s">
        <v>120</v>
      </c>
      <c r="AO159" s="632" t="s">
        <v>120</v>
      </c>
    </row>
    <row r="160" customHeight="1" spans="1:41">
      <c r="A160" s="632" t="s">
        <v>397</v>
      </c>
      <c r="B160" s="632" t="s">
        <v>398</v>
      </c>
      <c r="C160" s="632"/>
      <c r="D160" s="632"/>
      <c r="E160" s="632" t="s">
        <v>139</v>
      </c>
      <c r="F160" s="632"/>
      <c r="G160" s="632" t="s">
        <v>115</v>
      </c>
      <c r="H160" s="633">
        <v>1</v>
      </c>
      <c r="I160" s="633">
        <v>0.9</v>
      </c>
      <c r="J160" s="633">
        <v>1.2</v>
      </c>
      <c r="K160" s="633">
        <v>1</v>
      </c>
      <c r="L160" s="633">
        <v>1.19999999999998</v>
      </c>
      <c r="M160" s="632" t="s">
        <v>226</v>
      </c>
      <c r="N160" s="632"/>
      <c r="O160" s="632">
        <v>2</v>
      </c>
      <c r="P160" s="638">
        <v>0.75</v>
      </c>
      <c r="Q160" s="638">
        <v>1</v>
      </c>
      <c r="R160" s="638">
        <v>1.25</v>
      </c>
      <c r="S160" s="638">
        <f t="shared" si="0"/>
        <v>0.75</v>
      </c>
      <c r="T160" s="638">
        <f t="shared" si="1"/>
        <v>1</v>
      </c>
      <c r="U160" s="638">
        <f t="shared" si="2"/>
        <v>1.25</v>
      </c>
      <c r="V160" s="638">
        <f t="shared" si="3"/>
        <v>0.833333333333333</v>
      </c>
      <c r="W160" s="638">
        <f t="shared" si="4"/>
        <v>1.11111111111111</v>
      </c>
      <c r="X160" s="638">
        <f t="shared" si="5"/>
        <v>1.38888888888889</v>
      </c>
      <c r="Y160" s="638">
        <f t="shared" si="6"/>
        <v>0.625</v>
      </c>
      <c r="Z160" s="638">
        <f t="shared" si="7"/>
        <v>0.833333333333333</v>
      </c>
      <c r="AA160" s="638">
        <f t="shared" si="8"/>
        <v>1.04166666666667</v>
      </c>
      <c r="AB160" s="638">
        <f t="shared" si="9"/>
        <v>0.75</v>
      </c>
      <c r="AC160" s="638">
        <f t="shared" si="10"/>
        <v>1</v>
      </c>
      <c r="AD160" s="638">
        <f t="shared" si="11"/>
        <v>1.25</v>
      </c>
      <c r="AE160" s="632" t="s">
        <v>321</v>
      </c>
      <c r="AF160" s="632"/>
      <c r="AG160" s="638"/>
      <c r="AH160" s="638">
        <f>AH159+AH155</f>
        <v>0.2</v>
      </c>
      <c r="AI160" s="632" t="s">
        <v>120</v>
      </c>
      <c r="AJ160" s="639">
        <f t="shared" si="17"/>
        <v>2</v>
      </c>
      <c r="AK160" s="632" t="s">
        <v>120</v>
      </c>
      <c r="AL160" s="632" t="s">
        <v>120</v>
      </c>
      <c r="AM160" s="632" t="s">
        <v>120</v>
      </c>
      <c r="AN160" s="632" t="s">
        <v>120</v>
      </c>
      <c r="AO160" s="632" t="s">
        <v>120</v>
      </c>
    </row>
    <row r="161" customHeight="1" spans="1:41">
      <c r="A161" s="632" t="s">
        <v>399</v>
      </c>
      <c r="B161" s="632" t="s">
        <v>400</v>
      </c>
      <c r="C161" s="632"/>
      <c r="D161" s="632"/>
      <c r="E161" s="632" t="s">
        <v>139</v>
      </c>
      <c r="F161" s="632"/>
      <c r="G161" s="632" t="s">
        <v>115</v>
      </c>
      <c r="H161" s="633">
        <v>1</v>
      </c>
      <c r="I161" s="633">
        <v>0.9</v>
      </c>
      <c r="J161" s="633">
        <v>1.2</v>
      </c>
      <c r="K161" s="633">
        <v>1</v>
      </c>
      <c r="L161" s="633">
        <v>1.19999999999998</v>
      </c>
      <c r="M161" s="632" t="s">
        <v>226</v>
      </c>
      <c r="N161" s="632"/>
      <c r="O161" s="632">
        <v>2</v>
      </c>
      <c r="P161" s="636">
        <v>0.69</v>
      </c>
      <c r="Q161" s="636">
        <v>1</v>
      </c>
      <c r="R161" s="636">
        <v>1.6</v>
      </c>
      <c r="S161" s="638">
        <f t="shared" si="0"/>
        <v>0.69</v>
      </c>
      <c r="T161" s="638">
        <f t="shared" si="1"/>
        <v>1</v>
      </c>
      <c r="U161" s="638">
        <f t="shared" si="2"/>
        <v>1.6</v>
      </c>
      <c r="V161" s="638">
        <f t="shared" si="3"/>
        <v>0.766666666666667</v>
      </c>
      <c r="W161" s="638">
        <f t="shared" si="4"/>
        <v>1.11111111111111</v>
      </c>
      <c r="X161" s="638">
        <f t="shared" si="5"/>
        <v>1.77777777777778</v>
      </c>
      <c r="Y161" s="638">
        <f t="shared" si="6"/>
        <v>0.575</v>
      </c>
      <c r="Z161" s="638">
        <f t="shared" si="7"/>
        <v>0.833333333333333</v>
      </c>
      <c r="AA161" s="638">
        <f t="shared" si="8"/>
        <v>1.33333333333333</v>
      </c>
      <c r="AB161" s="638">
        <f t="shared" si="9"/>
        <v>0.69</v>
      </c>
      <c r="AC161" s="638">
        <f t="shared" si="10"/>
        <v>1</v>
      </c>
      <c r="AD161" s="638">
        <f t="shared" si="11"/>
        <v>1.6</v>
      </c>
      <c r="AE161" s="632" t="s">
        <v>321</v>
      </c>
      <c r="AF161" s="632"/>
      <c r="AG161" s="636"/>
      <c r="AH161" s="636">
        <v>0.29</v>
      </c>
      <c r="AI161" s="632" t="s">
        <v>120</v>
      </c>
      <c r="AJ161" s="639">
        <f t="shared" si="17"/>
        <v>2</v>
      </c>
      <c r="AK161" s="632" t="s">
        <v>120</v>
      </c>
      <c r="AL161" s="632" t="s">
        <v>120</v>
      </c>
      <c r="AM161" s="632" t="s">
        <v>120</v>
      </c>
      <c r="AN161" s="632" t="s">
        <v>120</v>
      </c>
      <c r="AO161" s="632" t="s">
        <v>120</v>
      </c>
    </row>
    <row r="162" customHeight="1" spans="1:41">
      <c r="A162" s="632" t="s">
        <v>401</v>
      </c>
      <c r="B162" s="632" t="s">
        <v>402</v>
      </c>
      <c r="C162" s="632"/>
      <c r="D162" s="632"/>
      <c r="E162" s="632" t="s">
        <v>139</v>
      </c>
      <c r="F162" s="632"/>
      <c r="G162" s="632" t="s">
        <v>115</v>
      </c>
      <c r="H162" s="633">
        <v>1</v>
      </c>
      <c r="I162" s="633">
        <v>0.9</v>
      </c>
      <c r="J162" s="633">
        <v>1.2</v>
      </c>
      <c r="K162" s="633">
        <v>1</v>
      </c>
      <c r="L162" s="633">
        <v>1.19999999999998</v>
      </c>
      <c r="M162" s="632" t="s">
        <v>226</v>
      </c>
      <c r="N162" s="632"/>
      <c r="O162" s="632">
        <v>2</v>
      </c>
      <c r="P162" s="638">
        <v>1.14</v>
      </c>
      <c r="Q162" s="638">
        <v>1.6</v>
      </c>
      <c r="R162" s="638">
        <v>2.4</v>
      </c>
      <c r="S162" s="638">
        <f t="shared" si="0"/>
        <v>1.14</v>
      </c>
      <c r="T162" s="638">
        <f t="shared" si="1"/>
        <v>1.6</v>
      </c>
      <c r="U162" s="638">
        <f t="shared" si="2"/>
        <v>2.4</v>
      </c>
      <c r="V162" s="638">
        <f t="shared" si="3"/>
        <v>1.26666666666667</v>
      </c>
      <c r="W162" s="638">
        <f t="shared" si="4"/>
        <v>1.77777777777778</v>
      </c>
      <c r="X162" s="638">
        <f t="shared" si="5"/>
        <v>2.66666666666667</v>
      </c>
      <c r="Y162" s="638">
        <f t="shared" si="6"/>
        <v>0.95</v>
      </c>
      <c r="Z162" s="638">
        <f t="shared" si="7"/>
        <v>1.33333333333333</v>
      </c>
      <c r="AA162" s="638">
        <f t="shared" si="8"/>
        <v>2</v>
      </c>
      <c r="AB162" s="638">
        <f t="shared" si="9"/>
        <v>1.14</v>
      </c>
      <c r="AC162" s="638">
        <f t="shared" si="10"/>
        <v>1.6</v>
      </c>
      <c r="AD162" s="638">
        <f t="shared" si="11"/>
        <v>2.4</v>
      </c>
      <c r="AE162" s="632" t="s">
        <v>321</v>
      </c>
      <c r="AF162" s="632"/>
      <c r="AG162" s="638"/>
      <c r="AH162" s="638">
        <f>AH161+$AH$149</f>
        <v>0.29</v>
      </c>
      <c r="AI162" s="632" t="s">
        <v>120</v>
      </c>
      <c r="AJ162" s="639">
        <f t="shared" si="17"/>
        <v>2</v>
      </c>
      <c r="AK162" s="632" t="s">
        <v>120</v>
      </c>
      <c r="AL162" s="632" t="s">
        <v>120</v>
      </c>
      <c r="AM162" s="632" t="s">
        <v>120</v>
      </c>
      <c r="AN162" s="632" t="s">
        <v>120</v>
      </c>
      <c r="AO162" s="632" t="s">
        <v>120</v>
      </c>
    </row>
    <row r="163" customHeight="1" spans="1:41">
      <c r="A163" s="632" t="s">
        <v>403</v>
      </c>
      <c r="B163" s="632" t="s">
        <v>404</v>
      </c>
      <c r="C163" s="632"/>
      <c r="D163" s="632"/>
      <c r="E163" s="632" t="s">
        <v>139</v>
      </c>
      <c r="F163" s="632"/>
      <c r="G163" s="632" t="s">
        <v>115</v>
      </c>
      <c r="H163" s="633">
        <v>1</v>
      </c>
      <c r="I163" s="633">
        <v>0.9</v>
      </c>
      <c r="J163" s="633">
        <v>1.2</v>
      </c>
      <c r="K163" s="633">
        <v>1</v>
      </c>
      <c r="L163" s="633">
        <v>1.19999999999998</v>
      </c>
      <c r="M163" s="632" t="s">
        <v>226</v>
      </c>
      <c r="N163" s="632"/>
      <c r="O163" s="632">
        <v>2</v>
      </c>
      <c r="P163" s="636">
        <v>1.63</v>
      </c>
      <c r="Q163" s="636">
        <v>2.38</v>
      </c>
      <c r="R163" s="636">
        <v>3.26</v>
      </c>
      <c r="S163" s="638">
        <f t="shared" si="0"/>
        <v>1.63</v>
      </c>
      <c r="T163" s="638">
        <f t="shared" si="1"/>
        <v>2.38</v>
      </c>
      <c r="U163" s="638">
        <f t="shared" si="2"/>
        <v>3.26</v>
      </c>
      <c r="V163" s="638">
        <f t="shared" si="3"/>
        <v>1.81111111111111</v>
      </c>
      <c r="W163" s="638">
        <f t="shared" si="4"/>
        <v>2.64444444444444</v>
      </c>
      <c r="X163" s="638">
        <f t="shared" si="5"/>
        <v>3.62222222222222</v>
      </c>
      <c r="Y163" s="638">
        <f t="shared" si="6"/>
        <v>1.35833333333333</v>
      </c>
      <c r="Z163" s="638">
        <f t="shared" si="7"/>
        <v>1.98333333333333</v>
      </c>
      <c r="AA163" s="638">
        <f t="shared" si="8"/>
        <v>2.71666666666667</v>
      </c>
      <c r="AB163" s="638">
        <f t="shared" si="9"/>
        <v>1.63</v>
      </c>
      <c r="AC163" s="638">
        <f t="shared" si="10"/>
        <v>2.38</v>
      </c>
      <c r="AD163" s="638">
        <f t="shared" si="11"/>
        <v>3.26</v>
      </c>
      <c r="AE163" s="632" t="s">
        <v>321</v>
      </c>
      <c r="AF163" s="632"/>
      <c r="AG163" s="636"/>
      <c r="AH163" s="636">
        <v>0.3</v>
      </c>
      <c r="AI163" s="632" t="s">
        <v>120</v>
      </c>
      <c r="AJ163" s="632">
        <f t="shared" si="17"/>
        <v>2</v>
      </c>
      <c r="AK163" s="632" t="s">
        <v>120</v>
      </c>
      <c r="AL163" s="632" t="s">
        <v>120</v>
      </c>
      <c r="AM163" s="632" t="s">
        <v>120</v>
      </c>
      <c r="AN163" s="632" t="s">
        <v>120</v>
      </c>
      <c r="AO163" s="632" t="s">
        <v>120</v>
      </c>
    </row>
    <row r="164" customHeight="1" spans="1:41">
      <c r="A164" s="632" t="s">
        <v>405</v>
      </c>
      <c r="B164" s="632" t="s">
        <v>406</v>
      </c>
      <c r="C164" s="632"/>
      <c r="D164" s="632"/>
      <c r="E164" s="632" t="s">
        <v>139</v>
      </c>
      <c r="F164" s="632"/>
      <c r="G164" s="632" t="s">
        <v>115</v>
      </c>
      <c r="H164" s="633">
        <v>1</v>
      </c>
      <c r="I164" s="633">
        <v>0.9</v>
      </c>
      <c r="J164" s="633">
        <v>1.2</v>
      </c>
      <c r="K164" s="633">
        <v>1</v>
      </c>
      <c r="L164" s="633">
        <v>1.19999999999998</v>
      </c>
      <c r="M164" s="632" t="s">
        <v>226</v>
      </c>
      <c r="N164" s="632"/>
      <c r="O164" s="632">
        <v>2</v>
      </c>
      <c r="P164" s="638">
        <v>2.08</v>
      </c>
      <c r="Q164" s="638">
        <v>2.98</v>
      </c>
      <c r="R164" s="638">
        <v>4.06</v>
      </c>
      <c r="S164" s="638">
        <f t="shared" si="0"/>
        <v>2.08</v>
      </c>
      <c r="T164" s="638">
        <f t="shared" si="1"/>
        <v>2.98</v>
      </c>
      <c r="U164" s="638">
        <f t="shared" si="2"/>
        <v>4.06</v>
      </c>
      <c r="V164" s="638">
        <f t="shared" si="3"/>
        <v>2.31111111111111</v>
      </c>
      <c r="W164" s="638">
        <f t="shared" si="4"/>
        <v>3.31111111111111</v>
      </c>
      <c r="X164" s="638">
        <f t="shared" si="5"/>
        <v>4.51111111111111</v>
      </c>
      <c r="Y164" s="638">
        <f t="shared" si="6"/>
        <v>1.73333333333333</v>
      </c>
      <c r="Z164" s="638">
        <f t="shared" si="7"/>
        <v>2.48333333333333</v>
      </c>
      <c r="AA164" s="638">
        <f t="shared" si="8"/>
        <v>3.38333333333333</v>
      </c>
      <c r="AB164" s="638">
        <f t="shared" si="9"/>
        <v>2.08</v>
      </c>
      <c r="AC164" s="638">
        <f t="shared" si="10"/>
        <v>2.98</v>
      </c>
      <c r="AD164" s="638">
        <f t="shared" si="11"/>
        <v>4.06</v>
      </c>
      <c r="AE164" s="632" t="s">
        <v>321</v>
      </c>
      <c r="AF164" s="632"/>
      <c r="AG164" s="638"/>
      <c r="AH164" s="638">
        <f>AH167+$AH$95</f>
        <v>0.1</v>
      </c>
      <c r="AI164" s="632" t="s">
        <v>120</v>
      </c>
      <c r="AJ164" s="632">
        <f t="shared" si="17"/>
        <v>2</v>
      </c>
      <c r="AK164" s="632" t="s">
        <v>120</v>
      </c>
      <c r="AL164" s="632" t="s">
        <v>120</v>
      </c>
      <c r="AM164" s="632" t="s">
        <v>120</v>
      </c>
      <c r="AN164" s="632" t="s">
        <v>120</v>
      </c>
      <c r="AO164" s="632" t="s">
        <v>120</v>
      </c>
    </row>
    <row r="165" customHeight="1" spans="1:41">
      <c r="A165" s="632" t="s">
        <v>407</v>
      </c>
      <c r="B165" s="632" t="s">
        <v>408</v>
      </c>
      <c r="C165" s="632"/>
      <c r="D165" s="632"/>
      <c r="E165" s="632" t="s">
        <v>139</v>
      </c>
      <c r="F165" s="632"/>
      <c r="G165" s="632" t="s">
        <v>115</v>
      </c>
      <c r="H165" s="633">
        <v>1</v>
      </c>
      <c r="I165" s="633">
        <v>0.9</v>
      </c>
      <c r="J165" s="633">
        <v>1.2</v>
      </c>
      <c r="K165" s="633">
        <v>1</v>
      </c>
      <c r="L165" s="633">
        <v>1.19999999999998</v>
      </c>
      <c r="M165" s="632" t="s">
        <v>124</v>
      </c>
      <c r="N165" s="632"/>
      <c r="O165" s="632">
        <v>2</v>
      </c>
      <c r="P165" s="636">
        <v>0.598</v>
      </c>
      <c r="Q165" s="636">
        <v>1.014</v>
      </c>
      <c r="R165" s="636">
        <v>1.482</v>
      </c>
      <c r="S165" s="638">
        <f t="shared" si="0"/>
        <v>0.598</v>
      </c>
      <c r="T165" s="638">
        <f t="shared" si="1"/>
        <v>1.014</v>
      </c>
      <c r="U165" s="638">
        <f t="shared" si="2"/>
        <v>1.482</v>
      </c>
      <c r="V165" s="638">
        <f t="shared" si="3"/>
        <v>0.664444444444445</v>
      </c>
      <c r="W165" s="638">
        <f t="shared" si="4"/>
        <v>1.12666666666667</v>
      </c>
      <c r="X165" s="638">
        <f t="shared" si="5"/>
        <v>1.64666666666667</v>
      </c>
      <c r="Y165" s="638">
        <f t="shared" si="6"/>
        <v>0.498333333333333</v>
      </c>
      <c r="Z165" s="638">
        <f t="shared" si="7"/>
        <v>0.845</v>
      </c>
      <c r="AA165" s="638">
        <f t="shared" si="8"/>
        <v>1.235</v>
      </c>
      <c r="AB165" s="638">
        <f t="shared" si="9"/>
        <v>0.598</v>
      </c>
      <c r="AC165" s="638">
        <f t="shared" si="10"/>
        <v>1.014</v>
      </c>
      <c r="AD165" s="638">
        <f t="shared" si="11"/>
        <v>1.482</v>
      </c>
      <c r="AE165" s="632" t="s">
        <v>321</v>
      </c>
      <c r="AF165" s="632"/>
      <c r="AG165" s="636"/>
      <c r="AH165" s="636">
        <v>0.35</v>
      </c>
      <c r="AI165" s="632" t="s">
        <v>120</v>
      </c>
      <c r="AJ165" s="639">
        <f t="shared" si="17"/>
        <v>2</v>
      </c>
      <c r="AK165" s="632" t="s">
        <v>120</v>
      </c>
      <c r="AL165" s="632" t="s">
        <v>120</v>
      </c>
      <c r="AM165" s="632" t="s">
        <v>120</v>
      </c>
      <c r="AN165" s="632" t="s">
        <v>120</v>
      </c>
      <c r="AO165" s="632" t="s">
        <v>120</v>
      </c>
    </row>
    <row r="166" customHeight="1" spans="1:41">
      <c r="A166" s="632" t="s">
        <v>409</v>
      </c>
      <c r="B166" s="632" t="s">
        <v>410</v>
      </c>
      <c r="C166" s="632"/>
      <c r="D166" s="632"/>
      <c r="E166" s="632" t="s">
        <v>139</v>
      </c>
      <c r="F166" s="632"/>
      <c r="G166" s="632" t="s">
        <v>115</v>
      </c>
      <c r="H166" s="633">
        <v>1</v>
      </c>
      <c r="I166" s="633">
        <v>0.9</v>
      </c>
      <c r="J166" s="633">
        <v>1.2</v>
      </c>
      <c r="K166" s="633">
        <v>1</v>
      </c>
      <c r="L166" s="633">
        <v>1.19999999999998</v>
      </c>
      <c r="M166" s="632" t="s">
        <v>226</v>
      </c>
      <c r="N166" s="632"/>
      <c r="O166" s="632">
        <v>2</v>
      </c>
      <c r="P166" s="638">
        <v>1.048</v>
      </c>
      <c r="Q166" s="638">
        <v>1.614</v>
      </c>
      <c r="R166" s="638">
        <v>2.282</v>
      </c>
      <c r="S166" s="638">
        <f t="shared" si="0"/>
        <v>1.048</v>
      </c>
      <c r="T166" s="638">
        <f t="shared" si="1"/>
        <v>1.614</v>
      </c>
      <c r="U166" s="638">
        <f t="shared" si="2"/>
        <v>2.282</v>
      </c>
      <c r="V166" s="638">
        <f t="shared" si="3"/>
        <v>1.16444444444444</v>
      </c>
      <c r="W166" s="638">
        <f t="shared" si="4"/>
        <v>1.79333333333333</v>
      </c>
      <c r="X166" s="638">
        <f t="shared" si="5"/>
        <v>2.53555555555556</v>
      </c>
      <c r="Y166" s="638">
        <f t="shared" si="6"/>
        <v>0.873333333333333</v>
      </c>
      <c r="Z166" s="638">
        <f t="shared" si="7"/>
        <v>1.345</v>
      </c>
      <c r="AA166" s="638">
        <f t="shared" si="8"/>
        <v>1.90166666666667</v>
      </c>
      <c r="AB166" s="638">
        <f t="shared" si="9"/>
        <v>1.048</v>
      </c>
      <c r="AC166" s="638">
        <f t="shared" si="10"/>
        <v>1.614</v>
      </c>
      <c r="AD166" s="638">
        <f t="shared" si="11"/>
        <v>2.282</v>
      </c>
      <c r="AE166" s="632" t="s">
        <v>321</v>
      </c>
      <c r="AF166" s="632"/>
      <c r="AG166" s="638"/>
      <c r="AH166" s="638">
        <f>AH165+$AH$95</f>
        <v>0.35</v>
      </c>
      <c r="AI166" s="632" t="s">
        <v>120</v>
      </c>
      <c r="AJ166" s="632">
        <f t="shared" si="17"/>
        <v>2</v>
      </c>
      <c r="AK166" s="632" t="s">
        <v>120</v>
      </c>
      <c r="AL166" s="632" t="s">
        <v>120</v>
      </c>
      <c r="AM166" s="632" t="s">
        <v>120</v>
      </c>
      <c r="AN166" s="632" t="s">
        <v>120</v>
      </c>
      <c r="AO166" s="632" t="s">
        <v>120</v>
      </c>
    </row>
    <row r="167" customHeight="1" spans="1:41">
      <c r="A167" s="632" t="s">
        <v>411</v>
      </c>
      <c r="B167" s="632" t="s">
        <v>412</v>
      </c>
      <c r="C167" s="632"/>
      <c r="D167" s="632"/>
      <c r="E167" s="632" t="s">
        <v>139</v>
      </c>
      <c r="F167" s="632"/>
      <c r="G167" s="632" t="s">
        <v>115</v>
      </c>
      <c r="H167" s="633">
        <v>1</v>
      </c>
      <c r="I167" s="633">
        <v>0.9</v>
      </c>
      <c r="J167" s="633">
        <v>1.2</v>
      </c>
      <c r="K167" s="633">
        <v>1</v>
      </c>
      <c r="L167" s="633">
        <v>1.19999999999998</v>
      </c>
      <c r="M167" s="632" t="s">
        <v>124</v>
      </c>
      <c r="N167" s="632"/>
      <c r="O167" s="632">
        <v>2</v>
      </c>
      <c r="P167" s="636">
        <v>0.23</v>
      </c>
      <c r="Q167" s="636">
        <v>0.39</v>
      </c>
      <c r="R167" s="636">
        <v>0.57</v>
      </c>
      <c r="S167" s="638">
        <f t="shared" si="0"/>
        <v>0.23</v>
      </c>
      <c r="T167" s="638">
        <f t="shared" si="1"/>
        <v>0.39</v>
      </c>
      <c r="U167" s="638">
        <f t="shared" si="2"/>
        <v>0.57</v>
      </c>
      <c r="V167" s="638">
        <f t="shared" si="3"/>
        <v>0.255555555555556</v>
      </c>
      <c r="W167" s="638">
        <f t="shared" si="4"/>
        <v>0.433333333333333</v>
      </c>
      <c r="X167" s="638">
        <f t="shared" si="5"/>
        <v>0.633333333333333</v>
      </c>
      <c r="Y167" s="638">
        <f t="shared" si="6"/>
        <v>0.191666666666667</v>
      </c>
      <c r="Z167" s="638">
        <f t="shared" si="7"/>
        <v>0.325</v>
      </c>
      <c r="AA167" s="638">
        <f t="shared" si="8"/>
        <v>0.475</v>
      </c>
      <c r="AB167" s="638">
        <f t="shared" si="9"/>
        <v>0.23</v>
      </c>
      <c r="AC167" s="638">
        <f t="shared" si="10"/>
        <v>0.39</v>
      </c>
      <c r="AD167" s="638">
        <f t="shared" si="11"/>
        <v>0.57</v>
      </c>
      <c r="AE167" s="632" t="s">
        <v>321</v>
      </c>
      <c r="AF167" s="632"/>
      <c r="AG167" s="636"/>
      <c r="AH167" s="636">
        <v>0.1</v>
      </c>
      <c r="AI167" s="632" t="s">
        <v>120</v>
      </c>
      <c r="AJ167" s="639">
        <f t="shared" si="17"/>
        <v>2</v>
      </c>
      <c r="AK167" s="632" t="s">
        <v>120</v>
      </c>
      <c r="AL167" s="632" t="s">
        <v>120</v>
      </c>
      <c r="AM167" s="632" t="s">
        <v>120</v>
      </c>
      <c r="AN167" s="632" t="s">
        <v>120</v>
      </c>
      <c r="AO167" s="632" t="s">
        <v>120</v>
      </c>
    </row>
    <row r="168" customHeight="1" spans="1:41">
      <c r="A168" s="632" t="s">
        <v>413</v>
      </c>
      <c r="B168" s="632" t="s">
        <v>414</v>
      </c>
      <c r="C168" s="632"/>
      <c r="D168" s="632"/>
      <c r="E168" s="632" t="s">
        <v>139</v>
      </c>
      <c r="F168" s="632"/>
      <c r="G168" s="632" t="s">
        <v>115</v>
      </c>
      <c r="H168" s="633">
        <v>1</v>
      </c>
      <c r="I168" s="633">
        <v>0.9</v>
      </c>
      <c r="J168" s="633">
        <v>1.2</v>
      </c>
      <c r="K168" s="633">
        <v>1</v>
      </c>
      <c r="L168" s="633">
        <v>1.19999999999998</v>
      </c>
      <c r="M168" s="632" t="s">
        <v>124</v>
      </c>
      <c r="N168" s="632"/>
      <c r="O168" s="632">
        <v>2</v>
      </c>
      <c r="P168" s="636" t="s">
        <v>13</v>
      </c>
      <c r="Q168" s="636">
        <v>0.75</v>
      </c>
      <c r="R168" s="636">
        <v>1</v>
      </c>
      <c r="S168" s="638" t="e">
        <f t="shared" si="0"/>
        <v>#VALUE!</v>
      </c>
      <c r="T168" s="638">
        <f t="shared" si="1"/>
        <v>0.75</v>
      </c>
      <c r="U168" s="638">
        <f t="shared" si="2"/>
        <v>1</v>
      </c>
      <c r="V168" s="638" t="e">
        <f t="shared" si="3"/>
        <v>#VALUE!</v>
      </c>
      <c r="W168" s="638">
        <f t="shared" si="4"/>
        <v>0.833333333333333</v>
      </c>
      <c r="X168" s="638">
        <f t="shared" si="5"/>
        <v>1.11111111111111</v>
      </c>
      <c r="Y168" s="638" t="e">
        <f t="shared" si="6"/>
        <v>#VALUE!</v>
      </c>
      <c r="Z168" s="638">
        <f t="shared" si="7"/>
        <v>0.625</v>
      </c>
      <c r="AA168" s="638">
        <f t="shared" si="8"/>
        <v>0.833333333333333</v>
      </c>
      <c r="AB168" s="638" t="e">
        <f t="shared" si="9"/>
        <v>#VALUE!</v>
      </c>
      <c r="AC168" s="638">
        <f t="shared" si="10"/>
        <v>0.75</v>
      </c>
      <c r="AD168" s="638">
        <f t="shared" si="11"/>
        <v>1</v>
      </c>
      <c r="AE168" s="632" t="s">
        <v>321</v>
      </c>
      <c r="AF168" s="632"/>
      <c r="AG168" s="636"/>
      <c r="AH168" s="636">
        <v>0.13</v>
      </c>
      <c r="AI168" s="632" t="s">
        <v>120</v>
      </c>
      <c r="AJ168" s="639">
        <f t="shared" si="17"/>
        <v>2</v>
      </c>
      <c r="AK168" s="632" t="s">
        <v>120</v>
      </c>
      <c r="AL168" s="632" t="s">
        <v>120</v>
      </c>
      <c r="AM168" s="632" t="s">
        <v>120</v>
      </c>
      <c r="AN168" s="632" t="s">
        <v>120</v>
      </c>
      <c r="AO168" s="632" t="s">
        <v>120</v>
      </c>
    </row>
    <row r="169" customHeight="1" spans="1:41">
      <c r="A169" s="632" t="s">
        <v>415</v>
      </c>
      <c r="B169" s="632" t="s">
        <v>416</v>
      </c>
      <c r="C169" s="632"/>
      <c r="D169" s="632"/>
      <c r="E169" s="632" t="s">
        <v>139</v>
      </c>
      <c r="F169" s="632"/>
      <c r="G169" s="632" t="s">
        <v>115</v>
      </c>
      <c r="H169" s="633">
        <v>1</v>
      </c>
      <c r="I169" s="633">
        <v>0.9</v>
      </c>
      <c r="J169" s="633">
        <v>1.2</v>
      </c>
      <c r="K169" s="633">
        <v>1</v>
      </c>
      <c r="L169" s="633">
        <v>1.19999999999998</v>
      </c>
      <c r="M169" s="632" t="s">
        <v>124</v>
      </c>
      <c r="N169" s="632"/>
      <c r="O169" s="632">
        <v>2</v>
      </c>
      <c r="P169" s="636">
        <v>0.299</v>
      </c>
      <c r="Q169" s="636">
        <v>0.507</v>
      </c>
      <c r="R169" s="636">
        <v>0.741</v>
      </c>
      <c r="S169" s="638">
        <f t="shared" si="0"/>
        <v>0.299</v>
      </c>
      <c r="T169" s="638">
        <f t="shared" si="1"/>
        <v>0.507</v>
      </c>
      <c r="U169" s="638">
        <f t="shared" si="2"/>
        <v>0.741</v>
      </c>
      <c r="V169" s="638">
        <f t="shared" si="3"/>
        <v>0.332222222222222</v>
      </c>
      <c r="W169" s="638">
        <f t="shared" si="4"/>
        <v>0.563333333333333</v>
      </c>
      <c r="X169" s="638">
        <f t="shared" si="5"/>
        <v>0.823333333333333</v>
      </c>
      <c r="Y169" s="638">
        <f t="shared" si="6"/>
        <v>0.249166666666667</v>
      </c>
      <c r="Z169" s="638">
        <f t="shared" si="7"/>
        <v>0.4225</v>
      </c>
      <c r="AA169" s="638">
        <f t="shared" si="8"/>
        <v>0.6175</v>
      </c>
      <c r="AB169" s="638">
        <f t="shared" si="9"/>
        <v>0.299</v>
      </c>
      <c r="AC169" s="638">
        <f t="shared" si="10"/>
        <v>0.507</v>
      </c>
      <c r="AD169" s="638">
        <f t="shared" si="11"/>
        <v>0.741</v>
      </c>
      <c r="AE169" s="632" t="s">
        <v>321</v>
      </c>
      <c r="AF169" s="632"/>
      <c r="AG169" s="632"/>
      <c r="AH169" s="632">
        <v>0.25</v>
      </c>
      <c r="AI169" s="632" t="s">
        <v>120</v>
      </c>
      <c r="AJ169" s="639">
        <f t="shared" si="17"/>
        <v>2</v>
      </c>
      <c r="AK169" s="632" t="s">
        <v>120</v>
      </c>
      <c r="AL169" s="632" t="s">
        <v>120</v>
      </c>
      <c r="AM169" s="632" t="s">
        <v>120</v>
      </c>
      <c r="AN169" s="632" t="s">
        <v>120</v>
      </c>
      <c r="AO169" s="632" t="s">
        <v>120</v>
      </c>
    </row>
    <row r="170" customHeight="1" spans="1:41">
      <c r="A170" s="632" t="s">
        <v>417</v>
      </c>
      <c r="B170" s="632" t="s">
        <v>418</v>
      </c>
      <c r="C170" s="632"/>
      <c r="D170" s="632"/>
      <c r="E170" s="632" t="s">
        <v>139</v>
      </c>
      <c r="F170" s="632"/>
      <c r="G170" s="632" t="s">
        <v>115</v>
      </c>
      <c r="H170" s="633">
        <v>1</v>
      </c>
      <c r="I170" s="633">
        <v>0.9</v>
      </c>
      <c r="J170" s="633">
        <v>1.2</v>
      </c>
      <c r="K170" s="633">
        <v>1</v>
      </c>
      <c r="L170" s="633">
        <v>1.19999999999998</v>
      </c>
      <c r="M170" s="632" t="s">
        <v>226</v>
      </c>
      <c r="N170" s="632"/>
      <c r="O170" s="632">
        <v>2</v>
      </c>
      <c r="P170" s="636">
        <v>0.35</v>
      </c>
      <c r="Q170" s="636">
        <v>0.55</v>
      </c>
      <c r="R170" s="636">
        <v>0.8</v>
      </c>
      <c r="S170" s="638">
        <f t="shared" si="0"/>
        <v>0.35</v>
      </c>
      <c r="T170" s="638">
        <f t="shared" si="1"/>
        <v>0.55</v>
      </c>
      <c r="U170" s="638">
        <f t="shared" si="2"/>
        <v>0.8</v>
      </c>
      <c r="V170" s="638">
        <f t="shared" si="3"/>
        <v>0.388888888888889</v>
      </c>
      <c r="W170" s="638">
        <f t="shared" si="4"/>
        <v>0.611111111111111</v>
      </c>
      <c r="X170" s="638">
        <f t="shared" si="5"/>
        <v>0.888888888888889</v>
      </c>
      <c r="Y170" s="638">
        <f t="shared" si="6"/>
        <v>0.291666666666667</v>
      </c>
      <c r="Z170" s="638">
        <f t="shared" si="7"/>
        <v>0.458333333333333</v>
      </c>
      <c r="AA170" s="638">
        <f t="shared" si="8"/>
        <v>0.666666666666667</v>
      </c>
      <c r="AB170" s="638">
        <f t="shared" si="9"/>
        <v>0.35</v>
      </c>
      <c r="AC170" s="638">
        <f t="shared" si="10"/>
        <v>0.55</v>
      </c>
      <c r="AD170" s="638">
        <f t="shared" si="11"/>
        <v>0.8</v>
      </c>
      <c r="AE170" s="632" t="s">
        <v>321</v>
      </c>
      <c r="AF170" s="632"/>
      <c r="AG170" s="632"/>
      <c r="AH170" s="632">
        <v>0.25</v>
      </c>
      <c r="AI170" s="632" t="s">
        <v>120</v>
      </c>
      <c r="AJ170" s="639">
        <f t="shared" si="17"/>
        <v>2</v>
      </c>
      <c r="AK170" s="632" t="s">
        <v>120</v>
      </c>
      <c r="AL170" s="632" t="s">
        <v>120</v>
      </c>
      <c r="AM170" s="632" t="s">
        <v>120</v>
      </c>
      <c r="AN170" s="632" t="s">
        <v>120</v>
      </c>
      <c r="AO170" s="632" t="s">
        <v>120</v>
      </c>
    </row>
    <row r="171" customHeight="1" spans="1:41">
      <c r="A171" s="632" t="s">
        <v>419</v>
      </c>
      <c r="B171" s="632" t="s">
        <v>420</v>
      </c>
      <c r="C171" s="632"/>
      <c r="D171" s="632"/>
      <c r="E171" s="632" t="s">
        <v>139</v>
      </c>
      <c r="F171" s="632"/>
      <c r="G171" s="632" t="s">
        <v>115</v>
      </c>
      <c r="H171" s="633">
        <v>1</v>
      </c>
      <c r="I171" s="633">
        <v>0.9</v>
      </c>
      <c r="J171" s="633">
        <v>1.2</v>
      </c>
      <c r="K171" s="633">
        <v>1</v>
      </c>
      <c r="L171" s="633">
        <v>1.19999999999998</v>
      </c>
      <c r="M171" s="632" t="s">
        <v>381</v>
      </c>
      <c r="N171" s="632"/>
      <c r="O171" s="632">
        <v>2</v>
      </c>
      <c r="P171" s="636">
        <v>1.31</v>
      </c>
      <c r="Q171" s="636">
        <v>1.77</v>
      </c>
      <c r="R171" s="636" t="s">
        <v>13</v>
      </c>
      <c r="S171" s="638">
        <f t="shared" si="0"/>
        <v>1.31</v>
      </c>
      <c r="T171" s="638">
        <f t="shared" si="1"/>
        <v>1.77</v>
      </c>
      <c r="U171" s="638" t="e">
        <f t="shared" si="2"/>
        <v>#VALUE!</v>
      </c>
      <c r="V171" s="638">
        <f t="shared" si="3"/>
        <v>1.45555555555556</v>
      </c>
      <c r="W171" s="638">
        <f t="shared" si="4"/>
        <v>1.96666666666667</v>
      </c>
      <c r="X171" s="638" t="e">
        <f t="shared" si="5"/>
        <v>#VALUE!</v>
      </c>
      <c r="Y171" s="638">
        <f t="shared" si="6"/>
        <v>1.09166666666667</v>
      </c>
      <c r="Z171" s="638">
        <f t="shared" si="7"/>
        <v>1.475</v>
      </c>
      <c r="AA171" s="638" t="e">
        <f t="shared" si="8"/>
        <v>#VALUE!</v>
      </c>
      <c r="AB171" s="638">
        <f t="shared" si="9"/>
        <v>1.31</v>
      </c>
      <c r="AC171" s="638">
        <f t="shared" si="10"/>
        <v>1.77</v>
      </c>
      <c r="AD171" s="638" t="e">
        <f t="shared" si="11"/>
        <v>#VALUE!</v>
      </c>
      <c r="AE171" s="632" t="s">
        <v>321</v>
      </c>
      <c r="AF171" s="632"/>
      <c r="AG171" s="632"/>
      <c r="AH171" s="632">
        <v>0.25</v>
      </c>
      <c r="AI171" s="632" t="s">
        <v>120</v>
      </c>
      <c r="AJ171" s="639">
        <f t="shared" si="17"/>
        <v>2</v>
      </c>
      <c r="AK171" s="632" t="s">
        <v>120</v>
      </c>
      <c r="AL171" s="632" t="s">
        <v>120</v>
      </c>
      <c r="AM171" s="632" t="s">
        <v>120</v>
      </c>
      <c r="AN171" s="632" t="s">
        <v>120</v>
      </c>
      <c r="AO171" s="632" t="s">
        <v>120</v>
      </c>
    </row>
    <row r="172" customHeight="1" spans="1:41">
      <c r="A172" s="632" t="s">
        <v>421</v>
      </c>
      <c r="B172" s="632" t="s">
        <v>422</v>
      </c>
      <c r="C172" s="632"/>
      <c r="D172" s="632"/>
      <c r="E172" s="632" t="s">
        <v>139</v>
      </c>
      <c r="F172" s="632"/>
      <c r="G172" s="632" t="s">
        <v>115</v>
      </c>
      <c r="H172" s="633">
        <v>1</v>
      </c>
      <c r="I172" s="633">
        <v>0.9</v>
      </c>
      <c r="J172" s="633">
        <v>1.2</v>
      </c>
      <c r="K172" s="633">
        <v>1</v>
      </c>
      <c r="L172" s="633">
        <v>1.19999999999998</v>
      </c>
      <c r="M172" s="632" t="s">
        <v>140</v>
      </c>
      <c r="N172" s="632"/>
      <c r="O172" s="632">
        <v>1</v>
      </c>
      <c r="P172" s="636">
        <v>0.75</v>
      </c>
      <c r="Q172" s="636">
        <v>1.25</v>
      </c>
      <c r="R172" s="636"/>
      <c r="S172" s="638">
        <f t="shared" si="0"/>
        <v>0.75</v>
      </c>
      <c r="T172" s="638">
        <f t="shared" si="1"/>
        <v>1.25</v>
      </c>
      <c r="U172" s="638">
        <f t="shared" si="2"/>
        <v>0</v>
      </c>
      <c r="V172" s="638">
        <f t="shared" si="3"/>
        <v>0.833333333333333</v>
      </c>
      <c r="W172" s="638">
        <f t="shared" si="4"/>
        <v>1.38888888888889</v>
      </c>
      <c r="X172" s="638">
        <f t="shared" si="5"/>
        <v>0</v>
      </c>
      <c r="Y172" s="638">
        <f t="shared" si="6"/>
        <v>0.625</v>
      </c>
      <c r="Z172" s="638">
        <f t="shared" si="7"/>
        <v>1.04166666666667</v>
      </c>
      <c r="AA172" s="638">
        <f t="shared" si="8"/>
        <v>0</v>
      </c>
      <c r="AB172" s="638">
        <f t="shared" si="9"/>
        <v>0.75</v>
      </c>
      <c r="AC172" s="638">
        <f t="shared" si="10"/>
        <v>1.25</v>
      </c>
      <c r="AD172" s="638">
        <f t="shared" si="11"/>
        <v>0</v>
      </c>
      <c r="AE172" s="632" t="s">
        <v>321</v>
      </c>
      <c r="AF172" s="632" t="s">
        <v>350</v>
      </c>
      <c r="AG172" s="632"/>
      <c r="AH172" s="632">
        <v>1</v>
      </c>
      <c r="AI172" s="632" t="s">
        <v>120</v>
      </c>
      <c r="AJ172" s="639">
        <f t="shared" si="17"/>
        <v>1</v>
      </c>
      <c r="AK172" s="632" t="s">
        <v>120</v>
      </c>
      <c r="AL172" s="632" t="s">
        <v>120</v>
      </c>
      <c r="AM172" s="632" t="s">
        <v>120</v>
      </c>
      <c r="AN172" s="632" t="s">
        <v>120</v>
      </c>
      <c r="AO172" s="632" t="s">
        <v>120</v>
      </c>
    </row>
    <row r="173" customHeight="1" spans="1:41">
      <c r="A173" s="632" t="s">
        <v>423</v>
      </c>
      <c r="B173" s="632" t="s">
        <v>422</v>
      </c>
      <c r="C173" s="632"/>
      <c r="D173" s="632"/>
      <c r="E173" s="632" t="s">
        <v>139</v>
      </c>
      <c r="F173" s="632"/>
      <c r="G173" s="632" t="s">
        <v>115</v>
      </c>
      <c r="H173" s="633">
        <v>1</v>
      </c>
      <c r="I173" s="633">
        <v>0.9</v>
      </c>
      <c r="J173" s="633">
        <v>1.2</v>
      </c>
      <c r="K173" s="633">
        <v>1</v>
      </c>
      <c r="L173" s="633">
        <v>1.19999999999998</v>
      </c>
      <c r="M173" s="632" t="s">
        <v>140</v>
      </c>
      <c r="N173" s="632"/>
      <c r="O173" s="632">
        <v>1</v>
      </c>
      <c r="P173" s="636">
        <v>1.25</v>
      </c>
      <c r="Q173" s="636">
        <v>2</v>
      </c>
      <c r="R173" s="636"/>
      <c r="S173" s="638">
        <f t="shared" si="0"/>
        <v>1.25</v>
      </c>
      <c r="T173" s="638">
        <f t="shared" si="1"/>
        <v>2</v>
      </c>
      <c r="U173" s="638">
        <f t="shared" si="2"/>
        <v>0</v>
      </c>
      <c r="V173" s="638">
        <f t="shared" si="3"/>
        <v>1.38888888888889</v>
      </c>
      <c r="W173" s="638">
        <f t="shared" si="4"/>
        <v>2.22222222222222</v>
      </c>
      <c r="X173" s="638">
        <f t="shared" si="5"/>
        <v>0</v>
      </c>
      <c r="Y173" s="638">
        <f t="shared" si="6"/>
        <v>1.04166666666667</v>
      </c>
      <c r="Z173" s="638">
        <f t="shared" si="7"/>
        <v>1.66666666666667</v>
      </c>
      <c r="AA173" s="638">
        <f t="shared" si="8"/>
        <v>0</v>
      </c>
      <c r="AB173" s="638">
        <f t="shared" si="9"/>
        <v>1.25</v>
      </c>
      <c r="AC173" s="638">
        <f t="shared" si="10"/>
        <v>2</v>
      </c>
      <c r="AD173" s="638">
        <f t="shared" si="11"/>
        <v>0</v>
      </c>
      <c r="AE173" s="632" t="s">
        <v>321</v>
      </c>
      <c r="AF173" s="632" t="s">
        <v>350</v>
      </c>
      <c r="AG173" s="632"/>
      <c r="AH173" s="632">
        <v>1.25</v>
      </c>
      <c r="AI173" s="632" t="s">
        <v>120</v>
      </c>
      <c r="AJ173" s="639">
        <f t="shared" si="17"/>
        <v>1</v>
      </c>
      <c r="AK173" s="632" t="s">
        <v>120</v>
      </c>
      <c r="AL173" s="632"/>
      <c r="AM173" s="632"/>
      <c r="AN173" s="632"/>
      <c r="AO173" s="632"/>
    </row>
    <row r="174" customHeight="1" spans="1:41">
      <c r="A174" s="632" t="s">
        <v>424</v>
      </c>
      <c r="B174" s="632" t="s">
        <v>425</v>
      </c>
      <c r="C174" s="632"/>
      <c r="D174" s="632"/>
      <c r="E174" s="632" t="s">
        <v>139</v>
      </c>
      <c r="F174" s="632"/>
      <c r="G174" s="632" t="s">
        <v>115</v>
      </c>
      <c r="H174" s="633">
        <v>1</v>
      </c>
      <c r="I174" s="633">
        <v>0.9</v>
      </c>
      <c r="J174" s="633">
        <v>1.2</v>
      </c>
      <c r="K174" s="633">
        <v>1</v>
      </c>
      <c r="L174" s="633">
        <v>1.19999999999998</v>
      </c>
      <c r="M174" s="632" t="s">
        <v>140</v>
      </c>
      <c r="N174" s="632"/>
      <c r="O174" s="632">
        <v>1</v>
      </c>
      <c r="P174" s="636">
        <v>1.5</v>
      </c>
      <c r="Q174" s="636">
        <v>2.25</v>
      </c>
      <c r="R174" s="636"/>
      <c r="S174" s="638">
        <f t="shared" si="0"/>
        <v>1.5</v>
      </c>
      <c r="T174" s="638">
        <f t="shared" si="1"/>
        <v>2.25</v>
      </c>
      <c r="U174" s="638">
        <f t="shared" si="2"/>
        <v>0</v>
      </c>
      <c r="V174" s="638">
        <f t="shared" si="3"/>
        <v>1.66666666666667</v>
      </c>
      <c r="W174" s="638">
        <f t="shared" si="4"/>
        <v>2.5</v>
      </c>
      <c r="X174" s="638">
        <f t="shared" si="5"/>
        <v>0</v>
      </c>
      <c r="Y174" s="638">
        <f t="shared" si="6"/>
        <v>1.25</v>
      </c>
      <c r="Z174" s="638">
        <f t="shared" si="7"/>
        <v>1.875</v>
      </c>
      <c r="AA174" s="638">
        <f t="shared" si="8"/>
        <v>0</v>
      </c>
      <c r="AB174" s="638">
        <f t="shared" si="9"/>
        <v>1.5</v>
      </c>
      <c r="AC174" s="638">
        <f t="shared" si="10"/>
        <v>2.25</v>
      </c>
      <c r="AD174" s="638">
        <f t="shared" si="11"/>
        <v>0</v>
      </c>
      <c r="AE174" s="632" t="s">
        <v>321</v>
      </c>
      <c r="AF174" s="632" t="s">
        <v>350</v>
      </c>
      <c r="AG174" s="632"/>
      <c r="AH174" s="632">
        <v>2</v>
      </c>
      <c r="AI174" s="632" t="s">
        <v>120</v>
      </c>
      <c r="AJ174" s="639">
        <f t="shared" si="17"/>
        <v>1</v>
      </c>
      <c r="AK174" s="632" t="s">
        <v>120</v>
      </c>
      <c r="AL174" s="632"/>
      <c r="AM174" s="632"/>
      <c r="AN174" s="632"/>
      <c r="AO174" s="632"/>
    </row>
    <row r="175" customHeight="1" spans="1:41">
      <c r="A175" s="632" t="s">
        <v>426</v>
      </c>
      <c r="B175" s="632" t="s">
        <v>427</v>
      </c>
      <c r="C175" s="632"/>
      <c r="D175" s="632"/>
      <c r="E175" s="632" t="s">
        <v>139</v>
      </c>
      <c r="F175" s="632"/>
      <c r="G175" s="632" t="s">
        <v>115</v>
      </c>
      <c r="H175" s="633">
        <v>1</v>
      </c>
      <c r="I175" s="633">
        <v>0.9</v>
      </c>
      <c r="J175" s="633">
        <v>1.2</v>
      </c>
      <c r="K175" s="633">
        <v>1</v>
      </c>
      <c r="L175" s="633">
        <v>1.19999999999998</v>
      </c>
      <c r="M175" s="632" t="s">
        <v>140</v>
      </c>
      <c r="N175" s="632"/>
      <c r="O175" s="632">
        <v>1</v>
      </c>
      <c r="P175" s="636">
        <v>2</v>
      </c>
      <c r="Q175" s="636">
        <v>2.75</v>
      </c>
      <c r="R175" s="636"/>
      <c r="S175" s="638">
        <f t="shared" si="0"/>
        <v>2</v>
      </c>
      <c r="T175" s="638">
        <f t="shared" si="1"/>
        <v>2.75</v>
      </c>
      <c r="U175" s="638">
        <f t="shared" si="2"/>
        <v>0</v>
      </c>
      <c r="V175" s="638">
        <f t="shared" si="3"/>
        <v>2.22222222222222</v>
      </c>
      <c r="W175" s="638">
        <f t="shared" si="4"/>
        <v>3.05555555555556</v>
      </c>
      <c r="X175" s="638">
        <f t="shared" si="5"/>
        <v>0</v>
      </c>
      <c r="Y175" s="638">
        <f t="shared" si="6"/>
        <v>1.66666666666667</v>
      </c>
      <c r="Z175" s="638">
        <f t="shared" si="7"/>
        <v>2.29166666666667</v>
      </c>
      <c r="AA175" s="638">
        <f t="shared" si="8"/>
        <v>0</v>
      </c>
      <c r="AB175" s="638">
        <f t="shared" si="9"/>
        <v>2</v>
      </c>
      <c r="AC175" s="638">
        <f t="shared" si="10"/>
        <v>2.75</v>
      </c>
      <c r="AD175" s="638">
        <f t="shared" si="11"/>
        <v>0</v>
      </c>
      <c r="AE175" s="632" t="s">
        <v>321</v>
      </c>
      <c r="AF175" s="632" t="s">
        <v>350</v>
      </c>
      <c r="AG175" s="632"/>
      <c r="AH175" s="632">
        <v>2.25</v>
      </c>
      <c r="AI175" s="632" t="s">
        <v>120</v>
      </c>
      <c r="AJ175" s="639">
        <f t="shared" si="17"/>
        <v>1</v>
      </c>
      <c r="AK175" s="632" t="s">
        <v>120</v>
      </c>
      <c r="AL175" s="632"/>
      <c r="AM175" s="632"/>
      <c r="AN175" s="632"/>
      <c r="AO175" s="632"/>
    </row>
    <row r="176" customHeight="1" spans="1:41">
      <c r="A176" s="632" t="s">
        <v>428</v>
      </c>
      <c r="B176" s="632" t="s">
        <v>429</v>
      </c>
      <c r="C176" s="632"/>
      <c r="D176" s="632"/>
      <c r="E176" s="632" t="s">
        <v>139</v>
      </c>
      <c r="F176" s="632"/>
      <c r="G176" s="632" t="s">
        <v>115</v>
      </c>
      <c r="H176" s="633">
        <v>1</v>
      </c>
      <c r="I176" s="633">
        <v>0.9</v>
      </c>
      <c r="J176" s="633">
        <v>1.2</v>
      </c>
      <c r="K176" s="633">
        <v>1</v>
      </c>
      <c r="L176" s="633">
        <v>1.19999999999998</v>
      </c>
      <c r="M176" s="632" t="s">
        <v>140</v>
      </c>
      <c r="N176" s="632"/>
      <c r="O176" s="632">
        <v>1</v>
      </c>
      <c r="P176" s="636">
        <v>2.75</v>
      </c>
      <c r="Q176" s="636">
        <v>3.25</v>
      </c>
      <c r="R176" s="636"/>
      <c r="S176" s="638">
        <f t="shared" si="0"/>
        <v>2.75</v>
      </c>
      <c r="T176" s="638">
        <f t="shared" si="1"/>
        <v>3.25</v>
      </c>
      <c r="U176" s="638">
        <f t="shared" si="2"/>
        <v>0</v>
      </c>
      <c r="V176" s="638">
        <f t="shared" si="3"/>
        <v>3.05555555555556</v>
      </c>
      <c r="W176" s="638">
        <f t="shared" si="4"/>
        <v>3.61111111111111</v>
      </c>
      <c r="X176" s="638">
        <f t="shared" si="5"/>
        <v>0</v>
      </c>
      <c r="Y176" s="638">
        <f t="shared" si="6"/>
        <v>2.29166666666667</v>
      </c>
      <c r="Z176" s="638">
        <f t="shared" si="7"/>
        <v>2.70833333333333</v>
      </c>
      <c r="AA176" s="638">
        <f t="shared" si="8"/>
        <v>0</v>
      </c>
      <c r="AB176" s="638">
        <f t="shared" si="9"/>
        <v>2.75</v>
      </c>
      <c r="AC176" s="638">
        <f t="shared" si="10"/>
        <v>3.25</v>
      </c>
      <c r="AD176" s="638">
        <f t="shared" si="11"/>
        <v>0</v>
      </c>
      <c r="AE176" s="632" t="s">
        <v>321</v>
      </c>
      <c r="AF176" s="632" t="s">
        <v>350</v>
      </c>
      <c r="AG176" s="632"/>
      <c r="AH176" s="632">
        <v>3</v>
      </c>
      <c r="AI176" s="632" t="s">
        <v>120</v>
      </c>
      <c r="AJ176" s="639">
        <f t="shared" si="17"/>
        <v>1</v>
      </c>
      <c r="AK176" s="632" t="s">
        <v>120</v>
      </c>
      <c r="AL176" s="632"/>
      <c r="AM176" s="632"/>
      <c r="AN176" s="632"/>
      <c r="AO176" s="632"/>
    </row>
    <row r="177" customHeight="1" spans="1:41">
      <c r="A177" s="632" t="s">
        <v>430</v>
      </c>
      <c r="B177" s="632" t="s">
        <v>429</v>
      </c>
      <c r="C177" s="632"/>
      <c r="D177" s="632"/>
      <c r="E177" s="632" t="s">
        <v>139</v>
      </c>
      <c r="F177" s="632"/>
      <c r="G177" s="632" t="s">
        <v>115</v>
      </c>
      <c r="H177" s="633">
        <v>1</v>
      </c>
      <c r="I177" s="633">
        <v>0.9</v>
      </c>
      <c r="J177" s="633">
        <v>1.2</v>
      </c>
      <c r="K177" s="633">
        <v>1</v>
      </c>
      <c r="L177" s="633">
        <v>1.19999999999998</v>
      </c>
      <c r="M177" s="632" t="s">
        <v>140</v>
      </c>
      <c r="N177" s="632"/>
      <c r="O177" s="632">
        <v>1</v>
      </c>
      <c r="P177" s="636">
        <v>3.25</v>
      </c>
      <c r="Q177" s="636">
        <v>4</v>
      </c>
      <c r="R177" s="636"/>
      <c r="S177" s="638">
        <f t="shared" si="0"/>
        <v>3.25</v>
      </c>
      <c r="T177" s="638">
        <f t="shared" si="1"/>
        <v>4</v>
      </c>
      <c r="U177" s="638">
        <f t="shared" si="2"/>
        <v>0</v>
      </c>
      <c r="V177" s="638">
        <f t="shared" si="3"/>
        <v>3.61111111111111</v>
      </c>
      <c r="W177" s="638">
        <f t="shared" si="4"/>
        <v>4.44444444444444</v>
      </c>
      <c r="X177" s="638">
        <f t="shared" si="5"/>
        <v>0</v>
      </c>
      <c r="Y177" s="638">
        <f t="shared" si="6"/>
        <v>2.70833333333333</v>
      </c>
      <c r="Z177" s="638">
        <f t="shared" si="7"/>
        <v>3.33333333333333</v>
      </c>
      <c r="AA177" s="638">
        <f t="shared" si="8"/>
        <v>0</v>
      </c>
      <c r="AB177" s="638">
        <f t="shared" si="9"/>
        <v>3.25</v>
      </c>
      <c r="AC177" s="638">
        <f t="shared" si="10"/>
        <v>4</v>
      </c>
      <c r="AD177" s="638">
        <f t="shared" si="11"/>
        <v>0</v>
      </c>
      <c r="AE177" s="632" t="s">
        <v>321</v>
      </c>
      <c r="AF177" s="632" t="s">
        <v>350</v>
      </c>
      <c r="AG177" s="632"/>
      <c r="AH177" s="632">
        <v>3.5</v>
      </c>
      <c r="AI177" s="632" t="s">
        <v>120</v>
      </c>
      <c r="AJ177" s="639">
        <f t="shared" si="17"/>
        <v>1</v>
      </c>
      <c r="AK177" s="632" t="s">
        <v>120</v>
      </c>
      <c r="AL177" s="632"/>
      <c r="AM177" s="632"/>
      <c r="AN177" s="632"/>
      <c r="AO177" s="632"/>
    </row>
    <row r="178" customHeight="1" spans="1:41">
      <c r="A178" s="632" t="s">
        <v>431</v>
      </c>
      <c r="B178" s="632" t="s">
        <v>432</v>
      </c>
      <c r="C178" s="632"/>
      <c r="D178" s="632"/>
      <c r="E178" s="632" t="s">
        <v>139</v>
      </c>
      <c r="F178" s="632"/>
      <c r="G178" s="632" t="s">
        <v>115</v>
      </c>
      <c r="H178" s="633">
        <v>1</v>
      </c>
      <c r="I178" s="633">
        <v>0.9</v>
      </c>
      <c r="J178" s="633">
        <v>1.2</v>
      </c>
      <c r="K178" s="633">
        <v>1</v>
      </c>
      <c r="L178" s="633">
        <v>1.19999999999998</v>
      </c>
      <c r="M178" s="632" t="s">
        <v>140</v>
      </c>
      <c r="N178" s="632"/>
      <c r="O178" s="632">
        <v>3</v>
      </c>
      <c r="P178" s="636">
        <v>13</v>
      </c>
      <c r="Q178" s="636">
        <v>16</v>
      </c>
      <c r="R178" s="636">
        <v>20</v>
      </c>
      <c r="S178" s="638">
        <f t="shared" si="0"/>
        <v>13</v>
      </c>
      <c r="T178" s="638">
        <f t="shared" si="1"/>
        <v>16</v>
      </c>
      <c r="U178" s="638">
        <f t="shared" si="2"/>
        <v>20</v>
      </c>
      <c r="V178" s="638">
        <f t="shared" si="3"/>
        <v>14.4444444444444</v>
      </c>
      <c r="W178" s="638">
        <f t="shared" si="4"/>
        <v>17.7777777777778</v>
      </c>
      <c r="X178" s="638">
        <f t="shared" si="5"/>
        <v>22.2222222222222</v>
      </c>
      <c r="Y178" s="638">
        <f t="shared" si="6"/>
        <v>10.8333333333333</v>
      </c>
      <c r="Z178" s="638">
        <f t="shared" si="7"/>
        <v>13.3333333333333</v>
      </c>
      <c r="AA178" s="638">
        <f t="shared" si="8"/>
        <v>16.6666666666667</v>
      </c>
      <c r="AB178" s="638">
        <f t="shared" si="9"/>
        <v>13</v>
      </c>
      <c r="AC178" s="638">
        <f t="shared" si="10"/>
        <v>16</v>
      </c>
      <c r="AD178" s="638">
        <f t="shared" si="11"/>
        <v>20</v>
      </c>
      <c r="AE178" s="632" t="s">
        <v>257</v>
      </c>
      <c r="AF178" s="632" t="s">
        <v>350</v>
      </c>
      <c r="AG178" s="632"/>
      <c r="AH178" s="632">
        <v>700</v>
      </c>
      <c r="AI178" s="632" t="s">
        <v>120</v>
      </c>
      <c r="AJ178" s="639">
        <f t="shared" si="17"/>
        <v>3</v>
      </c>
      <c r="AK178" s="632" t="s">
        <v>120</v>
      </c>
      <c r="AL178" s="632" t="s">
        <v>120</v>
      </c>
      <c r="AM178" s="632" t="s">
        <v>120</v>
      </c>
      <c r="AN178" s="632" t="s">
        <v>120</v>
      </c>
      <c r="AO178" s="632" t="s">
        <v>120</v>
      </c>
    </row>
    <row r="179" customHeight="1" spans="1:41">
      <c r="A179" s="632" t="s">
        <v>433</v>
      </c>
      <c r="B179" s="632"/>
      <c r="C179" s="632"/>
      <c r="D179" s="632"/>
      <c r="E179" s="632" t="s">
        <v>434</v>
      </c>
      <c r="F179" s="632"/>
      <c r="G179" s="632" t="s">
        <v>115</v>
      </c>
      <c r="H179" s="633">
        <v>1</v>
      </c>
      <c r="I179" s="633">
        <v>0.9</v>
      </c>
      <c r="J179" s="633">
        <v>1.2</v>
      </c>
      <c r="K179" s="633">
        <v>1</v>
      </c>
      <c r="L179" s="633">
        <v>1.19999999999998</v>
      </c>
      <c r="M179" s="632"/>
      <c r="N179" s="632"/>
      <c r="O179" s="632" t="s">
        <v>119</v>
      </c>
      <c r="P179" s="636"/>
      <c r="Q179" s="636"/>
      <c r="R179" s="636"/>
      <c r="S179" s="638">
        <f t="shared" si="0"/>
        <v>0</v>
      </c>
      <c r="T179" s="638">
        <f t="shared" si="1"/>
        <v>0</v>
      </c>
      <c r="U179" s="638">
        <f t="shared" si="2"/>
        <v>0</v>
      </c>
      <c r="V179" s="638">
        <f t="shared" si="3"/>
        <v>0</v>
      </c>
      <c r="W179" s="638">
        <f t="shared" si="4"/>
        <v>0</v>
      </c>
      <c r="X179" s="638">
        <f t="shared" si="5"/>
        <v>0</v>
      </c>
      <c r="Y179" s="638">
        <f t="shared" si="6"/>
        <v>0</v>
      </c>
      <c r="Z179" s="638">
        <f t="shared" si="7"/>
        <v>0</v>
      </c>
      <c r="AA179" s="638">
        <f t="shared" si="8"/>
        <v>0</v>
      </c>
      <c r="AB179" s="638">
        <f t="shared" si="9"/>
        <v>0</v>
      </c>
      <c r="AC179" s="638">
        <f t="shared" si="10"/>
        <v>0</v>
      </c>
      <c r="AD179" s="638">
        <f t="shared" si="11"/>
        <v>0</v>
      </c>
      <c r="AE179" s="632" t="s">
        <v>257</v>
      </c>
      <c r="AF179" s="632"/>
      <c r="AG179" s="632"/>
      <c r="AH179" s="632"/>
      <c r="AI179" s="632" t="s">
        <v>120</v>
      </c>
      <c r="AJ179" s="639" t="str">
        <f t="shared" si="17"/>
        <v>n/a</v>
      </c>
      <c r="AK179" s="632" t="s">
        <v>120</v>
      </c>
      <c r="AL179" s="632" t="s">
        <v>120</v>
      </c>
      <c r="AM179" s="632" t="s">
        <v>120</v>
      </c>
      <c r="AN179" s="632" t="s">
        <v>120</v>
      </c>
      <c r="AO179" s="632" t="s">
        <v>120</v>
      </c>
    </row>
    <row r="180" customHeight="1" spans="1:41">
      <c r="A180" s="632" t="s">
        <v>435</v>
      </c>
      <c r="B180" s="632"/>
      <c r="C180" s="632"/>
      <c r="D180" s="632"/>
      <c r="E180" s="632" t="s">
        <v>434</v>
      </c>
      <c r="F180" s="632"/>
      <c r="G180" s="632" t="s">
        <v>115</v>
      </c>
      <c r="H180" s="633">
        <v>1</v>
      </c>
      <c r="I180" s="633">
        <v>0.9</v>
      </c>
      <c r="J180" s="633">
        <v>1.2</v>
      </c>
      <c r="K180" s="633">
        <v>1</v>
      </c>
      <c r="L180" s="633">
        <v>1.19999999999998</v>
      </c>
      <c r="M180" s="632"/>
      <c r="N180" s="632"/>
      <c r="O180" s="632" t="s">
        <v>119</v>
      </c>
      <c r="P180" s="636"/>
      <c r="Q180" s="636"/>
      <c r="R180" s="636"/>
      <c r="S180" s="638">
        <f t="shared" si="0"/>
        <v>0</v>
      </c>
      <c r="T180" s="638">
        <f t="shared" si="1"/>
        <v>0</v>
      </c>
      <c r="U180" s="638">
        <f t="shared" si="2"/>
        <v>0</v>
      </c>
      <c r="V180" s="638">
        <f t="shared" si="3"/>
        <v>0</v>
      </c>
      <c r="W180" s="638">
        <f t="shared" si="4"/>
        <v>0</v>
      </c>
      <c r="X180" s="638">
        <f t="shared" si="5"/>
        <v>0</v>
      </c>
      <c r="Y180" s="638">
        <f t="shared" si="6"/>
        <v>0</v>
      </c>
      <c r="Z180" s="638">
        <f t="shared" si="7"/>
        <v>0</v>
      </c>
      <c r="AA180" s="638">
        <f t="shared" si="8"/>
        <v>0</v>
      </c>
      <c r="AB180" s="638">
        <f t="shared" si="9"/>
        <v>0</v>
      </c>
      <c r="AC180" s="638">
        <f t="shared" si="10"/>
        <v>0</v>
      </c>
      <c r="AD180" s="638">
        <f t="shared" si="11"/>
        <v>0</v>
      </c>
      <c r="AE180" s="632" t="s">
        <v>177</v>
      </c>
      <c r="AF180" s="632"/>
      <c r="AG180" s="632"/>
      <c r="AH180" s="632"/>
      <c r="AI180" s="632" t="s">
        <v>120</v>
      </c>
      <c r="AJ180" s="639" t="str">
        <f t="shared" si="17"/>
        <v>n/a</v>
      </c>
      <c r="AK180" s="632" t="s">
        <v>120</v>
      </c>
      <c r="AL180" s="632" t="s">
        <v>120</v>
      </c>
      <c r="AM180" s="632" t="s">
        <v>120</v>
      </c>
      <c r="AN180" s="632" t="s">
        <v>120</v>
      </c>
      <c r="AO180" s="632" t="s">
        <v>120</v>
      </c>
    </row>
    <row r="181" customHeight="1" spans="1:41">
      <c r="A181" s="632" t="s">
        <v>436</v>
      </c>
      <c r="B181" s="632" t="s">
        <v>436</v>
      </c>
      <c r="C181" s="632"/>
      <c r="D181" s="632"/>
      <c r="E181" s="632" t="s">
        <v>434</v>
      </c>
      <c r="F181" s="632"/>
      <c r="G181" s="632" t="s">
        <v>115</v>
      </c>
      <c r="H181" s="633">
        <v>1</v>
      </c>
      <c r="I181" s="633">
        <v>0.9</v>
      </c>
      <c r="J181" s="633">
        <v>1.2</v>
      </c>
      <c r="K181" s="633">
        <v>1</v>
      </c>
      <c r="L181" s="633">
        <v>1.19999999999998</v>
      </c>
      <c r="M181" s="632"/>
      <c r="N181" s="632"/>
      <c r="O181" s="632" t="s">
        <v>119</v>
      </c>
      <c r="P181" s="636">
        <v>3500</v>
      </c>
      <c r="Q181" s="636"/>
      <c r="R181" s="636"/>
      <c r="S181" s="638">
        <f t="shared" si="0"/>
        <v>3500</v>
      </c>
      <c r="T181" s="638">
        <f t="shared" si="1"/>
        <v>0</v>
      </c>
      <c r="U181" s="638">
        <f t="shared" si="2"/>
        <v>0</v>
      </c>
      <c r="V181" s="638">
        <f t="shared" si="3"/>
        <v>3888.88888888889</v>
      </c>
      <c r="W181" s="638">
        <f t="shared" si="4"/>
        <v>0</v>
      </c>
      <c r="X181" s="638">
        <f t="shared" si="5"/>
        <v>0</v>
      </c>
      <c r="Y181" s="638">
        <f t="shared" si="6"/>
        <v>2916.66666666667</v>
      </c>
      <c r="Z181" s="638">
        <f t="shared" si="7"/>
        <v>0</v>
      </c>
      <c r="AA181" s="638">
        <f t="shared" si="8"/>
        <v>0</v>
      </c>
      <c r="AB181" s="638">
        <f t="shared" si="9"/>
        <v>3500</v>
      </c>
      <c r="AC181" s="638">
        <f t="shared" si="10"/>
        <v>0</v>
      </c>
      <c r="AD181" s="638">
        <f t="shared" si="11"/>
        <v>0</v>
      </c>
      <c r="AE181" s="632" t="s">
        <v>177</v>
      </c>
      <c r="AF181" s="632"/>
      <c r="AG181" s="632"/>
      <c r="AH181" s="632"/>
      <c r="AI181" s="632"/>
      <c r="AJ181" s="639"/>
      <c r="AK181" s="632"/>
      <c r="AL181" s="632"/>
      <c r="AM181" s="632"/>
      <c r="AN181" s="632"/>
      <c r="AO181" s="632"/>
    </row>
    <row r="182" customHeight="1" spans="1:41">
      <c r="A182" s="632" t="s">
        <v>437</v>
      </c>
      <c r="B182" s="632" t="s">
        <v>438</v>
      </c>
      <c r="C182" s="632"/>
      <c r="D182" s="632"/>
      <c r="E182" s="632" t="s">
        <v>434</v>
      </c>
      <c r="F182" s="632"/>
      <c r="G182" s="632" t="s">
        <v>115</v>
      </c>
      <c r="H182" s="633">
        <v>1</v>
      </c>
      <c r="I182" s="633">
        <v>0.9</v>
      </c>
      <c r="J182" s="633">
        <v>1.2</v>
      </c>
      <c r="K182" s="633">
        <v>1</v>
      </c>
      <c r="L182" s="633">
        <v>1.19999999999998</v>
      </c>
      <c r="M182" s="632"/>
      <c r="N182" s="632"/>
      <c r="O182" s="632" t="s">
        <v>119</v>
      </c>
      <c r="P182" s="636">
        <v>1300</v>
      </c>
      <c r="Q182" s="636" t="s">
        <v>117</v>
      </c>
      <c r="R182" s="636" t="s">
        <v>117</v>
      </c>
      <c r="S182" s="638">
        <f t="shared" si="0"/>
        <v>1300</v>
      </c>
      <c r="T182" s="638" t="e">
        <f t="shared" si="1"/>
        <v>#VALUE!</v>
      </c>
      <c r="U182" s="638" t="e">
        <f t="shared" si="2"/>
        <v>#VALUE!</v>
      </c>
      <c r="V182" s="638">
        <f t="shared" si="3"/>
        <v>1444.44444444444</v>
      </c>
      <c r="W182" s="638" t="e">
        <f t="shared" si="4"/>
        <v>#VALUE!</v>
      </c>
      <c r="X182" s="638" t="e">
        <f t="shared" si="5"/>
        <v>#VALUE!</v>
      </c>
      <c r="Y182" s="638">
        <f t="shared" si="6"/>
        <v>1083.33333333333</v>
      </c>
      <c r="Z182" s="638" t="e">
        <f t="shared" si="7"/>
        <v>#VALUE!</v>
      </c>
      <c r="AA182" s="638" t="e">
        <f t="shared" si="8"/>
        <v>#VALUE!</v>
      </c>
      <c r="AB182" s="638">
        <f t="shared" si="9"/>
        <v>1300</v>
      </c>
      <c r="AC182" s="638" t="e">
        <f t="shared" si="10"/>
        <v>#VALUE!</v>
      </c>
      <c r="AD182" s="638" t="e">
        <f t="shared" si="11"/>
        <v>#VALUE!</v>
      </c>
      <c r="AE182" s="632" t="s">
        <v>177</v>
      </c>
      <c r="AF182" s="632"/>
      <c r="AG182" s="632"/>
      <c r="AH182" s="632"/>
      <c r="AI182" s="632"/>
      <c r="AJ182" s="639"/>
      <c r="AK182" s="632"/>
      <c r="AL182" s="632"/>
      <c r="AM182" s="632"/>
      <c r="AN182" s="632"/>
      <c r="AO182" s="632"/>
    </row>
    <row r="183" customHeight="1" spans="1:41">
      <c r="A183" s="632" t="s">
        <v>439</v>
      </c>
      <c r="B183" s="632" t="s">
        <v>439</v>
      </c>
      <c r="C183" s="632"/>
      <c r="D183" s="632"/>
      <c r="E183" s="632" t="s">
        <v>434</v>
      </c>
      <c r="F183" s="632"/>
      <c r="G183" s="632" t="s">
        <v>115</v>
      </c>
      <c r="H183" s="633">
        <v>1</v>
      </c>
      <c r="I183" s="633">
        <v>0.9</v>
      </c>
      <c r="J183" s="633">
        <v>1.2</v>
      </c>
      <c r="K183" s="633">
        <v>1</v>
      </c>
      <c r="L183" s="633">
        <v>1.19999999999998</v>
      </c>
      <c r="M183" s="632"/>
      <c r="N183" s="632"/>
      <c r="O183" s="632" t="s">
        <v>119</v>
      </c>
      <c r="P183" s="636">
        <v>500</v>
      </c>
      <c r="Q183" s="636"/>
      <c r="R183" s="636"/>
      <c r="S183" s="638">
        <f t="shared" si="0"/>
        <v>500</v>
      </c>
      <c r="T183" s="638">
        <f t="shared" si="1"/>
        <v>0</v>
      </c>
      <c r="U183" s="638">
        <f t="shared" si="2"/>
        <v>0</v>
      </c>
      <c r="V183" s="638">
        <f t="shared" si="3"/>
        <v>555.555555555556</v>
      </c>
      <c r="W183" s="638">
        <f t="shared" si="4"/>
        <v>0</v>
      </c>
      <c r="X183" s="638">
        <f t="shared" si="5"/>
        <v>0</v>
      </c>
      <c r="Y183" s="638">
        <f t="shared" si="6"/>
        <v>416.666666666667</v>
      </c>
      <c r="Z183" s="638">
        <f t="shared" si="7"/>
        <v>0</v>
      </c>
      <c r="AA183" s="638">
        <f t="shared" si="8"/>
        <v>0</v>
      </c>
      <c r="AB183" s="638">
        <f t="shared" si="9"/>
        <v>500</v>
      </c>
      <c r="AC183" s="638">
        <f t="shared" si="10"/>
        <v>0</v>
      </c>
      <c r="AD183" s="638">
        <f t="shared" si="11"/>
        <v>0</v>
      </c>
      <c r="AE183" s="632" t="s">
        <v>177</v>
      </c>
      <c r="AF183" s="632"/>
      <c r="AG183" s="632"/>
      <c r="AH183" s="632"/>
      <c r="AI183" s="632"/>
      <c r="AJ183" s="639"/>
      <c r="AK183" s="632"/>
      <c r="AL183" s="632"/>
      <c r="AM183" s="632"/>
      <c r="AN183" s="632"/>
      <c r="AO183" s="632"/>
    </row>
    <row r="184" customHeight="1" spans="1:41">
      <c r="A184" s="632" t="s">
        <v>440</v>
      </c>
      <c r="B184" s="632" t="s">
        <v>440</v>
      </c>
      <c r="C184" s="632"/>
      <c r="D184" s="632"/>
      <c r="E184" s="632" t="s">
        <v>434</v>
      </c>
      <c r="F184" s="632"/>
      <c r="G184" s="632" t="s">
        <v>115</v>
      </c>
      <c r="H184" s="633">
        <v>1</v>
      </c>
      <c r="I184" s="633">
        <v>0.9</v>
      </c>
      <c r="J184" s="633">
        <v>1.2</v>
      </c>
      <c r="K184" s="633">
        <v>1</v>
      </c>
      <c r="L184" s="633">
        <v>1.19999999999998</v>
      </c>
      <c r="M184" s="632"/>
      <c r="N184" s="632"/>
      <c r="O184" s="632" t="s">
        <v>119</v>
      </c>
      <c r="P184" s="636">
        <v>85</v>
      </c>
      <c r="Q184" s="636" t="s">
        <v>117</v>
      </c>
      <c r="R184" s="636" t="s">
        <v>117</v>
      </c>
      <c r="S184" s="638">
        <f t="shared" si="0"/>
        <v>85</v>
      </c>
      <c r="T184" s="638" t="e">
        <f t="shared" si="1"/>
        <v>#VALUE!</v>
      </c>
      <c r="U184" s="638" t="e">
        <f t="shared" si="2"/>
        <v>#VALUE!</v>
      </c>
      <c r="V184" s="638">
        <f t="shared" si="3"/>
        <v>94.4444444444444</v>
      </c>
      <c r="W184" s="638" t="e">
        <f t="shared" si="4"/>
        <v>#VALUE!</v>
      </c>
      <c r="X184" s="638" t="e">
        <f t="shared" si="5"/>
        <v>#VALUE!</v>
      </c>
      <c r="Y184" s="638">
        <f t="shared" si="6"/>
        <v>70.8333333333333</v>
      </c>
      <c r="Z184" s="638" t="e">
        <f t="shared" si="7"/>
        <v>#VALUE!</v>
      </c>
      <c r="AA184" s="638" t="e">
        <f t="shared" si="8"/>
        <v>#VALUE!</v>
      </c>
      <c r="AB184" s="638">
        <f t="shared" si="9"/>
        <v>85</v>
      </c>
      <c r="AC184" s="638" t="e">
        <f t="shared" si="10"/>
        <v>#VALUE!</v>
      </c>
      <c r="AD184" s="638" t="e">
        <f t="shared" si="11"/>
        <v>#VALUE!</v>
      </c>
      <c r="AE184" s="632" t="s">
        <v>257</v>
      </c>
      <c r="AF184" s="632"/>
      <c r="AG184" s="632"/>
      <c r="AH184" s="632"/>
      <c r="AI184" s="632"/>
      <c r="AJ184" s="639"/>
      <c r="AK184" s="632"/>
      <c r="AL184" s="632"/>
      <c r="AM184" s="632"/>
      <c r="AN184" s="632"/>
      <c r="AO184" s="632"/>
    </row>
    <row r="185" customHeight="1" spans="1:41">
      <c r="A185" s="632" t="s">
        <v>441</v>
      </c>
      <c r="B185" s="632" t="s">
        <v>442</v>
      </c>
      <c r="C185" s="632"/>
      <c r="D185" s="632"/>
      <c r="E185" s="632" t="s">
        <v>434</v>
      </c>
      <c r="F185" s="632"/>
      <c r="G185" s="632" t="s">
        <v>115</v>
      </c>
      <c r="H185" s="633">
        <v>1</v>
      </c>
      <c r="I185" s="633">
        <v>0.9</v>
      </c>
      <c r="J185" s="633">
        <v>1.2</v>
      </c>
      <c r="K185" s="633">
        <v>1</v>
      </c>
      <c r="L185" s="633">
        <v>1.19999999999998</v>
      </c>
      <c r="M185" s="632"/>
      <c r="N185" s="632"/>
      <c r="O185" s="632" t="s">
        <v>119</v>
      </c>
      <c r="P185" s="636">
        <v>75</v>
      </c>
      <c r="Q185" s="636" t="s">
        <v>117</v>
      </c>
      <c r="R185" s="636" t="s">
        <v>117</v>
      </c>
      <c r="S185" s="638">
        <f t="shared" si="0"/>
        <v>75</v>
      </c>
      <c r="T185" s="638" t="e">
        <f t="shared" si="1"/>
        <v>#VALUE!</v>
      </c>
      <c r="U185" s="638" t="e">
        <f t="shared" si="2"/>
        <v>#VALUE!</v>
      </c>
      <c r="V185" s="638">
        <f t="shared" si="3"/>
        <v>83.3333333333333</v>
      </c>
      <c r="W185" s="638" t="e">
        <f t="shared" si="4"/>
        <v>#VALUE!</v>
      </c>
      <c r="X185" s="638" t="e">
        <f t="shared" si="5"/>
        <v>#VALUE!</v>
      </c>
      <c r="Y185" s="638">
        <f t="shared" si="6"/>
        <v>62.5</v>
      </c>
      <c r="Z185" s="638" t="e">
        <f t="shared" si="7"/>
        <v>#VALUE!</v>
      </c>
      <c r="AA185" s="638" t="e">
        <f t="shared" si="8"/>
        <v>#VALUE!</v>
      </c>
      <c r="AB185" s="638">
        <f t="shared" si="9"/>
        <v>75</v>
      </c>
      <c r="AC185" s="638" t="e">
        <f t="shared" si="10"/>
        <v>#VALUE!</v>
      </c>
      <c r="AD185" s="638" t="e">
        <f t="shared" si="11"/>
        <v>#VALUE!</v>
      </c>
      <c r="AE185" s="632" t="s">
        <v>257</v>
      </c>
      <c r="AF185" s="632"/>
      <c r="AG185" s="632"/>
      <c r="AH185" s="632"/>
      <c r="AI185" s="632" t="s">
        <v>120</v>
      </c>
      <c r="AJ185" s="639" t="str">
        <f t="shared" ref="AJ185:AJ201" si="18">O185</f>
        <v>n/a</v>
      </c>
      <c r="AK185" s="632" t="s">
        <v>120</v>
      </c>
      <c r="AL185" s="632"/>
      <c r="AM185" s="632"/>
      <c r="AN185" s="632"/>
      <c r="AO185" s="632"/>
    </row>
    <row r="186" customHeight="1" spans="1:41">
      <c r="A186" s="632" t="s">
        <v>443</v>
      </c>
      <c r="B186" s="632" t="s">
        <v>443</v>
      </c>
      <c r="C186" s="632"/>
      <c r="D186" s="632"/>
      <c r="E186" s="632" t="s">
        <v>434</v>
      </c>
      <c r="F186" s="632"/>
      <c r="G186" s="632" t="s">
        <v>115</v>
      </c>
      <c r="H186" s="633">
        <v>1</v>
      </c>
      <c r="I186" s="633">
        <v>0.9</v>
      </c>
      <c r="J186" s="633">
        <v>1.2</v>
      </c>
      <c r="K186" s="633">
        <v>1</v>
      </c>
      <c r="L186" s="633">
        <v>1.19999999999998</v>
      </c>
      <c r="M186" s="632"/>
      <c r="N186" s="632"/>
      <c r="O186" s="632" t="s">
        <v>119</v>
      </c>
      <c r="P186" s="636">
        <v>0.17</v>
      </c>
      <c r="Q186" s="636"/>
      <c r="R186" s="636"/>
      <c r="S186" s="638">
        <f t="shared" si="0"/>
        <v>0.17</v>
      </c>
      <c r="T186" s="638">
        <f t="shared" si="1"/>
        <v>0</v>
      </c>
      <c r="U186" s="638">
        <f t="shared" si="2"/>
        <v>0</v>
      </c>
      <c r="V186" s="638">
        <f t="shared" si="3"/>
        <v>0.188888888888889</v>
      </c>
      <c r="W186" s="638">
        <f t="shared" si="4"/>
        <v>0</v>
      </c>
      <c r="X186" s="638">
        <f t="shared" si="5"/>
        <v>0</v>
      </c>
      <c r="Y186" s="638">
        <f t="shared" si="6"/>
        <v>0.141666666666667</v>
      </c>
      <c r="Z186" s="638">
        <f t="shared" si="7"/>
        <v>0</v>
      </c>
      <c r="AA186" s="638">
        <f t="shared" si="8"/>
        <v>0</v>
      </c>
      <c r="AB186" s="638">
        <f t="shared" si="9"/>
        <v>0.17</v>
      </c>
      <c r="AC186" s="638">
        <f t="shared" si="10"/>
        <v>0</v>
      </c>
      <c r="AD186" s="638">
        <f t="shared" si="11"/>
        <v>0</v>
      </c>
      <c r="AE186" s="632" t="s">
        <v>321</v>
      </c>
      <c r="AF186" s="632"/>
      <c r="AG186" s="632"/>
      <c r="AH186" s="632"/>
      <c r="AI186" s="632" t="s">
        <v>120</v>
      </c>
      <c r="AJ186" s="639" t="str">
        <f t="shared" si="18"/>
        <v>n/a</v>
      </c>
      <c r="AK186" s="632" t="s">
        <v>120</v>
      </c>
      <c r="AL186" s="632"/>
      <c r="AM186" s="632"/>
      <c r="AN186" s="632"/>
      <c r="AO186" s="632"/>
    </row>
    <row r="187" customHeight="1" spans="1:41">
      <c r="A187" s="632" t="s">
        <v>444</v>
      </c>
      <c r="B187" s="632" t="s">
        <v>445</v>
      </c>
      <c r="C187" s="632"/>
      <c r="D187" s="632"/>
      <c r="E187" s="632" t="s">
        <v>434</v>
      </c>
      <c r="F187" s="632"/>
      <c r="G187" s="632" t="s">
        <v>115</v>
      </c>
      <c r="H187" s="633">
        <v>1</v>
      </c>
      <c r="I187" s="633">
        <v>0.9</v>
      </c>
      <c r="J187" s="633">
        <v>1.2</v>
      </c>
      <c r="K187" s="633">
        <v>1</v>
      </c>
      <c r="L187" s="633">
        <v>1.19999999999998</v>
      </c>
      <c r="M187" s="632"/>
      <c r="N187" s="632"/>
      <c r="O187" s="632" t="s">
        <v>119</v>
      </c>
      <c r="P187" s="636"/>
      <c r="Q187" s="636"/>
      <c r="R187" s="636"/>
      <c r="S187" s="638">
        <f t="shared" si="0"/>
        <v>0</v>
      </c>
      <c r="T187" s="638">
        <f t="shared" si="1"/>
        <v>0</v>
      </c>
      <c r="U187" s="638">
        <f t="shared" si="2"/>
        <v>0</v>
      </c>
      <c r="V187" s="638">
        <f t="shared" si="3"/>
        <v>0</v>
      </c>
      <c r="W187" s="638">
        <f t="shared" si="4"/>
        <v>0</v>
      </c>
      <c r="X187" s="638">
        <f t="shared" si="5"/>
        <v>0</v>
      </c>
      <c r="Y187" s="638">
        <f t="shared" si="6"/>
        <v>0</v>
      </c>
      <c r="Z187" s="638">
        <f t="shared" si="7"/>
        <v>0</v>
      </c>
      <c r="AA187" s="638">
        <f t="shared" si="8"/>
        <v>0</v>
      </c>
      <c r="AB187" s="638">
        <f t="shared" si="9"/>
        <v>0</v>
      </c>
      <c r="AC187" s="638">
        <f t="shared" si="10"/>
        <v>0</v>
      </c>
      <c r="AD187" s="638">
        <f t="shared" si="11"/>
        <v>0</v>
      </c>
      <c r="AE187" s="632" t="s">
        <v>321</v>
      </c>
      <c r="AF187" s="632"/>
      <c r="AG187" s="632"/>
      <c r="AH187" s="632"/>
      <c r="AI187" s="632" t="s">
        <v>120</v>
      </c>
      <c r="AJ187" s="639" t="str">
        <f t="shared" si="18"/>
        <v>n/a</v>
      </c>
      <c r="AK187" s="632" t="s">
        <v>120</v>
      </c>
      <c r="AL187" s="632"/>
      <c r="AM187" s="632"/>
      <c r="AN187" s="632"/>
      <c r="AO187" s="632"/>
    </row>
    <row r="188" customHeight="1" spans="1:41">
      <c r="A188" s="632" t="s">
        <v>446</v>
      </c>
      <c r="B188" s="632"/>
      <c r="C188" s="632"/>
      <c r="D188" s="632"/>
      <c r="E188" s="632" t="s">
        <v>434</v>
      </c>
      <c r="F188" s="632"/>
      <c r="G188" s="632" t="s">
        <v>115</v>
      </c>
      <c r="H188" s="633">
        <v>1</v>
      </c>
      <c r="I188" s="633">
        <v>0.9</v>
      </c>
      <c r="J188" s="633">
        <v>1.2</v>
      </c>
      <c r="K188" s="633">
        <v>1</v>
      </c>
      <c r="L188" s="633">
        <v>1.19999999999998</v>
      </c>
      <c r="M188" s="632"/>
      <c r="N188" s="632"/>
      <c r="O188" s="632" t="s">
        <v>119</v>
      </c>
      <c r="P188" s="636"/>
      <c r="Q188" s="636"/>
      <c r="R188" s="636"/>
      <c r="S188" s="638">
        <f t="shared" si="0"/>
        <v>0</v>
      </c>
      <c r="T188" s="638">
        <f t="shared" si="1"/>
        <v>0</v>
      </c>
      <c r="U188" s="638">
        <f t="shared" si="2"/>
        <v>0</v>
      </c>
      <c r="V188" s="638">
        <f t="shared" si="3"/>
        <v>0</v>
      </c>
      <c r="W188" s="638">
        <f t="shared" si="4"/>
        <v>0</v>
      </c>
      <c r="X188" s="638">
        <f t="shared" si="5"/>
        <v>0</v>
      </c>
      <c r="Y188" s="638">
        <f t="shared" si="6"/>
        <v>0</v>
      </c>
      <c r="Z188" s="638">
        <f t="shared" si="7"/>
        <v>0</v>
      </c>
      <c r="AA188" s="638">
        <f t="shared" si="8"/>
        <v>0</v>
      </c>
      <c r="AB188" s="638">
        <f t="shared" si="9"/>
        <v>0</v>
      </c>
      <c r="AC188" s="638">
        <f t="shared" si="10"/>
        <v>0</v>
      </c>
      <c r="AD188" s="638">
        <f t="shared" si="11"/>
        <v>0</v>
      </c>
      <c r="AE188" s="632" t="s">
        <v>118</v>
      </c>
      <c r="AF188" s="632"/>
      <c r="AG188" s="632"/>
      <c r="AH188" s="632"/>
      <c r="AI188" s="632" t="s">
        <v>120</v>
      </c>
      <c r="AJ188" s="639" t="str">
        <f t="shared" si="18"/>
        <v>n/a</v>
      </c>
      <c r="AK188" s="632" t="s">
        <v>120</v>
      </c>
      <c r="AL188" s="632"/>
      <c r="AM188" s="632"/>
      <c r="AN188" s="632"/>
      <c r="AO188" s="632"/>
    </row>
    <row r="189" customHeight="1" spans="1:41">
      <c r="A189" s="632" t="s">
        <v>447</v>
      </c>
      <c r="B189" s="632"/>
      <c r="C189" s="632"/>
      <c r="D189" s="632"/>
      <c r="E189" s="632" t="s">
        <v>434</v>
      </c>
      <c r="F189" s="632"/>
      <c r="G189" s="632" t="s">
        <v>115</v>
      </c>
      <c r="H189" s="633">
        <v>1</v>
      </c>
      <c r="I189" s="633">
        <v>0.9</v>
      </c>
      <c r="J189" s="633">
        <v>1.2</v>
      </c>
      <c r="K189" s="633">
        <v>1</v>
      </c>
      <c r="L189" s="633">
        <v>1.19999999999998</v>
      </c>
      <c r="M189" s="632"/>
      <c r="N189" s="632"/>
      <c r="O189" s="632" t="s">
        <v>119</v>
      </c>
      <c r="P189" s="636"/>
      <c r="Q189" s="636"/>
      <c r="R189" s="636"/>
      <c r="S189" s="638">
        <f t="shared" si="0"/>
        <v>0</v>
      </c>
      <c r="T189" s="638">
        <f t="shared" si="1"/>
        <v>0</v>
      </c>
      <c r="U189" s="638">
        <f t="shared" si="2"/>
        <v>0</v>
      </c>
      <c r="V189" s="638">
        <f t="shared" si="3"/>
        <v>0</v>
      </c>
      <c r="W189" s="638">
        <f t="shared" si="4"/>
        <v>0</v>
      </c>
      <c r="X189" s="638">
        <f t="shared" si="5"/>
        <v>0</v>
      </c>
      <c r="Y189" s="638">
        <f t="shared" si="6"/>
        <v>0</v>
      </c>
      <c r="Z189" s="638">
        <f t="shared" si="7"/>
        <v>0</v>
      </c>
      <c r="AA189" s="638">
        <f t="shared" si="8"/>
        <v>0</v>
      </c>
      <c r="AB189" s="638">
        <f t="shared" si="9"/>
        <v>0</v>
      </c>
      <c r="AC189" s="638">
        <f t="shared" si="10"/>
        <v>0</v>
      </c>
      <c r="AD189" s="638">
        <f t="shared" si="11"/>
        <v>0</v>
      </c>
      <c r="AE189" s="632" t="s">
        <v>118</v>
      </c>
      <c r="AF189" s="632"/>
      <c r="AG189" s="632"/>
      <c r="AH189" s="632"/>
      <c r="AI189" s="632" t="s">
        <v>120</v>
      </c>
      <c r="AJ189" s="639" t="str">
        <f t="shared" si="18"/>
        <v>n/a</v>
      </c>
      <c r="AK189" s="632" t="s">
        <v>120</v>
      </c>
      <c r="AL189" s="632"/>
      <c r="AM189" s="632"/>
      <c r="AN189" s="632"/>
      <c r="AO189" s="632"/>
    </row>
    <row r="190" customHeight="1" spans="1:41">
      <c r="A190" s="632" t="s">
        <v>448</v>
      </c>
      <c r="B190" s="632"/>
      <c r="C190" s="632"/>
      <c r="D190" s="632"/>
      <c r="E190" s="632" t="s">
        <v>434</v>
      </c>
      <c r="F190" s="632"/>
      <c r="G190" s="632" t="s">
        <v>115</v>
      </c>
      <c r="H190" s="633">
        <v>1</v>
      </c>
      <c r="I190" s="633">
        <v>0.9</v>
      </c>
      <c r="J190" s="633">
        <v>1.2</v>
      </c>
      <c r="K190" s="633">
        <v>1</v>
      </c>
      <c r="L190" s="633">
        <v>1.19999999999998</v>
      </c>
      <c r="M190" s="632"/>
      <c r="N190" s="632"/>
      <c r="O190" s="632" t="s">
        <v>119</v>
      </c>
      <c r="P190" s="636"/>
      <c r="Q190" s="636"/>
      <c r="R190" s="636"/>
      <c r="S190" s="638">
        <f t="shared" si="0"/>
        <v>0</v>
      </c>
      <c r="T190" s="638">
        <f t="shared" si="1"/>
        <v>0</v>
      </c>
      <c r="U190" s="638">
        <f t="shared" si="2"/>
        <v>0</v>
      </c>
      <c r="V190" s="638">
        <f t="shared" si="3"/>
        <v>0</v>
      </c>
      <c r="W190" s="638">
        <f t="shared" si="4"/>
        <v>0</v>
      </c>
      <c r="X190" s="638">
        <f t="shared" si="5"/>
        <v>0</v>
      </c>
      <c r="Y190" s="638">
        <f t="shared" si="6"/>
        <v>0</v>
      </c>
      <c r="Z190" s="638">
        <f t="shared" si="7"/>
        <v>0</v>
      </c>
      <c r="AA190" s="638">
        <f t="shared" si="8"/>
        <v>0</v>
      </c>
      <c r="AB190" s="638">
        <f t="shared" si="9"/>
        <v>0</v>
      </c>
      <c r="AC190" s="638">
        <f t="shared" si="10"/>
        <v>0</v>
      </c>
      <c r="AD190" s="638">
        <f t="shared" si="11"/>
        <v>0</v>
      </c>
      <c r="AE190" s="632" t="s">
        <v>321</v>
      </c>
      <c r="AF190" s="632"/>
      <c r="AG190" s="632"/>
      <c r="AH190" s="632"/>
      <c r="AI190" s="632" t="s">
        <v>120</v>
      </c>
      <c r="AJ190" s="639" t="str">
        <f t="shared" si="18"/>
        <v>n/a</v>
      </c>
      <c r="AK190" s="632" t="s">
        <v>120</v>
      </c>
      <c r="AL190" s="632"/>
      <c r="AM190" s="632"/>
      <c r="AN190" s="632"/>
      <c r="AO190" s="632"/>
    </row>
    <row r="191" customHeight="1" spans="1:41">
      <c r="A191" s="632" t="s">
        <v>449</v>
      </c>
      <c r="B191" s="632"/>
      <c r="C191" s="632"/>
      <c r="D191" s="632"/>
      <c r="E191" s="632" t="s">
        <v>434</v>
      </c>
      <c r="F191" s="632"/>
      <c r="G191" s="632" t="s">
        <v>115</v>
      </c>
      <c r="H191" s="633">
        <v>1</v>
      </c>
      <c r="I191" s="633">
        <v>0.9</v>
      </c>
      <c r="J191" s="633">
        <v>1.2</v>
      </c>
      <c r="K191" s="633">
        <v>1</v>
      </c>
      <c r="L191" s="633">
        <v>1.19999999999998</v>
      </c>
      <c r="M191" s="632"/>
      <c r="N191" s="632"/>
      <c r="O191" s="632" t="s">
        <v>119</v>
      </c>
      <c r="P191" s="636"/>
      <c r="Q191" s="636"/>
      <c r="R191" s="636"/>
      <c r="S191" s="638">
        <f t="shared" si="0"/>
        <v>0</v>
      </c>
      <c r="T191" s="638">
        <f t="shared" si="1"/>
        <v>0</v>
      </c>
      <c r="U191" s="638">
        <f t="shared" si="2"/>
        <v>0</v>
      </c>
      <c r="V191" s="638">
        <f t="shared" si="3"/>
        <v>0</v>
      </c>
      <c r="W191" s="638">
        <f t="shared" si="4"/>
        <v>0</v>
      </c>
      <c r="X191" s="638">
        <f t="shared" si="5"/>
        <v>0</v>
      </c>
      <c r="Y191" s="638">
        <f t="shared" si="6"/>
        <v>0</v>
      </c>
      <c r="Z191" s="638">
        <f t="shared" si="7"/>
        <v>0</v>
      </c>
      <c r="AA191" s="638">
        <f t="shared" si="8"/>
        <v>0</v>
      </c>
      <c r="AB191" s="638">
        <f t="shared" si="9"/>
        <v>0</v>
      </c>
      <c r="AC191" s="638">
        <f t="shared" si="10"/>
        <v>0</v>
      </c>
      <c r="AD191" s="638">
        <f t="shared" si="11"/>
        <v>0</v>
      </c>
      <c r="AE191" s="632" t="s">
        <v>321</v>
      </c>
      <c r="AF191" s="632"/>
      <c r="AG191" s="632"/>
      <c r="AH191" s="632"/>
      <c r="AI191" s="632" t="s">
        <v>120</v>
      </c>
      <c r="AJ191" s="639" t="str">
        <f t="shared" si="18"/>
        <v>n/a</v>
      </c>
      <c r="AK191" s="632" t="s">
        <v>120</v>
      </c>
      <c r="AL191" s="632"/>
      <c r="AM191" s="632"/>
      <c r="AN191" s="632"/>
      <c r="AO191" s="632"/>
    </row>
    <row r="192" customHeight="1" spans="1:41">
      <c r="A192" s="632" t="s">
        <v>450</v>
      </c>
      <c r="B192" s="632"/>
      <c r="C192" s="632"/>
      <c r="D192" s="632"/>
      <c r="E192" s="632" t="s">
        <v>434</v>
      </c>
      <c r="F192" s="632"/>
      <c r="G192" s="632" t="s">
        <v>115</v>
      </c>
      <c r="H192" s="633">
        <v>1</v>
      </c>
      <c r="I192" s="633">
        <v>0.9</v>
      </c>
      <c r="J192" s="633">
        <v>1.2</v>
      </c>
      <c r="K192" s="633">
        <v>1</v>
      </c>
      <c r="L192" s="633">
        <v>1.19999999999998</v>
      </c>
      <c r="M192" s="632"/>
      <c r="N192" s="632"/>
      <c r="O192" s="632" t="s">
        <v>119</v>
      </c>
      <c r="P192" s="636"/>
      <c r="Q192" s="636"/>
      <c r="R192" s="636"/>
      <c r="S192" s="638">
        <f t="shared" si="0"/>
        <v>0</v>
      </c>
      <c r="T192" s="638">
        <f t="shared" si="1"/>
        <v>0</v>
      </c>
      <c r="U192" s="638">
        <f t="shared" si="2"/>
        <v>0</v>
      </c>
      <c r="V192" s="638">
        <f t="shared" si="3"/>
        <v>0</v>
      </c>
      <c r="W192" s="638">
        <f t="shared" si="4"/>
        <v>0</v>
      </c>
      <c r="X192" s="638">
        <f t="shared" si="5"/>
        <v>0</v>
      </c>
      <c r="Y192" s="638">
        <f t="shared" si="6"/>
        <v>0</v>
      </c>
      <c r="Z192" s="638">
        <f t="shared" si="7"/>
        <v>0</v>
      </c>
      <c r="AA192" s="638">
        <f t="shared" si="8"/>
        <v>0</v>
      </c>
      <c r="AB192" s="638">
        <f t="shared" si="9"/>
        <v>0</v>
      </c>
      <c r="AC192" s="638">
        <f t="shared" si="10"/>
        <v>0</v>
      </c>
      <c r="AD192" s="638">
        <f t="shared" si="11"/>
        <v>0</v>
      </c>
      <c r="AE192" s="632" t="s">
        <v>321</v>
      </c>
      <c r="AF192" s="632"/>
      <c r="AG192" s="632"/>
      <c r="AH192" s="632"/>
      <c r="AI192" s="632" t="s">
        <v>120</v>
      </c>
      <c r="AJ192" s="639" t="str">
        <f t="shared" si="18"/>
        <v>n/a</v>
      </c>
      <c r="AK192" s="632" t="s">
        <v>120</v>
      </c>
      <c r="AL192" s="632"/>
      <c r="AM192" s="632"/>
      <c r="AN192" s="632"/>
      <c r="AO192" s="632"/>
    </row>
    <row r="193" customHeight="1" spans="1:41">
      <c r="A193" s="632" t="s">
        <v>451</v>
      </c>
      <c r="B193" s="632"/>
      <c r="C193" s="632"/>
      <c r="D193" s="632"/>
      <c r="E193" s="632" t="s">
        <v>434</v>
      </c>
      <c r="F193" s="632"/>
      <c r="G193" s="632" t="s">
        <v>115</v>
      </c>
      <c r="H193" s="633">
        <v>1</v>
      </c>
      <c r="I193" s="633">
        <v>0.9</v>
      </c>
      <c r="J193" s="633">
        <v>1.2</v>
      </c>
      <c r="K193" s="633">
        <v>1</v>
      </c>
      <c r="L193" s="633">
        <v>1.19999999999998</v>
      </c>
      <c r="M193" s="632"/>
      <c r="N193" s="632"/>
      <c r="O193" s="632" t="s">
        <v>119</v>
      </c>
      <c r="P193" s="636"/>
      <c r="Q193" s="636"/>
      <c r="R193" s="636"/>
      <c r="S193" s="638">
        <f t="shared" si="0"/>
        <v>0</v>
      </c>
      <c r="T193" s="638">
        <f t="shared" si="1"/>
        <v>0</v>
      </c>
      <c r="U193" s="638">
        <f t="shared" si="2"/>
        <v>0</v>
      </c>
      <c r="V193" s="638">
        <f t="shared" si="3"/>
        <v>0</v>
      </c>
      <c r="W193" s="638">
        <f t="shared" si="4"/>
        <v>0</v>
      </c>
      <c r="X193" s="638">
        <f t="shared" si="5"/>
        <v>0</v>
      </c>
      <c r="Y193" s="638">
        <f t="shared" si="6"/>
        <v>0</v>
      </c>
      <c r="Z193" s="638">
        <f t="shared" si="7"/>
        <v>0</v>
      </c>
      <c r="AA193" s="638">
        <f t="shared" si="8"/>
        <v>0</v>
      </c>
      <c r="AB193" s="638">
        <f t="shared" si="9"/>
        <v>0</v>
      </c>
      <c r="AC193" s="638">
        <f t="shared" si="10"/>
        <v>0</v>
      </c>
      <c r="AD193" s="638">
        <f t="shared" si="11"/>
        <v>0</v>
      </c>
      <c r="AE193" s="632" t="s">
        <v>321</v>
      </c>
      <c r="AF193" s="632"/>
      <c r="AG193" s="632"/>
      <c r="AH193" s="632"/>
      <c r="AI193" s="632" t="s">
        <v>120</v>
      </c>
      <c r="AJ193" s="639" t="str">
        <f t="shared" si="18"/>
        <v>n/a</v>
      </c>
      <c r="AK193" s="632" t="s">
        <v>120</v>
      </c>
      <c r="AL193" s="632"/>
      <c r="AM193" s="632"/>
      <c r="AN193" s="632"/>
      <c r="AO193" s="632"/>
    </row>
    <row r="194" customHeight="1" spans="1:41">
      <c r="A194" s="632" t="s">
        <v>452</v>
      </c>
      <c r="B194" s="632" t="s">
        <v>452</v>
      </c>
      <c r="C194" s="632"/>
      <c r="D194" s="632"/>
      <c r="E194" s="632" t="s">
        <v>434</v>
      </c>
      <c r="F194" s="632"/>
      <c r="G194" s="632" t="s">
        <v>115</v>
      </c>
      <c r="H194" s="633">
        <v>1</v>
      </c>
      <c r="I194" s="633">
        <v>0.9</v>
      </c>
      <c r="J194" s="633">
        <v>1.2</v>
      </c>
      <c r="K194" s="633">
        <v>1</v>
      </c>
      <c r="L194" s="633">
        <v>1.19999999999998</v>
      </c>
      <c r="M194" s="632"/>
      <c r="N194" s="632"/>
      <c r="O194" s="632" t="s">
        <v>119</v>
      </c>
      <c r="P194" s="636">
        <v>0.04</v>
      </c>
      <c r="Q194" s="636"/>
      <c r="R194" s="636"/>
      <c r="S194" s="638">
        <f t="shared" si="0"/>
        <v>0.04</v>
      </c>
      <c r="T194" s="638">
        <f t="shared" si="1"/>
        <v>0</v>
      </c>
      <c r="U194" s="638">
        <f t="shared" si="2"/>
        <v>0</v>
      </c>
      <c r="V194" s="638">
        <f t="shared" si="3"/>
        <v>0.0444444444444444</v>
      </c>
      <c r="W194" s="638">
        <f t="shared" si="4"/>
        <v>0</v>
      </c>
      <c r="X194" s="638">
        <f t="shared" si="5"/>
        <v>0</v>
      </c>
      <c r="Y194" s="638">
        <f t="shared" si="6"/>
        <v>0.0333333333333333</v>
      </c>
      <c r="Z194" s="638">
        <f t="shared" si="7"/>
        <v>0</v>
      </c>
      <c r="AA194" s="638">
        <f t="shared" si="8"/>
        <v>0</v>
      </c>
      <c r="AB194" s="638">
        <f t="shared" si="9"/>
        <v>0.04</v>
      </c>
      <c r="AC194" s="638">
        <f t="shared" si="10"/>
        <v>0</v>
      </c>
      <c r="AD194" s="638">
        <f t="shared" si="11"/>
        <v>0</v>
      </c>
      <c r="AE194" s="632" t="s">
        <v>321</v>
      </c>
      <c r="AF194" s="636" t="s">
        <v>117</v>
      </c>
      <c r="AG194" s="632"/>
      <c r="AH194" s="632"/>
      <c r="AI194" s="632" t="s">
        <v>120</v>
      </c>
      <c r="AJ194" s="639" t="str">
        <f t="shared" si="18"/>
        <v>n/a</v>
      </c>
      <c r="AK194" s="632" t="s">
        <v>120</v>
      </c>
      <c r="AL194" s="632"/>
      <c r="AM194" s="632"/>
      <c r="AN194" s="632"/>
      <c r="AO194" s="632"/>
    </row>
    <row r="195" customHeight="1" spans="1:41">
      <c r="A195" s="632" t="s">
        <v>453</v>
      </c>
      <c r="B195" s="632"/>
      <c r="C195" s="632"/>
      <c r="D195" s="632"/>
      <c r="E195" s="632" t="s">
        <v>434</v>
      </c>
      <c r="F195" s="632"/>
      <c r="G195" s="632" t="s">
        <v>115</v>
      </c>
      <c r="H195" s="633">
        <v>1</v>
      </c>
      <c r="I195" s="633">
        <v>0.9</v>
      </c>
      <c r="J195" s="633">
        <v>1.2</v>
      </c>
      <c r="K195" s="633">
        <v>1</v>
      </c>
      <c r="L195" s="633">
        <v>1.19999999999998</v>
      </c>
      <c r="M195" s="632"/>
      <c r="N195" s="632"/>
      <c r="O195" s="632" t="s">
        <v>119</v>
      </c>
      <c r="P195" s="636"/>
      <c r="Q195" s="636"/>
      <c r="R195" s="636"/>
      <c r="S195" s="638">
        <f t="shared" si="0"/>
        <v>0</v>
      </c>
      <c r="T195" s="638">
        <f t="shared" si="1"/>
        <v>0</v>
      </c>
      <c r="U195" s="638">
        <f t="shared" si="2"/>
        <v>0</v>
      </c>
      <c r="V195" s="638">
        <f t="shared" si="3"/>
        <v>0</v>
      </c>
      <c r="W195" s="638">
        <f t="shared" si="4"/>
        <v>0</v>
      </c>
      <c r="X195" s="638">
        <f t="shared" si="5"/>
        <v>0</v>
      </c>
      <c r="Y195" s="638">
        <f t="shared" si="6"/>
        <v>0</v>
      </c>
      <c r="Z195" s="638">
        <f t="shared" si="7"/>
        <v>0</v>
      </c>
      <c r="AA195" s="638">
        <f t="shared" si="8"/>
        <v>0</v>
      </c>
      <c r="AB195" s="638">
        <f t="shared" si="9"/>
        <v>0</v>
      </c>
      <c r="AC195" s="638">
        <f t="shared" si="10"/>
        <v>0</v>
      </c>
      <c r="AD195" s="638">
        <f t="shared" si="11"/>
        <v>0</v>
      </c>
      <c r="AE195" s="632" t="s">
        <v>321</v>
      </c>
      <c r="AF195" s="632"/>
      <c r="AG195" s="632"/>
      <c r="AH195" s="632"/>
      <c r="AI195" s="632" t="s">
        <v>120</v>
      </c>
      <c r="AJ195" s="639" t="str">
        <f t="shared" si="18"/>
        <v>n/a</v>
      </c>
      <c r="AK195" s="632" t="s">
        <v>120</v>
      </c>
      <c r="AL195" s="632"/>
      <c r="AM195" s="632"/>
      <c r="AN195" s="632"/>
      <c r="AO195" s="632"/>
    </row>
    <row r="196" customHeight="1" spans="1:41">
      <c r="A196" s="632" t="s">
        <v>454</v>
      </c>
      <c r="B196" s="632"/>
      <c r="C196" s="632"/>
      <c r="D196" s="632"/>
      <c r="E196" s="632" t="s">
        <v>434</v>
      </c>
      <c r="F196" s="632"/>
      <c r="G196" s="632" t="s">
        <v>115</v>
      </c>
      <c r="H196" s="633">
        <v>1</v>
      </c>
      <c r="I196" s="633">
        <v>0.9</v>
      </c>
      <c r="J196" s="633">
        <v>1.2</v>
      </c>
      <c r="K196" s="633">
        <v>1</v>
      </c>
      <c r="L196" s="633">
        <v>1.19999999999998</v>
      </c>
      <c r="M196" s="632"/>
      <c r="N196" s="632"/>
      <c r="O196" s="632" t="s">
        <v>119</v>
      </c>
      <c r="P196" s="636"/>
      <c r="Q196" s="636"/>
      <c r="R196" s="636"/>
      <c r="S196" s="638">
        <f t="shared" si="0"/>
        <v>0</v>
      </c>
      <c r="T196" s="638">
        <f t="shared" si="1"/>
        <v>0</v>
      </c>
      <c r="U196" s="638">
        <f t="shared" si="2"/>
        <v>0</v>
      </c>
      <c r="V196" s="638">
        <f t="shared" si="3"/>
        <v>0</v>
      </c>
      <c r="W196" s="638">
        <f t="shared" si="4"/>
        <v>0</v>
      </c>
      <c r="X196" s="638">
        <f t="shared" si="5"/>
        <v>0</v>
      </c>
      <c r="Y196" s="638">
        <f t="shared" si="6"/>
        <v>0</v>
      </c>
      <c r="Z196" s="638">
        <f t="shared" si="7"/>
        <v>0</v>
      </c>
      <c r="AA196" s="638">
        <f t="shared" si="8"/>
        <v>0</v>
      </c>
      <c r="AB196" s="638">
        <f t="shared" si="9"/>
        <v>0</v>
      </c>
      <c r="AC196" s="638">
        <f t="shared" si="10"/>
        <v>0</v>
      </c>
      <c r="AD196" s="638">
        <f t="shared" si="11"/>
        <v>0</v>
      </c>
      <c r="AE196" s="632" t="s">
        <v>321</v>
      </c>
      <c r="AF196" s="632"/>
      <c r="AG196" s="632"/>
      <c r="AH196" s="632"/>
      <c r="AI196" s="632" t="s">
        <v>120</v>
      </c>
      <c r="AJ196" s="639" t="str">
        <f t="shared" si="18"/>
        <v>n/a</v>
      </c>
      <c r="AK196" s="632" t="s">
        <v>120</v>
      </c>
      <c r="AL196" s="632"/>
      <c r="AM196" s="632"/>
      <c r="AN196" s="632"/>
      <c r="AO196" s="632"/>
    </row>
    <row r="197" customHeight="1" spans="1:41">
      <c r="A197" s="632" t="s">
        <v>455</v>
      </c>
      <c r="B197" s="632"/>
      <c r="C197" s="632"/>
      <c r="D197" s="632"/>
      <c r="E197" s="632" t="s">
        <v>434</v>
      </c>
      <c r="F197" s="632"/>
      <c r="G197" s="632" t="s">
        <v>115</v>
      </c>
      <c r="H197" s="633">
        <v>1</v>
      </c>
      <c r="I197" s="633">
        <v>0.9</v>
      </c>
      <c r="J197" s="633">
        <v>1.2</v>
      </c>
      <c r="K197" s="633">
        <v>1</v>
      </c>
      <c r="L197" s="633">
        <v>1.19999999999998</v>
      </c>
      <c r="M197" s="632"/>
      <c r="N197" s="632"/>
      <c r="O197" s="632" t="s">
        <v>119</v>
      </c>
      <c r="P197" s="636"/>
      <c r="Q197" s="636"/>
      <c r="R197" s="636"/>
      <c r="S197" s="638">
        <f t="shared" si="0"/>
        <v>0</v>
      </c>
      <c r="T197" s="638">
        <f t="shared" si="1"/>
        <v>0</v>
      </c>
      <c r="U197" s="638">
        <f t="shared" si="2"/>
        <v>0</v>
      </c>
      <c r="V197" s="638">
        <f t="shared" si="3"/>
        <v>0</v>
      </c>
      <c r="W197" s="638">
        <f t="shared" si="4"/>
        <v>0</v>
      </c>
      <c r="X197" s="638">
        <f t="shared" si="5"/>
        <v>0</v>
      </c>
      <c r="Y197" s="638">
        <f t="shared" si="6"/>
        <v>0</v>
      </c>
      <c r="Z197" s="638">
        <f t="shared" si="7"/>
        <v>0</v>
      </c>
      <c r="AA197" s="638">
        <f t="shared" si="8"/>
        <v>0</v>
      </c>
      <c r="AB197" s="638">
        <f t="shared" si="9"/>
        <v>0</v>
      </c>
      <c r="AC197" s="638">
        <f t="shared" si="10"/>
        <v>0</v>
      </c>
      <c r="AD197" s="638">
        <f t="shared" si="11"/>
        <v>0</v>
      </c>
      <c r="AE197" s="632" t="s">
        <v>321</v>
      </c>
      <c r="AF197" s="632"/>
      <c r="AG197" s="632"/>
      <c r="AH197" s="632"/>
      <c r="AI197" s="632" t="s">
        <v>120</v>
      </c>
      <c r="AJ197" s="639" t="str">
        <f t="shared" si="18"/>
        <v>n/a</v>
      </c>
      <c r="AK197" s="632" t="s">
        <v>120</v>
      </c>
      <c r="AL197" s="632"/>
      <c r="AM197" s="632"/>
      <c r="AN197" s="632"/>
      <c r="AO197" s="632"/>
    </row>
    <row r="198" customHeight="1" spans="1:41">
      <c r="A198" s="632" t="s">
        <v>456</v>
      </c>
      <c r="B198" s="632" t="s">
        <v>457</v>
      </c>
      <c r="C198" s="632"/>
      <c r="D198" s="632"/>
      <c r="E198" s="632" t="s">
        <v>434</v>
      </c>
      <c r="F198" s="632"/>
      <c r="G198" s="632" t="s">
        <v>115</v>
      </c>
      <c r="H198" s="633">
        <v>1</v>
      </c>
      <c r="I198" s="633">
        <v>0.9</v>
      </c>
      <c r="J198" s="633">
        <v>1.2</v>
      </c>
      <c r="K198" s="633">
        <v>1</v>
      </c>
      <c r="L198" s="633">
        <v>1.19999999999998</v>
      </c>
      <c r="M198" s="632"/>
      <c r="N198" s="632"/>
      <c r="O198" s="632">
        <v>2</v>
      </c>
      <c r="P198" s="636"/>
      <c r="Q198" s="636"/>
      <c r="R198" s="636"/>
      <c r="S198" s="638">
        <f t="shared" si="0"/>
        <v>0</v>
      </c>
      <c r="T198" s="638">
        <f t="shared" si="1"/>
        <v>0</v>
      </c>
      <c r="U198" s="638">
        <f t="shared" si="2"/>
        <v>0</v>
      </c>
      <c r="V198" s="638">
        <f t="shared" si="3"/>
        <v>0</v>
      </c>
      <c r="W198" s="638">
        <f t="shared" si="4"/>
        <v>0</v>
      </c>
      <c r="X198" s="638">
        <f t="shared" si="5"/>
        <v>0</v>
      </c>
      <c r="Y198" s="638">
        <f t="shared" si="6"/>
        <v>0</v>
      </c>
      <c r="Z198" s="638">
        <f t="shared" si="7"/>
        <v>0</v>
      </c>
      <c r="AA198" s="638">
        <f t="shared" si="8"/>
        <v>0</v>
      </c>
      <c r="AB198" s="638">
        <f t="shared" si="9"/>
        <v>0</v>
      </c>
      <c r="AC198" s="638">
        <f t="shared" si="10"/>
        <v>0</v>
      </c>
      <c r="AD198" s="638">
        <f t="shared" si="11"/>
        <v>0</v>
      </c>
      <c r="AE198" s="632"/>
      <c r="AF198" s="632"/>
      <c r="AG198" s="632"/>
      <c r="AH198" s="632"/>
      <c r="AI198" s="632" t="s">
        <v>120</v>
      </c>
      <c r="AJ198" s="639">
        <f t="shared" si="18"/>
        <v>2</v>
      </c>
      <c r="AK198" s="632" t="s">
        <v>120</v>
      </c>
      <c r="AL198" s="632"/>
      <c r="AM198" s="632"/>
      <c r="AN198" s="632"/>
      <c r="AO198" s="632"/>
    </row>
    <row r="199" customHeight="1" spans="1:41">
      <c r="A199" s="632" t="s">
        <v>458</v>
      </c>
      <c r="B199" s="632" t="s">
        <v>459</v>
      </c>
      <c r="C199" s="632"/>
      <c r="D199" s="632"/>
      <c r="E199" s="632" t="s">
        <v>434</v>
      </c>
      <c r="F199" s="632"/>
      <c r="G199" s="632" t="s">
        <v>115</v>
      </c>
      <c r="H199" s="633">
        <v>1</v>
      </c>
      <c r="I199" s="633">
        <v>0.9</v>
      </c>
      <c r="J199" s="633">
        <v>1.2</v>
      </c>
      <c r="K199" s="633">
        <v>1</v>
      </c>
      <c r="L199" s="633">
        <v>1.19999999999998</v>
      </c>
      <c r="M199" s="632"/>
      <c r="N199" s="632"/>
      <c r="O199" s="632">
        <v>2</v>
      </c>
      <c r="P199" s="636"/>
      <c r="Q199" s="636"/>
      <c r="R199" s="636"/>
      <c r="S199" s="638">
        <f t="shared" si="0"/>
        <v>0</v>
      </c>
      <c r="T199" s="638">
        <f t="shared" si="1"/>
        <v>0</v>
      </c>
      <c r="U199" s="638">
        <f t="shared" si="2"/>
        <v>0</v>
      </c>
      <c r="V199" s="638">
        <f t="shared" si="3"/>
        <v>0</v>
      </c>
      <c r="W199" s="638">
        <f t="shared" si="4"/>
        <v>0</v>
      </c>
      <c r="X199" s="638">
        <f t="shared" si="5"/>
        <v>0</v>
      </c>
      <c r="Y199" s="638">
        <f t="shared" si="6"/>
        <v>0</v>
      </c>
      <c r="Z199" s="638">
        <f t="shared" si="7"/>
        <v>0</v>
      </c>
      <c r="AA199" s="638">
        <f t="shared" si="8"/>
        <v>0</v>
      </c>
      <c r="AB199" s="638">
        <f t="shared" si="9"/>
        <v>0</v>
      </c>
      <c r="AC199" s="638">
        <f t="shared" si="10"/>
        <v>0</v>
      </c>
      <c r="AD199" s="638">
        <f t="shared" si="11"/>
        <v>0</v>
      </c>
      <c r="AE199" s="632"/>
      <c r="AF199" s="632"/>
      <c r="AG199" s="632"/>
      <c r="AH199" s="632"/>
      <c r="AI199" s="632" t="s">
        <v>120</v>
      </c>
      <c r="AJ199" s="639">
        <f t="shared" si="18"/>
        <v>2</v>
      </c>
      <c r="AK199" s="632" t="s">
        <v>120</v>
      </c>
      <c r="AL199" s="632"/>
      <c r="AM199" s="632"/>
      <c r="AN199" s="632"/>
      <c r="AO199" s="632"/>
    </row>
    <row r="200" customHeight="1" spans="1:41">
      <c r="A200" s="632" t="s">
        <v>460</v>
      </c>
      <c r="B200" s="632" t="s">
        <v>461</v>
      </c>
      <c r="C200" s="632"/>
      <c r="D200" s="632"/>
      <c r="E200" s="632" t="s">
        <v>434</v>
      </c>
      <c r="F200" s="632"/>
      <c r="G200" s="632" t="s">
        <v>115</v>
      </c>
      <c r="H200" s="633">
        <v>1</v>
      </c>
      <c r="I200" s="633">
        <v>0.9</v>
      </c>
      <c r="J200" s="633">
        <v>1.2</v>
      </c>
      <c r="K200" s="633">
        <v>1</v>
      </c>
      <c r="L200" s="633">
        <v>1.19999999999998</v>
      </c>
      <c r="M200" s="632"/>
      <c r="N200" s="632"/>
      <c r="O200" s="632">
        <v>2</v>
      </c>
      <c r="P200" s="636"/>
      <c r="Q200" s="636"/>
      <c r="R200" s="636"/>
      <c r="S200" s="638">
        <f t="shared" si="0"/>
        <v>0</v>
      </c>
      <c r="T200" s="638">
        <f t="shared" si="1"/>
        <v>0</v>
      </c>
      <c r="U200" s="638">
        <f t="shared" si="2"/>
        <v>0</v>
      </c>
      <c r="V200" s="638">
        <f t="shared" si="3"/>
        <v>0</v>
      </c>
      <c r="W200" s="638">
        <f t="shared" si="4"/>
        <v>0</v>
      </c>
      <c r="X200" s="638">
        <f t="shared" si="5"/>
        <v>0</v>
      </c>
      <c r="Y200" s="638">
        <f t="shared" si="6"/>
        <v>0</v>
      </c>
      <c r="Z200" s="638">
        <f t="shared" si="7"/>
        <v>0</v>
      </c>
      <c r="AA200" s="638">
        <f t="shared" si="8"/>
        <v>0</v>
      </c>
      <c r="AB200" s="638">
        <f t="shared" si="9"/>
        <v>0</v>
      </c>
      <c r="AC200" s="638">
        <f t="shared" si="10"/>
        <v>0</v>
      </c>
      <c r="AD200" s="638">
        <f t="shared" si="11"/>
        <v>0</v>
      </c>
      <c r="AE200" s="632"/>
      <c r="AF200" s="632"/>
      <c r="AG200" s="632"/>
      <c r="AH200" s="632"/>
      <c r="AI200" s="632" t="s">
        <v>120</v>
      </c>
      <c r="AJ200" s="639">
        <f t="shared" si="18"/>
        <v>2</v>
      </c>
      <c r="AK200" s="632" t="s">
        <v>120</v>
      </c>
      <c r="AL200" s="632"/>
      <c r="AM200" s="632"/>
      <c r="AN200" s="632"/>
      <c r="AO200" s="632"/>
    </row>
    <row r="201" customHeight="1" spans="1:41">
      <c r="A201" s="632" t="s">
        <v>462</v>
      </c>
      <c r="B201" s="632"/>
      <c r="C201" s="632"/>
      <c r="D201" s="632"/>
      <c r="E201" s="632" t="s">
        <v>434</v>
      </c>
      <c r="F201" s="632"/>
      <c r="G201" s="632" t="s">
        <v>115</v>
      </c>
      <c r="H201" s="633">
        <v>1</v>
      </c>
      <c r="I201" s="633">
        <v>0.9</v>
      </c>
      <c r="J201" s="633">
        <v>1.2</v>
      </c>
      <c r="K201" s="633">
        <v>1</v>
      </c>
      <c r="L201" s="633">
        <v>1.19999999999998</v>
      </c>
      <c r="M201" s="632"/>
      <c r="N201" s="632"/>
      <c r="O201" s="632" t="s">
        <v>119</v>
      </c>
      <c r="P201" s="636"/>
      <c r="Q201" s="636"/>
      <c r="R201" s="636"/>
      <c r="S201" s="638">
        <f t="shared" si="0"/>
        <v>0</v>
      </c>
      <c r="T201" s="638">
        <f t="shared" si="1"/>
        <v>0</v>
      </c>
      <c r="U201" s="638">
        <f t="shared" si="2"/>
        <v>0</v>
      </c>
      <c r="V201" s="638">
        <f t="shared" si="3"/>
        <v>0</v>
      </c>
      <c r="W201" s="638">
        <f t="shared" si="4"/>
        <v>0</v>
      </c>
      <c r="X201" s="638">
        <f t="shared" si="5"/>
        <v>0</v>
      </c>
      <c r="Y201" s="638">
        <f t="shared" si="6"/>
        <v>0</v>
      </c>
      <c r="Z201" s="638">
        <f t="shared" si="7"/>
        <v>0</v>
      </c>
      <c r="AA201" s="638">
        <f t="shared" si="8"/>
        <v>0</v>
      </c>
      <c r="AB201" s="638">
        <f t="shared" si="9"/>
        <v>0</v>
      </c>
      <c r="AC201" s="638">
        <f t="shared" si="10"/>
        <v>0</v>
      </c>
      <c r="AD201" s="638">
        <f t="shared" si="11"/>
        <v>0</v>
      </c>
      <c r="AE201" s="632" t="s">
        <v>257</v>
      </c>
      <c r="AF201" s="632"/>
      <c r="AG201" s="632"/>
      <c r="AH201" s="632"/>
      <c r="AI201" s="632" t="s">
        <v>120</v>
      </c>
      <c r="AJ201" s="639" t="str">
        <f t="shared" si="18"/>
        <v>n/a</v>
      </c>
      <c r="AK201" s="632" t="s">
        <v>120</v>
      </c>
      <c r="AL201" s="632" t="s">
        <v>120</v>
      </c>
      <c r="AM201" s="632" t="s">
        <v>120</v>
      </c>
      <c r="AN201" s="632" t="s">
        <v>120</v>
      </c>
      <c r="AO201" s="632" t="s">
        <v>120</v>
      </c>
    </row>
    <row r="202" customHeight="1" spans="1:41">
      <c r="A202" s="632" t="s">
        <v>463</v>
      </c>
      <c r="B202" s="632" t="s">
        <v>464</v>
      </c>
      <c r="C202" s="632"/>
      <c r="D202" s="632"/>
      <c r="E202" s="632" t="s">
        <v>172</v>
      </c>
      <c r="F202" s="632"/>
      <c r="G202" s="632" t="s">
        <v>57</v>
      </c>
      <c r="H202" s="633">
        <v>1</v>
      </c>
      <c r="I202" s="633">
        <v>0.9</v>
      </c>
      <c r="J202" s="633">
        <v>1.2</v>
      </c>
      <c r="K202" s="633">
        <v>1</v>
      </c>
      <c r="L202" s="633">
        <v>1.19999999999998</v>
      </c>
      <c r="M202" s="632"/>
      <c r="N202" s="632"/>
      <c r="O202" s="632"/>
      <c r="P202" s="636"/>
      <c r="Q202" s="636"/>
      <c r="R202" s="636"/>
      <c r="S202" s="638">
        <f t="shared" si="0"/>
        <v>0</v>
      </c>
      <c r="T202" s="638">
        <f t="shared" si="1"/>
        <v>0</v>
      </c>
      <c r="U202" s="638">
        <f t="shared" si="2"/>
        <v>0</v>
      </c>
      <c r="V202" s="638">
        <f t="shared" si="3"/>
        <v>0</v>
      </c>
      <c r="W202" s="638">
        <f t="shared" si="4"/>
        <v>0</v>
      </c>
      <c r="X202" s="638">
        <f t="shared" si="5"/>
        <v>0</v>
      </c>
      <c r="Y202" s="638">
        <f t="shared" si="6"/>
        <v>0</v>
      </c>
      <c r="Z202" s="638">
        <f t="shared" si="7"/>
        <v>0</v>
      </c>
      <c r="AA202" s="638">
        <f t="shared" si="8"/>
        <v>0</v>
      </c>
      <c r="AB202" s="638">
        <f t="shared" si="9"/>
        <v>0</v>
      </c>
      <c r="AC202" s="638">
        <f t="shared" si="10"/>
        <v>0</v>
      </c>
      <c r="AD202" s="638">
        <f t="shared" si="11"/>
        <v>0</v>
      </c>
      <c r="AE202" s="632"/>
      <c r="AF202" s="632"/>
      <c r="AG202" s="632"/>
      <c r="AH202" s="632"/>
      <c r="AI202" s="632"/>
      <c r="AJ202" s="639"/>
      <c r="AK202" s="632"/>
      <c r="AL202" s="632"/>
      <c r="AM202" s="632"/>
      <c r="AN202" s="632"/>
      <c r="AO202" s="632"/>
    </row>
    <row r="203" customHeight="1" spans="1:41">
      <c r="A203" s="632" t="s">
        <v>465</v>
      </c>
      <c r="B203" s="632" t="s">
        <v>466</v>
      </c>
      <c r="C203" s="632"/>
      <c r="D203" s="632"/>
      <c r="E203" s="632" t="s">
        <v>172</v>
      </c>
      <c r="F203" s="632"/>
      <c r="G203" s="632" t="s">
        <v>115</v>
      </c>
      <c r="H203" s="633">
        <v>1</v>
      </c>
      <c r="I203" s="633">
        <v>0.9</v>
      </c>
      <c r="J203" s="633">
        <v>1.2</v>
      </c>
      <c r="K203" s="633">
        <v>1</v>
      </c>
      <c r="L203" s="633">
        <v>1.19999999999998</v>
      </c>
      <c r="M203" s="632" t="s">
        <v>181</v>
      </c>
      <c r="N203" s="632"/>
      <c r="O203" s="632" t="s">
        <v>119</v>
      </c>
      <c r="P203" s="636" t="s">
        <v>117</v>
      </c>
      <c r="Q203" s="636" t="s">
        <v>117</v>
      </c>
      <c r="R203" s="636" t="s">
        <v>117</v>
      </c>
      <c r="S203" s="638" t="e">
        <f t="shared" si="0"/>
        <v>#VALUE!</v>
      </c>
      <c r="T203" s="638" t="e">
        <f t="shared" si="1"/>
        <v>#VALUE!</v>
      </c>
      <c r="U203" s="638" t="e">
        <f t="shared" si="2"/>
        <v>#VALUE!</v>
      </c>
      <c r="V203" s="638" t="e">
        <f t="shared" si="3"/>
        <v>#VALUE!</v>
      </c>
      <c r="W203" s="638" t="e">
        <f t="shared" si="4"/>
        <v>#VALUE!</v>
      </c>
      <c r="X203" s="638" t="e">
        <f t="shared" si="5"/>
        <v>#VALUE!</v>
      </c>
      <c r="Y203" s="638" t="e">
        <f t="shared" si="6"/>
        <v>#VALUE!</v>
      </c>
      <c r="Z203" s="638" t="e">
        <f t="shared" si="7"/>
        <v>#VALUE!</v>
      </c>
      <c r="AA203" s="638" t="e">
        <f t="shared" si="8"/>
        <v>#VALUE!</v>
      </c>
      <c r="AB203" s="638" t="e">
        <f t="shared" si="9"/>
        <v>#VALUE!</v>
      </c>
      <c r="AC203" s="638" t="e">
        <f t="shared" si="10"/>
        <v>#VALUE!</v>
      </c>
      <c r="AD203" s="638" t="e">
        <f t="shared" si="11"/>
        <v>#VALUE!</v>
      </c>
      <c r="AE203" s="632" t="s">
        <v>170</v>
      </c>
      <c r="AF203" s="632" t="s">
        <v>467</v>
      </c>
      <c r="AG203" s="632"/>
      <c r="AH203" s="632"/>
      <c r="AI203" s="632"/>
      <c r="AJ203" s="639"/>
      <c r="AK203" s="632"/>
      <c r="AL203" s="632"/>
      <c r="AM203" s="632"/>
      <c r="AN203" s="632"/>
      <c r="AO203" s="632"/>
    </row>
    <row r="204" customHeight="1" spans="1:41">
      <c r="A204" s="632" t="s">
        <v>468</v>
      </c>
      <c r="B204" s="632" t="s">
        <v>466</v>
      </c>
      <c r="C204" s="632"/>
      <c r="D204" s="632"/>
      <c r="E204" s="632" t="s">
        <v>172</v>
      </c>
      <c r="F204" s="632"/>
      <c r="G204" s="632" t="s">
        <v>115</v>
      </c>
      <c r="H204" s="633">
        <v>1</v>
      </c>
      <c r="I204" s="633">
        <v>0.9</v>
      </c>
      <c r="J204" s="633">
        <v>1.2</v>
      </c>
      <c r="K204" s="633">
        <v>1</v>
      </c>
      <c r="L204" s="633">
        <v>1.19999999999998</v>
      </c>
      <c r="M204" s="632"/>
      <c r="N204" s="632"/>
      <c r="O204" s="632"/>
      <c r="P204" s="636"/>
      <c r="Q204" s="636"/>
      <c r="R204" s="636"/>
      <c r="S204" s="638">
        <f t="shared" si="0"/>
        <v>0</v>
      </c>
      <c r="T204" s="638">
        <f t="shared" si="1"/>
        <v>0</v>
      </c>
      <c r="U204" s="638">
        <f t="shared" si="2"/>
        <v>0</v>
      </c>
      <c r="V204" s="638">
        <f t="shared" si="3"/>
        <v>0</v>
      </c>
      <c r="W204" s="638">
        <f t="shared" si="4"/>
        <v>0</v>
      </c>
      <c r="X204" s="638">
        <f t="shared" si="5"/>
        <v>0</v>
      </c>
      <c r="Y204" s="638">
        <f t="shared" si="6"/>
        <v>0</v>
      </c>
      <c r="Z204" s="638">
        <f t="shared" si="7"/>
        <v>0</v>
      </c>
      <c r="AA204" s="638">
        <f t="shared" si="8"/>
        <v>0</v>
      </c>
      <c r="AB204" s="638">
        <f t="shared" si="9"/>
        <v>0</v>
      </c>
      <c r="AC204" s="638">
        <f t="shared" si="10"/>
        <v>0</v>
      </c>
      <c r="AD204" s="638">
        <f t="shared" si="11"/>
        <v>0</v>
      </c>
      <c r="AE204" s="632"/>
      <c r="AF204" s="632"/>
      <c r="AG204" s="632"/>
      <c r="AH204" s="632"/>
      <c r="AI204" s="632"/>
      <c r="AJ204" s="639"/>
      <c r="AK204" s="632"/>
      <c r="AL204" s="632"/>
      <c r="AM204" s="632"/>
      <c r="AN204" s="632"/>
      <c r="AO204" s="632"/>
    </row>
    <row r="205" customHeight="1" spans="1:41">
      <c r="A205" s="632" t="s">
        <v>469</v>
      </c>
      <c r="B205" s="632" t="s">
        <v>470</v>
      </c>
      <c r="C205" s="632"/>
      <c r="D205" s="632"/>
      <c r="E205" s="632" t="s">
        <v>319</v>
      </c>
      <c r="F205" s="632"/>
      <c r="G205" s="632" t="s">
        <v>115</v>
      </c>
      <c r="H205" s="633">
        <v>1</v>
      </c>
      <c r="I205" s="633">
        <v>0.9</v>
      </c>
      <c r="J205" s="633">
        <v>1.2</v>
      </c>
      <c r="K205" s="633">
        <v>1</v>
      </c>
      <c r="L205" s="633">
        <v>1.19999999999998</v>
      </c>
      <c r="M205" s="632"/>
      <c r="N205" s="632"/>
      <c r="O205" s="632"/>
      <c r="P205" s="636"/>
      <c r="Q205" s="636"/>
      <c r="R205" s="636"/>
      <c r="S205" s="638">
        <f t="shared" si="0"/>
        <v>0</v>
      </c>
      <c r="T205" s="638">
        <f t="shared" si="1"/>
        <v>0</v>
      </c>
      <c r="U205" s="638">
        <f t="shared" si="2"/>
        <v>0</v>
      </c>
      <c r="V205" s="638">
        <f t="shared" si="3"/>
        <v>0</v>
      </c>
      <c r="W205" s="638">
        <f t="shared" si="4"/>
        <v>0</v>
      </c>
      <c r="X205" s="638">
        <f t="shared" si="5"/>
        <v>0</v>
      </c>
      <c r="Y205" s="638">
        <f t="shared" si="6"/>
        <v>0</v>
      </c>
      <c r="Z205" s="638">
        <f t="shared" si="7"/>
        <v>0</v>
      </c>
      <c r="AA205" s="638">
        <f t="shared" si="8"/>
        <v>0</v>
      </c>
      <c r="AB205" s="638">
        <f t="shared" si="9"/>
        <v>0</v>
      </c>
      <c r="AC205" s="638">
        <f t="shared" si="10"/>
        <v>0</v>
      </c>
      <c r="AD205" s="638">
        <f t="shared" si="11"/>
        <v>0</v>
      </c>
      <c r="AE205" s="632"/>
      <c r="AF205" s="632"/>
      <c r="AG205" s="632"/>
      <c r="AH205" s="632"/>
      <c r="AI205" s="632"/>
      <c r="AJ205" s="639"/>
      <c r="AK205" s="632"/>
      <c r="AL205" s="632"/>
      <c r="AM205" s="632"/>
      <c r="AN205" s="632"/>
      <c r="AO205" s="632"/>
    </row>
    <row r="206" customHeight="1" spans="1:41">
      <c r="A206" s="632" t="s">
        <v>471</v>
      </c>
      <c r="B206" s="632"/>
      <c r="C206" s="632"/>
      <c r="D206" s="632"/>
      <c r="E206" s="632" t="s">
        <v>114</v>
      </c>
      <c r="F206" s="632"/>
      <c r="G206" s="632" t="s">
        <v>115</v>
      </c>
      <c r="H206" s="633">
        <v>1</v>
      </c>
      <c r="I206" s="633">
        <v>0.9</v>
      </c>
      <c r="J206" s="633">
        <v>1.2</v>
      </c>
      <c r="K206" s="633">
        <v>1</v>
      </c>
      <c r="L206" s="633">
        <v>1.19999999999998</v>
      </c>
      <c r="M206" s="632"/>
      <c r="N206" s="632"/>
      <c r="O206" s="632">
        <v>2</v>
      </c>
      <c r="P206" s="636"/>
      <c r="Q206" s="636"/>
      <c r="R206" s="636"/>
      <c r="S206" s="638">
        <f t="shared" si="0"/>
        <v>0</v>
      </c>
      <c r="T206" s="638">
        <f t="shared" si="1"/>
        <v>0</v>
      </c>
      <c r="U206" s="638">
        <f t="shared" si="2"/>
        <v>0</v>
      </c>
      <c r="V206" s="638">
        <f t="shared" si="3"/>
        <v>0</v>
      </c>
      <c r="W206" s="638">
        <f t="shared" si="4"/>
        <v>0</v>
      </c>
      <c r="X206" s="638">
        <f t="shared" si="5"/>
        <v>0</v>
      </c>
      <c r="Y206" s="638">
        <f t="shared" si="6"/>
        <v>0</v>
      </c>
      <c r="Z206" s="638">
        <f t="shared" si="7"/>
        <v>0</v>
      </c>
      <c r="AA206" s="638">
        <f t="shared" si="8"/>
        <v>0</v>
      </c>
      <c r="AB206" s="638">
        <f t="shared" si="9"/>
        <v>0</v>
      </c>
      <c r="AC206" s="638">
        <f t="shared" si="10"/>
        <v>0</v>
      </c>
      <c r="AD206" s="638">
        <f t="shared" si="11"/>
        <v>0</v>
      </c>
      <c r="AE206" s="632"/>
      <c r="AF206" s="632"/>
      <c r="AG206" s="632"/>
      <c r="AH206" s="632"/>
      <c r="AI206" s="632" t="s">
        <v>120</v>
      </c>
      <c r="AJ206" s="639">
        <f t="shared" ref="AJ206:AJ208" si="19">O206</f>
        <v>2</v>
      </c>
      <c r="AK206" s="632" t="s">
        <v>120</v>
      </c>
      <c r="AL206" s="632"/>
      <c r="AM206" s="632"/>
      <c r="AN206" s="632"/>
      <c r="AO206" s="632"/>
    </row>
    <row r="207" customHeight="1" spans="1:41">
      <c r="A207" s="632" t="s">
        <v>472</v>
      </c>
      <c r="B207" s="632"/>
      <c r="C207" s="632"/>
      <c r="D207" s="632"/>
      <c r="E207" s="632" t="s">
        <v>217</v>
      </c>
      <c r="F207" s="632"/>
      <c r="G207" s="632" t="s">
        <v>115</v>
      </c>
      <c r="H207" s="633">
        <v>1</v>
      </c>
      <c r="I207" s="633">
        <v>0.9</v>
      </c>
      <c r="J207" s="633">
        <v>1.2</v>
      </c>
      <c r="K207" s="633">
        <v>1</v>
      </c>
      <c r="L207" s="633">
        <v>1.19999999999998</v>
      </c>
      <c r="M207" s="632"/>
      <c r="N207" s="632"/>
      <c r="O207" s="632">
        <v>2</v>
      </c>
      <c r="P207" s="636"/>
      <c r="Q207" s="636"/>
      <c r="R207" s="636"/>
      <c r="S207" s="638">
        <f t="shared" si="0"/>
        <v>0</v>
      </c>
      <c r="T207" s="638">
        <f t="shared" si="1"/>
        <v>0</v>
      </c>
      <c r="U207" s="638">
        <f t="shared" si="2"/>
        <v>0</v>
      </c>
      <c r="V207" s="638">
        <f t="shared" si="3"/>
        <v>0</v>
      </c>
      <c r="W207" s="638">
        <f t="shared" si="4"/>
        <v>0</v>
      </c>
      <c r="X207" s="638">
        <f t="shared" si="5"/>
        <v>0</v>
      </c>
      <c r="Y207" s="638">
        <f t="shared" si="6"/>
        <v>0</v>
      </c>
      <c r="Z207" s="638">
        <f t="shared" si="7"/>
        <v>0</v>
      </c>
      <c r="AA207" s="638">
        <f t="shared" si="8"/>
        <v>0</v>
      </c>
      <c r="AB207" s="638">
        <f t="shared" si="9"/>
        <v>0</v>
      </c>
      <c r="AC207" s="638">
        <f t="shared" si="10"/>
        <v>0</v>
      </c>
      <c r="AD207" s="638">
        <f t="shared" si="11"/>
        <v>0</v>
      </c>
      <c r="AE207" s="632"/>
      <c r="AF207" s="632"/>
      <c r="AG207" s="632"/>
      <c r="AH207" s="632"/>
      <c r="AI207" s="632" t="s">
        <v>120</v>
      </c>
      <c r="AJ207" s="639">
        <f t="shared" si="19"/>
        <v>2</v>
      </c>
      <c r="AK207" s="632" t="s">
        <v>120</v>
      </c>
      <c r="AL207" s="632"/>
      <c r="AM207" s="632"/>
      <c r="AN207" s="632"/>
      <c r="AO207" s="632"/>
    </row>
    <row r="208" customHeight="1" spans="1:41">
      <c r="A208" s="632" t="s">
        <v>473</v>
      </c>
      <c r="B208" s="632"/>
      <c r="C208" s="632"/>
      <c r="D208" s="632"/>
      <c r="E208" s="632" t="s">
        <v>217</v>
      </c>
      <c r="F208" s="632"/>
      <c r="G208" s="632" t="s">
        <v>115</v>
      </c>
      <c r="H208" s="633">
        <v>1</v>
      </c>
      <c r="I208" s="633">
        <v>0.9</v>
      </c>
      <c r="J208" s="633">
        <v>1.2</v>
      </c>
      <c r="K208" s="633">
        <v>1</v>
      </c>
      <c r="L208" s="633">
        <v>1.19999999999998</v>
      </c>
      <c r="M208" s="632"/>
      <c r="N208" s="632"/>
      <c r="O208" s="632">
        <v>2</v>
      </c>
      <c r="P208" s="636"/>
      <c r="Q208" s="636"/>
      <c r="R208" s="636"/>
      <c r="S208" s="638">
        <f t="shared" si="0"/>
        <v>0</v>
      </c>
      <c r="T208" s="638">
        <f t="shared" si="1"/>
        <v>0</v>
      </c>
      <c r="U208" s="638">
        <f t="shared" si="2"/>
        <v>0</v>
      </c>
      <c r="V208" s="638">
        <f t="shared" si="3"/>
        <v>0</v>
      </c>
      <c r="W208" s="638">
        <f t="shared" si="4"/>
        <v>0</v>
      </c>
      <c r="X208" s="638">
        <f t="shared" si="5"/>
        <v>0</v>
      </c>
      <c r="Y208" s="638">
        <f t="shared" si="6"/>
        <v>0</v>
      </c>
      <c r="Z208" s="638">
        <f t="shared" si="7"/>
        <v>0</v>
      </c>
      <c r="AA208" s="638">
        <f t="shared" si="8"/>
        <v>0</v>
      </c>
      <c r="AB208" s="638">
        <f t="shared" si="9"/>
        <v>0</v>
      </c>
      <c r="AC208" s="638">
        <f t="shared" si="10"/>
        <v>0</v>
      </c>
      <c r="AD208" s="638">
        <f t="shared" si="11"/>
        <v>0</v>
      </c>
      <c r="AE208" s="632"/>
      <c r="AF208" s="632"/>
      <c r="AG208" s="632"/>
      <c r="AH208" s="632"/>
      <c r="AI208" s="632" t="s">
        <v>120</v>
      </c>
      <c r="AJ208" s="639">
        <f t="shared" si="19"/>
        <v>2</v>
      </c>
      <c r="AK208" s="632" t="s">
        <v>120</v>
      </c>
      <c r="AL208" s="632"/>
      <c r="AM208" s="632"/>
      <c r="AN208" s="632"/>
      <c r="AO208" s="632"/>
    </row>
    <row r="209" customHeight="1" spans="1:41">
      <c r="A209" s="632" t="s">
        <v>474</v>
      </c>
      <c r="B209" s="632"/>
      <c r="C209" s="632"/>
      <c r="D209" s="632"/>
      <c r="E209" s="632" t="s">
        <v>114</v>
      </c>
      <c r="F209" s="632"/>
      <c r="G209" s="632"/>
      <c r="H209" s="633">
        <v>1</v>
      </c>
      <c r="I209" s="633">
        <v>0.9</v>
      </c>
      <c r="J209" s="633">
        <v>1.2</v>
      </c>
      <c r="K209" s="633">
        <v>1</v>
      </c>
      <c r="L209" s="633">
        <v>1.19999999999998</v>
      </c>
      <c r="M209" s="632"/>
      <c r="N209" s="632"/>
      <c r="O209" s="632"/>
      <c r="P209" s="636"/>
      <c r="Q209" s="636"/>
      <c r="R209" s="636"/>
      <c r="S209" s="638">
        <f t="shared" si="0"/>
        <v>0</v>
      </c>
      <c r="T209" s="638">
        <f t="shared" si="1"/>
        <v>0</v>
      </c>
      <c r="U209" s="638">
        <f t="shared" si="2"/>
        <v>0</v>
      </c>
      <c r="V209" s="638">
        <f t="shared" si="3"/>
        <v>0</v>
      </c>
      <c r="W209" s="638">
        <f t="shared" si="4"/>
        <v>0</v>
      </c>
      <c r="X209" s="638">
        <f t="shared" si="5"/>
        <v>0</v>
      </c>
      <c r="Y209" s="638">
        <f t="shared" si="6"/>
        <v>0</v>
      </c>
      <c r="Z209" s="638">
        <f t="shared" si="7"/>
        <v>0</v>
      </c>
      <c r="AA209" s="638">
        <f t="shared" si="8"/>
        <v>0</v>
      </c>
      <c r="AB209" s="638">
        <f t="shared" si="9"/>
        <v>0</v>
      </c>
      <c r="AC209" s="638">
        <f t="shared" si="10"/>
        <v>0</v>
      </c>
      <c r="AD209" s="638">
        <f t="shared" si="11"/>
        <v>0</v>
      </c>
      <c r="AE209" s="632"/>
      <c r="AF209" s="632" t="s">
        <v>475</v>
      </c>
      <c r="AG209" s="632"/>
      <c r="AH209" s="632"/>
      <c r="AI209" s="632"/>
      <c r="AJ209" s="639"/>
      <c r="AK209" s="632"/>
      <c r="AL209" s="632"/>
      <c r="AM209" s="632"/>
      <c r="AN209" s="632"/>
      <c r="AO209" s="632"/>
    </row>
    <row r="210" customHeight="1" spans="1:41">
      <c r="A210" s="632" t="s">
        <v>476</v>
      </c>
      <c r="B210" s="632" t="s">
        <v>470</v>
      </c>
      <c r="C210" s="632"/>
      <c r="D210" s="632"/>
      <c r="E210" s="632"/>
      <c r="F210" s="632"/>
      <c r="G210" s="632"/>
      <c r="H210" s="633">
        <v>1</v>
      </c>
      <c r="I210" s="633">
        <v>0.9</v>
      </c>
      <c r="J210" s="633">
        <v>1.2</v>
      </c>
      <c r="K210" s="633">
        <v>1</v>
      </c>
      <c r="L210" s="633">
        <v>1.19999999999997</v>
      </c>
      <c r="M210" s="632"/>
      <c r="N210" s="632"/>
      <c r="O210" s="632"/>
      <c r="P210" s="636"/>
      <c r="Q210" s="636"/>
      <c r="R210" s="636"/>
      <c r="S210" s="638">
        <f t="shared" si="0"/>
        <v>0</v>
      </c>
      <c r="T210" s="638">
        <f t="shared" si="1"/>
        <v>0</v>
      </c>
      <c r="U210" s="638">
        <f t="shared" si="2"/>
        <v>0</v>
      </c>
      <c r="V210" s="638">
        <f t="shared" si="3"/>
        <v>0</v>
      </c>
      <c r="W210" s="638">
        <f t="shared" si="4"/>
        <v>0</v>
      </c>
      <c r="X210" s="638">
        <f t="shared" si="5"/>
        <v>0</v>
      </c>
      <c r="Y210" s="638">
        <f t="shared" si="6"/>
        <v>0</v>
      </c>
      <c r="Z210" s="638">
        <f t="shared" si="7"/>
        <v>0</v>
      </c>
      <c r="AA210" s="638">
        <f t="shared" si="8"/>
        <v>0</v>
      </c>
      <c r="AB210" s="638">
        <f t="shared" si="9"/>
        <v>0</v>
      </c>
      <c r="AC210" s="638">
        <f t="shared" si="10"/>
        <v>0</v>
      </c>
      <c r="AD210" s="638">
        <f t="shared" si="11"/>
        <v>0</v>
      </c>
      <c r="AE210" s="632"/>
      <c r="AF210" s="632"/>
      <c r="AG210" s="632"/>
      <c r="AH210" s="632"/>
      <c r="AI210" s="632"/>
      <c r="AJ210" s="639"/>
      <c r="AK210" s="632"/>
      <c r="AL210" s="632"/>
      <c r="AM210" s="632"/>
      <c r="AN210" s="632"/>
      <c r="AO210" s="632"/>
    </row>
    <row r="211" customHeight="1" spans="1:41">
      <c r="A211" s="632" t="s">
        <v>477</v>
      </c>
      <c r="B211" s="632"/>
      <c r="C211" s="632"/>
      <c r="D211" s="632"/>
      <c r="E211" s="632"/>
      <c r="F211" s="632"/>
      <c r="G211" s="632"/>
      <c r="H211" s="633">
        <v>1</v>
      </c>
      <c r="I211" s="633">
        <v>0.9</v>
      </c>
      <c r="J211" s="633">
        <v>1.2</v>
      </c>
      <c r="K211" s="633">
        <v>1</v>
      </c>
      <c r="L211" s="633">
        <v>1.19999999999997</v>
      </c>
      <c r="M211" s="632"/>
      <c r="N211" s="632"/>
      <c r="O211" s="632"/>
      <c r="P211" s="636"/>
      <c r="Q211" s="636"/>
      <c r="R211" s="636"/>
      <c r="S211" s="638">
        <f t="shared" si="0"/>
        <v>0</v>
      </c>
      <c r="T211" s="638">
        <f t="shared" si="1"/>
        <v>0</v>
      </c>
      <c r="U211" s="638">
        <f t="shared" si="2"/>
        <v>0</v>
      </c>
      <c r="V211" s="638">
        <f t="shared" si="3"/>
        <v>0</v>
      </c>
      <c r="W211" s="638">
        <f t="shared" si="4"/>
        <v>0</v>
      </c>
      <c r="X211" s="638">
        <f t="shared" si="5"/>
        <v>0</v>
      </c>
      <c r="Y211" s="638">
        <f t="shared" si="6"/>
        <v>0</v>
      </c>
      <c r="Z211" s="638">
        <f t="shared" si="7"/>
        <v>0</v>
      </c>
      <c r="AA211" s="638">
        <f t="shared" si="8"/>
        <v>0</v>
      </c>
      <c r="AB211" s="638">
        <f t="shared" si="9"/>
        <v>0</v>
      </c>
      <c r="AC211" s="638">
        <f t="shared" si="10"/>
        <v>0</v>
      </c>
      <c r="AD211" s="638">
        <f t="shared" si="11"/>
        <v>0</v>
      </c>
      <c r="AE211" s="632"/>
      <c r="AF211" s="632"/>
      <c r="AG211" s="632"/>
      <c r="AH211" s="632"/>
      <c r="AI211" s="632"/>
      <c r="AJ211" s="639"/>
      <c r="AK211" s="632"/>
      <c r="AL211" s="632"/>
      <c r="AM211" s="632"/>
      <c r="AN211" s="632"/>
      <c r="AO211" s="632"/>
    </row>
    <row r="212" customHeight="1" spans="1:41">
      <c r="A212" s="632" t="s">
        <v>478</v>
      </c>
      <c r="B212" s="632"/>
      <c r="C212" s="632"/>
      <c r="D212" s="632"/>
      <c r="E212" s="632"/>
      <c r="F212" s="632"/>
      <c r="G212" s="632"/>
      <c r="H212" s="633">
        <v>1</v>
      </c>
      <c r="I212" s="633">
        <v>0.9</v>
      </c>
      <c r="J212" s="633">
        <v>1.2</v>
      </c>
      <c r="K212" s="633">
        <v>1</v>
      </c>
      <c r="L212" s="633">
        <v>1.19999999999997</v>
      </c>
      <c r="M212" s="632"/>
      <c r="N212" s="632"/>
      <c r="O212" s="632"/>
      <c r="P212" s="636"/>
      <c r="Q212" s="636"/>
      <c r="R212" s="636"/>
      <c r="S212" s="638">
        <f t="shared" si="0"/>
        <v>0</v>
      </c>
      <c r="T212" s="638">
        <f t="shared" si="1"/>
        <v>0</v>
      </c>
      <c r="U212" s="638">
        <f t="shared" si="2"/>
        <v>0</v>
      </c>
      <c r="V212" s="638">
        <f t="shared" si="3"/>
        <v>0</v>
      </c>
      <c r="W212" s="638">
        <f t="shared" si="4"/>
        <v>0</v>
      </c>
      <c r="X212" s="638">
        <f t="shared" si="5"/>
        <v>0</v>
      </c>
      <c r="Y212" s="638">
        <f t="shared" si="6"/>
        <v>0</v>
      </c>
      <c r="Z212" s="638">
        <f t="shared" si="7"/>
        <v>0</v>
      </c>
      <c r="AA212" s="638">
        <f t="shared" si="8"/>
        <v>0</v>
      </c>
      <c r="AB212" s="638">
        <f t="shared" si="9"/>
        <v>0</v>
      </c>
      <c r="AC212" s="638">
        <f t="shared" si="10"/>
        <v>0</v>
      </c>
      <c r="AD212" s="638">
        <f t="shared" si="11"/>
        <v>0</v>
      </c>
      <c r="AE212" s="632"/>
      <c r="AF212" s="632"/>
      <c r="AG212" s="632"/>
      <c r="AH212" s="632"/>
      <c r="AI212" s="632"/>
      <c r="AJ212" s="639"/>
      <c r="AK212" s="632"/>
      <c r="AL212" s="632"/>
      <c r="AM212" s="632"/>
      <c r="AN212" s="632"/>
      <c r="AO212" s="632"/>
    </row>
    <row r="213" customHeight="1" spans="1:41">
      <c r="A213" s="632" t="s">
        <v>479</v>
      </c>
      <c r="B213" s="632"/>
      <c r="C213" s="632"/>
      <c r="D213" s="632"/>
      <c r="E213" s="632"/>
      <c r="F213" s="632"/>
      <c r="G213" s="632"/>
      <c r="H213" s="633">
        <v>1</v>
      </c>
      <c r="I213" s="633">
        <v>0.9</v>
      </c>
      <c r="J213" s="633">
        <v>1.2</v>
      </c>
      <c r="K213" s="633">
        <v>1</v>
      </c>
      <c r="L213" s="633">
        <v>1.19999999999997</v>
      </c>
      <c r="M213" s="632"/>
      <c r="N213" s="632"/>
      <c r="O213" s="632">
        <v>2</v>
      </c>
      <c r="P213" s="636"/>
      <c r="Q213" s="636"/>
      <c r="R213" s="636"/>
      <c r="S213" s="638">
        <f t="shared" si="0"/>
        <v>0</v>
      </c>
      <c r="T213" s="638">
        <f t="shared" si="1"/>
        <v>0</v>
      </c>
      <c r="U213" s="638">
        <f t="shared" si="2"/>
        <v>0</v>
      </c>
      <c r="V213" s="638">
        <f t="shared" si="3"/>
        <v>0</v>
      </c>
      <c r="W213" s="638">
        <f t="shared" si="4"/>
        <v>0</v>
      </c>
      <c r="X213" s="638">
        <f t="shared" si="5"/>
        <v>0</v>
      </c>
      <c r="Y213" s="638">
        <f t="shared" si="6"/>
        <v>0</v>
      </c>
      <c r="Z213" s="638">
        <f t="shared" si="7"/>
        <v>0</v>
      </c>
      <c r="AA213" s="638">
        <f t="shared" si="8"/>
        <v>0</v>
      </c>
      <c r="AB213" s="638">
        <f t="shared" si="9"/>
        <v>0</v>
      </c>
      <c r="AC213" s="638">
        <f t="shared" si="10"/>
        <v>0</v>
      </c>
      <c r="AD213" s="638">
        <f t="shared" si="11"/>
        <v>0</v>
      </c>
      <c r="AE213" s="632"/>
      <c r="AF213" s="632"/>
      <c r="AG213" s="632"/>
      <c r="AH213" s="632"/>
      <c r="AI213" s="632" t="s">
        <v>120</v>
      </c>
      <c r="AJ213" s="639">
        <f t="shared" ref="AJ213:AJ275" si="20">O213</f>
        <v>2</v>
      </c>
      <c r="AK213" s="632" t="s">
        <v>120</v>
      </c>
      <c r="AL213" s="632" t="s">
        <v>120</v>
      </c>
      <c r="AM213" s="632" t="s">
        <v>120</v>
      </c>
      <c r="AN213" s="632" t="s">
        <v>120</v>
      </c>
      <c r="AO213" s="632" t="s">
        <v>120</v>
      </c>
    </row>
    <row r="214" customHeight="1" spans="1:41">
      <c r="A214" s="632" t="s">
        <v>480</v>
      </c>
      <c r="B214" s="632"/>
      <c r="C214" s="632"/>
      <c r="D214" s="632"/>
      <c r="E214" s="632"/>
      <c r="F214" s="632"/>
      <c r="G214" s="632"/>
      <c r="H214" s="633">
        <v>1</v>
      </c>
      <c r="I214" s="633">
        <v>0.9</v>
      </c>
      <c r="J214" s="633">
        <v>1.2</v>
      </c>
      <c r="K214" s="633">
        <v>1</v>
      </c>
      <c r="L214" s="633">
        <v>1.19999999999997</v>
      </c>
      <c r="M214" s="632"/>
      <c r="N214" s="632"/>
      <c r="O214" s="632">
        <v>2</v>
      </c>
      <c r="P214" s="636"/>
      <c r="Q214" s="636"/>
      <c r="R214" s="636"/>
      <c r="S214" s="638">
        <f t="shared" si="0"/>
        <v>0</v>
      </c>
      <c r="T214" s="638">
        <f t="shared" si="1"/>
        <v>0</v>
      </c>
      <c r="U214" s="638">
        <f t="shared" si="2"/>
        <v>0</v>
      </c>
      <c r="V214" s="638">
        <f t="shared" si="3"/>
        <v>0</v>
      </c>
      <c r="W214" s="638">
        <f t="shared" si="4"/>
        <v>0</v>
      </c>
      <c r="X214" s="638">
        <f t="shared" si="5"/>
        <v>0</v>
      </c>
      <c r="Y214" s="638">
        <f t="shared" si="6"/>
        <v>0</v>
      </c>
      <c r="Z214" s="638">
        <f t="shared" si="7"/>
        <v>0</v>
      </c>
      <c r="AA214" s="638">
        <f t="shared" si="8"/>
        <v>0</v>
      </c>
      <c r="AB214" s="638">
        <f t="shared" si="9"/>
        <v>0</v>
      </c>
      <c r="AC214" s="638">
        <f t="shared" si="10"/>
        <v>0</v>
      </c>
      <c r="AD214" s="638">
        <f t="shared" si="11"/>
        <v>0</v>
      </c>
      <c r="AE214" s="632"/>
      <c r="AF214" s="632"/>
      <c r="AG214" s="632"/>
      <c r="AH214" s="632"/>
      <c r="AI214" s="632" t="s">
        <v>120</v>
      </c>
      <c r="AJ214" s="639">
        <f t="shared" si="20"/>
        <v>2</v>
      </c>
      <c r="AK214" s="632" t="s">
        <v>120</v>
      </c>
      <c r="AL214" s="632" t="s">
        <v>120</v>
      </c>
      <c r="AM214" s="632" t="s">
        <v>120</v>
      </c>
      <c r="AN214" s="632" t="s">
        <v>120</v>
      </c>
      <c r="AO214" s="632" t="s">
        <v>120</v>
      </c>
    </row>
    <row r="215" customHeight="1" spans="1:41">
      <c r="A215" s="632" t="s">
        <v>481</v>
      </c>
      <c r="B215" s="632"/>
      <c r="C215" s="632"/>
      <c r="D215" s="632"/>
      <c r="E215" s="632"/>
      <c r="F215" s="632"/>
      <c r="G215" s="632"/>
      <c r="H215" s="633">
        <v>1</v>
      </c>
      <c r="I215" s="633">
        <v>0.9</v>
      </c>
      <c r="J215" s="633">
        <v>1.2</v>
      </c>
      <c r="K215" s="633">
        <v>1</v>
      </c>
      <c r="L215" s="633">
        <v>1.19999999999997</v>
      </c>
      <c r="M215" s="632"/>
      <c r="N215" s="632"/>
      <c r="O215" s="632">
        <v>2</v>
      </c>
      <c r="P215" s="636"/>
      <c r="Q215" s="636"/>
      <c r="R215" s="636"/>
      <c r="S215" s="638">
        <f t="shared" si="0"/>
        <v>0</v>
      </c>
      <c r="T215" s="638">
        <f t="shared" si="1"/>
        <v>0</v>
      </c>
      <c r="U215" s="638">
        <f t="shared" si="2"/>
        <v>0</v>
      </c>
      <c r="V215" s="638">
        <f t="shared" si="3"/>
        <v>0</v>
      </c>
      <c r="W215" s="638">
        <f t="shared" si="4"/>
        <v>0</v>
      </c>
      <c r="X215" s="638">
        <f t="shared" si="5"/>
        <v>0</v>
      </c>
      <c r="Y215" s="638">
        <f t="shared" si="6"/>
        <v>0</v>
      </c>
      <c r="Z215" s="638">
        <f t="shared" si="7"/>
        <v>0</v>
      </c>
      <c r="AA215" s="638">
        <f t="shared" si="8"/>
        <v>0</v>
      </c>
      <c r="AB215" s="638">
        <f t="shared" si="9"/>
        <v>0</v>
      </c>
      <c r="AC215" s="638">
        <f t="shared" si="10"/>
        <v>0</v>
      </c>
      <c r="AD215" s="638">
        <f t="shared" si="11"/>
        <v>0</v>
      </c>
      <c r="AE215" s="632"/>
      <c r="AF215" s="632"/>
      <c r="AG215" s="632"/>
      <c r="AH215" s="632"/>
      <c r="AI215" s="632" t="s">
        <v>120</v>
      </c>
      <c r="AJ215" s="639">
        <f t="shared" si="20"/>
        <v>2</v>
      </c>
      <c r="AK215" s="632" t="s">
        <v>120</v>
      </c>
      <c r="AL215" s="632" t="s">
        <v>120</v>
      </c>
      <c r="AM215" s="632" t="s">
        <v>120</v>
      </c>
      <c r="AN215" s="632" t="s">
        <v>120</v>
      </c>
      <c r="AO215" s="632" t="s">
        <v>120</v>
      </c>
    </row>
    <row r="216" customHeight="1" spans="1:41">
      <c r="A216" s="632" t="s">
        <v>482</v>
      </c>
      <c r="B216" s="632"/>
      <c r="C216" s="632"/>
      <c r="D216" s="632"/>
      <c r="E216" s="632"/>
      <c r="F216" s="632"/>
      <c r="G216" s="632"/>
      <c r="H216" s="633">
        <v>1</v>
      </c>
      <c r="I216" s="633">
        <v>0.9</v>
      </c>
      <c r="J216" s="633">
        <v>1.2</v>
      </c>
      <c r="K216" s="633">
        <v>1</v>
      </c>
      <c r="L216" s="633">
        <v>1.19999999999997</v>
      </c>
      <c r="M216" s="632"/>
      <c r="N216" s="632"/>
      <c r="O216" s="632">
        <v>2</v>
      </c>
      <c r="P216" s="636"/>
      <c r="Q216" s="636"/>
      <c r="R216" s="636"/>
      <c r="S216" s="638">
        <f t="shared" si="0"/>
        <v>0</v>
      </c>
      <c r="T216" s="638">
        <f t="shared" si="1"/>
        <v>0</v>
      </c>
      <c r="U216" s="638">
        <f t="shared" si="2"/>
        <v>0</v>
      </c>
      <c r="V216" s="638">
        <f t="shared" si="3"/>
        <v>0</v>
      </c>
      <c r="W216" s="638">
        <f t="shared" si="4"/>
        <v>0</v>
      </c>
      <c r="X216" s="638">
        <f t="shared" si="5"/>
        <v>0</v>
      </c>
      <c r="Y216" s="638">
        <f t="shared" si="6"/>
        <v>0</v>
      </c>
      <c r="Z216" s="638">
        <f t="shared" si="7"/>
        <v>0</v>
      </c>
      <c r="AA216" s="638">
        <f t="shared" si="8"/>
        <v>0</v>
      </c>
      <c r="AB216" s="638">
        <f t="shared" si="9"/>
        <v>0</v>
      </c>
      <c r="AC216" s="638">
        <f t="shared" si="10"/>
        <v>0</v>
      </c>
      <c r="AD216" s="638">
        <f t="shared" si="11"/>
        <v>0</v>
      </c>
      <c r="AE216" s="632"/>
      <c r="AF216" s="632"/>
      <c r="AG216" s="632"/>
      <c r="AH216" s="632"/>
      <c r="AI216" s="632" t="s">
        <v>120</v>
      </c>
      <c r="AJ216" s="639">
        <f t="shared" si="20"/>
        <v>2</v>
      </c>
      <c r="AK216" s="632" t="s">
        <v>120</v>
      </c>
      <c r="AL216" s="632" t="s">
        <v>120</v>
      </c>
      <c r="AM216" s="632" t="s">
        <v>120</v>
      </c>
      <c r="AN216" s="632" t="s">
        <v>120</v>
      </c>
      <c r="AO216" s="632" t="s">
        <v>120</v>
      </c>
    </row>
    <row r="217" customHeight="1" spans="1:41">
      <c r="A217" s="632" t="s">
        <v>249</v>
      </c>
      <c r="B217" s="632"/>
      <c r="C217" s="632"/>
      <c r="D217" s="632"/>
      <c r="E217" s="632"/>
      <c r="F217" s="632"/>
      <c r="G217" s="632"/>
      <c r="H217" s="633">
        <v>1</v>
      </c>
      <c r="I217" s="633">
        <v>0.9</v>
      </c>
      <c r="J217" s="633">
        <v>1.2</v>
      </c>
      <c r="K217" s="633">
        <v>1</v>
      </c>
      <c r="L217" s="633">
        <v>1.19999999999997</v>
      </c>
      <c r="M217" s="632"/>
      <c r="N217" s="632"/>
      <c r="O217" s="632">
        <v>2</v>
      </c>
      <c r="P217" s="636"/>
      <c r="Q217" s="636"/>
      <c r="R217" s="636"/>
      <c r="S217" s="638">
        <f t="shared" si="0"/>
        <v>0</v>
      </c>
      <c r="T217" s="638">
        <f t="shared" si="1"/>
        <v>0</v>
      </c>
      <c r="U217" s="638">
        <f t="shared" si="2"/>
        <v>0</v>
      </c>
      <c r="V217" s="638">
        <f t="shared" si="3"/>
        <v>0</v>
      </c>
      <c r="W217" s="638">
        <f t="shared" si="4"/>
        <v>0</v>
      </c>
      <c r="X217" s="638">
        <f t="shared" si="5"/>
        <v>0</v>
      </c>
      <c r="Y217" s="638">
        <f t="shared" si="6"/>
        <v>0</v>
      </c>
      <c r="Z217" s="638">
        <f t="shared" si="7"/>
        <v>0</v>
      </c>
      <c r="AA217" s="638">
        <f t="shared" si="8"/>
        <v>0</v>
      </c>
      <c r="AB217" s="638">
        <f t="shared" si="9"/>
        <v>0</v>
      </c>
      <c r="AC217" s="638">
        <f t="shared" si="10"/>
        <v>0</v>
      </c>
      <c r="AD217" s="638">
        <f t="shared" si="11"/>
        <v>0</v>
      </c>
      <c r="AE217" s="632"/>
      <c r="AF217" s="632"/>
      <c r="AG217" s="632"/>
      <c r="AH217" s="632"/>
      <c r="AI217" s="632" t="s">
        <v>120</v>
      </c>
      <c r="AJ217" s="639">
        <f t="shared" si="20"/>
        <v>2</v>
      </c>
      <c r="AK217" s="632" t="s">
        <v>120</v>
      </c>
      <c r="AL217" s="632" t="s">
        <v>120</v>
      </c>
      <c r="AM217" s="632" t="s">
        <v>120</v>
      </c>
      <c r="AN217" s="632" t="s">
        <v>120</v>
      </c>
      <c r="AO217" s="632" t="s">
        <v>120</v>
      </c>
    </row>
    <row r="218" customHeight="1" spans="1:41">
      <c r="A218" s="632" t="s">
        <v>483</v>
      </c>
      <c r="B218" s="632"/>
      <c r="C218" s="632"/>
      <c r="D218" s="632"/>
      <c r="E218" s="632"/>
      <c r="F218" s="632"/>
      <c r="G218" s="632"/>
      <c r="H218" s="633">
        <v>1</v>
      </c>
      <c r="I218" s="633">
        <v>0.9</v>
      </c>
      <c r="J218" s="633">
        <v>1.2</v>
      </c>
      <c r="K218" s="633">
        <v>1</v>
      </c>
      <c r="L218" s="633">
        <v>1.19999999999997</v>
      </c>
      <c r="M218" s="632"/>
      <c r="N218" s="632"/>
      <c r="O218" s="632">
        <v>2</v>
      </c>
      <c r="P218" s="636"/>
      <c r="Q218" s="636"/>
      <c r="R218" s="636"/>
      <c r="S218" s="638">
        <f t="shared" si="0"/>
        <v>0</v>
      </c>
      <c r="T218" s="638">
        <f t="shared" si="1"/>
        <v>0</v>
      </c>
      <c r="U218" s="638">
        <f t="shared" si="2"/>
        <v>0</v>
      </c>
      <c r="V218" s="638">
        <f t="shared" si="3"/>
        <v>0</v>
      </c>
      <c r="W218" s="638">
        <f t="shared" si="4"/>
        <v>0</v>
      </c>
      <c r="X218" s="638">
        <f t="shared" si="5"/>
        <v>0</v>
      </c>
      <c r="Y218" s="638">
        <f t="shared" si="6"/>
        <v>0</v>
      </c>
      <c r="Z218" s="638">
        <f t="shared" si="7"/>
        <v>0</v>
      </c>
      <c r="AA218" s="638">
        <f t="shared" si="8"/>
        <v>0</v>
      </c>
      <c r="AB218" s="638">
        <f t="shared" si="9"/>
        <v>0</v>
      </c>
      <c r="AC218" s="638">
        <f t="shared" si="10"/>
        <v>0</v>
      </c>
      <c r="AD218" s="638">
        <f t="shared" si="11"/>
        <v>0</v>
      </c>
      <c r="AE218" s="632"/>
      <c r="AF218" s="632"/>
      <c r="AG218" s="632"/>
      <c r="AH218" s="632"/>
      <c r="AI218" s="632" t="s">
        <v>120</v>
      </c>
      <c r="AJ218" s="639">
        <f t="shared" si="20"/>
        <v>2</v>
      </c>
      <c r="AK218" s="632" t="s">
        <v>120</v>
      </c>
      <c r="AL218" s="632" t="s">
        <v>120</v>
      </c>
      <c r="AM218" s="632" t="s">
        <v>120</v>
      </c>
      <c r="AN218" s="632" t="s">
        <v>120</v>
      </c>
      <c r="AO218" s="632" t="s">
        <v>120</v>
      </c>
    </row>
    <row r="219" customHeight="1" spans="1:41">
      <c r="A219" s="632" t="s">
        <v>484</v>
      </c>
      <c r="B219" s="632"/>
      <c r="C219" s="632"/>
      <c r="D219" s="632"/>
      <c r="E219" s="632"/>
      <c r="F219" s="632"/>
      <c r="G219" s="632"/>
      <c r="H219" s="633">
        <v>1</v>
      </c>
      <c r="I219" s="633">
        <v>0.9</v>
      </c>
      <c r="J219" s="633">
        <v>1.2</v>
      </c>
      <c r="K219" s="633">
        <v>1</v>
      </c>
      <c r="L219" s="633">
        <v>1.19999999999997</v>
      </c>
      <c r="M219" s="632"/>
      <c r="N219" s="632"/>
      <c r="O219" s="632">
        <v>2</v>
      </c>
      <c r="P219" s="636"/>
      <c r="Q219" s="636"/>
      <c r="R219" s="636"/>
      <c r="S219" s="638">
        <f t="shared" si="0"/>
        <v>0</v>
      </c>
      <c r="T219" s="638">
        <f t="shared" si="1"/>
        <v>0</v>
      </c>
      <c r="U219" s="638">
        <f t="shared" si="2"/>
        <v>0</v>
      </c>
      <c r="V219" s="638">
        <f t="shared" si="3"/>
        <v>0</v>
      </c>
      <c r="W219" s="638">
        <f t="shared" si="4"/>
        <v>0</v>
      </c>
      <c r="X219" s="638">
        <f t="shared" si="5"/>
        <v>0</v>
      </c>
      <c r="Y219" s="638">
        <f t="shared" si="6"/>
        <v>0</v>
      </c>
      <c r="Z219" s="638">
        <f t="shared" si="7"/>
        <v>0</v>
      </c>
      <c r="AA219" s="638">
        <f t="shared" si="8"/>
        <v>0</v>
      </c>
      <c r="AB219" s="638">
        <f t="shared" si="9"/>
        <v>0</v>
      </c>
      <c r="AC219" s="638">
        <f t="shared" si="10"/>
        <v>0</v>
      </c>
      <c r="AD219" s="638">
        <f t="shared" si="11"/>
        <v>0</v>
      </c>
      <c r="AE219" s="632"/>
      <c r="AF219" s="632"/>
      <c r="AG219" s="632"/>
      <c r="AH219" s="632"/>
      <c r="AI219" s="632" t="s">
        <v>120</v>
      </c>
      <c r="AJ219" s="639">
        <f t="shared" si="20"/>
        <v>2</v>
      </c>
      <c r="AK219" s="632" t="s">
        <v>120</v>
      </c>
      <c r="AL219" s="632" t="s">
        <v>120</v>
      </c>
      <c r="AM219" s="632" t="s">
        <v>120</v>
      </c>
      <c r="AN219" s="632" t="s">
        <v>120</v>
      </c>
      <c r="AO219" s="632" t="s">
        <v>120</v>
      </c>
    </row>
    <row r="220" customHeight="1" spans="1:41">
      <c r="A220" s="632" t="s">
        <v>485</v>
      </c>
      <c r="B220" s="632"/>
      <c r="C220" s="632"/>
      <c r="D220" s="632"/>
      <c r="E220" s="632"/>
      <c r="F220" s="632"/>
      <c r="G220" s="632"/>
      <c r="H220" s="633">
        <v>1</v>
      </c>
      <c r="I220" s="633">
        <v>0.9</v>
      </c>
      <c r="J220" s="633">
        <v>1.2</v>
      </c>
      <c r="K220" s="633">
        <v>1</v>
      </c>
      <c r="L220" s="633">
        <v>1.19999999999997</v>
      </c>
      <c r="M220" s="632"/>
      <c r="N220" s="632"/>
      <c r="O220" s="632">
        <v>2</v>
      </c>
      <c r="P220" s="636"/>
      <c r="Q220" s="636"/>
      <c r="R220" s="636"/>
      <c r="S220" s="638">
        <f t="shared" si="0"/>
        <v>0</v>
      </c>
      <c r="T220" s="638">
        <f t="shared" si="1"/>
        <v>0</v>
      </c>
      <c r="U220" s="638">
        <f t="shared" si="2"/>
        <v>0</v>
      </c>
      <c r="V220" s="638">
        <f t="shared" si="3"/>
        <v>0</v>
      </c>
      <c r="W220" s="638">
        <f t="shared" si="4"/>
        <v>0</v>
      </c>
      <c r="X220" s="638">
        <f t="shared" si="5"/>
        <v>0</v>
      </c>
      <c r="Y220" s="638">
        <f t="shared" si="6"/>
        <v>0</v>
      </c>
      <c r="Z220" s="638">
        <f t="shared" si="7"/>
        <v>0</v>
      </c>
      <c r="AA220" s="638">
        <f t="shared" si="8"/>
        <v>0</v>
      </c>
      <c r="AB220" s="638">
        <f t="shared" si="9"/>
        <v>0</v>
      </c>
      <c r="AC220" s="638">
        <f t="shared" si="10"/>
        <v>0</v>
      </c>
      <c r="AD220" s="638">
        <f t="shared" si="11"/>
        <v>0</v>
      </c>
      <c r="AE220" s="632"/>
      <c r="AF220" s="632"/>
      <c r="AG220" s="632"/>
      <c r="AH220" s="632"/>
      <c r="AI220" s="632" t="s">
        <v>120</v>
      </c>
      <c r="AJ220" s="639">
        <f t="shared" si="20"/>
        <v>2</v>
      </c>
      <c r="AK220" s="632" t="s">
        <v>120</v>
      </c>
      <c r="AL220" s="632" t="s">
        <v>120</v>
      </c>
      <c r="AM220" s="632" t="s">
        <v>120</v>
      </c>
      <c r="AN220" s="632" t="s">
        <v>120</v>
      </c>
      <c r="AO220" s="632" t="s">
        <v>120</v>
      </c>
    </row>
    <row r="221" customHeight="1" spans="1:41">
      <c r="A221" s="632" t="s">
        <v>486</v>
      </c>
      <c r="B221" s="632"/>
      <c r="C221" s="632"/>
      <c r="D221" s="632"/>
      <c r="E221" s="632"/>
      <c r="F221" s="632"/>
      <c r="G221" s="632"/>
      <c r="H221" s="633">
        <v>1</v>
      </c>
      <c r="I221" s="633">
        <v>0.9</v>
      </c>
      <c r="J221" s="633">
        <v>1.2</v>
      </c>
      <c r="K221" s="633">
        <v>1</v>
      </c>
      <c r="L221" s="633">
        <v>1.19999999999997</v>
      </c>
      <c r="M221" s="632"/>
      <c r="N221" s="632"/>
      <c r="O221" s="632">
        <v>2</v>
      </c>
      <c r="P221" s="636"/>
      <c r="Q221" s="636"/>
      <c r="R221" s="636"/>
      <c r="S221" s="638">
        <f t="shared" si="0"/>
        <v>0</v>
      </c>
      <c r="T221" s="638">
        <f t="shared" si="1"/>
        <v>0</v>
      </c>
      <c r="U221" s="638">
        <f t="shared" si="2"/>
        <v>0</v>
      </c>
      <c r="V221" s="638">
        <f t="shared" si="3"/>
        <v>0</v>
      </c>
      <c r="W221" s="638">
        <f t="shared" si="4"/>
        <v>0</v>
      </c>
      <c r="X221" s="638">
        <f t="shared" si="5"/>
        <v>0</v>
      </c>
      <c r="Y221" s="638">
        <f t="shared" si="6"/>
        <v>0</v>
      </c>
      <c r="Z221" s="638">
        <f t="shared" si="7"/>
        <v>0</v>
      </c>
      <c r="AA221" s="638">
        <f t="shared" si="8"/>
        <v>0</v>
      </c>
      <c r="AB221" s="638">
        <f t="shared" si="9"/>
        <v>0</v>
      </c>
      <c r="AC221" s="638">
        <f t="shared" si="10"/>
        <v>0</v>
      </c>
      <c r="AD221" s="638">
        <f t="shared" si="11"/>
        <v>0</v>
      </c>
      <c r="AE221" s="632"/>
      <c r="AF221" s="632"/>
      <c r="AG221" s="632"/>
      <c r="AH221" s="632"/>
      <c r="AI221" s="632" t="s">
        <v>120</v>
      </c>
      <c r="AJ221" s="639">
        <f t="shared" si="20"/>
        <v>2</v>
      </c>
      <c r="AK221" s="632" t="s">
        <v>120</v>
      </c>
      <c r="AL221" s="632" t="s">
        <v>120</v>
      </c>
      <c r="AM221" s="632" t="s">
        <v>120</v>
      </c>
      <c r="AN221" s="632" t="s">
        <v>120</v>
      </c>
      <c r="AO221" s="632" t="s">
        <v>120</v>
      </c>
    </row>
    <row r="222" customHeight="1" spans="1:41">
      <c r="A222" s="632" t="s">
        <v>487</v>
      </c>
      <c r="B222" s="632"/>
      <c r="C222" s="632"/>
      <c r="D222" s="632"/>
      <c r="E222" s="632"/>
      <c r="F222" s="632"/>
      <c r="G222" s="632"/>
      <c r="H222" s="633">
        <v>1</v>
      </c>
      <c r="I222" s="633">
        <v>0.9</v>
      </c>
      <c r="J222" s="633">
        <v>1.2</v>
      </c>
      <c r="K222" s="633">
        <v>1</v>
      </c>
      <c r="L222" s="633">
        <v>1.19999999999997</v>
      </c>
      <c r="M222" s="632"/>
      <c r="N222" s="632"/>
      <c r="O222" s="632">
        <v>2</v>
      </c>
      <c r="P222" s="636"/>
      <c r="Q222" s="636"/>
      <c r="R222" s="636"/>
      <c r="S222" s="638">
        <f t="shared" si="0"/>
        <v>0</v>
      </c>
      <c r="T222" s="638">
        <f t="shared" si="1"/>
        <v>0</v>
      </c>
      <c r="U222" s="638">
        <f t="shared" si="2"/>
        <v>0</v>
      </c>
      <c r="V222" s="638">
        <f t="shared" si="3"/>
        <v>0</v>
      </c>
      <c r="W222" s="638">
        <f t="shared" si="4"/>
        <v>0</v>
      </c>
      <c r="X222" s="638">
        <f t="shared" si="5"/>
        <v>0</v>
      </c>
      <c r="Y222" s="638">
        <f t="shared" si="6"/>
        <v>0</v>
      </c>
      <c r="Z222" s="638">
        <f t="shared" si="7"/>
        <v>0</v>
      </c>
      <c r="AA222" s="638">
        <f t="shared" si="8"/>
        <v>0</v>
      </c>
      <c r="AB222" s="638">
        <f t="shared" si="9"/>
        <v>0</v>
      </c>
      <c r="AC222" s="638">
        <f t="shared" si="10"/>
        <v>0</v>
      </c>
      <c r="AD222" s="638">
        <f t="shared" si="11"/>
        <v>0</v>
      </c>
      <c r="AE222" s="632"/>
      <c r="AF222" s="632"/>
      <c r="AG222" s="632"/>
      <c r="AH222" s="632"/>
      <c r="AI222" s="632" t="s">
        <v>120</v>
      </c>
      <c r="AJ222" s="639">
        <f t="shared" si="20"/>
        <v>2</v>
      </c>
      <c r="AK222" s="632" t="s">
        <v>120</v>
      </c>
      <c r="AL222" s="632" t="s">
        <v>120</v>
      </c>
      <c r="AM222" s="632" t="s">
        <v>120</v>
      </c>
      <c r="AN222" s="632" t="s">
        <v>120</v>
      </c>
      <c r="AO222" s="632" t="s">
        <v>120</v>
      </c>
    </row>
    <row r="223" customHeight="1" spans="1:41">
      <c r="A223" s="632" t="s">
        <v>488</v>
      </c>
      <c r="B223" s="632"/>
      <c r="C223" s="632"/>
      <c r="D223" s="632"/>
      <c r="E223" s="632"/>
      <c r="F223" s="632"/>
      <c r="G223" s="632"/>
      <c r="H223" s="633">
        <v>1</v>
      </c>
      <c r="I223" s="633">
        <v>0.9</v>
      </c>
      <c r="J223" s="633">
        <v>1.2</v>
      </c>
      <c r="K223" s="633">
        <v>1</v>
      </c>
      <c r="L223" s="633">
        <v>1.19999999999997</v>
      </c>
      <c r="M223" s="632"/>
      <c r="N223" s="632"/>
      <c r="O223" s="632">
        <v>2</v>
      </c>
      <c r="P223" s="636"/>
      <c r="Q223" s="636"/>
      <c r="R223" s="636"/>
      <c r="S223" s="638">
        <f t="shared" si="0"/>
        <v>0</v>
      </c>
      <c r="T223" s="638">
        <f t="shared" si="1"/>
        <v>0</v>
      </c>
      <c r="U223" s="638">
        <f t="shared" si="2"/>
        <v>0</v>
      </c>
      <c r="V223" s="638">
        <f t="shared" si="3"/>
        <v>0</v>
      </c>
      <c r="W223" s="638">
        <f t="shared" si="4"/>
        <v>0</v>
      </c>
      <c r="X223" s="638">
        <f t="shared" si="5"/>
        <v>0</v>
      </c>
      <c r="Y223" s="638">
        <f t="shared" si="6"/>
        <v>0</v>
      </c>
      <c r="Z223" s="638">
        <f t="shared" si="7"/>
        <v>0</v>
      </c>
      <c r="AA223" s="638">
        <f t="shared" si="8"/>
        <v>0</v>
      </c>
      <c r="AB223" s="638">
        <f t="shared" si="9"/>
        <v>0</v>
      </c>
      <c r="AC223" s="638">
        <f t="shared" si="10"/>
        <v>0</v>
      </c>
      <c r="AD223" s="638">
        <f t="shared" si="11"/>
        <v>0</v>
      </c>
      <c r="AE223" s="632"/>
      <c r="AF223" s="632"/>
      <c r="AG223" s="632"/>
      <c r="AH223" s="632"/>
      <c r="AI223" s="632" t="s">
        <v>120</v>
      </c>
      <c r="AJ223" s="639">
        <f t="shared" si="20"/>
        <v>2</v>
      </c>
      <c r="AK223" s="632" t="s">
        <v>120</v>
      </c>
      <c r="AL223" s="632" t="s">
        <v>120</v>
      </c>
      <c r="AM223" s="632" t="s">
        <v>120</v>
      </c>
      <c r="AN223" s="632" t="s">
        <v>120</v>
      </c>
      <c r="AO223" s="632" t="s">
        <v>120</v>
      </c>
    </row>
    <row r="224" customHeight="1" spans="1:41">
      <c r="A224" s="632" t="s">
        <v>489</v>
      </c>
      <c r="B224" s="632"/>
      <c r="C224" s="632"/>
      <c r="D224" s="632"/>
      <c r="E224" s="632"/>
      <c r="F224" s="632"/>
      <c r="G224" s="632"/>
      <c r="H224" s="633">
        <v>1</v>
      </c>
      <c r="I224" s="633">
        <v>0.9</v>
      </c>
      <c r="J224" s="633">
        <v>1.2</v>
      </c>
      <c r="K224" s="633">
        <v>1</v>
      </c>
      <c r="L224" s="633">
        <v>1.19999999999997</v>
      </c>
      <c r="M224" s="632"/>
      <c r="N224" s="632"/>
      <c r="O224" s="632">
        <v>2</v>
      </c>
      <c r="P224" s="636"/>
      <c r="Q224" s="636"/>
      <c r="R224" s="636"/>
      <c r="S224" s="638">
        <f t="shared" si="0"/>
        <v>0</v>
      </c>
      <c r="T224" s="638">
        <f t="shared" si="1"/>
        <v>0</v>
      </c>
      <c r="U224" s="638">
        <f t="shared" si="2"/>
        <v>0</v>
      </c>
      <c r="V224" s="638">
        <f t="shared" si="3"/>
        <v>0</v>
      </c>
      <c r="W224" s="638">
        <f t="shared" si="4"/>
        <v>0</v>
      </c>
      <c r="X224" s="638">
        <f t="shared" si="5"/>
        <v>0</v>
      </c>
      <c r="Y224" s="638">
        <f t="shared" si="6"/>
        <v>0</v>
      </c>
      <c r="Z224" s="638">
        <f t="shared" si="7"/>
        <v>0</v>
      </c>
      <c r="AA224" s="638">
        <f t="shared" si="8"/>
        <v>0</v>
      </c>
      <c r="AB224" s="638">
        <f t="shared" si="9"/>
        <v>0</v>
      </c>
      <c r="AC224" s="638">
        <f t="shared" si="10"/>
        <v>0</v>
      </c>
      <c r="AD224" s="638">
        <f t="shared" si="11"/>
        <v>0</v>
      </c>
      <c r="AE224" s="632"/>
      <c r="AF224" s="632"/>
      <c r="AG224" s="632"/>
      <c r="AH224" s="632"/>
      <c r="AI224" s="632" t="s">
        <v>120</v>
      </c>
      <c r="AJ224" s="639">
        <f t="shared" si="20"/>
        <v>2</v>
      </c>
      <c r="AK224" s="632" t="s">
        <v>120</v>
      </c>
      <c r="AL224" s="632" t="s">
        <v>120</v>
      </c>
      <c r="AM224" s="632" t="s">
        <v>120</v>
      </c>
      <c r="AN224" s="632" t="s">
        <v>120</v>
      </c>
      <c r="AO224" s="632" t="s">
        <v>120</v>
      </c>
    </row>
    <row r="225" customHeight="1" spans="1:41">
      <c r="A225" s="632" t="s">
        <v>490</v>
      </c>
      <c r="B225" s="632"/>
      <c r="C225" s="632"/>
      <c r="D225" s="632"/>
      <c r="E225" s="632"/>
      <c r="F225" s="632"/>
      <c r="G225" s="632"/>
      <c r="H225" s="633">
        <v>1</v>
      </c>
      <c r="I225" s="633">
        <v>0.9</v>
      </c>
      <c r="J225" s="633">
        <v>1.2</v>
      </c>
      <c r="K225" s="633">
        <v>1</v>
      </c>
      <c r="L225" s="633">
        <v>1.19999999999997</v>
      </c>
      <c r="M225" s="632"/>
      <c r="N225" s="632"/>
      <c r="O225" s="632">
        <v>2</v>
      </c>
      <c r="P225" s="636"/>
      <c r="Q225" s="636"/>
      <c r="R225" s="636"/>
      <c r="S225" s="638">
        <f t="shared" si="0"/>
        <v>0</v>
      </c>
      <c r="T225" s="638">
        <f t="shared" si="1"/>
        <v>0</v>
      </c>
      <c r="U225" s="638">
        <f t="shared" si="2"/>
        <v>0</v>
      </c>
      <c r="V225" s="638">
        <f t="shared" si="3"/>
        <v>0</v>
      </c>
      <c r="W225" s="638">
        <f t="shared" si="4"/>
        <v>0</v>
      </c>
      <c r="X225" s="638">
        <f t="shared" si="5"/>
        <v>0</v>
      </c>
      <c r="Y225" s="638">
        <f t="shared" si="6"/>
        <v>0</v>
      </c>
      <c r="Z225" s="638">
        <f t="shared" si="7"/>
        <v>0</v>
      </c>
      <c r="AA225" s="638">
        <f t="shared" si="8"/>
        <v>0</v>
      </c>
      <c r="AB225" s="638">
        <f t="shared" si="9"/>
        <v>0</v>
      </c>
      <c r="AC225" s="638">
        <f t="shared" si="10"/>
        <v>0</v>
      </c>
      <c r="AD225" s="638">
        <f t="shared" si="11"/>
        <v>0</v>
      </c>
      <c r="AE225" s="632"/>
      <c r="AF225" s="632"/>
      <c r="AG225" s="632"/>
      <c r="AH225" s="632"/>
      <c r="AI225" s="632" t="s">
        <v>120</v>
      </c>
      <c r="AJ225" s="639">
        <f t="shared" si="20"/>
        <v>2</v>
      </c>
      <c r="AK225" s="632" t="s">
        <v>120</v>
      </c>
      <c r="AL225" s="632" t="s">
        <v>120</v>
      </c>
      <c r="AM225" s="632" t="s">
        <v>120</v>
      </c>
      <c r="AN225" s="632" t="s">
        <v>120</v>
      </c>
      <c r="AO225" s="632" t="s">
        <v>120</v>
      </c>
    </row>
    <row r="226" customHeight="1" spans="1:41">
      <c r="A226" s="632" t="s">
        <v>491</v>
      </c>
      <c r="B226" s="632"/>
      <c r="C226" s="632"/>
      <c r="D226" s="632"/>
      <c r="E226" s="632"/>
      <c r="F226" s="632"/>
      <c r="G226" s="632"/>
      <c r="H226" s="633">
        <v>1</v>
      </c>
      <c r="I226" s="633">
        <v>0.9</v>
      </c>
      <c r="J226" s="633">
        <v>1.2</v>
      </c>
      <c r="K226" s="633">
        <v>1</v>
      </c>
      <c r="L226" s="633">
        <v>1.19999999999997</v>
      </c>
      <c r="M226" s="632"/>
      <c r="N226" s="632"/>
      <c r="O226" s="632">
        <v>2</v>
      </c>
      <c r="P226" s="636"/>
      <c r="Q226" s="636"/>
      <c r="R226" s="636"/>
      <c r="S226" s="638">
        <f t="shared" si="0"/>
        <v>0</v>
      </c>
      <c r="T226" s="638">
        <f t="shared" si="1"/>
        <v>0</v>
      </c>
      <c r="U226" s="638">
        <f t="shared" si="2"/>
        <v>0</v>
      </c>
      <c r="V226" s="638">
        <f t="shared" si="3"/>
        <v>0</v>
      </c>
      <c r="W226" s="638">
        <f t="shared" si="4"/>
        <v>0</v>
      </c>
      <c r="X226" s="638">
        <f t="shared" si="5"/>
        <v>0</v>
      </c>
      <c r="Y226" s="638">
        <f t="shared" si="6"/>
        <v>0</v>
      </c>
      <c r="Z226" s="638">
        <f t="shared" si="7"/>
        <v>0</v>
      </c>
      <c r="AA226" s="638">
        <f t="shared" si="8"/>
        <v>0</v>
      </c>
      <c r="AB226" s="638">
        <f t="shared" si="9"/>
        <v>0</v>
      </c>
      <c r="AC226" s="638">
        <f t="shared" si="10"/>
        <v>0</v>
      </c>
      <c r="AD226" s="638">
        <f t="shared" si="11"/>
        <v>0</v>
      </c>
      <c r="AE226" s="632"/>
      <c r="AF226" s="632"/>
      <c r="AG226" s="632"/>
      <c r="AH226" s="632"/>
      <c r="AI226" s="632" t="s">
        <v>120</v>
      </c>
      <c r="AJ226" s="639">
        <f t="shared" si="20"/>
        <v>2</v>
      </c>
      <c r="AK226" s="632" t="s">
        <v>120</v>
      </c>
      <c r="AL226" s="632" t="s">
        <v>120</v>
      </c>
      <c r="AM226" s="632" t="s">
        <v>120</v>
      </c>
      <c r="AN226" s="632" t="s">
        <v>120</v>
      </c>
      <c r="AO226" s="632" t="s">
        <v>120</v>
      </c>
    </row>
    <row r="227" customHeight="1" spans="1:41">
      <c r="A227" s="632" t="s">
        <v>492</v>
      </c>
      <c r="B227" s="632"/>
      <c r="C227" s="632"/>
      <c r="D227" s="632"/>
      <c r="E227" s="632"/>
      <c r="F227" s="632"/>
      <c r="G227" s="632"/>
      <c r="H227" s="633">
        <v>1</v>
      </c>
      <c r="I227" s="633">
        <v>0.9</v>
      </c>
      <c r="J227" s="633">
        <v>1.2</v>
      </c>
      <c r="K227" s="633">
        <v>1</v>
      </c>
      <c r="L227" s="633">
        <v>1.19999999999997</v>
      </c>
      <c r="M227" s="632"/>
      <c r="N227" s="632"/>
      <c r="O227" s="632">
        <v>2</v>
      </c>
      <c r="P227" s="636"/>
      <c r="Q227" s="636"/>
      <c r="R227" s="636"/>
      <c r="S227" s="638">
        <f t="shared" si="0"/>
        <v>0</v>
      </c>
      <c r="T227" s="638">
        <f t="shared" si="1"/>
        <v>0</v>
      </c>
      <c r="U227" s="638">
        <f t="shared" si="2"/>
        <v>0</v>
      </c>
      <c r="V227" s="638">
        <f t="shared" si="3"/>
        <v>0</v>
      </c>
      <c r="W227" s="638">
        <f t="shared" si="4"/>
        <v>0</v>
      </c>
      <c r="X227" s="638">
        <f t="shared" si="5"/>
        <v>0</v>
      </c>
      <c r="Y227" s="638">
        <f t="shared" si="6"/>
        <v>0</v>
      </c>
      <c r="Z227" s="638">
        <f t="shared" si="7"/>
        <v>0</v>
      </c>
      <c r="AA227" s="638">
        <f t="shared" si="8"/>
        <v>0</v>
      </c>
      <c r="AB227" s="638">
        <f t="shared" si="9"/>
        <v>0</v>
      </c>
      <c r="AC227" s="638">
        <f t="shared" si="10"/>
        <v>0</v>
      </c>
      <c r="AD227" s="638">
        <f t="shared" si="11"/>
        <v>0</v>
      </c>
      <c r="AE227" s="632"/>
      <c r="AF227" s="632"/>
      <c r="AG227" s="632"/>
      <c r="AH227" s="632"/>
      <c r="AI227" s="632" t="s">
        <v>120</v>
      </c>
      <c r="AJ227" s="639">
        <f t="shared" si="20"/>
        <v>2</v>
      </c>
      <c r="AK227" s="632" t="s">
        <v>120</v>
      </c>
      <c r="AL227" s="632" t="s">
        <v>120</v>
      </c>
      <c r="AM227" s="632" t="s">
        <v>120</v>
      </c>
      <c r="AN227" s="632" t="s">
        <v>120</v>
      </c>
      <c r="AO227" s="632" t="s">
        <v>120</v>
      </c>
    </row>
    <row r="228" customHeight="1" spans="1:41">
      <c r="A228" s="632" t="s">
        <v>493</v>
      </c>
      <c r="B228" s="632"/>
      <c r="C228" s="632"/>
      <c r="D228" s="632"/>
      <c r="E228" s="632"/>
      <c r="F228" s="632"/>
      <c r="G228" s="632"/>
      <c r="H228" s="633">
        <v>1</v>
      </c>
      <c r="I228" s="633">
        <v>0.9</v>
      </c>
      <c r="J228" s="633">
        <v>1.2</v>
      </c>
      <c r="K228" s="633">
        <v>1</v>
      </c>
      <c r="L228" s="633">
        <v>1.19999999999997</v>
      </c>
      <c r="M228" s="632"/>
      <c r="N228" s="632"/>
      <c r="O228" s="632">
        <v>2</v>
      </c>
      <c r="P228" s="636"/>
      <c r="Q228" s="636"/>
      <c r="R228" s="636"/>
      <c r="S228" s="638">
        <f t="shared" si="0"/>
        <v>0</v>
      </c>
      <c r="T228" s="638">
        <f t="shared" si="1"/>
        <v>0</v>
      </c>
      <c r="U228" s="638">
        <f t="shared" si="2"/>
        <v>0</v>
      </c>
      <c r="V228" s="638">
        <f t="shared" si="3"/>
        <v>0</v>
      </c>
      <c r="W228" s="638">
        <f t="shared" si="4"/>
        <v>0</v>
      </c>
      <c r="X228" s="638">
        <f t="shared" si="5"/>
        <v>0</v>
      </c>
      <c r="Y228" s="638">
        <f t="shared" si="6"/>
        <v>0</v>
      </c>
      <c r="Z228" s="638">
        <f t="shared" si="7"/>
        <v>0</v>
      </c>
      <c r="AA228" s="638">
        <f t="shared" si="8"/>
        <v>0</v>
      </c>
      <c r="AB228" s="638">
        <f t="shared" si="9"/>
        <v>0</v>
      </c>
      <c r="AC228" s="638">
        <f t="shared" si="10"/>
        <v>0</v>
      </c>
      <c r="AD228" s="638">
        <f t="shared" si="11"/>
        <v>0</v>
      </c>
      <c r="AE228" s="632"/>
      <c r="AF228" s="632"/>
      <c r="AG228" s="632"/>
      <c r="AH228" s="632"/>
      <c r="AI228" s="632" t="s">
        <v>120</v>
      </c>
      <c r="AJ228" s="639">
        <f t="shared" si="20"/>
        <v>2</v>
      </c>
      <c r="AK228" s="632" t="s">
        <v>120</v>
      </c>
      <c r="AL228" s="632" t="s">
        <v>120</v>
      </c>
      <c r="AM228" s="632" t="s">
        <v>120</v>
      </c>
      <c r="AN228" s="632" t="s">
        <v>120</v>
      </c>
      <c r="AO228" s="632" t="s">
        <v>120</v>
      </c>
    </row>
    <row r="229" customHeight="1" spans="1:41">
      <c r="A229" s="632" t="s">
        <v>494</v>
      </c>
      <c r="B229" s="632"/>
      <c r="C229" s="632"/>
      <c r="D229" s="632"/>
      <c r="E229" s="632"/>
      <c r="F229" s="632"/>
      <c r="G229" s="632"/>
      <c r="H229" s="633">
        <v>1</v>
      </c>
      <c r="I229" s="633">
        <v>0.9</v>
      </c>
      <c r="J229" s="633">
        <v>1.2</v>
      </c>
      <c r="K229" s="633">
        <v>1</v>
      </c>
      <c r="L229" s="633">
        <v>1.19999999999997</v>
      </c>
      <c r="M229" s="632"/>
      <c r="N229" s="632"/>
      <c r="O229" s="632">
        <v>2</v>
      </c>
      <c r="P229" s="636"/>
      <c r="Q229" s="636"/>
      <c r="R229" s="636"/>
      <c r="S229" s="638">
        <f t="shared" si="0"/>
        <v>0</v>
      </c>
      <c r="T229" s="638">
        <f t="shared" si="1"/>
        <v>0</v>
      </c>
      <c r="U229" s="638">
        <f t="shared" si="2"/>
        <v>0</v>
      </c>
      <c r="V229" s="638">
        <f t="shared" si="3"/>
        <v>0</v>
      </c>
      <c r="W229" s="638">
        <f t="shared" si="4"/>
        <v>0</v>
      </c>
      <c r="X229" s="638">
        <f t="shared" si="5"/>
        <v>0</v>
      </c>
      <c r="Y229" s="638">
        <f t="shared" si="6"/>
        <v>0</v>
      </c>
      <c r="Z229" s="638">
        <f t="shared" si="7"/>
        <v>0</v>
      </c>
      <c r="AA229" s="638">
        <f t="shared" si="8"/>
        <v>0</v>
      </c>
      <c r="AB229" s="638">
        <f t="shared" si="9"/>
        <v>0</v>
      </c>
      <c r="AC229" s="638">
        <f t="shared" si="10"/>
        <v>0</v>
      </c>
      <c r="AD229" s="638">
        <f t="shared" si="11"/>
        <v>0</v>
      </c>
      <c r="AE229" s="632"/>
      <c r="AF229" s="632"/>
      <c r="AG229" s="632"/>
      <c r="AH229" s="632"/>
      <c r="AI229" s="632" t="s">
        <v>120</v>
      </c>
      <c r="AJ229" s="639">
        <f t="shared" si="20"/>
        <v>2</v>
      </c>
      <c r="AK229" s="632" t="s">
        <v>120</v>
      </c>
      <c r="AL229" s="632" t="s">
        <v>120</v>
      </c>
      <c r="AM229" s="632" t="s">
        <v>120</v>
      </c>
      <c r="AN229" s="632" t="s">
        <v>120</v>
      </c>
      <c r="AO229" s="632" t="s">
        <v>120</v>
      </c>
    </row>
    <row r="230" customHeight="1" spans="1:41">
      <c r="A230" s="632" t="s">
        <v>495</v>
      </c>
      <c r="B230" s="632"/>
      <c r="C230" s="632"/>
      <c r="D230" s="632"/>
      <c r="E230" s="632"/>
      <c r="F230" s="632"/>
      <c r="G230" s="632"/>
      <c r="H230" s="633">
        <v>1</v>
      </c>
      <c r="I230" s="633">
        <v>0.9</v>
      </c>
      <c r="J230" s="633">
        <v>1.2</v>
      </c>
      <c r="K230" s="633">
        <v>1</v>
      </c>
      <c r="L230" s="633">
        <v>1.19999999999997</v>
      </c>
      <c r="M230" s="632"/>
      <c r="N230" s="632"/>
      <c r="O230" s="632">
        <v>2</v>
      </c>
      <c r="P230" s="636"/>
      <c r="Q230" s="636"/>
      <c r="R230" s="636"/>
      <c r="S230" s="638">
        <f t="shared" si="0"/>
        <v>0</v>
      </c>
      <c r="T230" s="638">
        <f t="shared" si="1"/>
        <v>0</v>
      </c>
      <c r="U230" s="638">
        <f t="shared" si="2"/>
        <v>0</v>
      </c>
      <c r="V230" s="638">
        <f t="shared" si="3"/>
        <v>0</v>
      </c>
      <c r="W230" s="638">
        <f t="shared" si="4"/>
        <v>0</v>
      </c>
      <c r="X230" s="638">
        <f t="shared" si="5"/>
        <v>0</v>
      </c>
      <c r="Y230" s="638">
        <f t="shared" si="6"/>
        <v>0</v>
      </c>
      <c r="Z230" s="638">
        <f t="shared" si="7"/>
        <v>0</v>
      </c>
      <c r="AA230" s="638">
        <f t="shared" si="8"/>
        <v>0</v>
      </c>
      <c r="AB230" s="638">
        <f t="shared" si="9"/>
        <v>0</v>
      </c>
      <c r="AC230" s="638">
        <f t="shared" si="10"/>
        <v>0</v>
      </c>
      <c r="AD230" s="638">
        <f t="shared" si="11"/>
        <v>0</v>
      </c>
      <c r="AE230" s="632"/>
      <c r="AF230" s="632"/>
      <c r="AG230" s="632"/>
      <c r="AH230" s="632"/>
      <c r="AI230" s="632" t="s">
        <v>120</v>
      </c>
      <c r="AJ230" s="639">
        <f t="shared" si="20"/>
        <v>2</v>
      </c>
      <c r="AK230" s="632" t="s">
        <v>120</v>
      </c>
      <c r="AL230" s="632" t="s">
        <v>120</v>
      </c>
      <c r="AM230" s="632" t="s">
        <v>120</v>
      </c>
      <c r="AN230" s="632" t="s">
        <v>120</v>
      </c>
      <c r="AO230" s="632" t="s">
        <v>120</v>
      </c>
    </row>
    <row r="231" customHeight="1" spans="1:41">
      <c r="A231" s="632" t="s">
        <v>496</v>
      </c>
      <c r="B231" s="632"/>
      <c r="C231" s="632"/>
      <c r="D231" s="632"/>
      <c r="E231" s="632"/>
      <c r="F231" s="632"/>
      <c r="G231" s="632"/>
      <c r="H231" s="633">
        <v>1</v>
      </c>
      <c r="I231" s="633">
        <v>0.9</v>
      </c>
      <c r="J231" s="633">
        <v>1.2</v>
      </c>
      <c r="K231" s="633">
        <v>1</v>
      </c>
      <c r="L231" s="633">
        <v>1.19999999999997</v>
      </c>
      <c r="M231" s="632"/>
      <c r="N231" s="632"/>
      <c r="O231" s="632">
        <v>2</v>
      </c>
      <c r="P231" s="636"/>
      <c r="Q231" s="636"/>
      <c r="R231" s="636"/>
      <c r="S231" s="638">
        <f t="shared" si="0"/>
        <v>0</v>
      </c>
      <c r="T231" s="638">
        <f t="shared" si="1"/>
        <v>0</v>
      </c>
      <c r="U231" s="638">
        <f t="shared" si="2"/>
        <v>0</v>
      </c>
      <c r="V231" s="638">
        <f t="shared" si="3"/>
        <v>0</v>
      </c>
      <c r="W231" s="638">
        <f t="shared" si="4"/>
        <v>0</v>
      </c>
      <c r="X231" s="638">
        <f t="shared" si="5"/>
        <v>0</v>
      </c>
      <c r="Y231" s="638">
        <f t="shared" si="6"/>
        <v>0</v>
      </c>
      <c r="Z231" s="638">
        <f t="shared" si="7"/>
        <v>0</v>
      </c>
      <c r="AA231" s="638">
        <f t="shared" si="8"/>
        <v>0</v>
      </c>
      <c r="AB231" s="638">
        <f t="shared" si="9"/>
        <v>0</v>
      </c>
      <c r="AC231" s="638">
        <f t="shared" si="10"/>
        <v>0</v>
      </c>
      <c r="AD231" s="638">
        <f t="shared" si="11"/>
        <v>0</v>
      </c>
      <c r="AE231" s="632"/>
      <c r="AF231" s="632"/>
      <c r="AG231" s="632"/>
      <c r="AH231" s="632"/>
      <c r="AI231" s="632" t="s">
        <v>120</v>
      </c>
      <c r="AJ231" s="639">
        <f t="shared" si="20"/>
        <v>2</v>
      </c>
      <c r="AK231" s="632" t="s">
        <v>120</v>
      </c>
      <c r="AL231" s="632" t="s">
        <v>120</v>
      </c>
      <c r="AM231" s="632" t="s">
        <v>120</v>
      </c>
      <c r="AN231" s="632" t="s">
        <v>120</v>
      </c>
      <c r="AO231" s="632" t="s">
        <v>120</v>
      </c>
    </row>
    <row r="232" customHeight="1" spans="1:41">
      <c r="A232" s="632" t="s">
        <v>497</v>
      </c>
      <c r="B232" s="632"/>
      <c r="C232" s="632"/>
      <c r="D232" s="632"/>
      <c r="E232" s="632"/>
      <c r="F232" s="632"/>
      <c r="G232" s="632"/>
      <c r="H232" s="633">
        <v>1</v>
      </c>
      <c r="I232" s="633">
        <v>0.9</v>
      </c>
      <c r="J232" s="633">
        <v>1.2</v>
      </c>
      <c r="K232" s="633">
        <v>1</v>
      </c>
      <c r="L232" s="633">
        <v>1.19999999999997</v>
      </c>
      <c r="M232" s="632"/>
      <c r="N232" s="632"/>
      <c r="O232" s="632">
        <v>2</v>
      </c>
      <c r="P232" s="636"/>
      <c r="Q232" s="636"/>
      <c r="R232" s="636"/>
      <c r="S232" s="638">
        <f t="shared" si="0"/>
        <v>0</v>
      </c>
      <c r="T232" s="638">
        <f t="shared" si="1"/>
        <v>0</v>
      </c>
      <c r="U232" s="638">
        <f t="shared" si="2"/>
        <v>0</v>
      </c>
      <c r="V232" s="638">
        <f t="shared" si="3"/>
        <v>0</v>
      </c>
      <c r="W232" s="638">
        <f t="shared" si="4"/>
        <v>0</v>
      </c>
      <c r="X232" s="638">
        <f t="shared" si="5"/>
        <v>0</v>
      </c>
      <c r="Y232" s="638">
        <f t="shared" si="6"/>
        <v>0</v>
      </c>
      <c r="Z232" s="638">
        <f t="shared" si="7"/>
        <v>0</v>
      </c>
      <c r="AA232" s="638">
        <f t="shared" si="8"/>
        <v>0</v>
      </c>
      <c r="AB232" s="638">
        <f t="shared" si="9"/>
        <v>0</v>
      </c>
      <c r="AC232" s="638">
        <f t="shared" si="10"/>
        <v>0</v>
      </c>
      <c r="AD232" s="638">
        <f t="shared" si="11"/>
        <v>0</v>
      </c>
      <c r="AE232" s="632"/>
      <c r="AF232" s="632"/>
      <c r="AG232" s="632"/>
      <c r="AH232" s="632"/>
      <c r="AI232" s="632" t="s">
        <v>120</v>
      </c>
      <c r="AJ232" s="639">
        <f t="shared" si="20"/>
        <v>2</v>
      </c>
      <c r="AK232" s="632" t="s">
        <v>120</v>
      </c>
      <c r="AL232" s="632" t="s">
        <v>120</v>
      </c>
      <c r="AM232" s="632" t="s">
        <v>120</v>
      </c>
      <c r="AN232" s="632" t="s">
        <v>120</v>
      </c>
      <c r="AO232" s="632" t="s">
        <v>120</v>
      </c>
    </row>
    <row r="233" customHeight="1" spans="1:41">
      <c r="A233" s="632" t="s">
        <v>498</v>
      </c>
      <c r="B233" s="632"/>
      <c r="C233" s="632"/>
      <c r="D233" s="632"/>
      <c r="E233" s="632"/>
      <c r="F233" s="632"/>
      <c r="G233" s="632"/>
      <c r="H233" s="633">
        <v>1</v>
      </c>
      <c r="I233" s="633">
        <v>0.9</v>
      </c>
      <c r="J233" s="633">
        <v>1.2</v>
      </c>
      <c r="K233" s="633">
        <v>1</v>
      </c>
      <c r="L233" s="633">
        <v>1.19999999999997</v>
      </c>
      <c r="M233" s="632"/>
      <c r="N233" s="632"/>
      <c r="O233" s="632">
        <v>2</v>
      </c>
      <c r="P233" s="636"/>
      <c r="Q233" s="636"/>
      <c r="R233" s="636"/>
      <c r="S233" s="638">
        <f t="shared" si="0"/>
        <v>0</v>
      </c>
      <c r="T233" s="638">
        <f t="shared" si="1"/>
        <v>0</v>
      </c>
      <c r="U233" s="638">
        <f t="shared" si="2"/>
        <v>0</v>
      </c>
      <c r="V233" s="638">
        <f t="shared" si="3"/>
        <v>0</v>
      </c>
      <c r="W233" s="638">
        <f t="shared" si="4"/>
        <v>0</v>
      </c>
      <c r="X233" s="638">
        <f t="shared" si="5"/>
        <v>0</v>
      </c>
      <c r="Y233" s="638">
        <f t="shared" si="6"/>
        <v>0</v>
      </c>
      <c r="Z233" s="638">
        <f t="shared" si="7"/>
        <v>0</v>
      </c>
      <c r="AA233" s="638">
        <f t="shared" si="8"/>
        <v>0</v>
      </c>
      <c r="AB233" s="638">
        <f t="shared" si="9"/>
        <v>0</v>
      </c>
      <c r="AC233" s="638">
        <f t="shared" si="10"/>
        <v>0</v>
      </c>
      <c r="AD233" s="638">
        <f t="shared" si="11"/>
        <v>0</v>
      </c>
      <c r="AE233" s="632"/>
      <c r="AF233" s="632"/>
      <c r="AG233" s="632"/>
      <c r="AH233" s="632"/>
      <c r="AI233" s="632" t="s">
        <v>120</v>
      </c>
      <c r="AJ233" s="639">
        <f t="shared" si="20"/>
        <v>2</v>
      </c>
      <c r="AK233" s="632" t="s">
        <v>120</v>
      </c>
      <c r="AL233" s="632" t="s">
        <v>120</v>
      </c>
      <c r="AM233" s="632" t="s">
        <v>120</v>
      </c>
      <c r="AN233" s="632" t="s">
        <v>120</v>
      </c>
      <c r="AO233" s="632" t="s">
        <v>120</v>
      </c>
    </row>
    <row r="234" customHeight="1" spans="1:41">
      <c r="A234" s="632" t="s">
        <v>323</v>
      </c>
      <c r="B234" s="632"/>
      <c r="C234" s="632"/>
      <c r="D234" s="632"/>
      <c r="E234" s="632"/>
      <c r="F234" s="632"/>
      <c r="G234" s="632"/>
      <c r="H234" s="633">
        <v>1</v>
      </c>
      <c r="I234" s="633">
        <v>0.9</v>
      </c>
      <c r="J234" s="633">
        <v>1.2</v>
      </c>
      <c r="K234" s="633">
        <v>1</v>
      </c>
      <c r="L234" s="633">
        <v>1.19999999999997</v>
      </c>
      <c r="M234" s="632"/>
      <c r="N234" s="632"/>
      <c r="O234" s="632">
        <v>2</v>
      </c>
      <c r="P234" s="636"/>
      <c r="Q234" s="636"/>
      <c r="R234" s="636"/>
      <c r="S234" s="638">
        <f t="shared" si="0"/>
        <v>0</v>
      </c>
      <c r="T234" s="638">
        <f t="shared" si="1"/>
        <v>0</v>
      </c>
      <c r="U234" s="638">
        <f t="shared" si="2"/>
        <v>0</v>
      </c>
      <c r="V234" s="638">
        <f t="shared" si="3"/>
        <v>0</v>
      </c>
      <c r="W234" s="638">
        <f t="shared" si="4"/>
        <v>0</v>
      </c>
      <c r="X234" s="638">
        <f t="shared" si="5"/>
        <v>0</v>
      </c>
      <c r="Y234" s="638">
        <f t="shared" si="6"/>
        <v>0</v>
      </c>
      <c r="Z234" s="638">
        <f t="shared" si="7"/>
        <v>0</v>
      </c>
      <c r="AA234" s="638">
        <f t="shared" si="8"/>
        <v>0</v>
      </c>
      <c r="AB234" s="638">
        <f t="shared" si="9"/>
        <v>0</v>
      </c>
      <c r="AC234" s="638">
        <f t="shared" si="10"/>
        <v>0</v>
      </c>
      <c r="AD234" s="638">
        <f t="shared" si="11"/>
        <v>0</v>
      </c>
      <c r="AE234" s="632"/>
      <c r="AF234" s="632"/>
      <c r="AG234" s="632"/>
      <c r="AH234" s="632"/>
      <c r="AI234" s="632" t="s">
        <v>120</v>
      </c>
      <c r="AJ234" s="639">
        <f t="shared" si="20"/>
        <v>2</v>
      </c>
      <c r="AK234" s="632" t="s">
        <v>120</v>
      </c>
      <c r="AL234" s="632" t="s">
        <v>120</v>
      </c>
      <c r="AM234" s="632" t="s">
        <v>120</v>
      </c>
      <c r="AN234" s="632" t="s">
        <v>120</v>
      </c>
      <c r="AO234" s="632" t="s">
        <v>120</v>
      </c>
    </row>
    <row r="235" customHeight="1" spans="1:41">
      <c r="A235" s="632" t="s">
        <v>499</v>
      </c>
      <c r="B235" s="632"/>
      <c r="C235" s="632"/>
      <c r="D235" s="632"/>
      <c r="E235" s="632"/>
      <c r="F235" s="632"/>
      <c r="G235" s="632"/>
      <c r="H235" s="633">
        <v>1</v>
      </c>
      <c r="I235" s="633">
        <v>0.9</v>
      </c>
      <c r="J235" s="633">
        <v>1.2</v>
      </c>
      <c r="K235" s="633">
        <v>1</v>
      </c>
      <c r="L235" s="633">
        <v>1.19999999999997</v>
      </c>
      <c r="M235" s="632"/>
      <c r="N235" s="632"/>
      <c r="O235" s="632">
        <v>2</v>
      </c>
      <c r="P235" s="636"/>
      <c r="Q235" s="636"/>
      <c r="R235" s="636"/>
      <c r="S235" s="638">
        <f t="shared" si="0"/>
        <v>0</v>
      </c>
      <c r="T235" s="638">
        <f t="shared" si="1"/>
        <v>0</v>
      </c>
      <c r="U235" s="638">
        <f t="shared" si="2"/>
        <v>0</v>
      </c>
      <c r="V235" s="638">
        <f t="shared" si="3"/>
        <v>0</v>
      </c>
      <c r="W235" s="638">
        <f t="shared" si="4"/>
        <v>0</v>
      </c>
      <c r="X235" s="638">
        <f t="shared" si="5"/>
        <v>0</v>
      </c>
      <c r="Y235" s="638">
        <f t="shared" si="6"/>
        <v>0</v>
      </c>
      <c r="Z235" s="638">
        <f t="shared" si="7"/>
        <v>0</v>
      </c>
      <c r="AA235" s="638">
        <f t="shared" si="8"/>
        <v>0</v>
      </c>
      <c r="AB235" s="638">
        <f t="shared" si="9"/>
        <v>0</v>
      </c>
      <c r="AC235" s="638">
        <f t="shared" si="10"/>
        <v>0</v>
      </c>
      <c r="AD235" s="638">
        <f t="shared" si="11"/>
        <v>0</v>
      </c>
      <c r="AE235" s="632"/>
      <c r="AF235" s="632"/>
      <c r="AG235" s="632"/>
      <c r="AH235" s="632"/>
      <c r="AI235" s="632" t="s">
        <v>120</v>
      </c>
      <c r="AJ235" s="639">
        <f t="shared" si="20"/>
        <v>2</v>
      </c>
      <c r="AK235" s="632" t="s">
        <v>120</v>
      </c>
      <c r="AL235" s="632" t="s">
        <v>120</v>
      </c>
      <c r="AM235" s="632" t="s">
        <v>120</v>
      </c>
      <c r="AN235" s="632" t="s">
        <v>120</v>
      </c>
      <c r="AO235" s="632" t="s">
        <v>120</v>
      </c>
    </row>
    <row r="236" customHeight="1" spans="1:41">
      <c r="A236" s="632" t="s">
        <v>496</v>
      </c>
      <c r="B236" s="632"/>
      <c r="C236" s="632"/>
      <c r="D236" s="632"/>
      <c r="E236" s="632"/>
      <c r="F236" s="632"/>
      <c r="G236" s="632"/>
      <c r="H236" s="633">
        <v>1</v>
      </c>
      <c r="I236" s="633">
        <v>0.9</v>
      </c>
      <c r="J236" s="633">
        <v>1.2</v>
      </c>
      <c r="K236" s="633">
        <v>1</v>
      </c>
      <c r="L236" s="633">
        <v>1.19999999999997</v>
      </c>
      <c r="M236" s="632"/>
      <c r="N236" s="632"/>
      <c r="O236" s="632">
        <v>2</v>
      </c>
      <c r="P236" s="636"/>
      <c r="Q236" s="636"/>
      <c r="R236" s="636"/>
      <c r="S236" s="638">
        <f t="shared" si="0"/>
        <v>0</v>
      </c>
      <c r="T236" s="638">
        <f t="shared" si="1"/>
        <v>0</v>
      </c>
      <c r="U236" s="638">
        <f t="shared" si="2"/>
        <v>0</v>
      </c>
      <c r="V236" s="638">
        <f t="shared" si="3"/>
        <v>0</v>
      </c>
      <c r="W236" s="638">
        <f t="shared" si="4"/>
        <v>0</v>
      </c>
      <c r="X236" s="638">
        <f t="shared" si="5"/>
        <v>0</v>
      </c>
      <c r="Y236" s="638">
        <f t="shared" si="6"/>
        <v>0</v>
      </c>
      <c r="Z236" s="638">
        <f t="shared" si="7"/>
        <v>0</v>
      </c>
      <c r="AA236" s="638">
        <f t="shared" si="8"/>
        <v>0</v>
      </c>
      <c r="AB236" s="638">
        <f t="shared" si="9"/>
        <v>0</v>
      </c>
      <c r="AC236" s="638">
        <f t="shared" si="10"/>
        <v>0</v>
      </c>
      <c r="AD236" s="638">
        <f t="shared" si="11"/>
        <v>0</v>
      </c>
      <c r="AE236" s="632"/>
      <c r="AF236" s="632"/>
      <c r="AG236" s="632"/>
      <c r="AH236" s="632"/>
      <c r="AI236" s="632" t="s">
        <v>120</v>
      </c>
      <c r="AJ236" s="639">
        <f t="shared" si="20"/>
        <v>2</v>
      </c>
      <c r="AK236" s="632" t="s">
        <v>120</v>
      </c>
      <c r="AL236" s="632" t="s">
        <v>120</v>
      </c>
      <c r="AM236" s="632" t="s">
        <v>120</v>
      </c>
      <c r="AN236" s="632" t="s">
        <v>120</v>
      </c>
      <c r="AO236" s="632" t="s">
        <v>120</v>
      </c>
    </row>
    <row r="237" customHeight="1" spans="1:41">
      <c r="A237" s="632" t="s">
        <v>500</v>
      </c>
      <c r="B237" s="632"/>
      <c r="C237" s="632"/>
      <c r="D237" s="632"/>
      <c r="E237" s="632"/>
      <c r="F237" s="632"/>
      <c r="G237" s="632"/>
      <c r="H237" s="633">
        <v>1</v>
      </c>
      <c r="I237" s="633">
        <v>0.9</v>
      </c>
      <c r="J237" s="633">
        <v>1.2</v>
      </c>
      <c r="K237" s="633">
        <v>1</v>
      </c>
      <c r="L237" s="633">
        <v>1.19999999999997</v>
      </c>
      <c r="M237" s="632"/>
      <c r="N237" s="632"/>
      <c r="O237" s="632">
        <v>2</v>
      </c>
      <c r="P237" s="636"/>
      <c r="Q237" s="636"/>
      <c r="R237" s="636"/>
      <c r="S237" s="638">
        <f t="shared" si="0"/>
        <v>0</v>
      </c>
      <c r="T237" s="638">
        <f t="shared" si="1"/>
        <v>0</v>
      </c>
      <c r="U237" s="638">
        <f t="shared" si="2"/>
        <v>0</v>
      </c>
      <c r="V237" s="638">
        <f t="shared" si="3"/>
        <v>0</v>
      </c>
      <c r="W237" s="638">
        <f t="shared" si="4"/>
        <v>0</v>
      </c>
      <c r="X237" s="638">
        <f t="shared" si="5"/>
        <v>0</v>
      </c>
      <c r="Y237" s="638">
        <f t="shared" si="6"/>
        <v>0</v>
      </c>
      <c r="Z237" s="638">
        <f t="shared" si="7"/>
        <v>0</v>
      </c>
      <c r="AA237" s="638">
        <f t="shared" si="8"/>
        <v>0</v>
      </c>
      <c r="AB237" s="638">
        <f t="shared" si="9"/>
        <v>0</v>
      </c>
      <c r="AC237" s="638">
        <f t="shared" si="10"/>
        <v>0</v>
      </c>
      <c r="AD237" s="638">
        <f t="shared" si="11"/>
        <v>0</v>
      </c>
      <c r="AE237" s="632"/>
      <c r="AF237" s="632"/>
      <c r="AG237" s="632"/>
      <c r="AH237" s="632"/>
      <c r="AI237" s="632" t="s">
        <v>120</v>
      </c>
      <c r="AJ237" s="639">
        <f t="shared" si="20"/>
        <v>2</v>
      </c>
      <c r="AK237" s="632" t="s">
        <v>120</v>
      </c>
      <c r="AL237" s="632" t="s">
        <v>120</v>
      </c>
      <c r="AM237" s="632" t="s">
        <v>120</v>
      </c>
      <c r="AN237" s="632" t="s">
        <v>120</v>
      </c>
      <c r="AO237" s="632" t="s">
        <v>120</v>
      </c>
    </row>
    <row r="238" customHeight="1" spans="1:41">
      <c r="A238" s="632" t="s">
        <v>501</v>
      </c>
      <c r="B238" s="632"/>
      <c r="C238" s="632"/>
      <c r="D238" s="632"/>
      <c r="E238" s="632"/>
      <c r="F238" s="632"/>
      <c r="G238" s="632"/>
      <c r="H238" s="633">
        <v>1</v>
      </c>
      <c r="I238" s="633">
        <v>0.9</v>
      </c>
      <c r="J238" s="633">
        <v>1.2</v>
      </c>
      <c r="K238" s="633">
        <v>1</v>
      </c>
      <c r="L238" s="633">
        <v>1.19999999999997</v>
      </c>
      <c r="M238" s="632"/>
      <c r="N238" s="632"/>
      <c r="O238" s="632">
        <v>2</v>
      </c>
      <c r="P238" s="636"/>
      <c r="Q238" s="636"/>
      <c r="R238" s="636"/>
      <c r="S238" s="638">
        <f t="shared" si="0"/>
        <v>0</v>
      </c>
      <c r="T238" s="638">
        <f t="shared" si="1"/>
        <v>0</v>
      </c>
      <c r="U238" s="638">
        <f t="shared" si="2"/>
        <v>0</v>
      </c>
      <c r="V238" s="638">
        <f t="shared" si="3"/>
        <v>0</v>
      </c>
      <c r="W238" s="638">
        <f t="shared" si="4"/>
        <v>0</v>
      </c>
      <c r="X238" s="638">
        <f t="shared" si="5"/>
        <v>0</v>
      </c>
      <c r="Y238" s="638">
        <f t="shared" si="6"/>
        <v>0</v>
      </c>
      <c r="Z238" s="638">
        <f t="shared" si="7"/>
        <v>0</v>
      </c>
      <c r="AA238" s="638">
        <f t="shared" si="8"/>
        <v>0</v>
      </c>
      <c r="AB238" s="638">
        <f t="shared" si="9"/>
        <v>0</v>
      </c>
      <c r="AC238" s="638">
        <f t="shared" si="10"/>
        <v>0</v>
      </c>
      <c r="AD238" s="638">
        <f t="shared" si="11"/>
        <v>0</v>
      </c>
      <c r="AE238" s="632"/>
      <c r="AF238" s="632"/>
      <c r="AG238" s="632"/>
      <c r="AH238" s="632"/>
      <c r="AI238" s="632" t="s">
        <v>120</v>
      </c>
      <c r="AJ238" s="639">
        <f t="shared" si="20"/>
        <v>2</v>
      </c>
      <c r="AK238" s="632" t="s">
        <v>120</v>
      </c>
      <c r="AL238" s="632" t="s">
        <v>120</v>
      </c>
      <c r="AM238" s="632" t="s">
        <v>120</v>
      </c>
      <c r="AN238" s="632" t="s">
        <v>120</v>
      </c>
      <c r="AO238" s="632" t="s">
        <v>120</v>
      </c>
    </row>
    <row r="239" customHeight="1" spans="1:41">
      <c r="A239" s="632" t="s">
        <v>502</v>
      </c>
      <c r="B239" s="632"/>
      <c r="C239" s="632"/>
      <c r="D239" s="632"/>
      <c r="E239" s="632"/>
      <c r="F239" s="632"/>
      <c r="G239" s="632"/>
      <c r="H239" s="633">
        <v>1</v>
      </c>
      <c r="I239" s="633">
        <v>0.9</v>
      </c>
      <c r="J239" s="633">
        <v>1.2</v>
      </c>
      <c r="K239" s="633">
        <v>1</v>
      </c>
      <c r="L239" s="633">
        <v>1.19999999999997</v>
      </c>
      <c r="M239" s="632"/>
      <c r="N239" s="632"/>
      <c r="O239" s="632">
        <v>2</v>
      </c>
      <c r="P239" s="636"/>
      <c r="Q239" s="636"/>
      <c r="R239" s="636"/>
      <c r="S239" s="638">
        <f t="shared" si="0"/>
        <v>0</v>
      </c>
      <c r="T239" s="638">
        <f t="shared" si="1"/>
        <v>0</v>
      </c>
      <c r="U239" s="638">
        <f t="shared" si="2"/>
        <v>0</v>
      </c>
      <c r="V239" s="638">
        <f t="shared" si="3"/>
        <v>0</v>
      </c>
      <c r="W239" s="638">
        <f t="shared" si="4"/>
        <v>0</v>
      </c>
      <c r="X239" s="638">
        <f t="shared" si="5"/>
        <v>0</v>
      </c>
      <c r="Y239" s="638">
        <f t="shared" si="6"/>
        <v>0</v>
      </c>
      <c r="Z239" s="638">
        <f t="shared" si="7"/>
        <v>0</v>
      </c>
      <c r="AA239" s="638">
        <f t="shared" si="8"/>
        <v>0</v>
      </c>
      <c r="AB239" s="638">
        <f t="shared" si="9"/>
        <v>0</v>
      </c>
      <c r="AC239" s="638">
        <f t="shared" si="10"/>
        <v>0</v>
      </c>
      <c r="AD239" s="638">
        <f t="shared" si="11"/>
        <v>0</v>
      </c>
      <c r="AE239" s="632"/>
      <c r="AF239" s="632"/>
      <c r="AG239" s="632"/>
      <c r="AH239" s="632"/>
      <c r="AI239" s="632" t="s">
        <v>120</v>
      </c>
      <c r="AJ239" s="639">
        <f t="shared" si="20"/>
        <v>2</v>
      </c>
      <c r="AK239" s="632" t="s">
        <v>120</v>
      </c>
      <c r="AL239" s="632" t="s">
        <v>120</v>
      </c>
      <c r="AM239" s="632" t="s">
        <v>120</v>
      </c>
      <c r="AN239" s="632" t="s">
        <v>120</v>
      </c>
      <c r="AO239" s="632" t="s">
        <v>120</v>
      </c>
    </row>
    <row r="240" customHeight="1" spans="1:41">
      <c r="A240" s="632" t="s">
        <v>503</v>
      </c>
      <c r="B240" s="632"/>
      <c r="C240" s="632"/>
      <c r="D240" s="632"/>
      <c r="E240" s="632"/>
      <c r="F240" s="632"/>
      <c r="G240" s="632"/>
      <c r="H240" s="633">
        <v>1</v>
      </c>
      <c r="I240" s="633">
        <v>0.9</v>
      </c>
      <c r="J240" s="633">
        <v>1.2</v>
      </c>
      <c r="K240" s="633">
        <v>1</v>
      </c>
      <c r="L240" s="633">
        <v>1.19999999999997</v>
      </c>
      <c r="M240" s="632"/>
      <c r="N240" s="632"/>
      <c r="O240" s="632">
        <v>2</v>
      </c>
      <c r="P240" s="636"/>
      <c r="Q240" s="636"/>
      <c r="R240" s="636"/>
      <c r="S240" s="638">
        <f t="shared" si="0"/>
        <v>0</v>
      </c>
      <c r="T240" s="638">
        <f t="shared" si="1"/>
        <v>0</v>
      </c>
      <c r="U240" s="638">
        <f t="shared" si="2"/>
        <v>0</v>
      </c>
      <c r="V240" s="638">
        <f t="shared" si="3"/>
        <v>0</v>
      </c>
      <c r="W240" s="638">
        <f t="shared" si="4"/>
        <v>0</v>
      </c>
      <c r="X240" s="638">
        <f t="shared" si="5"/>
        <v>0</v>
      </c>
      <c r="Y240" s="638">
        <f t="shared" si="6"/>
        <v>0</v>
      </c>
      <c r="Z240" s="638">
        <f t="shared" si="7"/>
        <v>0</v>
      </c>
      <c r="AA240" s="638">
        <f t="shared" si="8"/>
        <v>0</v>
      </c>
      <c r="AB240" s="638">
        <f t="shared" si="9"/>
        <v>0</v>
      </c>
      <c r="AC240" s="638">
        <f t="shared" si="10"/>
        <v>0</v>
      </c>
      <c r="AD240" s="638">
        <f t="shared" si="11"/>
        <v>0</v>
      </c>
      <c r="AE240" s="632"/>
      <c r="AF240" s="632"/>
      <c r="AG240" s="632"/>
      <c r="AH240" s="632"/>
      <c r="AI240" s="632" t="s">
        <v>120</v>
      </c>
      <c r="AJ240" s="639">
        <f t="shared" si="20"/>
        <v>2</v>
      </c>
      <c r="AK240" s="632" t="s">
        <v>120</v>
      </c>
      <c r="AL240" s="632" t="s">
        <v>120</v>
      </c>
      <c r="AM240" s="632" t="s">
        <v>120</v>
      </c>
      <c r="AN240" s="632" t="s">
        <v>120</v>
      </c>
      <c r="AO240" s="632" t="s">
        <v>120</v>
      </c>
    </row>
    <row r="241" customHeight="1" spans="1:41">
      <c r="A241" s="632" t="s">
        <v>504</v>
      </c>
      <c r="B241" s="632"/>
      <c r="C241" s="632"/>
      <c r="D241" s="632"/>
      <c r="E241" s="632"/>
      <c r="F241" s="632"/>
      <c r="G241" s="632"/>
      <c r="H241" s="633">
        <v>1</v>
      </c>
      <c r="I241" s="633">
        <v>0.9</v>
      </c>
      <c r="J241" s="633">
        <v>1.2</v>
      </c>
      <c r="K241" s="633">
        <v>1</v>
      </c>
      <c r="L241" s="633">
        <v>1.19999999999997</v>
      </c>
      <c r="M241" s="632"/>
      <c r="N241" s="632"/>
      <c r="O241" s="632">
        <v>2</v>
      </c>
      <c r="P241" s="636"/>
      <c r="Q241" s="636"/>
      <c r="R241" s="636"/>
      <c r="S241" s="638">
        <f t="shared" si="0"/>
        <v>0</v>
      </c>
      <c r="T241" s="638">
        <f t="shared" si="1"/>
        <v>0</v>
      </c>
      <c r="U241" s="638">
        <f t="shared" si="2"/>
        <v>0</v>
      </c>
      <c r="V241" s="638">
        <f t="shared" si="3"/>
        <v>0</v>
      </c>
      <c r="W241" s="638">
        <f t="shared" si="4"/>
        <v>0</v>
      </c>
      <c r="X241" s="638">
        <f t="shared" si="5"/>
        <v>0</v>
      </c>
      <c r="Y241" s="638">
        <f t="shared" si="6"/>
        <v>0</v>
      </c>
      <c r="Z241" s="638">
        <f t="shared" si="7"/>
        <v>0</v>
      </c>
      <c r="AA241" s="638">
        <f t="shared" si="8"/>
        <v>0</v>
      </c>
      <c r="AB241" s="638">
        <f t="shared" si="9"/>
        <v>0</v>
      </c>
      <c r="AC241" s="638">
        <f t="shared" si="10"/>
        <v>0</v>
      </c>
      <c r="AD241" s="638">
        <f t="shared" si="11"/>
        <v>0</v>
      </c>
      <c r="AE241" s="632"/>
      <c r="AF241" s="632"/>
      <c r="AG241" s="632"/>
      <c r="AH241" s="632"/>
      <c r="AI241" s="632" t="s">
        <v>120</v>
      </c>
      <c r="AJ241" s="639">
        <f t="shared" si="20"/>
        <v>2</v>
      </c>
      <c r="AK241" s="632" t="s">
        <v>120</v>
      </c>
      <c r="AL241" s="632" t="s">
        <v>120</v>
      </c>
      <c r="AM241" s="632" t="s">
        <v>120</v>
      </c>
      <c r="AN241" s="632" t="s">
        <v>120</v>
      </c>
      <c r="AO241" s="632" t="s">
        <v>120</v>
      </c>
    </row>
    <row r="242" customHeight="1" spans="1:41">
      <c r="A242" s="632" t="s">
        <v>505</v>
      </c>
      <c r="B242" s="632"/>
      <c r="C242" s="632"/>
      <c r="D242" s="632"/>
      <c r="E242" s="632"/>
      <c r="F242" s="632"/>
      <c r="G242" s="632"/>
      <c r="H242" s="633">
        <v>1</v>
      </c>
      <c r="I242" s="633">
        <v>0.9</v>
      </c>
      <c r="J242" s="633">
        <v>1.2</v>
      </c>
      <c r="K242" s="633">
        <v>1</v>
      </c>
      <c r="L242" s="633">
        <v>1.19999999999997</v>
      </c>
      <c r="M242" s="632"/>
      <c r="N242" s="632"/>
      <c r="O242" s="632">
        <v>2</v>
      </c>
      <c r="P242" s="636"/>
      <c r="Q242" s="636"/>
      <c r="R242" s="636"/>
      <c r="S242" s="638">
        <f t="shared" si="0"/>
        <v>0</v>
      </c>
      <c r="T242" s="638">
        <f t="shared" si="1"/>
        <v>0</v>
      </c>
      <c r="U242" s="638">
        <f t="shared" si="2"/>
        <v>0</v>
      </c>
      <c r="V242" s="638">
        <f t="shared" si="3"/>
        <v>0</v>
      </c>
      <c r="W242" s="638">
        <f t="shared" si="4"/>
        <v>0</v>
      </c>
      <c r="X242" s="638">
        <f t="shared" si="5"/>
        <v>0</v>
      </c>
      <c r="Y242" s="638">
        <f t="shared" si="6"/>
        <v>0</v>
      </c>
      <c r="Z242" s="638">
        <f t="shared" si="7"/>
        <v>0</v>
      </c>
      <c r="AA242" s="638">
        <f t="shared" si="8"/>
        <v>0</v>
      </c>
      <c r="AB242" s="638">
        <f t="shared" si="9"/>
        <v>0</v>
      </c>
      <c r="AC242" s="638">
        <f t="shared" si="10"/>
        <v>0</v>
      </c>
      <c r="AD242" s="638">
        <f t="shared" si="11"/>
        <v>0</v>
      </c>
      <c r="AE242" s="632" t="s">
        <v>321</v>
      </c>
      <c r="AF242" s="632"/>
      <c r="AG242" s="632"/>
      <c r="AH242" s="632"/>
      <c r="AI242" s="632" t="s">
        <v>120</v>
      </c>
      <c r="AJ242" s="639">
        <f t="shared" si="20"/>
        <v>2</v>
      </c>
      <c r="AK242" s="632" t="s">
        <v>120</v>
      </c>
      <c r="AL242" s="632" t="s">
        <v>120</v>
      </c>
      <c r="AM242" s="632" t="s">
        <v>120</v>
      </c>
      <c r="AN242" s="632" t="s">
        <v>120</v>
      </c>
      <c r="AO242" s="632" t="s">
        <v>120</v>
      </c>
    </row>
    <row r="243" customHeight="1" spans="1:41">
      <c r="A243" s="632" t="s">
        <v>506</v>
      </c>
      <c r="B243" s="632"/>
      <c r="C243" s="632"/>
      <c r="D243" s="632"/>
      <c r="E243" s="632"/>
      <c r="F243" s="632"/>
      <c r="G243" s="632"/>
      <c r="H243" s="633">
        <v>1</v>
      </c>
      <c r="I243" s="633">
        <v>0.9</v>
      </c>
      <c r="J243" s="633">
        <v>1.2</v>
      </c>
      <c r="K243" s="633">
        <v>1</v>
      </c>
      <c r="L243" s="633">
        <v>1.19999999999997</v>
      </c>
      <c r="M243" s="632"/>
      <c r="N243" s="632"/>
      <c r="O243" s="632">
        <v>2</v>
      </c>
      <c r="P243" s="636"/>
      <c r="Q243" s="636"/>
      <c r="R243" s="636"/>
      <c r="S243" s="638">
        <f t="shared" si="0"/>
        <v>0</v>
      </c>
      <c r="T243" s="638">
        <f t="shared" si="1"/>
        <v>0</v>
      </c>
      <c r="U243" s="638">
        <f t="shared" si="2"/>
        <v>0</v>
      </c>
      <c r="V243" s="638">
        <f t="shared" si="3"/>
        <v>0</v>
      </c>
      <c r="W243" s="638">
        <f t="shared" si="4"/>
        <v>0</v>
      </c>
      <c r="X243" s="638">
        <f t="shared" si="5"/>
        <v>0</v>
      </c>
      <c r="Y243" s="638">
        <f t="shared" si="6"/>
        <v>0</v>
      </c>
      <c r="Z243" s="638">
        <f t="shared" si="7"/>
        <v>0</v>
      </c>
      <c r="AA243" s="638">
        <f t="shared" si="8"/>
        <v>0</v>
      </c>
      <c r="AB243" s="638">
        <f t="shared" si="9"/>
        <v>0</v>
      </c>
      <c r="AC243" s="638">
        <f t="shared" si="10"/>
        <v>0</v>
      </c>
      <c r="AD243" s="638">
        <f t="shared" si="11"/>
        <v>0</v>
      </c>
      <c r="AE243" s="632"/>
      <c r="AF243" s="632"/>
      <c r="AG243" s="632"/>
      <c r="AH243" s="632"/>
      <c r="AI243" s="632" t="s">
        <v>120</v>
      </c>
      <c r="AJ243" s="639">
        <f t="shared" si="20"/>
        <v>2</v>
      </c>
      <c r="AK243" s="632" t="s">
        <v>120</v>
      </c>
      <c r="AL243" s="632" t="s">
        <v>120</v>
      </c>
      <c r="AM243" s="632" t="s">
        <v>120</v>
      </c>
      <c r="AN243" s="632" t="s">
        <v>120</v>
      </c>
      <c r="AO243" s="632" t="s">
        <v>120</v>
      </c>
    </row>
    <row r="244" customHeight="1" spans="1:41">
      <c r="A244" s="632" t="s">
        <v>507</v>
      </c>
      <c r="B244" s="632"/>
      <c r="C244" s="632"/>
      <c r="D244" s="632"/>
      <c r="E244" s="632"/>
      <c r="F244" s="632"/>
      <c r="G244" s="632"/>
      <c r="H244" s="633">
        <v>1</v>
      </c>
      <c r="I244" s="633">
        <v>0.9</v>
      </c>
      <c r="J244" s="633">
        <v>1.2</v>
      </c>
      <c r="K244" s="633">
        <v>1</v>
      </c>
      <c r="L244" s="633">
        <v>1.19999999999997</v>
      </c>
      <c r="M244" s="632"/>
      <c r="N244" s="632"/>
      <c r="O244" s="632">
        <v>2</v>
      </c>
      <c r="P244" s="636"/>
      <c r="Q244" s="636"/>
      <c r="R244" s="636"/>
      <c r="S244" s="638">
        <f t="shared" si="0"/>
        <v>0</v>
      </c>
      <c r="T244" s="638">
        <f t="shared" si="1"/>
        <v>0</v>
      </c>
      <c r="U244" s="638">
        <f t="shared" si="2"/>
        <v>0</v>
      </c>
      <c r="V244" s="638">
        <f t="shared" si="3"/>
        <v>0</v>
      </c>
      <c r="W244" s="638">
        <f t="shared" si="4"/>
        <v>0</v>
      </c>
      <c r="X244" s="638">
        <f t="shared" si="5"/>
        <v>0</v>
      </c>
      <c r="Y244" s="638">
        <f t="shared" si="6"/>
        <v>0</v>
      </c>
      <c r="Z244" s="638">
        <f t="shared" si="7"/>
        <v>0</v>
      </c>
      <c r="AA244" s="638">
        <f t="shared" si="8"/>
        <v>0</v>
      </c>
      <c r="AB244" s="638">
        <f t="shared" si="9"/>
        <v>0</v>
      </c>
      <c r="AC244" s="638">
        <f t="shared" si="10"/>
        <v>0</v>
      </c>
      <c r="AD244" s="638">
        <f t="shared" si="11"/>
        <v>0</v>
      </c>
      <c r="AE244" s="632"/>
      <c r="AF244" s="632"/>
      <c r="AG244" s="632"/>
      <c r="AH244" s="632"/>
      <c r="AI244" s="632" t="s">
        <v>120</v>
      </c>
      <c r="AJ244" s="639">
        <f t="shared" si="20"/>
        <v>2</v>
      </c>
      <c r="AK244" s="632" t="s">
        <v>120</v>
      </c>
      <c r="AL244" s="632" t="s">
        <v>120</v>
      </c>
      <c r="AM244" s="632" t="s">
        <v>120</v>
      </c>
      <c r="AN244" s="632" t="s">
        <v>120</v>
      </c>
      <c r="AO244" s="632" t="s">
        <v>120</v>
      </c>
    </row>
    <row r="245" customHeight="1" spans="1:41">
      <c r="A245" s="632" t="s">
        <v>508</v>
      </c>
      <c r="B245" s="632"/>
      <c r="C245" s="632"/>
      <c r="D245" s="632"/>
      <c r="E245" s="632"/>
      <c r="F245" s="632"/>
      <c r="G245" s="632"/>
      <c r="H245" s="633">
        <v>1</v>
      </c>
      <c r="I245" s="633">
        <v>0.9</v>
      </c>
      <c r="J245" s="633">
        <v>1.2</v>
      </c>
      <c r="K245" s="633">
        <v>1</v>
      </c>
      <c r="L245" s="633">
        <v>1.19999999999997</v>
      </c>
      <c r="M245" s="632"/>
      <c r="N245" s="632"/>
      <c r="O245" s="632">
        <v>2</v>
      </c>
      <c r="P245" s="636"/>
      <c r="Q245" s="636"/>
      <c r="R245" s="636"/>
      <c r="S245" s="638">
        <f t="shared" si="0"/>
        <v>0</v>
      </c>
      <c r="T245" s="638">
        <f t="shared" si="1"/>
        <v>0</v>
      </c>
      <c r="U245" s="638">
        <f t="shared" si="2"/>
        <v>0</v>
      </c>
      <c r="V245" s="638">
        <f t="shared" si="3"/>
        <v>0</v>
      </c>
      <c r="W245" s="638">
        <f t="shared" si="4"/>
        <v>0</v>
      </c>
      <c r="X245" s="638">
        <f t="shared" si="5"/>
        <v>0</v>
      </c>
      <c r="Y245" s="638">
        <f t="shared" si="6"/>
        <v>0</v>
      </c>
      <c r="Z245" s="638">
        <f t="shared" si="7"/>
        <v>0</v>
      </c>
      <c r="AA245" s="638">
        <f t="shared" si="8"/>
        <v>0</v>
      </c>
      <c r="AB245" s="638">
        <f t="shared" si="9"/>
        <v>0</v>
      </c>
      <c r="AC245" s="638">
        <f t="shared" si="10"/>
        <v>0</v>
      </c>
      <c r="AD245" s="638">
        <f t="shared" si="11"/>
        <v>0</v>
      </c>
      <c r="AE245" s="632"/>
      <c r="AF245" s="632"/>
      <c r="AG245" s="632"/>
      <c r="AH245" s="632"/>
      <c r="AI245" s="632" t="s">
        <v>120</v>
      </c>
      <c r="AJ245" s="639">
        <f t="shared" si="20"/>
        <v>2</v>
      </c>
      <c r="AK245" s="632" t="s">
        <v>120</v>
      </c>
      <c r="AL245" s="632" t="s">
        <v>120</v>
      </c>
      <c r="AM245" s="632" t="s">
        <v>120</v>
      </c>
      <c r="AN245" s="632" t="s">
        <v>120</v>
      </c>
      <c r="AO245" s="632" t="s">
        <v>120</v>
      </c>
    </row>
    <row r="246" customHeight="1" spans="1:41">
      <c r="A246" s="632" t="s">
        <v>509</v>
      </c>
      <c r="B246" s="632"/>
      <c r="C246" s="632"/>
      <c r="D246" s="632"/>
      <c r="E246" s="632"/>
      <c r="F246" s="632"/>
      <c r="G246" s="632"/>
      <c r="H246" s="633">
        <v>1</v>
      </c>
      <c r="I246" s="633">
        <v>0.9</v>
      </c>
      <c r="J246" s="633">
        <v>1.2</v>
      </c>
      <c r="K246" s="633">
        <v>1</v>
      </c>
      <c r="L246" s="633">
        <v>1.19999999999997</v>
      </c>
      <c r="M246" s="632"/>
      <c r="N246" s="632"/>
      <c r="O246" s="632">
        <v>2</v>
      </c>
      <c r="P246" s="636"/>
      <c r="Q246" s="636"/>
      <c r="R246" s="636"/>
      <c r="S246" s="638">
        <f t="shared" si="0"/>
        <v>0</v>
      </c>
      <c r="T246" s="638">
        <f t="shared" si="1"/>
        <v>0</v>
      </c>
      <c r="U246" s="638">
        <f t="shared" si="2"/>
        <v>0</v>
      </c>
      <c r="V246" s="638">
        <f t="shared" si="3"/>
        <v>0</v>
      </c>
      <c r="W246" s="638">
        <f t="shared" si="4"/>
        <v>0</v>
      </c>
      <c r="X246" s="638">
        <f t="shared" si="5"/>
        <v>0</v>
      </c>
      <c r="Y246" s="638">
        <f t="shared" si="6"/>
        <v>0</v>
      </c>
      <c r="Z246" s="638">
        <f t="shared" si="7"/>
        <v>0</v>
      </c>
      <c r="AA246" s="638">
        <f t="shared" si="8"/>
        <v>0</v>
      </c>
      <c r="AB246" s="638">
        <f t="shared" si="9"/>
        <v>0</v>
      </c>
      <c r="AC246" s="638">
        <f t="shared" si="10"/>
        <v>0</v>
      </c>
      <c r="AD246" s="638">
        <f t="shared" si="11"/>
        <v>0</v>
      </c>
      <c r="AE246" s="632"/>
      <c r="AF246" s="632"/>
      <c r="AG246" s="632"/>
      <c r="AH246" s="632"/>
      <c r="AI246" s="632" t="s">
        <v>120</v>
      </c>
      <c r="AJ246" s="639">
        <f t="shared" si="20"/>
        <v>2</v>
      </c>
      <c r="AK246" s="632" t="s">
        <v>120</v>
      </c>
      <c r="AL246" s="632" t="s">
        <v>120</v>
      </c>
      <c r="AM246" s="632" t="s">
        <v>120</v>
      </c>
      <c r="AN246" s="632" t="s">
        <v>120</v>
      </c>
      <c r="AO246" s="632" t="s">
        <v>120</v>
      </c>
    </row>
    <row r="247" customHeight="1" spans="1:41">
      <c r="A247" s="632" t="s">
        <v>510</v>
      </c>
      <c r="B247" s="632"/>
      <c r="C247" s="632"/>
      <c r="D247" s="632"/>
      <c r="E247" s="632"/>
      <c r="F247" s="632"/>
      <c r="G247" s="632"/>
      <c r="H247" s="633">
        <v>1</v>
      </c>
      <c r="I247" s="633">
        <v>0.9</v>
      </c>
      <c r="J247" s="633">
        <v>1.2</v>
      </c>
      <c r="K247" s="633">
        <v>1</v>
      </c>
      <c r="L247" s="633">
        <v>1.19999999999997</v>
      </c>
      <c r="M247" s="632"/>
      <c r="N247" s="632"/>
      <c r="O247" s="632">
        <v>2</v>
      </c>
      <c r="P247" s="636"/>
      <c r="Q247" s="636"/>
      <c r="R247" s="636"/>
      <c r="S247" s="638">
        <f t="shared" si="0"/>
        <v>0</v>
      </c>
      <c r="T247" s="638">
        <f t="shared" si="1"/>
        <v>0</v>
      </c>
      <c r="U247" s="638">
        <f t="shared" si="2"/>
        <v>0</v>
      </c>
      <c r="V247" s="638">
        <f t="shared" si="3"/>
        <v>0</v>
      </c>
      <c r="W247" s="638">
        <f t="shared" si="4"/>
        <v>0</v>
      </c>
      <c r="X247" s="638">
        <f t="shared" si="5"/>
        <v>0</v>
      </c>
      <c r="Y247" s="638">
        <f t="shared" si="6"/>
        <v>0</v>
      </c>
      <c r="Z247" s="638">
        <f t="shared" si="7"/>
        <v>0</v>
      </c>
      <c r="AA247" s="638">
        <f t="shared" si="8"/>
        <v>0</v>
      </c>
      <c r="AB247" s="638">
        <f t="shared" si="9"/>
        <v>0</v>
      </c>
      <c r="AC247" s="638">
        <f t="shared" si="10"/>
        <v>0</v>
      </c>
      <c r="AD247" s="638">
        <f t="shared" si="11"/>
        <v>0</v>
      </c>
      <c r="AE247" s="632"/>
      <c r="AF247" s="632"/>
      <c r="AG247" s="632"/>
      <c r="AH247" s="632"/>
      <c r="AI247" s="632" t="s">
        <v>120</v>
      </c>
      <c r="AJ247" s="639">
        <f t="shared" si="20"/>
        <v>2</v>
      </c>
      <c r="AK247" s="632" t="s">
        <v>120</v>
      </c>
      <c r="AL247" s="632" t="s">
        <v>120</v>
      </c>
      <c r="AM247" s="632" t="s">
        <v>120</v>
      </c>
      <c r="AN247" s="632" t="s">
        <v>120</v>
      </c>
      <c r="AO247" s="632" t="s">
        <v>120</v>
      </c>
    </row>
    <row r="248" customHeight="1" spans="1:41">
      <c r="A248" s="632" t="s">
        <v>511</v>
      </c>
      <c r="B248" s="632"/>
      <c r="C248" s="632"/>
      <c r="D248" s="632"/>
      <c r="E248" s="632"/>
      <c r="F248" s="632"/>
      <c r="G248" s="632"/>
      <c r="H248" s="633">
        <v>1</v>
      </c>
      <c r="I248" s="633">
        <v>0.9</v>
      </c>
      <c r="J248" s="633">
        <v>1.2</v>
      </c>
      <c r="K248" s="633">
        <v>1</v>
      </c>
      <c r="L248" s="633">
        <v>1.19999999999997</v>
      </c>
      <c r="M248" s="632"/>
      <c r="N248" s="632"/>
      <c r="O248" s="632">
        <v>2</v>
      </c>
      <c r="P248" s="636"/>
      <c r="Q248" s="636"/>
      <c r="R248" s="636"/>
      <c r="S248" s="638">
        <f t="shared" si="0"/>
        <v>0</v>
      </c>
      <c r="T248" s="638">
        <f t="shared" si="1"/>
        <v>0</v>
      </c>
      <c r="U248" s="638">
        <f t="shared" si="2"/>
        <v>0</v>
      </c>
      <c r="V248" s="638">
        <f t="shared" si="3"/>
        <v>0</v>
      </c>
      <c r="W248" s="638">
        <f t="shared" si="4"/>
        <v>0</v>
      </c>
      <c r="X248" s="638">
        <f t="shared" si="5"/>
        <v>0</v>
      </c>
      <c r="Y248" s="638">
        <f t="shared" si="6"/>
        <v>0</v>
      </c>
      <c r="Z248" s="638">
        <f t="shared" si="7"/>
        <v>0</v>
      </c>
      <c r="AA248" s="638">
        <f t="shared" si="8"/>
        <v>0</v>
      </c>
      <c r="AB248" s="638">
        <f t="shared" si="9"/>
        <v>0</v>
      </c>
      <c r="AC248" s="638">
        <f t="shared" si="10"/>
        <v>0</v>
      </c>
      <c r="AD248" s="638">
        <f t="shared" si="11"/>
        <v>0</v>
      </c>
      <c r="AE248" s="632"/>
      <c r="AF248" s="632"/>
      <c r="AG248" s="632"/>
      <c r="AH248" s="632"/>
      <c r="AI248" s="632" t="s">
        <v>120</v>
      </c>
      <c r="AJ248" s="639">
        <f t="shared" si="20"/>
        <v>2</v>
      </c>
      <c r="AK248" s="632" t="s">
        <v>120</v>
      </c>
      <c r="AL248" s="632" t="s">
        <v>120</v>
      </c>
      <c r="AM248" s="632" t="s">
        <v>120</v>
      </c>
      <c r="AN248" s="632" t="s">
        <v>120</v>
      </c>
      <c r="AO248" s="632" t="s">
        <v>120</v>
      </c>
    </row>
    <row r="249" customHeight="1" spans="1:41">
      <c r="A249" s="632" t="s">
        <v>512</v>
      </c>
      <c r="B249" s="632"/>
      <c r="C249" s="632"/>
      <c r="D249" s="632"/>
      <c r="E249" s="632"/>
      <c r="F249" s="632"/>
      <c r="G249" s="632"/>
      <c r="H249" s="633">
        <v>1</v>
      </c>
      <c r="I249" s="633">
        <v>0.9</v>
      </c>
      <c r="J249" s="633">
        <v>1.2</v>
      </c>
      <c r="K249" s="633">
        <v>1</v>
      </c>
      <c r="L249" s="633">
        <v>1.19999999999997</v>
      </c>
      <c r="M249" s="632"/>
      <c r="N249" s="632"/>
      <c r="O249" s="632">
        <v>2</v>
      </c>
      <c r="P249" s="636"/>
      <c r="Q249" s="636"/>
      <c r="R249" s="636"/>
      <c r="S249" s="638">
        <f t="shared" si="0"/>
        <v>0</v>
      </c>
      <c r="T249" s="638">
        <f t="shared" si="1"/>
        <v>0</v>
      </c>
      <c r="U249" s="638">
        <f t="shared" si="2"/>
        <v>0</v>
      </c>
      <c r="V249" s="638">
        <f t="shared" si="3"/>
        <v>0</v>
      </c>
      <c r="W249" s="638">
        <f t="shared" si="4"/>
        <v>0</v>
      </c>
      <c r="X249" s="638">
        <f t="shared" si="5"/>
        <v>0</v>
      </c>
      <c r="Y249" s="638">
        <f t="shared" si="6"/>
        <v>0</v>
      </c>
      <c r="Z249" s="638">
        <f t="shared" si="7"/>
        <v>0</v>
      </c>
      <c r="AA249" s="638">
        <f t="shared" si="8"/>
        <v>0</v>
      </c>
      <c r="AB249" s="638">
        <f t="shared" si="9"/>
        <v>0</v>
      </c>
      <c r="AC249" s="638">
        <f t="shared" si="10"/>
        <v>0</v>
      </c>
      <c r="AD249" s="638">
        <f t="shared" si="11"/>
        <v>0</v>
      </c>
      <c r="AE249" s="632"/>
      <c r="AF249" s="632"/>
      <c r="AG249" s="632"/>
      <c r="AH249" s="632"/>
      <c r="AI249" s="632" t="s">
        <v>120</v>
      </c>
      <c r="AJ249" s="639">
        <f t="shared" si="20"/>
        <v>2</v>
      </c>
      <c r="AK249" s="632" t="s">
        <v>120</v>
      </c>
      <c r="AL249" s="632" t="s">
        <v>120</v>
      </c>
      <c r="AM249" s="632" t="s">
        <v>120</v>
      </c>
      <c r="AN249" s="632" t="s">
        <v>120</v>
      </c>
      <c r="AO249" s="632" t="s">
        <v>120</v>
      </c>
    </row>
    <row r="250" customHeight="1" spans="1:41">
      <c r="A250" s="632" t="s">
        <v>513</v>
      </c>
      <c r="B250" s="632"/>
      <c r="C250" s="632"/>
      <c r="D250" s="632"/>
      <c r="E250" s="632"/>
      <c r="F250" s="632"/>
      <c r="G250" s="632"/>
      <c r="H250" s="633">
        <v>1</v>
      </c>
      <c r="I250" s="633">
        <v>0.9</v>
      </c>
      <c r="J250" s="633">
        <v>1.2</v>
      </c>
      <c r="K250" s="633">
        <v>1</v>
      </c>
      <c r="L250" s="633">
        <v>1.19999999999997</v>
      </c>
      <c r="M250" s="632"/>
      <c r="N250" s="632"/>
      <c r="O250" s="632">
        <v>2</v>
      </c>
      <c r="P250" s="636"/>
      <c r="Q250" s="636"/>
      <c r="R250" s="636"/>
      <c r="S250" s="638">
        <f t="shared" si="0"/>
        <v>0</v>
      </c>
      <c r="T250" s="638">
        <f t="shared" si="1"/>
        <v>0</v>
      </c>
      <c r="U250" s="638">
        <f t="shared" si="2"/>
        <v>0</v>
      </c>
      <c r="V250" s="638">
        <f t="shared" si="3"/>
        <v>0</v>
      </c>
      <c r="W250" s="638">
        <f t="shared" si="4"/>
        <v>0</v>
      </c>
      <c r="X250" s="638">
        <f t="shared" si="5"/>
        <v>0</v>
      </c>
      <c r="Y250" s="638">
        <f t="shared" si="6"/>
        <v>0</v>
      </c>
      <c r="Z250" s="638">
        <f t="shared" si="7"/>
        <v>0</v>
      </c>
      <c r="AA250" s="638">
        <f t="shared" si="8"/>
        <v>0</v>
      </c>
      <c r="AB250" s="638">
        <f t="shared" si="9"/>
        <v>0</v>
      </c>
      <c r="AC250" s="638">
        <f t="shared" si="10"/>
        <v>0</v>
      </c>
      <c r="AD250" s="638">
        <f t="shared" si="11"/>
        <v>0</v>
      </c>
      <c r="AE250" s="632"/>
      <c r="AF250" s="632"/>
      <c r="AG250" s="632"/>
      <c r="AH250" s="632"/>
      <c r="AI250" s="632" t="s">
        <v>120</v>
      </c>
      <c r="AJ250" s="639">
        <f t="shared" si="20"/>
        <v>2</v>
      </c>
      <c r="AK250" s="632" t="s">
        <v>120</v>
      </c>
      <c r="AL250" s="632" t="s">
        <v>120</v>
      </c>
      <c r="AM250" s="632" t="s">
        <v>120</v>
      </c>
      <c r="AN250" s="632" t="s">
        <v>120</v>
      </c>
      <c r="AO250" s="632" t="s">
        <v>120</v>
      </c>
    </row>
    <row r="251" customHeight="1" spans="1:41">
      <c r="A251" s="632" t="s">
        <v>514</v>
      </c>
      <c r="B251" s="632"/>
      <c r="C251" s="632"/>
      <c r="D251" s="632"/>
      <c r="E251" s="632"/>
      <c r="F251" s="632"/>
      <c r="G251" s="632"/>
      <c r="H251" s="633">
        <v>1</v>
      </c>
      <c r="I251" s="633">
        <v>0.9</v>
      </c>
      <c r="J251" s="633">
        <v>1.2</v>
      </c>
      <c r="K251" s="633">
        <v>1</v>
      </c>
      <c r="L251" s="633">
        <v>1.19999999999997</v>
      </c>
      <c r="M251" s="632"/>
      <c r="N251" s="632"/>
      <c r="O251" s="632">
        <v>2</v>
      </c>
      <c r="P251" s="636"/>
      <c r="Q251" s="636"/>
      <c r="R251" s="636"/>
      <c r="S251" s="638">
        <f t="shared" si="0"/>
        <v>0</v>
      </c>
      <c r="T251" s="638">
        <f t="shared" si="1"/>
        <v>0</v>
      </c>
      <c r="U251" s="638">
        <f t="shared" si="2"/>
        <v>0</v>
      </c>
      <c r="V251" s="638">
        <f t="shared" si="3"/>
        <v>0</v>
      </c>
      <c r="W251" s="638">
        <f t="shared" si="4"/>
        <v>0</v>
      </c>
      <c r="X251" s="638">
        <f t="shared" si="5"/>
        <v>0</v>
      </c>
      <c r="Y251" s="638">
        <f t="shared" si="6"/>
        <v>0</v>
      </c>
      <c r="Z251" s="638">
        <f t="shared" si="7"/>
        <v>0</v>
      </c>
      <c r="AA251" s="638">
        <f t="shared" si="8"/>
        <v>0</v>
      </c>
      <c r="AB251" s="638">
        <f t="shared" si="9"/>
        <v>0</v>
      </c>
      <c r="AC251" s="638">
        <f t="shared" si="10"/>
        <v>0</v>
      </c>
      <c r="AD251" s="638">
        <f t="shared" si="11"/>
        <v>0</v>
      </c>
      <c r="AE251" s="632"/>
      <c r="AF251" s="632"/>
      <c r="AG251" s="632"/>
      <c r="AH251" s="632"/>
      <c r="AI251" s="632" t="s">
        <v>120</v>
      </c>
      <c r="AJ251" s="639">
        <f t="shared" si="20"/>
        <v>2</v>
      </c>
      <c r="AK251" s="632" t="s">
        <v>120</v>
      </c>
      <c r="AL251" s="632" t="s">
        <v>120</v>
      </c>
      <c r="AM251" s="632" t="s">
        <v>120</v>
      </c>
      <c r="AN251" s="632" t="s">
        <v>120</v>
      </c>
      <c r="AO251" s="632" t="s">
        <v>120</v>
      </c>
    </row>
    <row r="252" customHeight="1" spans="1:41">
      <c r="A252" s="632" t="s">
        <v>515</v>
      </c>
      <c r="B252" s="632"/>
      <c r="C252" s="632"/>
      <c r="D252" s="632"/>
      <c r="E252" s="632"/>
      <c r="F252" s="632"/>
      <c r="G252" s="632"/>
      <c r="H252" s="633">
        <v>1</v>
      </c>
      <c r="I252" s="633">
        <v>0.9</v>
      </c>
      <c r="J252" s="633">
        <v>1.2</v>
      </c>
      <c r="K252" s="633">
        <v>1</v>
      </c>
      <c r="L252" s="633">
        <v>1.19999999999997</v>
      </c>
      <c r="M252" s="632"/>
      <c r="N252" s="632"/>
      <c r="O252" s="632">
        <v>2</v>
      </c>
      <c r="P252" s="636"/>
      <c r="Q252" s="636"/>
      <c r="R252" s="636"/>
      <c r="S252" s="638">
        <f t="shared" si="0"/>
        <v>0</v>
      </c>
      <c r="T252" s="638">
        <f t="shared" si="1"/>
        <v>0</v>
      </c>
      <c r="U252" s="638">
        <f t="shared" si="2"/>
        <v>0</v>
      </c>
      <c r="V252" s="638">
        <f t="shared" si="3"/>
        <v>0</v>
      </c>
      <c r="W252" s="638">
        <f t="shared" si="4"/>
        <v>0</v>
      </c>
      <c r="X252" s="638">
        <f t="shared" si="5"/>
        <v>0</v>
      </c>
      <c r="Y252" s="638">
        <f t="shared" si="6"/>
        <v>0</v>
      </c>
      <c r="Z252" s="638">
        <f t="shared" si="7"/>
        <v>0</v>
      </c>
      <c r="AA252" s="638">
        <f t="shared" si="8"/>
        <v>0</v>
      </c>
      <c r="AB252" s="638">
        <f t="shared" si="9"/>
        <v>0</v>
      </c>
      <c r="AC252" s="638">
        <f t="shared" si="10"/>
        <v>0</v>
      </c>
      <c r="AD252" s="638">
        <f t="shared" si="11"/>
        <v>0</v>
      </c>
      <c r="AE252" s="632"/>
      <c r="AF252" s="632"/>
      <c r="AG252" s="632"/>
      <c r="AH252" s="632"/>
      <c r="AI252" s="632" t="s">
        <v>120</v>
      </c>
      <c r="AJ252" s="639">
        <f t="shared" si="20"/>
        <v>2</v>
      </c>
      <c r="AK252" s="632" t="s">
        <v>120</v>
      </c>
      <c r="AL252" s="632" t="s">
        <v>120</v>
      </c>
      <c r="AM252" s="632" t="s">
        <v>120</v>
      </c>
      <c r="AN252" s="632" t="s">
        <v>120</v>
      </c>
      <c r="AO252" s="632" t="s">
        <v>120</v>
      </c>
    </row>
    <row r="253" customHeight="1" spans="1:41">
      <c r="A253" s="632" t="s">
        <v>516</v>
      </c>
      <c r="B253" s="632"/>
      <c r="C253" s="632"/>
      <c r="D253" s="632"/>
      <c r="E253" s="632"/>
      <c r="F253" s="632"/>
      <c r="G253" s="632"/>
      <c r="H253" s="633">
        <v>1</v>
      </c>
      <c r="I253" s="633">
        <v>0.9</v>
      </c>
      <c r="J253" s="633">
        <v>1.2</v>
      </c>
      <c r="K253" s="633">
        <v>1</v>
      </c>
      <c r="L253" s="633">
        <v>1.19999999999997</v>
      </c>
      <c r="M253" s="632"/>
      <c r="N253" s="632"/>
      <c r="O253" s="632">
        <v>2</v>
      </c>
      <c r="P253" s="636"/>
      <c r="Q253" s="636"/>
      <c r="R253" s="636"/>
      <c r="S253" s="638">
        <f t="shared" si="0"/>
        <v>0</v>
      </c>
      <c r="T253" s="638">
        <f t="shared" si="1"/>
        <v>0</v>
      </c>
      <c r="U253" s="638">
        <f t="shared" si="2"/>
        <v>0</v>
      </c>
      <c r="V253" s="638">
        <f t="shared" si="3"/>
        <v>0</v>
      </c>
      <c r="W253" s="638">
        <f t="shared" si="4"/>
        <v>0</v>
      </c>
      <c r="X253" s="638">
        <f t="shared" si="5"/>
        <v>0</v>
      </c>
      <c r="Y253" s="638">
        <f t="shared" si="6"/>
        <v>0</v>
      </c>
      <c r="Z253" s="638">
        <f t="shared" si="7"/>
        <v>0</v>
      </c>
      <c r="AA253" s="638">
        <f t="shared" si="8"/>
        <v>0</v>
      </c>
      <c r="AB253" s="638">
        <f t="shared" si="9"/>
        <v>0</v>
      </c>
      <c r="AC253" s="638">
        <f t="shared" si="10"/>
        <v>0</v>
      </c>
      <c r="AD253" s="638">
        <f t="shared" si="11"/>
        <v>0</v>
      </c>
      <c r="AE253" s="632"/>
      <c r="AF253" s="632"/>
      <c r="AG253" s="632"/>
      <c r="AH253" s="632"/>
      <c r="AI253" s="632" t="s">
        <v>120</v>
      </c>
      <c r="AJ253" s="639">
        <f t="shared" si="20"/>
        <v>2</v>
      </c>
      <c r="AK253" s="632" t="s">
        <v>120</v>
      </c>
      <c r="AL253" s="632" t="s">
        <v>120</v>
      </c>
      <c r="AM253" s="632" t="s">
        <v>120</v>
      </c>
      <c r="AN253" s="632" t="s">
        <v>120</v>
      </c>
      <c r="AO253" s="632" t="s">
        <v>120</v>
      </c>
    </row>
    <row r="254" customHeight="1" spans="1:41">
      <c r="A254" s="632" t="s">
        <v>517</v>
      </c>
      <c r="B254" s="632"/>
      <c r="C254" s="632"/>
      <c r="D254" s="632"/>
      <c r="E254" s="632"/>
      <c r="F254" s="632"/>
      <c r="G254" s="632"/>
      <c r="H254" s="633">
        <v>1</v>
      </c>
      <c r="I254" s="633">
        <v>0.9</v>
      </c>
      <c r="J254" s="633">
        <v>1.2</v>
      </c>
      <c r="K254" s="633">
        <v>1</v>
      </c>
      <c r="L254" s="633">
        <v>1.19999999999997</v>
      </c>
      <c r="M254" s="632"/>
      <c r="N254" s="632"/>
      <c r="O254" s="632">
        <v>2</v>
      </c>
      <c r="P254" s="636"/>
      <c r="Q254" s="636"/>
      <c r="R254" s="636"/>
      <c r="S254" s="638">
        <f t="shared" si="0"/>
        <v>0</v>
      </c>
      <c r="T254" s="638">
        <f t="shared" si="1"/>
        <v>0</v>
      </c>
      <c r="U254" s="638">
        <f t="shared" si="2"/>
        <v>0</v>
      </c>
      <c r="V254" s="638">
        <f t="shared" si="3"/>
        <v>0</v>
      </c>
      <c r="W254" s="638">
        <f t="shared" si="4"/>
        <v>0</v>
      </c>
      <c r="X254" s="638">
        <f t="shared" si="5"/>
        <v>0</v>
      </c>
      <c r="Y254" s="638">
        <f t="shared" si="6"/>
        <v>0</v>
      </c>
      <c r="Z254" s="638">
        <f t="shared" si="7"/>
        <v>0</v>
      </c>
      <c r="AA254" s="638">
        <f t="shared" si="8"/>
        <v>0</v>
      </c>
      <c r="AB254" s="638">
        <f t="shared" si="9"/>
        <v>0</v>
      </c>
      <c r="AC254" s="638">
        <f t="shared" si="10"/>
        <v>0</v>
      </c>
      <c r="AD254" s="638">
        <f t="shared" si="11"/>
        <v>0</v>
      </c>
      <c r="AE254" s="632"/>
      <c r="AF254" s="632"/>
      <c r="AG254" s="632"/>
      <c r="AH254" s="632"/>
      <c r="AI254" s="632" t="s">
        <v>120</v>
      </c>
      <c r="AJ254" s="639">
        <f t="shared" si="20"/>
        <v>2</v>
      </c>
      <c r="AK254" s="632" t="s">
        <v>120</v>
      </c>
      <c r="AL254" s="632" t="s">
        <v>120</v>
      </c>
      <c r="AM254" s="632" t="s">
        <v>120</v>
      </c>
      <c r="AN254" s="632" t="s">
        <v>120</v>
      </c>
      <c r="AO254" s="632" t="s">
        <v>120</v>
      </c>
    </row>
    <row r="255" customHeight="1" spans="1:41">
      <c r="A255" s="632" t="s">
        <v>518</v>
      </c>
      <c r="B255" s="632"/>
      <c r="C255" s="632"/>
      <c r="D255" s="632"/>
      <c r="E255" s="632"/>
      <c r="F255" s="632"/>
      <c r="G255" s="632"/>
      <c r="H255" s="633">
        <v>1</v>
      </c>
      <c r="I255" s="633">
        <v>0.9</v>
      </c>
      <c r="J255" s="633">
        <v>1.2</v>
      </c>
      <c r="K255" s="633">
        <v>1</v>
      </c>
      <c r="L255" s="633">
        <v>1.19999999999997</v>
      </c>
      <c r="M255" s="632"/>
      <c r="N255" s="632"/>
      <c r="O255" s="632">
        <v>2</v>
      </c>
      <c r="P255" s="636"/>
      <c r="Q255" s="636"/>
      <c r="R255" s="636"/>
      <c r="S255" s="638">
        <f t="shared" si="0"/>
        <v>0</v>
      </c>
      <c r="T255" s="638">
        <f t="shared" si="1"/>
        <v>0</v>
      </c>
      <c r="U255" s="638">
        <f t="shared" si="2"/>
        <v>0</v>
      </c>
      <c r="V255" s="638">
        <f t="shared" si="3"/>
        <v>0</v>
      </c>
      <c r="W255" s="638">
        <f t="shared" si="4"/>
        <v>0</v>
      </c>
      <c r="X255" s="638">
        <f t="shared" si="5"/>
        <v>0</v>
      </c>
      <c r="Y255" s="638">
        <f t="shared" si="6"/>
        <v>0</v>
      </c>
      <c r="Z255" s="638">
        <f t="shared" si="7"/>
        <v>0</v>
      </c>
      <c r="AA255" s="638">
        <f t="shared" si="8"/>
        <v>0</v>
      </c>
      <c r="AB255" s="638">
        <f t="shared" si="9"/>
        <v>0</v>
      </c>
      <c r="AC255" s="638">
        <f t="shared" si="10"/>
        <v>0</v>
      </c>
      <c r="AD255" s="638">
        <f t="shared" si="11"/>
        <v>0</v>
      </c>
      <c r="AE255" s="632"/>
      <c r="AF255" s="632"/>
      <c r="AG255" s="632"/>
      <c r="AH255" s="632"/>
      <c r="AI255" s="632" t="s">
        <v>120</v>
      </c>
      <c r="AJ255" s="639">
        <f t="shared" si="20"/>
        <v>2</v>
      </c>
      <c r="AK255" s="632" t="s">
        <v>120</v>
      </c>
      <c r="AL255" s="632" t="s">
        <v>120</v>
      </c>
      <c r="AM255" s="632" t="s">
        <v>120</v>
      </c>
      <c r="AN255" s="632" t="s">
        <v>120</v>
      </c>
      <c r="AO255" s="632" t="s">
        <v>120</v>
      </c>
    </row>
    <row r="256" customHeight="1" spans="1:41">
      <c r="A256" s="632" t="s">
        <v>519</v>
      </c>
      <c r="B256" s="632"/>
      <c r="C256" s="632"/>
      <c r="D256" s="632"/>
      <c r="E256" s="632"/>
      <c r="F256" s="632"/>
      <c r="G256" s="632"/>
      <c r="H256" s="633">
        <v>1</v>
      </c>
      <c r="I256" s="633">
        <v>0.9</v>
      </c>
      <c r="J256" s="633">
        <v>1.2</v>
      </c>
      <c r="K256" s="633">
        <v>1</v>
      </c>
      <c r="L256" s="633">
        <v>1.19999999999997</v>
      </c>
      <c r="M256" s="632"/>
      <c r="N256" s="632"/>
      <c r="O256" s="632">
        <v>2</v>
      </c>
      <c r="P256" s="636"/>
      <c r="Q256" s="636"/>
      <c r="R256" s="636"/>
      <c r="S256" s="638">
        <f t="shared" si="0"/>
        <v>0</v>
      </c>
      <c r="T256" s="638">
        <f t="shared" si="1"/>
        <v>0</v>
      </c>
      <c r="U256" s="638">
        <f t="shared" si="2"/>
        <v>0</v>
      </c>
      <c r="V256" s="638">
        <f t="shared" si="3"/>
        <v>0</v>
      </c>
      <c r="W256" s="638">
        <f t="shared" si="4"/>
        <v>0</v>
      </c>
      <c r="X256" s="638">
        <f t="shared" si="5"/>
        <v>0</v>
      </c>
      <c r="Y256" s="638">
        <f t="shared" si="6"/>
        <v>0</v>
      </c>
      <c r="Z256" s="638">
        <f t="shared" si="7"/>
        <v>0</v>
      </c>
      <c r="AA256" s="638">
        <f t="shared" si="8"/>
        <v>0</v>
      </c>
      <c r="AB256" s="638">
        <f t="shared" si="9"/>
        <v>0</v>
      </c>
      <c r="AC256" s="638">
        <f t="shared" si="10"/>
        <v>0</v>
      </c>
      <c r="AD256" s="638">
        <f t="shared" si="11"/>
        <v>0</v>
      </c>
      <c r="AE256" s="632"/>
      <c r="AF256" s="632"/>
      <c r="AG256" s="632"/>
      <c r="AH256" s="632"/>
      <c r="AI256" s="632" t="s">
        <v>120</v>
      </c>
      <c r="AJ256" s="639">
        <f t="shared" si="20"/>
        <v>2</v>
      </c>
      <c r="AK256" s="632" t="s">
        <v>120</v>
      </c>
      <c r="AL256" s="632" t="s">
        <v>120</v>
      </c>
      <c r="AM256" s="632" t="s">
        <v>120</v>
      </c>
      <c r="AN256" s="632" t="s">
        <v>120</v>
      </c>
      <c r="AO256" s="632" t="s">
        <v>120</v>
      </c>
    </row>
    <row r="257" customHeight="1" spans="1:41">
      <c r="A257" s="632" t="s">
        <v>520</v>
      </c>
      <c r="B257" s="632"/>
      <c r="C257" s="632"/>
      <c r="D257" s="632"/>
      <c r="E257" s="632"/>
      <c r="F257" s="632"/>
      <c r="G257" s="632"/>
      <c r="H257" s="633">
        <v>1</v>
      </c>
      <c r="I257" s="633">
        <v>0.9</v>
      </c>
      <c r="J257" s="633">
        <v>1.2</v>
      </c>
      <c r="K257" s="633">
        <v>1</v>
      </c>
      <c r="L257" s="633">
        <v>1.19999999999997</v>
      </c>
      <c r="M257" s="632"/>
      <c r="N257" s="632"/>
      <c r="O257" s="632">
        <v>2</v>
      </c>
      <c r="P257" s="636"/>
      <c r="Q257" s="636"/>
      <c r="R257" s="636"/>
      <c r="S257" s="638">
        <f t="shared" si="0"/>
        <v>0</v>
      </c>
      <c r="T257" s="638">
        <f t="shared" si="1"/>
        <v>0</v>
      </c>
      <c r="U257" s="638">
        <f t="shared" si="2"/>
        <v>0</v>
      </c>
      <c r="V257" s="638">
        <f t="shared" si="3"/>
        <v>0</v>
      </c>
      <c r="W257" s="638">
        <f t="shared" si="4"/>
        <v>0</v>
      </c>
      <c r="X257" s="638">
        <f t="shared" si="5"/>
        <v>0</v>
      </c>
      <c r="Y257" s="638">
        <f t="shared" si="6"/>
        <v>0</v>
      </c>
      <c r="Z257" s="638">
        <f t="shared" si="7"/>
        <v>0</v>
      </c>
      <c r="AA257" s="638">
        <f t="shared" si="8"/>
        <v>0</v>
      </c>
      <c r="AB257" s="638">
        <f t="shared" si="9"/>
        <v>0</v>
      </c>
      <c r="AC257" s="638">
        <f t="shared" si="10"/>
        <v>0</v>
      </c>
      <c r="AD257" s="638">
        <f t="shared" si="11"/>
        <v>0</v>
      </c>
      <c r="AE257" s="632"/>
      <c r="AF257" s="632"/>
      <c r="AG257" s="632"/>
      <c r="AH257" s="632"/>
      <c r="AI257" s="632" t="s">
        <v>120</v>
      </c>
      <c r="AJ257" s="639">
        <f t="shared" si="20"/>
        <v>2</v>
      </c>
      <c r="AK257" s="632" t="s">
        <v>120</v>
      </c>
      <c r="AL257" s="632" t="s">
        <v>120</v>
      </c>
      <c r="AM257" s="632" t="s">
        <v>120</v>
      </c>
      <c r="AN257" s="632" t="s">
        <v>120</v>
      </c>
      <c r="AO257" s="632" t="s">
        <v>120</v>
      </c>
    </row>
    <row r="258" customHeight="1" spans="1:41">
      <c r="A258" s="632" t="s">
        <v>521</v>
      </c>
      <c r="B258" s="632"/>
      <c r="C258" s="632"/>
      <c r="D258" s="632"/>
      <c r="E258" s="632"/>
      <c r="F258" s="632"/>
      <c r="G258" s="632"/>
      <c r="H258" s="633">
        <v>1</v>
      </c>
      <c r="I258" s="633">
        <v>0.9</v>
      </c>
      <c r="J258" s="633">
        <v>1.2</v>
      </c>
      <c r="K258" s="633">
        <v>1</v>
      </c>
      <c r="L258" s="633">
        <v>1.19999999999997</v>
      </c>
      <c r="M258" s="632" t="s">
        <v>129</v>
      </c>
      <c r="N258" s="632"/>
      <c r="O258" s="632">
        <v>1</v>
      </c>
      <c r="P258" s="636">
        <v>800</v>
      </c>
      <c r="Q258" s="636" t="s">
        <v>13</v>
      </c>
      <c r="R258" s="636" t="s">
        <v>13</v>
      </c>
      <c r="S258" s="638">
        <f t="shared" si="0"/>
        <v>800</v>
      </c>
      <c r="T258" s="638" t="e">
        <f t="shared" si="1"/>
        <v>#VALUE!</v>
      </c>
      <c r="U258" s="638" t="e">
        <f t="shared" si="2"/>
        <v>#VALUE!</v>
      </c>
      <c r="V258" s="638">
        <f t="shared" si="3"/>
        <v>888.888888888889</v>
      </c>
      <c r="W258" s="638" t="e">
        <f t="shared" si="4"/>
        <v>#VALUE!</v>
      </c>
      <c r="X258" s="638" t="e">
        <f t="shared" si="5"/>
        <v>#VALUE!</v>
      </c>
      <c r="Y258" s="638">
        <f t="shared" si="6"/>
        <v>666.666666666667</v>
      </c>
      <c r="Z258" s="638" t="e">
        <f t="shared" si="7"/>
        <v>#VALUE!</v>
      </c>
      <c r="AA258" s="638" t="e">
        <f t="shared" si="8"/>
        <v>#VALUE!</v>
      </c>
      <c r="AB258" s="638">
        <f t="shared" si="9"/>
        <v>800</v>
      </c>
      <c r="AC258" s="638" t="e">
        <f t="shared" si="10"/>
        <v>#VALUE!</v>
      </c>
      <c r="AD258" s="638" t="e">
        <f t="shared" si="11"/>
        <v>#VALUE!</v>
      </c>
      <c r="AE258" s="632" t="s">
        <v>118</v>
      </c>
      <c r="AF258" s="632"/>
      <c r="AG258" s="632"/>
      <c r="AH258" s="632"/>
      <c r="AI258" s="632" t="s">
        <v>120</v>
      </c>
      <c r="AJ258" s="639">
        <f t="shared" si="20"/>
        <v>1</v>
      </c>
      <c r="AK258" s="632" t="s">
        <v>120</v>
      </c>
      <c r="AL258" s="632"/>
      <c r="AM258" s="632"/>
      <c r="AN258" s="632"/>
      <c r="AO258" s="632"/>
    </row>
    <row r="259" customHeight="1" spans="1:41">
      <c r="A259" s="632" t="s">
        <v>522</v>
      </c>
      <c r="B259" s="632"/>
      <c r="C259" s="632"/>
      <c r="D259" s="632"/>
      <c r="E259" s="632"/>
      <c r="F259" s="632"/>
      <c r="G259" s="632"/>
      <c r="H259" s="633">
        <v>1</v>
      </c>
      <c r="I259" s="633">
        <v>0.9</v>
      </c>
      <c r="J259" s="633">
        <v>1.2</v>
      </c>
      <c r="K259" s="633">
        <v>1</v>
      </c>
      <c r="L259" s="633">
        <v>1.19999999999997</v>
      </c>
      <c r="M259" s="632" t="s">
        <v>157</v>
      </c>
      <c r="N259" s="632"/>
      <c r="O259" s="632">
        <v>1</v>
      </c>
      <c r="P259" s="636">
        <v>2</v>
      </c>
      <c r="Q259" s="636" t="s">
        <v>13</v>
      </c>
      <c r="R259" s="636" t="s">
        <v>13</v>
      </c>
      <c r="S259" s="638">
        <f t="shared" si="0"/>
        <v>2</v>
      </c>
      <c r="T259" s="638" t="e">
        <f t="shared" si="1"/>
        <v>#VALUE!</v>
      </c>
      <c r="U259" s="638" t="e">
        <f t="shared" si="2"/>
        <v>#VALUE!</v>
      </c>
      <c r="V259" s="638">
        <f t="shared" si="3"/>
        <v>2.22222222222222</v>
      </c>
      <c r="W259" s="638" t="e">
        <f t="shared" si="4"/>
        <v>#VALUE!</v>
      </c>
      <c r="X259" s="638" t="e">
        <f t="shared" si="5"/>
        <v>#VALUE!</v>
      </c>
      <c r="Y259" s="638">
        <f t="shared" si="6"/>
        <v>1.66666666666667</v>
      </c>
      <c r="Z259" s="638" t="e">
        <f t="shared" si="7"/>
        <v>#VALUE!</v>
      </c>
      <c r="AA259" s="638" t="e">
        <f t="shared" si="8"/>
        <v>#VALUE!</v>
      </c>
      <c r="AB259" s="638">
        <f t="shared" si="9"/>
        <v>2</v>
      </c>
      <c r="AC259" s="638" t="e">
        <f t="shared" si="10"/>
        <v>#VALUE!</v>
      </c>
      <c r="AD259" s="638" t="e">
        <f t="shared" si="11"/>
        <v>#VALUE!</v>
      </c>
      <c r="AE259" s="632" t="s">
        <v>289</v>
      </c>
      <c r="AF259" s="632"/>
      <c r="AG259" s="632"/>
      <c r="AH259" s="632"/>
      <c r="AI259" s="632" t="s">
        <v>120</v>
      </c>
      <c r="AJ259" s="639">
        <f t="shared" si="20"/>
        <v>1</v>
      </c>
      <c r="AK259" s="632" t="s">
        <v>120</v>
      </c>
      <c r="AL259" s="632"/>
      <c r="AM259" s="632"/>
      <c r="AN259" s="632"/>
      <c r="AO259" s="632"/>
    </row>
    <row r="260" customHeight="1" spans="1:41">
      <c r="A260" s="632" t="s">
        <v>523</v>
      </c>
      <c r="B260" s="632"/>
      <c r="C260" s="632"/>
      <c r="D260" s="632"/>
      <c r="E260" s="632"/>
      <c r="F260" s="632"/>
      <c r="G260" s="632"/>
      <c r="H260" s="633">
        <v>1</v>
      </c>
      <c r="I260" s="633">
        <v>0.9</v>
      </c>
      <c r="J260" s="633">
        <v>1.2</v>
      </c>
      <c r="K260" s="633">
        <v>1</v>
      </c>
      <c r="L260" s="633">
        <v>1.19999999999997</v>
      </c>
      <c r="M260" s="632"/>
      <c r="N260" s="632"/>
      <c r="O260" s="632">
        <v>2</v>
      </c>
      <c r="P260" s="636"/>
      <c r="Q260" s="636"/>
      <c r="R260" s="636"/>
      <c r="S260" s="638">
        <f t="shared" si="0"/>
        <v>0</v>
      </c>
      <c r="T260" s="638">
        <f t="shared" si="1"/>
        <v>0</v>
      </c>
      <c r="U260" s="638">
        <f t="shared" si="2"/>
        <v>0</v>
      </c>
      <c r="V260" s="638">
        <f t="shared" si="3"/>
        <v>0</v>
      </c>
      <c r="W260" s="638">
        <f t="shared" si="4"/>
        <v>0</v>
      </c>
      <c r="X260" s="638">
        <f t="shared" si="5"/>
        <v>0</v>
      </c>
      <c r="Y260" s="638">
        <f t="shared" si="6"/>
        <v>0</v>
      </c>
      <c r="Z260" s="638">
        <f t="shared" si="7"/>
        <v>0</v>
      </c>
      <c r="AA260" s="638">
        <f t="shared" si="8"/>
        <v>0</v>
      </c>
      <c r="AB260" s="638">
        <f t="shared" si="9"/>
        <v>0</v>
      </c>
      <c r="AC260" s="638">
        <f t="shared" si="10"/>
        <v>0</v>
      </c>
      <c r="AD260" s="638">
        <f t="shared" si="11"/>
        <v>0</v>
      </c>
      <c r="AE260" s="632"/>
      <c r="AF260" s="632"/>
      <c r="AG260" s="632"/>
      <c r="AH260" s="632"/>
      <c r="AI260" s="632" t="s">
        <v>120</v>
      </c>
      <c r="AJ260" s="639">
        <f t="shared" si="20"/>
        <v>2</v>
      </c>
      <c r="AK260" s="632" t="s">
        <v>120</v>
      </c>
      <c r="AL260" s="632"/>
      <c r="AM260" s="632"/>
      <c r="AN260" s="632"/>
      <c r="AO260" s="632"/>
    </row>
    <row r="261" customHeight="1" spans="1:41">
      <c r="A261" s="632" t="s">
        <v>524</v>
      </c>
      <c r="B261" s="632"/>
      <c r="C261" s="632"/>
      <c r="D261" s="632"/>
      <c r="E261" s="632"/>
      <c r="F261" s="632"/>
      <c r="G261" s="632"/>
      <c r="H261" s="633">
        <v>1</v>
      </c>
      <c r="I261" s="633">
        <v>0.9</v>
      </c>
      <c r="J261" s="633">
        <v>1.2</v>
      </c>
      <c r="K261" s="633">
        <v>1</v>
      </c>
      <c r="L261" s="633">
        <v>1.19999999999997</v>
      </c>
      <c r="M261" s="632"/>
      <c r="N261" s="632"/>
      <c r="O261" s="632">
        <v>2</v>
      </c>
      <c r="P261" s="636"/>
      <c r="Q261" s="636"/>
      <c r="R261" s="636"/>
      <c r="S261" s="638">
        <f t="shared" si="0"/>
        <v>0</v>
      </c>
      <c r="T261" s="638">
        <f t="shared" si="1"/>
        <v>0</v>
      </c>
      <c r="U261" s="638">
        <f t="shared" si="2"/>
        <v>0</v>
      </c>
      <c r="V261" s="638">
        <f t="shared" si="3"/>
        <v>0</v>
      </c>
      <c r="W261" s="638">
        <f t="shared" si="4"/>
        <v>0</v>
      </c>
      <c r="X261" s="638">
        <f t="shared" si="5"/>
        <v>0</v>
      </c>
      <c r="Y261" s="638">
        <f t="shared" si="6"/>
        <v>0</v>
      </c>
      <c r="Z261" s="638">
        <f t="shared" si="7"/>
        <v>0</v>
      </c>
      <c r="AA261" s="638">
        <f t="shared" si="8"/>
        <v>0</v>
      </c>
      <c r="AB261" s="638">
        <f t="shared" si="9"/>
        <v>0</v>
      </c>
      <c r="AC261" s="638">
        <f t="shared" si="10"/>
        <v>0</v>
      </c>
      <c r="AD261" s="638">
        <f t="shared" si="11"/>
        <v>0</v>
      </c>
      <c r="AE261" s="632"/>
      <c r="AF261" s="632"/>
      <c r="AG261" s="632"/>
      <c r="AH261" s="632"/>
      <c r="AI261" s="632" t="s">
        <v>120</v>
      </c>
      <c r="AJ261" s="639">
        <f t="shared" si="20"/>
        <v>2</v>
      </c>
      <c r="AK261" s="632" t="s">
        <v>120</v>
      </c>
      <c r="AL261" s="632"/>
      <c r="AM261" s="632"/>
      <c r="AN261" s="632"/>
      <c r="AO261" s="632"/>
    </row>
    <row r="262" customHeight="1" spans="1:41">
      <c r="A262" s="632" t="s">
        <v>525</v>
      </c>
      <c r="B262" s="632"/>
      <c r="C262" s="632"/>
      <c r="D262" s="632"/>
      <c r="E262" s="632"/>
      <c r="F262" s="632"/>
      <c r="G262" s="632"/>
      <c r="H262" s="633">
        <v>1</v>
      </c>
      <c r="I262" s="633">
        <v>0.9</v>
      </c>
      <c r="J262" s="633">
        <v>1.2</v>
      </c>
      <c r="K262" s="633">
        <v>1</v>
      </c>
      <c r="L262" s="633">
        <v>1.19999999999997</v>
      </c>
      <c r="M262" s="632"/>
      <c r="N262" s="632"/>
      <c r="O262" s="632">
        <v>2</v>
      </c>
      <c r="P262" s="636"/>
      <c r="Q262" s="636"/>
      <c r="R262" s="636"/>
      <c r="S262" s="638">
        <f t="shared" si="0"/>
        <v>0</v>
      </c>
      <c r="T262" s="638">
        <f t="shared" si="1"/>
        <v>0</v>
      </c>
      <c r="U262" s="638">
        <f t="shared" si="2"/>
        <v>0</v>
      </c>
      <c r="V262" s="638">
        <f t="shared" si="3"/>
        <v>0</v>
      </c>
      <c r="W262" s="638">
        <f t="shared" si="4"/>
        <v>0</v>
      </c>
      <c r="X262" s="638">
        <f t="shared" si="5"/>
        <v>0</v>
      </c>
      <c r="Y262" s="638">
        <f t="shared" si="6"/>
        <v>0</v>
      </c>
      <c r="Z262" s="638">
        <f t="shared" si="7"/>
        <v>0</v>
      </c>
      <c r="AA262" s="638">
        <f t="shared" si="8"/>
        <v>0</v>
      </c>
      <c r="AB262" s="638">
        <f t="shared" si="9"/>
        <v>0</v>
      </c>
      <c r="AC262" s="638">
        <f t="shared" si="10"/>
        <v>0</v>
      </c>
      <c r="AD262" s="638">
        <f t="shared" si="11"/>
        <v>0</v>
      </c>
      <c r="AE262" s="632"/>
      <c r="AF262" s="632"/>
      <c r="AG262" s="632"/>
      <c r="AH262" s="632"/>
      <c r="AI262" s="632" t="s">
        <v>120</v>
      </c>
      <c r="AJ262" s="639">
        <f t="shared" si="20"/>
        <v>2</v>
      </c>
      <c r="AK262" s="632" t="s">
        <v>120</v>
      </c>
      <c r="AL262" s="632"/>
      <c r="AM262" s="632"/>
      <c r="AN262" s="632"/>
      <c r="AO262" s="632"/>
    </row>
    <row r="263" customHeight="1" spans="1:41">
      <c r="A263" s="632" t="s">
        <v>526</v>
      </c>
      <c r="B263" s="632"/>
      <c r="C263" s="632"/>
      <c r="D263" s="632"/>
      <c r="E263" s="632"/>
      <c r="F263" s="632"/>
      <c r="G263" s="632"/>
      <c r="H263" s="633">
        <v>1</v>
      </c>
      <c r="I263" s="633">
        <v>0.9</v>
      </c>
      <c r="J263" s="633">
        <v>1.2</v>
      </c>
      <c r="K263" s="633">
        <v>1</v>
      </c>
      <c r="L263" s="633">
        <v>1.19999999999997</v>
      </c>
      <c r="M263" s="632"/>
      <c r="N263" s="632"/>
      <c r="O263" s="632">
        <v>2</v>
      </c>
      <c r="P263" s="636"/>
      <c r="Q263" s="636"/>
      <c r="R263" s="636"/>
      <c r="S263" s="638">
        <f t="shared" si="0"/>
        <v>0</v>
      </c>
      <c r="T263" s="638">
        <f t="shared" si="1"/>
        <v>0</v>
      </c>
      <c r="U263" s="638">
        <f t="shared" si="2"/>
        <v>0</v>
      </c>
      <c r="V263" s="638">
        <f t="shared" si="3"/>
        <v>0</v>
      </c>
      <c r="W263" s="638">
        <f t="shared" si="4"/>
        <v>0</v>
      </c>
      <c r="X263" s="638">
        <f t="shared" si="5"/>
        <v>0</v>
      </c>
      <c r="Y263" s="638">
        <f t="shared" si="6"/>
        <v>0</v>
      </c>
      <c r="Z263" s="638">
        <f t="shared" si="7"/>
        <v>0</v>
      </c>
      <c r="AA263" s="638">
        <f t="shared" si="8"/>
        <v>0</v>
      </c>
      <c r="AB263" s="638">
        <f t="shared" si="9"/>
        <v>0</v>
      </c>
      <c r="AC263" s="638">
        <f t="shared" si="10"/>
        <v>0</v>
      </c>
      <c r="AD263" s="638">
        <f t="shared" si="11"/>
        <v>0</v>
      </c>
      <c r="AE263" s="632"/>
      <c r="AF263" s="632"/>
      <c r="AG263" s="632"/>
      <c r="AH263" s="632"/>
      <c r="AI263" s="632" t="s">
        <v>120</v>
      </c>
      <c r="AJ263" s="639">
        <f t="shared" si="20"/>
        <v>2</v>
      </c>
      <c r="AK263" s="632" t="s">
        <v>120</v>
      </c>
      <c r="AL263" s="632"/>
      <c r="AM263" s="632"/>
      <c r="AN263" s="632"/>
      <c r="AO263" s="632"/>
    </row>
    <row r="264" customHeight="1" spans="1:41">
      <c r="A264" s="632" t="s">
        <v>527</v>
      </c>
      <c r="B264" s="632"/>
      <c r="C264" s="632"/>
      <c r="D264" s="632"/>
      <c r="E264" s="632"/>
      <c r="F264" s="632"/>
      <c r="G264" s="632"/>
      <c r="H264" s="633">
        <v>1</v>
      </c>
      <c r="I264" s="633">
        <v>0.9</v>
      </c>
      <c r="J264" s="633">
        <v>1.2</v>
      </c>
      <c r="K264" s="633">
        <v>1</v>
      </c>
      <c r="L264" s="633">
        <v>1.19999999999997</v>
      </c>
      <c r="M264" s="632"/>
      <c r="N264" s="632"/>
      <c r="O264" s="632">
        <v>2</v>
      </c>
      <c r="P264" s="636"/>
      <c r="Q264" s="636"/>
      <c r="R264" s="636"/>
      <c r="S264" s="638">
        <f t="shared" si="0"/>
        <v>0</v>
      </c>
      <c r="T264" s="638">
        <f t="shared" si="1"/>
        <v>0</v>
      </c>
      <c r="U264" s="638">
        <f t="shared" si="2"/>
        <v>0</v>
      </c>
      <c r="V264" s="638">
        <f t="shared" si="3"/>
        <v>0</v>
      </c>
      <c r="W264" s="638">
        <f t="shared" si="4"/>
        <v>0</v>
      </c>
      <c r="X264" s="638">
        <f t="shared" si="5"/>
        <v>0</v>
      </c>
      <c r="Y264" s="638">
        <f t="shared" si="6"/>
        <v>0</v>
      </c>
      <c r="Z264" s="638">
        <f t="shared" si="7"/>
        <v>0</v>
      </c>
      <c r="AA264" s="638">
        <f t="shared" si="8"/>
        <v>0</v>
      </c>
      <c r="AB264" s="638">
        <f t="shared" si="9"/>
        <v>0</v>
      </c>
      <c r="AC264" s="638">
        <f t="shared" si="10"/>
        <v>0</v>
      </c>
      <c r="AD264" s="638">
        <f t="shared" si="11"/>
        <v>0</v>
      </c>
      <c r="AE264" s="632"/>
      <c r="AF264" s="632"/>
      <c r="AG264" s="632"/>
      <c r="AH264" s="632"/>
      <c r="AI264" s="632" t="s">
        <v>120</v>
      </c>
      <c r="AJ264" s="639">
        <f t="shared" si="20"/>
        <v>2</v>
      </c>
      <c r="AK264" s="632" t="s">
        <v>120</v>
      </c>
      <c r="AL264" s="632"/>
      <c r="AM264" s="632"/>
      <c r="AN264" s="632"/>
      <c r="AO264" s="632"/>
    </row>
    <row r="265" customHeight="1" spans="1:41">
      <c r="A265" s="632" t="s">
        <v>528</v>
      </c>
      <c r="B265" s="632"/>
      <c r="C265" s="632"/>
      <c r="D265" s="632"/>
      <c r="E265" s="632"/>
      <c r="F265" s="632"/>
      <c r="G265" s="632"/>
      <c r="H265" s="633">
        <v>1</v>
      </c>
      <c r="I265" s="633">
        <v>0.9</v>
      </c>
      <c r="J265" s="633">
        <v>1.2</v>
      </c>
      <c r="K265" s="633">
        <v>1</v>
      </c>
      <c r="L265" s="633">
        <v>1.19999999999997</v>
      </c>
      <c r="M265" s="632"/>
      <c r="N265" s="632"/>
      <c r="O265" s="632">
        <v>2</v>
      </c>
      <c r="P265" s="636"/>
      <c r="Q265" s="636"/>
      <c r="R265" s="636"/>
      <c r="S265" s="638">
        <f t="shared" si="0"/>
        <v>0</v>
      </c>
      <c r="T265" s="638">
        <f t="shared" si="1"/>
        <v>0</v>
      </c>
      <c r="U265" s="638">
        <f t="shared" si="2"/>
        <v>0</v>
      </c>
      <c r="V265" s="638">
        <f t="shared" si="3"/>
        <v>0</v>
      </c>
      <c r="W265" s="638">
        <f t="shared" si="4"/>
        <v>0</v>
      </c>
      <c r="X265" s="638">
        <f t="shared" si="5"/>
        <v>0</v>
      </c>
      <c r="Y265" s="638">
        <f t="shared" si="6"/>
        <v>0</v>
      </c>
      <c r="Z265" s="638">
        <f t="shared" si="7"/>
        <v>0</v>
      </c>
      <c r="AA265" s="638">
        <f t="shared" si="8"/>
        <v>0</v>
      </c>
      <c r="AB265" s="638">
        <f t="shared" si="9"/>
        <v>0</v>
      </c>
      <c r="AC265" s="638">
        <f t="shared" si="10"/>
        <v>0</v>
      </c>
      <c r="AD265" s="638">
        <f t="shared" si="11"/>
        <v>0</v>
      </c>
      <c r="AE265" s="632"/>
      <c r="AF265" s="632"/>
      <c r="AG265" s="632"/>
      <c r="AH265" s="632"/>
      <c r="AI265" s="632" t="s">
        <v>120</v>
      </c>
      <c r="AJ265" s="639">
        <f t="shared" si="20"/>
        <v>2</v>
      </c>
      <c r="AK265" s="632" t="s">
        <v>120</v>
      </c>
      <c r="AL265" s="632"/>
      <c r="AM265" s="632"/>
      <c r="AN265" s="632"/>
      <c r="AO265" s="632"/>
    </row>
    <row r="266" customHeight="1" spans="1:41">
      <c r="A266" s="632" t="s">
        <v>529</v>
      </c>
      <c r="B266" s="632"/>
      <c r="C266" s="632"/>
      <c r="D266" s="632"/>
      <c r="E266" s="632"/>
      <c r="F266" s="632"/>
      <c r="G266" s="632"/>
      <c r="H266" s="633">
        <v>1</v>
      </c>
      <c r="I266" s="633">
        <v>0.9</v>
      </c>
      <c r="J266" s="633">
        <v>1.2</v>
      </c>
      <c r="K266" s="633">
        <v>1</v>
      </c>
      <c r="L266" s="633">
        <v>1.19999999999997</v>
      </c>
      <c r="M266" s="632"/>
      <c r="N266" s="632"/>
      <c r="O266" s="632">
        <v>2</v>
      </c>
      <c r="P266" s="636"/>
      <c r="Q266" s="636"/>
      <c r="R266" s="636"/>
      <c r="S266" s="638">
        <f t="shared" si="0"/>
        <v>0</v>
      </c>
      <c r="T266" s="638">
        <f t="shared" si="1"/>
        <v>0</v>
      </c>
      <c r="U266" s="638">
        <f t="shared" si="2"/>
        <v>0</v>
      </c>
      <c r="V266" s="638">
        <f t="shared" si="3"/>
        <v>0</v>
      </c>
      <c r="W266" s="638">
        <f t="shared" si="4"/>
        <v>0</v>
      </c>
      <c r="X266" s="638">
        <f t="shared" si="5"/>
        <v>0</v>
      </c>
      <c r="Y266" s="638">
        <f t="shared" si="6"/>
        <v>0</v>
      </c>
      <c r="Z266" s="638">
        <f t="shared" si="7"/>
        <v>0</v>
      </c>
      <c r="AA266" s="638">
        <f t="shared" si="8"/>
        <v>0</v>
      </c>
      <c r="AB266" s="638">
        <f t="shared" si="9"/>
        <v>0</v>
      </c>
      <c r="AC266" s="638">
        <f t="shared" si="10"/>
        <v>0</v>
      </c>
      <c r="AD266" s="638">
        <f t="shared" si="11"/>
        <v>0</v>
      </c>
      <c r="AE266" s="632"/>
      <c r="AF266" s="632"/>
      <c r="AG266" s="632"/>
      <c r="AH266" s="632"/>
      <c r="AI266" s="632" t="s">
        <v>120</v>
      </c>
      <c r="AJ266" s="639">
        <f t="shared" si="20"/>
        <v>2</v>
      </c>
      <c r="AK266" s="632" t="s">
        <v>120</v>
      </c>
      <c r="AL266" s="632"/>
      <c r="AM266" s="632"/>
      <c r="AN266" s="632"/>
      <c r="AO266" s="632"/>
    </row>
    <row r="267" customHeight="1" spans="1:41">
      <c r="A267" s="632" t="s">
        <v>530</v>
      </c>
      <c r="B267" s="632"/>
      <c r="C267" s="632"/>
      <c r="D267" s="632"/>
      <c r="E267" s="632"/>
      <c r="F267" s="632"/>
      <c r="G267" s="632"/>
      <c r="H267" s="633">
        <v>1</v>
      </c>
      <c r="I267" s="633">
        <v>0.9</v>
      </c>
      <c r="J267" s="633">
        <v>1.2</v>
      </c>
      <c r="K267" s="633">
        <v>1</v>
      </c>
      <c r="L267" s="633">
        <v>1.19999999999997</v>
      </c>
      <c r="M267" s="632"/>
      <c r="N267" s="632"/>
      <c r="O267" s="632">
        <v>2</v>
      </c>
      <c r="P267" s="636"/>
      <c r="Q267" s="636"/>
      <c r="R267" s="636"/>
      <c r="S267" s="638">
        <f t="shared" si="0"/>
        <v>0</v>
      </c>
      <c r="T267" s="638">
        <f t="shared" si="1"/>
        <v>0</v>
      </c>
      <c r="U267" s="638">
        <f t="shared" si="2"/>
        <v>0</v>
      </c>
      <c r="V267" s="638">
        <f t="shared" si="3"/>
        <v>0</v>
      </c>
      <c r="W267" s="638">
        <f t="shared" si="4"/>
        <v>0</v>
      </c>
      <c r="X267" s="638">
        <f t="shared" si="5"/>
        <v>0</v>
      </c>
      <c r="Y267" s="638">
        <f t="shared" si="6"/>
        <v>0</v>
      </c>
      <c r="Z267" s="638">
        <f t="shared" si="7"/>
        <v>0</v>
      </c>
      <c r="AA267" s="638">
        <f t="shared" si="8"/>
        <v>0</v>
      </c>
      <c r="AB267" s="638">
        <f t="shared" si="9"/>
        <v>0</v>
      </c>
      <c r="AC267" s="638">
        <f t="shared" si="10"/>
        <v>0</v>
      </c>
      <c r="AD267" s="638">
        <f t="shared" si="11"/>
        <v>0</v>
      </c>
      <c r="AE267" s="632"/>
      <c r="AF267" s="632"/>
      <c r="AG267" s="632"/>
      <c r="AH267" s="632"/>
      <c r="AI267" s="632" t="s">
        <v>120</v>
      </c>
      <c r="AJ267" s="639">
        <f t="shared" si="20"/>
        <v>2</v>
      </c>
      <c r="AK267" s="632" t="s">
        <v>120</v>
      </c>
      <c r="AL267" s="632"/>
      <c r="AM267" s="632"/>
      <c r="AN267" s="632"/>
      <c r="AO267" s="632"/>
    </row>
    <row r="268" customHeight="1" spans="1:41">
      <c r="A268" s="632" t="s">
        <v>531</v>
      </c>
      <c r="B268" s="632"/>
      <c r="C268" s="632"/>
      <c r="D268" s="632"/>
      <c r="E268" s="632"/>
      <c r="F268" s="632"/>
      <c r="G268" s="632"/>
      <c r="H268" s="633">
        <v>1</v>
      </c>
      <c r="I268" s="633">
        <v>0.9</v>
      </c>
      <c r="J268" s="633">
        <v>1.2</v>
      </c>
      <c r="K268" s="633">
        <v>1</v>
      </c>
      <c r="L268" s="633">
        <v>1.19999999999997</v>
      </c>
      <c r="M268" s="632"/>
      <c r="N268" s="632"/>
      <c r="O268" s="632">
        <v>2</v>
      </c>
      <c r="P268" s="636"/>
      <c r="Q268" s="636"/>
      <c r="R268" s="636"/>
      <c r="S268" s="638">
        <f t="shared" si="0"/>
        <v>0</v>
      </c>
      <c r="T268" s="638">
        <f t="shared" si="1"/>
        <v>0</v>
      </c>
      <c r="U268" s="638">
        <f t="shared" si="2"/>
        <v>0</v>
      </c>
      <c r="V268" s="638">
        <f t="shared" si="3"/>
        <v>0</v>
      </c>
      <c r="W268" s="638">
        <f t="shared" si="4"/>
        <v>0</v>
      </c>
      <c r="X268" s="638">
        <f t="shared" si="5"/>
        <v>0</v>
      </c>
      <c r="Y268" s="638">
        <f t="shared" si="6"/>
        <v>0</v>
      </c>
      <c r="Z268" s="638">
        <f t="shared" si="7"/>
        <v>0</v>
      </c>
      <c r="AA268" s="638">
        <f t="shared" si="8"/>
        <v>0</v>
      </c>
      <c r="AB268" s="638">
        <f t="shared" si="9"/>
        <v>0</v>
      </c>
      <c r="AC268" s="638">
        <f t="shared" si="10"/>
        <v>0</v>
      </c>
      <c r="AD268" s="638">
        <f t="shared" si="11"/>
        <v>0</v>
      </c>
      <c r="AE268" s="632"/>
      <c r="AF268" s="632"/>
      <c r="AG268" s="632"/>
      <c r="AH268" s="632"/>
      <c r="AI268" s="632" t="s">
        <v>120</v>
      </c>
      <c r="AJ268" s="639">
        <f t="shared" si="20"/>
        <v>2</v>
      </c>
      <c r="AK268" s="632" t="s">
        <v>120</v>
      </c>
      <c r="AL268" s="632"/>
      <c r="AM268" s="632"/>
      <c r="AN268" s="632"/>
      <c r="AO268" s="632"/>
    </row>
    <row r="269" customHeight="1" spans="1:41">
      <c r="A269" s="632" t="s">
        <v>532</v>
      </c>
      <c r="B269" s="632"/>
      <c r="C269" s="632"/>
      <c r="D269" s="632"/>
      <c r="E269" s="632"/>
      <c r="F269" s="632"/>
      <c r="G269" s="632"/>
      <c r="H269" s="633">
        <v>1</v>
      </c>
      <c r="I269" s="633">
        <v>0.9</v>
      </c>
      <c r="J269" s="633">
        <v>1.2</v>
      </c>
      <c r="K269" s="633">
        <v>1</v>
      </c>
      <c r="L269" s="633">
        <v>1.19999999999997</v>
      </c>
      <c r="M269" s="632"/>
      <c r="N269" s="632"/>
      <c r="O269" s="632">
        <v>2</v>
      </c>
      <c r="P269" s="636"/>
      <c r="Q269" s="636"/>
      <c r="R269" s="636"/>
      <c r="S269" s="638">
        <f t="shared" si="0"/>
        <v>0</v>
      </c>
      <c r="T269" s="638">
        <f t="shared" si="1"/>
        <v>0</v>
      </c>
      <c r="U269" s="638">
        <f t="shared" si="2"/>
        <v>0</v>
      </c>
      <c r="V269" s="638">
        <f t="shared" si="3"/>
        <v>0</v>
      </c>
      <c r="W269" s="638">
        <f t="shared" si="4"/>
        <v>0</v>
      </c>
      <c r="X269" s="638">
        <f t="shared" si="5"/>
        <v>0</v>
      </c>
      <c r="Y269" s="638">
        <f t="shared" si="6"/>
        <v>0</v>
      </c>
      <c r="Z269" s="638">
        <f t="shared" si="7"/>
        <v>0</v>
      </c>
      <c r="AA269" s="638">
        <f t="shared" si="8"/>
        <v>0</v>
      </c>
      <c r="AB269" s="638">
        <f t="shared" si="9"/>
        <v>0</v>
      </c>
      <c r="AC269" s="638">
        <f t="shared" si="10"/>
        <v>0</v>
      </c>
      <c r="AD269" s="638">
        <f t="shared" si="11"/>
        <v>0</v>
      </c>
      <c r="AE269" s="632"/>
      <c r="AF269" s="632"/>
      <c r="AG269" s="632"/>
      <c r="AH269" s="632"/>
      <c r="AI269" s="632" t="s">
        <v>120</v>
      </c>
      <c r="AJ269" s="639">
        <f t="shared" si="20"/>
        <v>2</v>
      </c>
      <c r="AK269" s="632" t="s">
        <v>120</v>
      </c>
      <c r="AL269" s="632"/>
      <c r="AM269" s="632"/>
      <c r="AN269" s="632"/>
      <c r="AO269" s="632"/>
    </row>
    <row r="270" customHeight="1" spans="1:41">
      <c r="A270" s="632" t="s">
        <v>533</v>
      </c>
      <c r="B270" s="632"/>
      <c r="C270" s="632"/>
      <c r="D270" s="632"/>
      <c r="E270" s="632"/>
      <c r="F270" s="632"/>
      <c r="G270" s="632"/>
      <c r="H270" s="633">
        <v>1</v>
      </c>
      <c r="I270" s="633">
        <v>0.9</v>
      </c>
      <c r="J270" s="633">
        <v>1.2</v>
      </c>
      <c r="K270" s="633">
        <v>1</v>
      </c>
      <c r="L270" s="633">
        <v>1.19999999999997</v>
      </c>
      <c r="M270" s="632"/>
      <c r="N270" s="632"/>
      <c r="O270" s="632">
        <v>2</v>
      </c>
      <c r="P270" s="636"/>
      <c r="Q270" s="636"/>
      <c r="R270" s="636"/>
      <c r="S270" s="638">
        <f t="shared" si="0"/>
        <v>0</v>
      </c>
      <c r="T270" s="638">
        <f t="shared" si="1"/>
        <v>0</v>
      </c>
      <c r="U270" s="638">
        <f t="shared" si="2"/>
        <v>0</v>
      </c>
      <c r="V270" s="638">
        <f t="shared" si="3"/>
        <v>0</v>
      </c>
      <c r="W270" s="638">
        <f t="shared" si="4"/>
        <v>0</v>
      </c>
      <c r="X270" s="638">
        <f t="shared" si="5"/>
        <v>0</v>
      </c>
      <c r="Y270" s="638">
        <f t="shared" si="6"/>
        <v>0</v>
      </c>
      <c r="Z270" s="638">
        <f t="shared" si="7"/>
        <v>0</v>
      </c>
      <c r="AA270" s="638">
        <f t="shared" si="8"/>
        <v>0</v>
      </c>
      <c r="AB270" s="638">
        <f t="shared" si="9"/>
        <v>0</v>
      </c>
      <c r="AC270" s="638">
        <f t="shared" si="10"/>
        <v>0</v>
      </c>
      <c r="AD270" s="638">
        <f t="shared" si="11"/>
        <v>0</v>
      </c>
      <c r="AE270" s="632"/>
      <c r="AF270" s="632"/>
      <c r="AG270" s="632"/>
      <c r="AH270" s="632"/>
      <c r="AI270" s="632" t="s">
        <v>120</v>
      </c>
      <c r="AJ270" s="639">
        <f t="shared" si="20"/>
        <v>2</v>
      </c>
      <c r="AK270" s="632" t="s">
        <v>120</v>
      </c>
      <c r="AL270" s="632"/>
      <c r="AM270" s="632"/>
      <c r="AN270" s="632"/>
      <c r="AO270" s="632"/>
    </row>
    <row r="271" customHeight="1" spans="1:41">
      <c r="A271" s="632" t="s">
        <v>534</v>
      </c>
      <c r="B271" s="632"/>
      <c r="C271" s="632"/>
      <c r="D271" s="632"/>
      <c r="E271" s="632"/>
      <c r="F271" s="632"/>
      <c r="G271" s="632"/>
      <c r="H271" s="633">
        <v>1</v>
      </c>
      <c r="I271" s="633">
        <v>0.9</v>
      </c>
      <c r="J271" s="633">
        <v>1.2</v>
      </c>
      <c r="K271" s="633">
        <v>1</v>
      </c>
      <c r="L271" s="633">
        <v>1.19999999999997</v>
      </c>
      <c r="M271" s="632"/>
      <c r="N271" s="632"/>
      <c r="O271" s="632">
        <v>2</v>
      </c>
      <c r="P271" s="636"/>
      <c r="Q271" s="636"/>
      <c r="R271" s="636"/>
      <c r="S271" s="638">
        <f t="shared" si="0"/>
        <v>0</v>
      </c>
      <c r="T271" s="638">
        <f t="shared" si="1"/>
        <v>0</v>
      </c>
      <c r="U271" s="638">
        <f t="shared" si="2"/>
        <v>0</v>
      </c>
      <c r="V271" s="638">
        <f t="shared" si="3"/>
        <v>0</v>
      </c>
      <c r="W271" s="638">
        <f t="shared" si="4"/>
        <v>0</v>
      </c>
      <c r="X271" s="638">
        <f t="shared" si="5"/>
        <v>0</v>
      </c>
      <c r="Y271" s="638">
        <f t="shared" si="6"/>
        <v>0</v>
      </c>
      <c r="Z271" s="638">
        <f t="shared" si="7"/>
        <v>0</v>
      </c>
      <c r="AA271" s="638">
        <f t="shared" si="8"/>
        <v>0</v>
      </c>
      <c r="AB271" s="638">
        <f t="shared" si="9"/>
        <v>0</v>
      </c>
      <c r="AC271" s="638">
        <f t="shared" si="10"/>
        <v>0</v>
      </c>
      <c r="AD271" s="638">
        <f t="shared" si="11"/>
        <v>0</v>
      </c>
      <c r="AE271" s="632"/>
      <c r="AF271" s="632"/>
      <c r="AG271" s="632"/>
      <c r="AH271" s="632"/>
      <c r="AI271" s="632" t="s">
        <v>120</v>
      </c>
      <c r="AJ271" s="639">
        <f t="shared" si="20"/>
        <v>2</v>
      </c>
      <c r="AK271" s="632" t="s">
        <v>120</v>
      </c>
      <c r="AL271" s="632"/>
      <c r="AM271" s="632"/>
      <c r="AN271" s="632"/>
      <c r="AO271" s="632"/>
    </row>
    <row r="272" customHeight="1" spans="1:41">
      <c r="A272" s="632" t="s">
        <v>535</v>
      </c>
      <c r="B272" s="632"/>
      <c r="C272" s="632"/>
      <c r="D272" s="632"/>
      <c r="E272" s="632"/>
      <c r="F272" s="632"/>
      <c r="G272" s="632"/>
      <c r="H272" s="633">
        <v>1</v>
      </c>
      <c r="I272" s="633">
        <v>0.9</v>
      </c>
      <c r="J272" s="633">
        <v>1.2</v>
      </c>
      <c r="K272" s="633">
        <v>1</v>
      </c>
      <c r="L272" s="633">
        <v>1.19999999999997</v>
      </c>
      <c r="M272" s="632"/>
      <c r="N272" s="632"/>
      <c r="O272" s="632">
        <v>2</v>
      </c>
      <c r="P272" s="636"/>
      <c r="Q272" s="636"/>
      <c r="R272" s="636"/>
      <c r="S272" s="638">
        <f t="shared" si="0"/>
        <v>0</v>
      </c>
      <c r="T272" s="638">
        <f t="shared" si="1"/>
        <v>0</v>
      </c>
      <c r="U272" s="638">
        <f t="shared" si="2"/>
        <v>0</v>
      </c>
      <c r="V272" s="638">
        <f t="shared" si="3"/>
        <v>0</v>
      </c>
      <c r="W272" s="638">
        <f t="shared" si="4"/>
        <v>0</v>
      </c>
      <c r="X272" s="638">
        <f t="shared" si="5"/>
        <v>0</v>
      </c>
      <c r="Y272" s="638">
        <f t="shared" si="6"/>
        <v>0</v>
      </c>
      <c r="Z272" s="638">
        <f t="shared" si="7"/>
        <v>0</v>
      </c>
      <c r="AA272" s="638">
        <f t="shared" si="8"/>
        <v>0</v>
      </c>
      <c r="AB272" s="638">
        <f t="shared" si="9"/>
        <v>0</v>
      </c>
      <c r="AC272" s="638">
        <f t="shared" si="10"/>
        <v>0</v>
      </c>
      <c r="AD272" s="638">
        <f t="shared" si="11"/>
        <v>0</v>
      </c>
      <c r="AE272" s="632"/>
      <c r="AF272" s="632"/>
      <c r="AG272" s="632"/>
      <c r="AH272" s="632"/>
      <c r="AI272" s="632" t="s">
        <v>120</v>
      </c>
      <c r="AJ272" s="639">
        <f t="shared" si="20"/>
        <v>2</v>
      </c>
      <c r="AK272" s="632" t="s">
        <v>120</v>
      </c>
      <c r="AL272" s="632"/>
      <c r="AM272" s="632"/>
      <c r="AN272" s="632"/>
      <c r="AO272" s="632"/>
    </row>
    <row r="273" customHeight="1" spans="1:41">
      <c r="A273" s="632" t="s">
        <v>536</v>
      </c>
      <c r="B273" s="632"/>
      <c r="C273" s="632"/>
      <c r="D273" s="632"/>
      <c r="E273" s="632"/>
      <c r="F273" s="632"/>
      <c r="G273" s="632"/>
      <c r="H273" s="633">
        <v>1</v>
      </c>
      <c r="I273" s="633">
        <v>0.9</v>
      </c>
      <c r="J273" s="633">
        <v>1.2</v>
      </c>
      <c r="K273" s="633">
        <v>1</v>
      </c>
      <c r="L273" s="633">
        <v>1.19999999999997</v>
      </c>
      <c r="M273" s="632"/>
      <c r="N273" s="632"/>
      <c r="O273" s="632">
        <v>2</v>
      </c>
      <c r="P273" s="636"/>
      <c r="Q273" s="636"/>
      <c r="R273" s="636"/>
      <c r="S273" s="638">
        <f t="shared" si="0"/>
        <v>0</v>
      </c>
      <c r="T273" s="638">
        <f t="shared" si="1"/>
        <v>0</v>
      </c>
      <c r="U273" s="638">
        <f t="shared" si="2"/>
        <v>0</v>
      </c>
      <c r="V273" s="638">
        <f t="shared" si="3"/>
        <v>0</v>
      </c>
      <c r="W273" s="638">
        <f t="shared" si="4"/>
        <v>0</v>
      </c>
      <c r="X273" s="638">
        <f t="shared" si="5"/>
        <v>0</v>
      </c>
      <c r="Y273" s="638">
        <f t="shared" si="6"/>
        <v>0</v>
      </c>
      <c r="Z273" s="638">
        <f t="shared" si="7"/>
        <v>0</v>
      </c>
      <c r="AA273" s="638">
        <f t="shared" si="8"/>
        <v>0</v>
      </c>
      <c r="AB273" s="638">
        <f t="shared" si="9"/>
        <v>0</v>
      </c>
      <c r="AC273" s="638">
        <f t="shared" si="10"/>
        <v>0</v>
      </c>
      <c r="AD273" s="638">
        <f t="shared" si="11"/>
        <v>0</v>
      </c>
      <c r="AE273" s="632"/>
      <c r="AF273" s="632"/>
      <c r="AG273" s="632"/>
      <c r="AH273" s="632"/>
      <c r="AI273" s="632" t="s">
        <v>120</v>
      </c>
      <c r="AJ273" s="639">
        <f t="shared" si="20"/>
        <v>2</v>
      </c>
      <c r="AK273" s="632" t="s">
        <v>120</v>
      </c>
      <c r="AL273" s="632"/>
      <c r="AM273" s="632"/>
      <c r="AN273" s="632"/>
      <c r="AO273" s="632"/>
    </row>
    <row r="274" customHeight="1" spans="1:41">
      <c r="A274" s="632" t="s">
        <v>537</v>
      </c>
      <c r="B274" s="632"/>
      <c r="C274" s="632"/>
      <c r="D274" s="632"/>
      <c r="E274" s="632"/>
      <c r="F274" s="632"/>
      <c r="G274" s="632"/>
      <c r="H274" s="633">
        <v>1</v>
      </c>
      <c r="I274" s="633">
        <v>0.9</v>
      </c>
      <c r="J274" s="633">
        <v>1.2</v>
      </c>
      <c r="K274" s="633">
        <v>1</v>
      </c>
      <c r="L274" s="633">
        <v>1.19999999999997</v>
      </c>
      <c r="M274" s="632"/>
      <c r="N274" s="632"/>
      <c r="O274" s="632">
        <v>2</v>
      </c>
      <c r="P274" s="636"/>
      <c r="Q274" s="636"/>
      <c r="R274" s="636"/>
      <c r="S274" s="638">
        <f t="shared" si="0"/>
        <v>0</v>
      </c>
      <c r="T274" s="638">
        <f t="shared" si="1"/>
        <v>0</v>
      </c>
      <c r="U274" s="638">
        <f t="shared" si="2"/>
        <v>0</v>
      </c>
      <c r="V274" s="638">
        <f t="shared" si="3"/>
        <v>0</v>
      </c>
      <c r="W274" s="638">
        <f t="shared" si="4"/>
        <v>0</v>
      </c>
      <c r="X274" s="638">
        <f t="shared" si="5"/>
        <v>0</v>
      </c>
      <c r="Y274" s="638">
        <f t="shared" si="6"/>
        <v>0</v>
      </c>
      <c r="Z274" s="638">
        <f t="shared" si="7"/>
        <v>0</v>
      </c>
      <c r="AA274" s="638">
        <f t="shared" si="8"/>
        <v>0</v>
      </c>
      <c r="AB274" s="638">
        <f t="shared" si="9"/>
        <v>0</v>
      </c>
      <c r="AC274" s="638">
        <f t="shared" si="10"/>
        <v>0</v>
      </c>
      <c r="AD274" s="638">
        <f t="shared" si="11"/>
        <v>0</v>
      </c>
      <c r="AE274" s="632"/>
      <c r="AF274" s="632"/>
      <c r="AG274" s="632"/>
      <c r="AH274" s="632"/>
      <c r="AI274" s="632" t="s">
        <v>120</v>
      </c>
      <c r="AJ274" s="639">
        <f t="shared" si="20"/>
        <v>2</v>
      </c>
      <c r="AK274" s="632" t="s">
        <v>120</v>
      </c>
      <c r="AL274" s="632"/>
      <c r="AM274" s="632"/>
      <c r="AN274" s="632"/>
      <c r="AO274" s="632"/>
    </row>
    <row r="275" customHeight="1" spans="1:41">
      <c r="A275" s="632" t="s">
        <v>538</v>
      </c>
      <c r="B275" s="632"/>
      <c r="C275" s="632"/>
      <c r="D275" s="632"/>
      <c r="E275" s="632"/>
      <c r="F275" s="632"/>
      <c r="G275" s="632"/>
      <c r="H275" s="633">
        <v>1</v>
      </c>
      <c r="I275" s="633">
        <v>0.9</v>
      </c>
      <c r="J275" s="633">
        <v>1.2</v>
      </c>
      <c r="K275" s="633">
        <v>1</v>
      </c>
      <c r="L275" s="633">
        <v>1.19999999999997</v>
      </c>
      <c r="M275" s="632"/>
      <c r="N275" s="632"/>
      <c r="O275" s="632">
        <v>2</v>
      </c>
      <c r="P275" s="636"/>
      <c r="Q275" s="636"/>
      <c r="R275" s="636"/>
      <c r="S275" s="638">
        <f t="shared" si="0"/>
        <v>0</v>
      </c>
      <c r="T275" s="638">
        <f t="shared" si="1"/>
        <v>0</v>
      </c>
      <c r="U275" s="638">
        <f t="shared" si="2"/>
        <v>0</v>
      </c>
      <c r="V275" s="638">
        <f t="shared" si="3"/>
        <v>0</v>
      </c>
      <c r="W275" s="638">
        <f t="shared" si="4"/>
        <v>0</v>
      </c>
      <c r="X275" s="638">
        <f t="shared" si="5"/>
        <v>0</v>
      </c>
      <c r="Y275" s="638">
        <f t="shared" si="6"/>
        <v>0</v>
      </c>
      <c r="Z275" s="638">
        <f t="shared" si="7"/>
        <v>0</v>
      </c>
      <c r="AA275" s="638">
        <f t="shared" si="8"/>
        <v>0</v>
      </c>
      <c r="AB275" s="638">
        <f t="shared" si="9"/>
        <v>0</v>
      </c>
      <c r="AC275" s="638">
        <f t="shared" si="10"/>
        <v>0</v>
      </c>
      <c r="AD275" s="638">
        <f t="shared" si="11"/>
        <v>0</v>
      </c>
      <c r="AE275" s="632"/>
      <c r="AF275" s="632"/>
      <c r="AG275" s="632"/>
      <c r="AH275" s="632"/>
      <c r="AI275" s="632" t="s">
        <v>120</v>
      </c>
      <c r="AJ275" s="639">
        <f t="shared" si="20"/>
        <v>2</v>
      </c>
      <c r="AK275" s="632" t="s">
        <v>120</v>
      </c>
      <c r="AL275" s="632"/>
      <c r="AM275" s="632"/>
      <c r="AN275" s="632"/>
      <c r="AO275" s="632"/>
    </row>
    <row r="276" customHeight="1" spans="1:41">
      <c r="A276" s="632" t="s">
        <v>539</v>
      </c>
      <c r="B276" s="632"/>
      <c r="C276" s="632"/>
      <c r="D276" s="632"/>
      <c r="E276" s="632"/>
      <c r="F276" s="632"/>
      <c r="G276" s="632"/>
      <c r="H276" s="633">
        <v>1</v>
      </c>
      <c r="I276" s="633">
        <v>0.9</v>
      </c>
      <c r="J276" s="633">
        <v>1.2</v>
      </c>
      <c r="K276" s="633">
        <v>1</v>
      </c>
      <c r="L276" s="633">
        <v>1.19999999999997</v>
      </c>
      <c r="M276" s="632" t="s">
        <v>540</v>
      </c>
      <c r="N276" s="632" t="s">
        <v>158</v>
      </c>
      <c r="O276" s="632">
        <v>2</v>
      </c>
      <c r="P276" s="636">
        <v>75</v>
      </c>
      <c r="Q276" s="636">
        <v>40</v>
      </c>
      <c r="R276" s="636"/>
      <c r="S276" s="638">
        <f t="shared" si="0"/>
        <v>75</v>
      </c>
      <c r="T276" s="638">
        <f t="shared" si="1"/>
        <v>40</v>
      </c>
      <c r="U276" s="638">
        <f t="shared" si="2"/>
        <v>0</v>
      </c>
      <c r="V276" s="638">
        <f t="shared" si="3"/>
        <v>83.3333333333333</v>
      </c>
      <c r="W276" s="638">
        <f t="shared" si="4"/>
        <v>44.4444444444444</v>
      </c>
      <c r="X276" s="638">
        <f t="shared" si="5"/>
        <v>0</v>
      </c>
      <c r="Y276" s="638">
        <f t="shared" si="6"/>
        <v>62.5</v>
      </c>
      <c r="Z276" s="638">
        <f t="shared" si="7"/>
        <v>33.3333333333333</v>
      </c>
      <c r="AA276" s="638">
        <f t="shared" si="8"/>
        <v>0</v>
      </c>
      <c r="AB276" s="638">
        <f t="shared" si="9"/>
        <v>75</v>
      </c>
      <c r="AC276" s="638">
        <f t="shared" si="10"/>
        <v>40</v>
      </c>
      <c r="AD276" s="638">
        <f t="shared" si="11"/>
        <v>0</v>
      </c>
      <c r="AE276" s="632"/>
      <c r="AF276" s="632"/>
      <c r="AG276" s="632"/>
      <c r="AH276" s="632"/>
      <c r="AI276" s="632"/>
      <c r="AJ276" s="639"/>
      <c r="AK276" s="632"/>
      <c r="AL276" s="632"/>
      <c r="AM276" s="632"/>
      <c r="AN276" s="632"/>
      <c r="AO276" s="632"/>
    </row>
    <row r="277" customHeight="1" spans="1:41">
      <c r="A277" s="632" t="s">
        <v>541</v>
      </c>
      <c r="B277" s="632"/>
      <c r="C277" s="632"/>
      <c r="D277" s="632"/>
      <c r="E277" s="632"/>
      <c r="F277" s="632"/>
      <c r="G277" s="632"/>
      <c r="H277" s="633">
        <v>1</v>
      </c>
      <c r="I277" s="633">
        <v>0.9</v>
      </c>
      <c r="J277" s="633">
        <v>1.2</v>
      </c>
      <c r="K277" s="633">
        <v>1</v>
      </c>
      <c r="L277" s="633">
        <v>1.19999999999997</v>
      </c>
      <c r="M277" s="632" t="s">
        <v>540</v>
      </c>
      <c r="N277" s="632" t="s">
        <v>158</v>
      </c>
      <c r="O277" s="632">
        <v>2</v>
      </c>
      <c r="P277" s="636">
        <v>60</v>
      </c>
      <c r="Q277" s="636">
        <v>35</v>
      </c>
      <c r="R277" s="636"/>
      <c r="S277" s="638">
        <f t="shared" si="0"/>
        <v>60</v>
      </c>
      <c r="T277" s="638">
        <f t="shared" si="1"/>
        <v>35</v>
      </c>
      <c r="U277" s="638">
        <f t="shared" si="2"/>
        <v>0</v>
      </c>
      <c r="V277" s="638">
        <f t="shared" si="3"/>
        <v>66.6666666666667</v>
      </c>
      <c r="W277" s="638">
        <f t="shared" si="4"/>
        <v>38.8888888888889</v>
      </c>
      <c r="X277" s="638">
        <f t="shared" si="5"/>
        <v>0</v>
      </c>
      <c r="Y277" s="638">
        <f t="shared" si="6"/>
        <v>50</v>
      </c>
      <c r="Z277" s="638">
        <f t="shared" si="7"/>
        <v>29.1666666666667</v>
      </c>
      <c r="AA277" s="638">
        <f t="shared" si="8"/>
        <v>0</v>
      </c>
      <c r="AB277" s="638">
        <f t="shared" si="9"/>
        <v>60</v>
      </c>
      <c r="AC277" s="638">
        <f t="shared" si="10"/>
        <v>35</v>
      </c>
      <c r="AD277" s="638">
        <f t="shared" si="11"/>
        <v>0</v>
      </c>
      <c r="AE277" s="632"/>
      <c r="AF277" s="632"/>
      <c r="AG277" s="632"/>
      <c r="AH277" s="632"/>
      <c r="AI277" s="632"/>
      <c r="AJ277" s="639"/>
      <c r="AK277" s="632"/>
      <c r="AL277" s="632"/>
      <c r="AM277" s="632"/>
      <c r="AN277" s="632"/>
      <c r="AO277" s="632"/>
    </row>
    <row r="278" customHeight="1" spans="1:41">
      <c r="A278" s="632" t="s">
        <v>542</v>
      </c>
      <c r="B278" s="632"/>
      <c r="C278" s="632"/>
      <c r="D278" s="632"/>
      <c r="E278" s="632"/>
      <c r="F278" s="632"/>
      <c r="G278" s="632"/>
      <c r="H278" s="633">
        <v>1</v>
      </c>
      <c r="I278" s="633">
        <v>0.9</v>
      </c>
      <c r="J278" s="633">
        <v>1.2</v>
      </c>
      <c r="K278" s="633">
        <v>1</v>
      </c>
      <c r="L278" s="633">
        <v>1.19999999999997</v>
      </c>
      <c r="M278" s="632" t="s">
        <v>543</v>
      </c>
      <c r="N278" s="632" t="s">
        <v>158</v>
      </c>
      <c r="O278" s="632">
        <v>2</v>
      </c>
      <c r="P278" s="636">
        <v>100</v>
      </c>
      <c r="Q278" s="636">
        <v>55</v>
      </c>
      <c r="R278" s="636"/>
      <c r="S278" s="638">
        <f t="shared" si="0"/>
        <v>100</v>
      </c>
      <c r="T278" s="638">
        <f t="shared" si="1"/>
        <v>55</v>
      </c>
      <c r="U278" s="638">
        <f t="shared" si="2"/>
        <v>0</v>
      </c>
      <c r="V278" s="638">
        <f t="shared" si="3"/>
        <v>111.111111111111</v>
      </c>
      <c r="W278" s="638">
        <f t="shared" si="4"/>
        <v>61.1111111111111</v>
      </c>
      <c r="X278" s="638">
        <f t="shared" si="5"/>
        <v>0</v>
      </c>
      <c r="Y278" s="638">
        <f t="shared" si="6"/>
        <v>83.3333333333333</v>
      </c>
      <c r="Z278" s="638">
        <f t="shared" si="7"/>
        <v>45.8333333333333</v>
      </c>
      <c r="AA278" s="638">
        <f t="shared" si="8"/>
        <v>0</v>
      </c>
      <c r="AB278" s="638">
        <f t="shared" si="9"/>
        <v>100</v>
      </c>
      <c r="AC278" s="638">
        <f t="shared" si="10"/>
        <v>55</v>
      </c>
      <c r="AD278" s="638">
        <f t="shared" si="11"/>
        <v>0</v>
      </c>
      <c r="AE278" s="632"/>
      <c r="AF278" s="632"/>
      <c r="AG278" s="632"/>
      <c r="AH278" s="632"/>
      <c r="AI278" s="632"/>
      <c r="AJ278" s="639"/>
      <c r="AK278" s="632"/>
      <c r="AL278" s="632"/>
      <c r="AM278" s="632"/>
      <c r="AN278" s="632"/>
      <c r="AO278" s="632"/>
    </row>
    <row r="279" customHeight="1" spans="1:41">
      <c r="A279" s="632" t="s">
        <v>544</v>
      </c>
      <c r="B279" s="632"/>
      <c r="C279" s="632"/>
      <c r="D279" s="632"/>
      <c r="E279" s="632"/>
      <c r="F279" s="632"/>
      <c r="G279" s="632"/>
      <c r="H279" s="633">
        <v>1</v>
      </c>
      <c r="I279" s="633">
        <v>0.9</v>
      </c>
      <c r="J279" s="633">
        <v>1.2</v>
      </c>
      <c r="K279" s="633">
        <v>1</v>
      </c>
      <c r="L279" s="633">
        <v>1.19999999999997</v>
      </c>
      <c r="M279" s="632" t="s">
        <v>545</v>
      </c>
      <c r="N279" s="632" t="s">
        <v>158</v>
      </c>
      <c r="O279" s="632">
        <v>1</v>
      </c>
      <c r="P279" s="636">
        <v>225</v>
      </c>
      <c r="Q279" s="636"/>
      <c r="R279" s="636"/>
      <c r="S279" s="638">
        <f t="shared" si="0"/>
        <v>225</v>
      </c>
      <c r="T279" s="638">
        <f t="shared" si="1"/>
        <v>0</v>
      </c>
      <c r="U279" s="638">
        <f t="shared" si="2"/>
        <v>0</v>
      </c>
      <c r="V279" s="638">
        <f t="shared" si="3"/>
        <v>250</v>
      </c>
      <c r="W279" s="638">
        <f t="shared" si="4"/>
        <v>0</v>
      </c>
      <c r="X279" s="638">
        <f t="shared" si="5"/>
        <v>0</v>
      </c>
      <c r="Y279" s="638">
        <f t="shared" si="6"/>
        <v>187.5</v>
      </c>
      <c r="Z279" s="638">
        <f t="shared" si="7"/>
        <v>0</v>
      </c>
      <c r="AA279" s="638">
        <f t="shared" si="8"/>
        <v>0</v>
      </c>
      <c r="AB279" s="638">
        <f t="shared" si="9"/>
        <v>225</v>
      </c>
      <c r="AC279" s="638">
        <f t="shared" si="10"/>
        <v>0</v>
      </c>
      <c r="AD279" s="638">
        <f t="shared" si="11"/>
        <v>0</v>
      </c>
      <c r="AE279" s="632"/>
      <c r="AF279" s="632"/>
      <c r="AG279" s="632"/>
      <c r="AH279" s="632"/>
      <c r="AI279" s="632"/>
      <c r="AJ279" s="639"/>
      <c r="AK279" s="632"/>
      <c r="AL279" s="632"/>
      <c r="AM279" s="632"/>
      <c r="AN279" s="632"/>
      <c r="AO279" s="632"/>
    </row>
    <row r="280" customHeight="1" spans="1:41">
      <c r="A280" s="632"/>
      <c r="B280" s="632"/>
      <c r="C280" s="632"/>
      <c r="D280" s="632"/>
      <c r="E280" s="632"/>
      <c r="F280" s="632"/>
      <c r="G280" s="632"/>
      <c r="H280" s="633">
        <v>1</v>
      </c>
      <c r="I280" s="633">
        <v>0.9</v>
      </c>
      <c r="J280" s="633">
        <v>1.2</v>
      </c>
      <c r="K280" s="633">
        <v>1</v>
      </c>
      <c r="L280" s="633">
        <v>1.19999999999997</v>
      </c>
      <c r="M280" s="632"/>
      <c r="N280" s="632"/>
      <c r="O280" s="632"/>
      <c r="P280" s="636"/>
      <c r="Q280" s="636"/>
      <c r="R280" s="636"/>
      <c r="S280" s="638">
        <f t="shared" si="0"/>
        <v>0</v>
      </c>
      <c r="T280" s="638">
        <f t="shared" si="1"/>
        <v>0</v>
      </c>
      <c r="U280" s="638">
        <f t="shared" si="2"/>
        <v>0</v>
      </c>
      <c r="V280" s="638">
        <f t="shared" si="3"/>
        <v>0</v>
      </c>
      <c r="W280" s="638">
        <f t="shared" si="4"/>
        <v>0</v>
      </c>
      <c r="X280" s="638">
        <f t="shared" si="5"/>
        <v>0</v>
      </c>
      <c r="Y280" s="638">
        <f t="shared" si="6"/>
        <v>0</v>
      </c>
      <c r="Z280" s="638">
        <f t="shared" si="7"/>
        <v>0</v>
      </c>
      <c r="AA280" s="638">
        <f t="shared" si="8"/>
        <v>0</v>
      </c>
      <c r="AB280" s="638">
        <f t="shared" si="9"/>
        <v>0</v>
      </c>
      <c r="AC280" s="638">
        <f t="shared" si="10"/>
        <v>0</v>
      </c>
      <c r="AD280" s="638">
        <f t="shared" si="11"/>
        <v>0</v>
      </c>
      <c r="AE280" s="632"/>
      <c r="AF280" s="632"/>
      <c r="AG280" s="632"/>
      <c r="AH280" s="632"/>
      <c r="AI280" s="632"/>
      <c r="AJ280" s="639"/>
      <c r="AK280" s="632"/>
      <c r="AL280" s="632"/>
      <c r="AM280" s="632"/>
      <c r="AN280" s="632"/>
      <c r="AO280" s="632"/>
    </row>
    <row r="281" customHeight="1" spans="1:41">
      <c r="A281" s="632"/>
      <c r="B281" s="632"/>
      <c r="C281" s="632"/>
      <c r="D281" s="632"/>
      <c r="E281" s="632"/>
      <c r="F281" s="632"/>
      <c r="G281" s="632"/>
      <c r="H281" s="633">
        <v>1</v>
      </c>
      <c r="I281" s="633">
        <v>0.9</v>
      </c>
      <c r="J281" s="633">
        <v>1.2</v>
      </c>
      <c r="K281" s="633">
        <v>1</v>
      </c>
      <c r="L281" s="633">
        <v>1.19999999999997</v>
      </c>
      <c r="M281" s="632"/>
      <c r="N281" s="632"/>
      <c r="O281" s="632"/>
      <c r="P281" s="636"/>
      <c r="Q281" s="636"/>
      <c r="R281" s="636"/>
      <c r="S281" s="638">
        <f t="shared" si="0"/>
        <v>0</v>
      </c>
      <c r="T281" s="638">
        <f t="shared" si="1"/>
        <v>0</v>
      </c>
      <c r="U281" s="638">
        <f t="shared" si="2"/>
        <v>0</v>
      </c>
      <c r="V281" s="638">
        <f t="shared" si="3"/>
        <v>0</v>
      </c>
      <c r="W281" s="638">
        <f t="shared" si="4"/>
        <v>0</v>
      </c>
      <c r="X281" s="638">
        <f t="shared" si="5"/>
        <v>0</v>
      </c>
      <c r="Y281" s="638">
        <f t="shared" si="6"/>
        <v>0</v>
      </c>
      <c r="Z281" s="638">
        <f t="shared" si="7"/>
        <v>0</v>
      </c>
      <c r="AA281" s="638">
        <f t="shared" si="8"/>
        <v>0</v>
      </c>
      <c r="AB281" s="638">
        <f t="shared" si="9"/>
        <v>0</v>
      </c>
      <c r="AC281" s="638">
        <f t="shared" si="10"/>
        <v>0</v>
      </c>
      <c r="AD281" s="638">
        <f t="shared" si="11"/>
        <v>0</v>
      </c>
      <c r="AE281" s="632"/>
      <c r="AF281" s="632"/>
      <c r="AG281" s="632"/>
      <c r="AH281" s="632"/>
      <c r="AI281" s="632"/>
      <c r="AJ281" s="639"/>
      <c r="AK281" s="632"/>
      <c r="AL281" s="632"/>
      <c r="AM281" s="632"/>
      <c r="AN281" s="632"/>
      <c r="AO281" s="632"/>
    </row>
    <row r="282" customHeight="1" spans="1:41">
      <c r="A282" s="632"/>
      <c r="B282" s="632"/>
      <c r="C282" s="632"/>
      <c r="D282" s="632"/>
      <c r="E282" s="632"/>
      <c r="F282" s="632"/>
      <c r="G282" s="632"/>
      <c r="H282" s="633">
        <v>1</v>
      </c>
      <c r="I282" s="633">
        <v>0.9</v>
      </c>
      <c r="J282" s="633">
        <v>1.2</v>
      </c>
      <c r="K282" s="633">
        <v>1</v>
      </c>
      <c r="L282" s="633">
        <v>1.19999999999997</v>
      </c>
      <c r="M282" s="632"/>
      <c r="N282" s="632"/>
      <c r="O282" s="632"/>
      <c r="P282" s="636"/>
      <c r="Q282" s="636"/>
      <c r="R282" s="636"/>
      <c r="S282" s="638">
        <f t="shared" si="0"/>
        <v>0</v>
      </c>
      <c r="T282" s="638">
        <f t="shared" si="1"/>
        <v>0</v>
      </c>
      <c r="U282" s="638">
        <f t="shared" si="2"/>
        <v>0</v>
      </c>
      <c r="V282" s="638">
        <f t="shared" si="3"/>
        <v>0</v>
      </c>
      <c r="W282" s="638">
        <f t="shared" si="4"/>
        <v>0</v>
      </c>
      <c r="X282" s="638">
        <f t="shared" si="5"/>
        <v>0</v>
      </c>
      <c r="Y282" s="638">
        <f t="shared" si="6"/>
        <v>0</v>
      </c>
      <c r="Z282" s="638">
        <f t="shared" si="7"/>
        <v>0</v>
      </c>
      <c r="AA282" s="638">
        <f t="shared" si="8"/>
        <v>0</v>
      </c>
      <c r="AB282" s="638">
        <f t="shared" si="9"/>
        <v>0</v>
      </c>
      <c r="AC282" s="638">
        <f t="shared" si="10"/>
        <v>0</v>
      </c>
      <c r="AD282" s="638">
        <f t="shared" si="11"/>
        <v>0</v>
      </c>
      <c r="AE282" s="632"/>
      <c r="AF282" s="632"/>
      <c r="AG282" s="632"/>
      <c r="AH282" s="632"/>
      <c r="AI282" s="632"/>
      <c r="AJ282" s="639"/>
      <c r="AK282" s="632"/>
      <c r="AL282" s="632"/>
      <c r="AM282" s="632"/>
      <c r="AN282" s="632"/>
      <c r="AO282" s="632"/>
    </row>
    <row r="283" customHeight="1" spans="1:41">
      <c r="A283" s="632"/>
      <c r="B283" s="632"/>
      <c r="C283" s="632"/>
      <c r="D283" s="632"/>
      <c r="E283" s="632"/>
      <c r="F283" s="632"/>
      <c r="G283" s="632"/>
      <c r="H283" s="633">
        <v>1</v>
      </c>
      <c r="I283" s="633">
        <v>0.9</v>
      </c>
      <c r="J283" s="633">
        <v>1.2</v>
      </c>
      <c r="K283" s="633">
        <v>1</v>
      </c>
      <c r="L283" s="633">
        <v>1.19999999999997</v>
      </c>
      <c r="M283" s="632"/>
      <c r="N283" s="632"/>
      <c r="O283" s="632"/>
      <c r="P283" s="636"/>
      <c r="Q283" s="636"/>
      <c r="R283" s="636"/>
      <c r="S283" s="638">
        <f t="shared" si="0"/>
        <v>0</v>
      </c>
      <c r="T283" s="638">
        <f t="shared" si="1"/>
        <v>0</v>
      </c>
      <c r="U283" s="638">
        <f t="shared" si="2"/>
        <v>0</v>
      </c>
      <c r="V283" s="638">
        <f t="shared" si="3"/>
        <v>0</v>
      </c>
      <c r="W283" s="638">
        <f t="shared" si="4"/>
        <v>0</v>
      </c>
      <c r="X283" s="638">
        <f t="shared" si="5"/>
        <v>0</v>
      </c>
      <c r="Y283" s="638">
        <f t="shared" si="6"/>
        <v>0</v>
      </c>
      <c r="Z283" s="638">
        <f t="shared" si="7"/>
        <v>0</v>
      </c>
      <c r="AA283" s="638">
        <f t="shared" si="8"/>
        <v>0</v>
      </c>
      <c r="AB283" s="638">
        <f t="shared" si="9"/>
        <v>0</v>
      </c>
      <c r="AC283" s="638">
        <f t="shared" si="10"/>
        <v>0</v>
      </c>
      <c r="AD283" s="638">
        <f t="shared" si="11"/>
        <v>0</v>
      </c>
      <c r="AE283" s="632"/>
      <c r="AF283" s="632"/>
      <c r="AG283" s="632"/>
      <c r="AH283" s="632"/>
      <c r="AI283" s="632"/>
      <c r="AJ283" s="639"/>
      <c r="AK283" s="632"/>
      <c r="AL283" s="632"/>
      <c r="AM283" s="632"/>
      <c r="AN283" s="632"/>
      <c r="AO283" s="632"/>
    </row>
    <row r="284" customHeight="1" spans="1:41">
      <c r="A284" s="632"/>
      <c r="B284" s="632"/>
      <c r="C284" s="632"/>
      <c r="D284" s="632"/>
      <c r="E284" s="632"/>
      <c r="F284" s="632"/>
      <c r="G284" s="632"/>
      <c r="H284" s="633">
        <v>1</v>
      </c>
      <c r="I284" s="633">
        <v>0.9</v>
      </c>
      <c r="J284" s="633">
        <v>1.2</v>
      </c>
      <c r="K284" s="633">
        <v>1</v>
      </c>
      <c r="L284" s="633">
        <v>1.19999999999997</v>
      </c>
      <c r="M284" s="632"/>
      <c r="N284" s="632"/>
      <c r="O284" s="632"/>
      <c r="P284" s="636"/>
      <c r="Q284" s="636"/>
      <c r="R284" s="636"/>
      <c r="S284" s="638">
        <f t="shared" si="0"/>
        <v>0</v>
      </c>
      <c r="T284" s="638">
        <f t="shared" si="1"/>
        <v>0</v>
      </c>
      <c r="U284" s="638">
        <f t="shared" si="2"/>
        <v>0</v>
      </c>
      <c r="V284" s="638">
        <f t="shared" si="3"/>
        <v>0</v>
      </c>
      <c r="W284" s="638">
        <f t="shared" si="4"/>
        <v>0</v>
      </c>
      <c r="X284" s="638">
        <f t="shared" si="5"/>
        <v>0</v>
      </c>
      <c r="Y284" s="638">
        <f t="shared" si="6"/>
        <v>0</v>
      </c>
      <c r="Z284" s="638">
        <f t="shared" si="7"/>
        <v>0</v>
      </c>
      <c r="AA284" s="638">
        <f t="shared" si="8"/>
        <v>0</v>
      </c>
      <c r="AB284" s="638">
        <f t="shared" si="9"/>
        <v>0</v>
      </c>
      <c r="AC284" s="638">
        <f t="shared" si="10"/>
        <v>0</v>
      </c>
      <c r="AD284" s="638">
        <f t="shared" si="11"/>
        <v>0</v>
      </c>
      <c r="AE284" s="632"/>
      <c r="AF284" s="632"/>
      <c r="AG284" s="632"/>
      <c r="AH284" s="632"/>
      <c r="AI284" s="632"/>
      <c r="AJ284" s="639"/>
      <c r="AK284" s="632"/>
      <c r="AL284" s="632"/>
      <c r="AM284" s="632"/>
      <c r="AN284" s="632"/>
      <c r="AO284" s="632"/>
    </row>
    <row r="285" customHeight="1" spans="1:41">
      <c r="A285" s="632"/>
      <c r="B285" s="632"/>
      <c r="C285" s="632"/>
      <c r="D285" s="632"/>
      <c r="E285" s="632"/>
      <c r="F285" s="632"/>
      <c r="G285" s="632"/>
      <c r="H285" s="633">
        <v>1</v>
      </c>
      <c r="I285" s="633">
        <v>0.9</v>
      </c>
      <c r="J285" s="633">
        <v>1.2</v>
      </c>
      <c r="K285" s="633">
        <v>1</v>
      </c>
      <c r="L285" s="633">
        <v>1.19999999999997</v>
      </c>
      <c r="M285" s="632"/>
      <c r="N285" s="632"/>
      <c r="O285" s="632"/>
      <c r="P285" s="636"/>
      <c r="Q285" s="636"/>
      <c r="R285" s="636"/>
      <c r="S285" s="638">
        <f t="shared" si="0"/>
        <v>0</v>
      </c>
      <c r="T285" s="638">
        <f t="shared" si="1"/>
        <v>0</v>
      </c>
      <c r="U285" s="638">
        <f t="shared" si="2"/>
        <v>0</v>
      </c>
      <c r="V285" s="638">
        <f t="shared" si="3"/>
        <v>0</v>
      </c>
      <c r="W285" s="638">
        <f t="shared" si="4"/>
        <v>0</v>
      </c>
      <c r="X285" s="638">
        <f t="shared" si="5"/>
        <v>0</v>
      </c>
      <c r="Y285" s="638">
        <f t="shared" si="6"/>
        <v>0</v>
      </c>
      <c r="Z285" s="638">
        <f t="shared" si="7"/>
        <v>0</v>
      </c>
      <c r="AA285" s="638">
        <f t="shared" si="8"/>
        <v>0</v>
      </c>
      <c r="AB285" s="638">
        <f t="shared" si="9"/>
        <v>0</v>
      </c>
      <c r="AC285" s="638">
        <f t="shared" si="10"/>
        <v>0</v>
      </c>
      <c r="AD285" s="638">
        <f t="shared" si="11"/>
        <v>0</v>
      </c>
      <c r="AE285" s="632"/>
      <c r="AF285" s="632"/>
      <c r="AG285" s="632"/>
      <c r="AH285" s="632"/>
      <c r="AI285" s="632"/>
      <c r="AJ285" s="639"/>
      <c r="AK285" s="632"/>
      <c r="AL285" s="632"/>
      <c r="AM285" s="632"/>
      <c r="AN285" s="632"/>
      <c r="AO285" s="632"/>
    </row>
  </sheetData>
  <mergeCells count="7">
    <mergeCell ref="AI1:AI2"/>
    <mergeCell ref="AJ1:AJ2"/>
    <mergeCell ref="AK1:AK2"/>
    <mergeCell ref="AL1:AL2"/>
    <mergeCell ref="AM1:AM2"/>
    <mergeCell ref="AN1:AN2"/>
    <mergeCell ref="AO1:AO2"/>
  </mergeCells>
  <dataValidations count="7">
    <dataValidation type="list" allowBlank="1" showErrorMessage="1" sqref="E4:E285">
      <formula1>"Exterior Painting,Interior Painting,Prep/Repairs,Pressure Washing,Carpentry / Installations,Specialty Finishes,Misc. Services"</formula1>
    </dataValidation>
    <dataValidation type="custom" allowBlank="1" sqref="F1:F285">
      <formula1>INDIRECT(#REF!)</formula1>
    </dataValidation>
    <dataValidation type="list" allowBlank="1" showErrorMessage="1" sqref="G4:G285">
      <formula1>"R,C,NC,FS"</formula1>
    </dataValidation>
    <dataValidation type="list" allowBlank="1" showErrorMessage="1" sqref="N4:N285">
      <formula1>"1 Essential/Core,2 Common,3 Occasional,4 Rare,5 Never"</formula1>
    </dataValidation>
    <dataValidation type="list" allowBlank="1" showErrorMessage="1" sqref="O4:O285 AJ4:AJ285">
      <formula1>"1,2,3,n/a"</formula1>
    </dataValidation>
    <dataValidation type="list" allowBlank="1" showErrorMessage="1" sqref="AE4:AE285">
      <formula1>"Sqft [wall]/hr,Sqft [ceiling]/hr,Sqft [floor]/hr,LF/hr,Hours/item,Items/hr,$/item,$/sqft,$/LF"</formula1>
    </dataValidation>
    <dataValidation type="list" allowBlank="1" showErrorMessage="1" sqref="AI4:AI285 AK4:AO285">
      <formula1>"Improve,All Set"</formula1>
    </dataValidation>
  </dataValidations>
  <printOptions horizontalCentered="1" gridLines="1"/>
  <pageMargins left="0.7" right="0.7" top="0.75" bottom="0.75" header="0" footer="0"/>
  <pageSetup paperSize="1" fitToHeight="0" pageOrder="overThenDown" orientation="landscape" cellComments="atEnd"/>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84"/>
  <sheetViews>
    <sheetView workbookViewId="0">
      <selection activeCell="A1" sqref="A1"/>
    </sheetView>
  </sheetViews>
  <sheetFormatPr defaultColWidth="12.6285714285714" defaultRowHeight="15.75" customHeight="1" outlineLevelCol="2"/>
  <cols>
    <col min="1" max="1" width="50" customWidth="1"/>
    <col min="2" max="2" width="45.8761904761905" customWidth="1"/>
    <col min="3" max="3" width="52.1333333333333" customWidth="1"/>
  </cols>
  <sheetData>
    <row r="1" customHeight="1" spans="1:3">
      <c r="A1" s="29" t="s">
        <v>546</v>
      </c>
      <c r="B1" s="29" t="s">
        <v>87</v>
      </c>
      <c r="C1" s="29" t="s">
        <v>547</v>
      </c>
    </row>
    <row r="2" customHeight="1" spans="1:3">
      <c r="A2" s="29" t="s">
        <v>548</v>
      </c>
      <c r="B2" s="29" t="s">
        <v>549</v>
      </c>
      <c r="C2" s="29" t="s">
        <v>550</v>
      </c>
    </row>
    <row r="3" customHeight="1" spans="1:3">
      <c r="A3" s="29" t="s">
        <v>551</v>
      </c>
      <c r="B3" s="29" t="s">
        <v>552</v>
      </c>
      <c r="C3" s="29" t="s">
        <v>553</v>
      </c>
    </row>
    <row r="4" customHeight="1" spans="1:3">
      <c r="A4" s="29" t="s">
        <v>554</v>
      </c>
      <c r="B4" s="29" t="s">
        <v>555</v>
      </c>
      <c r="C4" s="29" t="s">
        <v>556</v>
      </c>
    </row>
    <row r="5" customHeight="1" spans="1:3">
      <c r="A5" s="29" t="s">
        <v>557</v>
      </c>
      <c r="B5" s="29" t="s">
        <v>558</v>
      </c>
      <c r="C5" s="29" t="s">
        <v>559</v>
      </c>
    </row>
    <row r="6" customHeight="1" spans="1:3">
      <c r="A6" s="29" t="s">
        <v>560</v>
      </c>
      <c r="B6" s="29" t="s">
        <v>561</v>
      </c>
      <c r="C6" s="29" t="s">
        <v>562</v>
      </c>
    </row>
    <row r="7" customHeight="1" spans="1:3">
      <c r="A7" s="29" t="s">
        <v>563</v>
      </c>
      <c r="B7" s="29" t="s">
        <v>564</v>
      </c>
      <c r="C7" s="29" t="s">
        <v>565</v>
      </c>
    </row>
    <row r="8" customHeight="1" spans="1:3">
      <c r="A8" s="29" t="s">
        <v>566</v>
      </c>
      <c r="B8" s="29" t="s">
        <v>567</v>
      </c>
      <c r="C8" s="29" t="s">
        <v>568</v>
      </c>
    </row>
    <row r="9" customHeight="1" spans="1:3">
      <c r="A9" s="29" t="s">
        <v>569</v>
      </c>
      <c r="B9" s="29" t="s">
        <v>570</v>
      </c>
      <c r="C9" s="29" t="s">
        <v>571</v>
      </c>
    </row>
    <row r="10" customHeight="1" spans="1:3">
      <c r="A10" s="29" t="s">
        <v>572</v>
      </c>
      <c r="B10" s="29" t="s">
        <v>573</v>
      </c>
      <c r="C10" s="29" t="s">
        <v>574</v>
      </c>
    </row>
    <row r="11" customHeight="1" spans="1:3">
      <c r="A11" s="29" t="s">
        <v>575</v>
      </c>
      <c r="B11" s="29" t="s">
        <v>576</v>
      </c>
      <c r="C11" s="29" t="s">
        <v>577</v>
      </c>
    </row>
    <row r="12" customHeight="1" spans="1:3">
      <c r="A12" s="29" t="s">
        <v>578</v>
      </c>
      <c r="B12" s="29" t="s">
        <v>579</v>
      </c>
      <c r="C12" s="29" t="s">
        <v>580</v>
      </c>
    </row>
    <row r="13" customHeight="1" spans="1:1">
      <c r="A13" s="29" t="s">
        <v>581</v>
      </c>
    </row>
    <row r="14" customHeight="1" spans="1:1">
      <c r="A14" s="29" t="s">
        <v>581</v>
      </c>
    </row>
    <row r="15" customHeight="1" spans="1:3">
      <c r="A15" s="29" t="s">
        <v>582</v>
      </c>
      <c r="B15" s="29" t="s">
        <v>583</v>
      </c>
      <c r="C15" s="29" t="s">
        <v>584</v>
      </c>
    </row>
    <row r="16" customHeight="1" spans="1:3">
      <c r="A16" s="29" t="s">
        <v>585</v>
      </c>
      <c r="B16" s="29" t="s">
        <v>586</v>
      </c>
      <c r="C16" s="29" t="s">
        <v>587</v>
      </c>
    </row>
    <row r="17" customHeight="1" spans="1:3">
      <c r="A17" s="29" t="s">
        <v>588</v>
      </c>
      <c r="B17" s="29" t="s">
        <v>589</v>
      </c>
      <c r="C17" s="29" t="s">
        <v>590</v>
      </c>
    </row>
    <row r="18" customHeight="1" spans="1:3">
      <c r="A18" s="29" t="s">
        <v>591</v>
      </c>
      <c r="B18" s="29" t="s">
        <v>592</v>
      </c>
      <c r="C18" s="29" t="s">
        <v>593</v>
      </c>
    </row>
    <row r="19" customHeight="1" spans="1:3">
      <c r="A19" s="29" t="s">
        <v>594</v>
      </c>
      <c r="B19" s="29" t="s">
        <v>595</v>
      </c>
      <c r="C19" s="29" t="s">
        <v>596</v>
      </c>
    </row>
    <row r="20" customHeight="1" spans="1:3">
      <c r="A20" s="29" t="s">
        <v>597</v>
      </c>
      <c r="B20" s="29" t="s">
        <v>598</v>
      </c>
      <c r="C20" s="29" t="s">
        <v>599</v>
      </c>
    </row>
    <row r="21" customHeight="1" spans="1:3">
      <c r="A21" s="29" t="s">
        <v>600</v>
      </c>
      <c r="B21" s="29" t="s">
        <v>601</v>
      </c>
      <c r="C21" s="29" t="s">
        <v>602</v>
      </c>
    </row>
    <row r="22" customHeight="1" spans="1:3">
      <c r="A22" s="29" t="s">
        <v>603</v>
      </c>
      <c r="B22" s="29" t="s">
        <v>604</v>
      </c>
      <c r="C22" s="29" t="s">
        <v>605</v>
      </c>
    </row>
    <row r="23" customHeight="1" spans="1:3">
      <c r="A23" s="29" t="s">
        <v>606</v>
      </c>
      <c r="B23" s="29" t="s">
        <v>607</v>
      </c>
      <c r="C23" s="29" t="s">
        <v>608</v>
      </c>
    </row>
    <row r="24" customHeight="1" spans="1:3">
      <c r="A24" s="29" t="s">
        <v>609</v>
      </c>
      <c r="B24" s="29" t="s">
        <v>610</v>
      </c>
      <c r="C24" s="29" t="s">
        <v>611</v>
      </c>
    </row>
    <row r="25" customHeight="1" spans="1:3">
      <c r="A25" s="29" t="s">
        <v>612</v>
      </c>
      <c r="B25" s="29" t="s">
        <v>613</v>
      </c>
      <c r="C25" s="29" t="s">
        <v>614</v>
      </c>
    </row>
    <row r="26" customHeight="1" spans="1:3">
      <c r="A26" s="29" t="s">
        <v>615</v>
      </c>
      <c r="B26" s="29" t="s">
        <v>616</v>
      </c>
      <c r="C26" s="29" t="s">
        <v>617</v>
      </c>
    </row>
    <row r="27" customHeight="1" spans="1:3">
      <c r="A27" s="29" t="s">
        <v>618</v>
      </c>
      <c r="B27" s="29" t="s">
        <v>619</v>
      </c>
      <c r="C27" s="29" t="s">
        <v>620</v>
      </c>
    </row>
    <row r="28" customHeight="1" spans="1:3">
      <c r="A28" s="29" t="s">
        <v>621</v>
      </c>
      <c r="B28" s="29" t="s">
        <v>622</v>
      </c>
      <c r="C28" s="29" t="s">
        <v>623</v>
      </c>
    </row>
    <row r="29" customHeight="1" spans="1:1">
      <c r="A29" s="29" t="s">
        <v>624</v>
      </c>
    </row>
    <row r="30" customHeight="1" spans="1:3">
      <c r="A30" s="29" t="s">
        <v>625</v>
      </c>
      <c r="B30" s="29" t="s">
        <v>626</v>
      </c>
      <c r="C30" s="29" t="s">
        <v>627</v>
      </c>
    </row>
    <row r="31" customHeight="1" spans="1:3">
      <c r="A31" s="29" t="s">
        <v>628</v>
      </c>
      <c r="B31" s="29" t="s">
        <v>629</v>
      </c>
      <c r="C31" s="29" t="s">
        <v>630</v>
      </c>
    </row>
    <row r="32" customHeight="1" spans="1:3">
      <c r="A32" s="29" t="s">
        <v>631</v>
      </c>
      <c r="B32" s="29" t="s">
        <v>632</v>
      </c>
      <c r="C32" s="29" t="s">
        <v>633</v>
      </c>
    </row>
    <row r="33" customHeight="1" spans="1:3">
      <c r="A33" s="29" t="s">
        <v>634</v>
      </c>
      <c r="B33" s="29" t="s">
        <v>635</v>
      </c>
      <c r="C33" s="29" t="s">
        <v>636</v>
      </c>
    </row>
    <row r="34" customHeight="1" spans="1:3">
      <c r="A34" s="29" t="s">
        <v>637</v>
      </c>
      <c r="B34" s="29" t="s">
        <v>638</v>
      </c>
      <c r="C34" s="29" t="s">
        <v>639</v>
      </c>
    </row>
    <row r="36" customHeight="1" spans="1:3">
      <c r="A36" s="29" t="s">
        <v>640</v>
      </c>
      <c r="B36" s="29" t="s">
        <v>641</v>
      </c>
      <c r="C36" s="29" t="s">
        <v>642</v>
      </c>
    </row>
    <row r="37" customHeight="1" spans="1:3">
      <c r="A37" s="29" t="s">
        <v>643</v>
      </c>
      <c r="B37" s="29" t="s">
        <v>644</v>
      </c>
      <c r="C37" s="29" t="s">
        <v>645</v>
      </c>
    </row>
    <row r="38" customHeight="1" spans="1:3">
      <c r="A38" s="29" t="s">
        <v>646</v>
      </c>
      <c r="B38" s="29" t="s">
        <v>647</v>
      </c>
      <c r="C38" s="29" t="s">
        <v>648</v>
      </c>
    </row>
    <row r="39" customHeight="1" spans="1:3">
      <c r="A39" s="29" t="s">
        <v>649</v>
      </c>
      <c r="B39" s="29" t="s">
        <v>650</v>
      </c>
      <c r="C39" s="29" t="s">
        <v>651</v>
      </c>
    </row>
    <row r="40" customHeight="1" spans="1:3">
      <c r="A40" s="29" t="s">
        <v>652</v>
      </c>
      <c r="B40" s="29" t="s">
        <v>653</v>
      </c>
      <c r="C40" s="29" t="s">
        <v>654</v>
      </c>
    </row>
    <row r="41" customHeight="1" spans="1:3">
      <c r="A41" s="29" t="s">
        <v>655</v>
      </c>
      <c r="B41" s="29" t="s">
        <v>656</v>
      </c>
      <c r="C41" s="29" t="s">
        <v>657</v>
      </c>
    </row>
    <row r="42" customHeight="1" spans="1:3">
      <c r="A42" s="29" t="s">
        <v>658</v>
      </c>
      <c r="B42" s="29" t="s">
        <v>659</v>
      </c>
      <c r="C42" s="29" t="s">
        <v>660</v>
      </c>
    </row>
    <row r="43" customHeight="1" spans="1:3">
      <c r="A43" s="29" t="s">
        <v>661</v>
      </c>
      <c r="B43" s="29" t="s">
        <v>662</v>
      </c>
      <c r="C43" s="29" t="s">
        <v>663</v>
      </c>
    </row>
    <row r="44" customHeight="1" spans="1:3">
      <c r="A44" s="29" t="s">
        <v>664</v>
      </c>
      <c r="B44" s="29" t="s">
        <v>665</v>
      </c>
      <c r="C44" s="29" t="s">
        <v>666</v>
      </c>
    </row>
    <row r="45" customHeight="1" spans="1:3">
      <c r="A45" s="29" t="s">
        <v>667</v>
      </c>
      <c r="B45" s="29" t="s">
        <v>668</v>
      </c>
      <c r="C45" s="29" t="s">
        <v>669</v>
      </c>
    </row>
    <row r="46" customHeight="1" spans="1:3">
      <c r="A46" s="29" t="s">
        <v>670</v>
      </c>
      <c r="B46" s="29" t="s">
        <v>671</v>
      </c>
      <c r="C46" s="29" t="s">
        <v>672</v>
      </c>
    </row>
    <row r="47" customHeight="1" spans="1:3">
      <c r="A47" s="29" t="s">
        <v>670</v>
      </c>
      <c r="B47" s="29" t="s">
        <v>671</v>
      </c>
      <c r="C47" s="29" t="s">
        <v>672</v>
      </c>
    </row>
    <row r="48" customHeight="1" spans="1:3">
      <c r="A48" s="29" t="s">
        <v>673</v>
      </c>
      <c r="B48" s="29" t="s">
        <v>674</v>
      </c>
      <c r="C48" s="29" t="s">
        <v>675</v>
      </c>
    </row>
    <row r="49" customHeight="1" spans="1:3">
      <c r="A49" s="29" t="s">
        <v>676</v>
      </c>
      <c r="B49" s="29" t="s">
        <v>677</v>
      </c>
      <c r="C49" s="29" t="s">
        <v>678</v>
      </c>
    </row>
    <row r="50" customHeight="1" spans="1:3">
      <c r="A50" s="29" t="s">
        <v>679</v>
      </c>
      <c r="B50" s="29" t="s">
        <v>680</v>
      </c>
      <c r="C50" s="29" t="s">
        <v>681</v>
      </c>
    </row>
    <row r="51" customHeight="1" spans="1:3">
      <c r="A51" s="29" t="s">
        <v>682</v>
      </c>
      <c r="B51" s="29" t="s">
        <v>683</v>
      </c>
      <c r="C51" s="29" t="s">
        <v>684</v>
      </c>
    </row>
    <row r="52" customHeight="1" spans="1:3">
      <c r="A52" s="29" t="s">
        <v>685</v>
      </c>
      <c r="B52" s="29" t="s">
        <v>686</v>
      </c>
      <c r="C52" s="29" t="s">
        <v>687</v>
      </c>
    </row>
    <row r="53" customHeight="1" spans="1:3">
      <c r="A53" s="29" t="s">
        <v>688</v>
      </c>
      <c r="B53" s="29" t="s">
        <v>689</v>
      </c>
      <c r="C53" s="29" t="s">
        <v>690</v>
      </c>
    </row>
    <row r="54" customHeight="1" spans="1:3">
      <c r="A54" s="29" t="s">
        <v>691</v>
      </c>
      <c r="B54" s="29" t="s">
        <v>692</v>
      </c>
      <c r="C54" s="29" t="s">
        <v>693</v>
      </c>
    </row>
    <row r="55" customHeight="1" spans="1:3">
      <c r="A55" s="29" t="s">
        <v>694</v>
      </c>
      <c r="B55" s="29" t="s">
        <v>695</v>
      </c>
      <c r="C55" s="29" t="s">
        <v>696</v>
      </c>
    </row>
    <row r="56" customHeight="1" spans="1:1">
      <c r="A56" s="29" t="s">
        <v>697</v>
      </c>
    </row>
    <row r="57" customHeight="1" spans="1:3">
      <c r="A57" s="29" t="s">
        <v>698</v>
      </c>
      <c r="B57" s="29" t="s">
        <v>699</v>
      </c>
      <c r="C57" s="29" t="s">
        <v>700</v>
      </c>
    </row>
    <row r="58" customHeight="1" spans="1:3">
      <c r="A58" s="29" t="s">
        <v>701</v>
      </c>
      <c r="B58" s="29" t="s">
        <v>702</v>
      </c>
      <c r="C58" s="29" t="s">
        <v>703</v>
      </c>
    </row>
    <row r="59" customHeight="1" spans="1:3">
      <c r="A59" s="29" t="s">
        <v>704</v>
      </c>
      <c r="B59" s="29" t="s">
        <v>705</v>
      </c>
      <c r="C59" s="29" t="s">
        <v>706</v>
      </c>
    </row>
    <row r="60" customHeight="1" spans="1:3">
      <c r="A60" s="29" t="s">
        <v>707</v>
      </c>
      <c r="B60" s="29" t="s">
        <v>708</v>
      </c>
      <c r="C60" s="29" t="s">
        <v>709</v>
      </c>
    </row>
    <row r="61" customHeight="1" spans="1:3">
      <c r="A61" s="29" t="s">
        <v>710</v>
      </c>
      <c r="B61" s="29" t="s">
        <v>711</v>
      </c>
      <c r="C61" s="29" t="s">
        <v>712</v>
      </c>
    </row>
    <row r="62" customHeight="1" spans="1:3">
      <c r="A62" s="29" t="s">
        <v>713</v>
      </c>
      <c r="B62" s="29" t="s">
        <v>714</v>
      </c>
      <c r="C62" s="29" t="s">
        <v>715</v>
      </c>
    </row>
    <row r="63" customHeight="1" spans="1:3">
      <c r="A63" s="29" t="s">
        <v>716</v>
      </c>
      <c r="B63" s="29" t="s">
        <v>717</v>
      </c>
      <c r="C63" s="29" t="s">
        <v>718</v>
      </c>
    </row>
    <row r="64" customHeight="1" spans="1:1">
      <c r="A64" s="29" t="s">
        <v>719</v>
      </c>
    </row>
    <row r="65" customHeight="1" spans="1:1">
      <c r="A65" s="29" t="s">
        <v>719</v>
      </c>
    </row>
    <row r="66" customHeight="1" spans="1:1">
      <c r="A66" s="29" t="s">
        <v>720</v>
      </c>
    </row>
    <row r="67" customHeight="1" spans="1:1">
      <c r="A67" s="29" t="s">
        <v>721</v>
      </c>
    </row>
    <row r="68" customHeight="1" spans="1:1">
      <c r="A68" s="29" t="s">
        <v>721</v>
      </c>
    </row>
    <row r="69" customHeight="1" spans="1:1">
      <c r="A69" s="29" t="s">
        <v>721</v>
      </c>
    </row>
    <row r="70" customHeight="1" spans="1:1">
      <c r="A70" s="29" t="s">
        <v>721</v>
      </c>
    </row>
    <row r="71" customHeight="1" spans="1:3">
      <c r="A71" s="29" t="s">
        <v>722</v>
      </c>
      <c r="B71" s="29" t="s">
        <v>723</v>
      </c>
      <c r="C71" s="29" t="s">
        <v>724</v>
      </c>
    </row>
    <row r="72" customHeight="1" spans="1:3">
      <c r="A72" s="29" t="s">
        <v>725</v>
      </c>
      <c r="B72" s="29" t="s">
        <v>726</v>
      </c>
      <c r="C72" s="29" t="s">
        <v>727</v>
      </c>
    </row>
    <row r="73" customHeight="1" spans="1:3">
      <c r="A73" s="29" t="s">
        <v>728</v>
      </c>
      <c r="B73" s="29" t="s">
        <v>729</v>
      </c>
      <c r="C73" s="29" t="s">
        <v>730</v>
      </c>
    </row>
    <row r="74" customHeight="1" spans="1:3">
      <c r="A74" s="29" t="s">
        <v>731</v>
      </c>
      <c r="B74" s="29" t="s">
        <v>732</v>
      </c>
      <c r="C74" s="29" t="s">
        <v>733</v>
      </c>
    </row>
    <row r="75" customHeight="1" spans="1:3">
      <c r="A75" s="29" t="s">
        <v>734</v>
      </c>
      <c r="B75" s="29" t="s">
        <v>735</v>
      </c>
      <c r="C75" s="29" t="s">
        <v>736</v>
      </c>
    </row>
    <row r="76" customHeight="1" spans="1:3">
      <c r="A76" s="29" t="s">
        <v>737</v>
      </c>
      <c r="B76" s="29" t="s">
        <v>738</v>
      </c>
      <c r="C76" s="29" t="s">
        <v>739</v>
      </c>
    </row>
    <row r="77" customHeight="1" spans="1:3">
      <c r="A77" s="29" t="s">
        <v>740</v>
      </c>
      <c r="B77" s="29" t="s">
        <v>741</v>
      </c>
      <c r="C77" s="29" t="s">
        <v>742</v>
      </c>
    </row>
    <row r="78" customHeight="1" spans="1:3">
      <c r="A78" s="29" t="s">
        <v>743</v>
      </c>
      <c r="B78" s="29" t="s">
        <v>744</v>
      </c>
      <c r="C78" s="29" t="s">
        <v>745</v>
      </c>
    </row>
    <row r="79" customHeight="1" spans="1:3">
      <c r="A79" s="29" t="s">
        <v>746</v>
      </c>
      <c r="B79" s="29" t="s">
        <v>747</v>
      </c>
      <c r="C79" s="29" t="s">
        <v>748</v>
      </c>
    </row>
    <row r="80" customHeight="1" spans="1:1">
      <c r="A80" s="29" t="s">
        <v>749</v>
      </c>
    </row>
    <row r="81" customHeight="1" spans="1:1">
      <c r="A81" s="29" t="s">
        <v>749</v>
      </c>
    </row>
    <row r="82" customHeight="1" spans="1:1">
      <c r="A82" s="29" t="s">
        <v>749</v>
      </c>
    </row>
    <row r="83" customHeight="1" spans="1:1">
      <c r="A83" s="29" t="s">
        <v>749</v>
      </c>
    </row>
    <row r="84" customHeight="1" spans="1:3">
      <c r="A84" s="29" t="s">
        <v>750</v>
      </c>
      <c r="B84" s="29" t="s">
        <v>751</v>
      </c>
      <c r="C84" s="29" t="s">
        <v>752</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10"/>
  <sheetViews>
    <sheetView workbookViewId="0">
      <selection activeCell="A1" sqref="A1"/>
    </sheetView>
  </sheetViews>
  <sheetFormatPr defaultColWidth="12.6285714285714" defaultRowHeight="15.75" customHeight="1"/>
  <sheetData>
    <row r="1" customHeight="1" spans="1:9">
      <c r="A1" s="29" t="s">
        <v>139</v>
      </c>
      <c r="B1" s="29" t="s">
        <v>753</v>
      </c>
      <c r="C1" s="29" t="s">
        <v>754</v>
      </c>
      <c r="D1" s="29" t="s">
        <v>755</v>
      </c>
      <c r="E1" s="29" t="s">
        <v>756</v>
      </c>
      <c r="F1" s="29" t="s">
        <v>757</v>
      </c>
      <c r="G1" s="29" t="s">
        <v>758</v>
      </c>
      <c r="H1" s="29" t="s">
        <v>759</v>
      </c>
      <c r="I1" s="29" t="s">
        <v>760</v>
      </c>
    </row>
    <row r="2" customHeight="1" spans="1:9">
      <c r="A2" s="29" t="s">
        <v>114</v>
      </c>
      <c r="B2" s="29" t="s">
        <v>761</v>
      </c>
      <c r="C2" s="29" t="s">
        <v>762</v>
      </c>
      <c r="D2" s="29" t="s">
        <v>763</v>
      </c>
      <c r="E2" s="29" t="s">
        <v>764</v>
      </c>
      <c r="F2" s="29" t="s">
        <v>765</v>
      </c>
      <c r="G2" s="29" t="s">
        <v>766</v>
      </c>
      <c r="H2" s="29" t="s">
        <v>767</v>
      </c>
      <c r="I2" s="29" t="s">
        <v>768</v>
      </c>
    </row>
    <row r="3" customHeight="1" spans="1:9">
      <c r="A3" s="29" t="s">
        <v>769</v>
      </c>
      <c r="B3" s="29" t="s">
        <v>770</v>
      </c>
      <c r="C3" s="29" t="s">
        <v>771</v>
      </c>
      <c r="D3" s="29" t="s">
        <v>772</v>
      </c>
      <c r="E3" s="29" t="s">
        <v>773</v>
      </c>
      <c r="F3" s="29" t="s">
        <v>774</v>
      </c>
      <c r="G3" s="29" t="s">
        <v>775</v>
      </c>
      <c r="H3" s="29" t="s">
        <v>776</v>
      </c>
      <c r="I3" s="29" t="s">
        <v>777</v>
      </c>
    </row>
    <row r="4" customHeight="1" spans="1:9">
      <c r="A4" s="29" t="s">
        <v>151</v>
      </c>
      <c r="B4" s="29" t="s">
        <v>778</v>
      </c>
      <c r="C4" s="29" t="s">
        <v>779</v>
      </c>
      <c r="D4" s="29" t="s">
        <v>780</v>
      </c>
      <c r="E4" s="29" t="s">
        <v>781</v>
      </c>
      <c r="F4" s="29" t="s">
        <v>782</v>
      </c>
      <c r="G4" s="29" t="s">
        <v>783</v>
      </c>
      <c r="H4" s="29" t="s">
        <v>784</v>
      </c>
      <c r="I4" s="29" t="s">
        <v>785</v>
      </c>
    </row>
    <row r="5" customHeight="1" spans="1:9">
      <c r="A5" s="29" t="s">
        <v>191</v>
      </c>
      <c r="B5" s="29" t="s">
        <v>786</v>
      </c>
      <c r="C5" s="29" t="s">
        <v>787</v>
      </c>
      <c r="D5" s="29" t="s">
        <v>788</v>
      </c>
      <c r="E5" s="29" t="s">
        <v>789</v>
      </c>
      <c r="F5" s="29" t="s">
        <v>790</v>
      </c>
      <c r="G5" s="29" t="s">
        <v>791</v>
      </c>
      <c r="H5" s="29" t="s">
        <v>792</v>
      </c>
      <c r="I5" s="29" t="s">
        <v>793</v>
      </c>
    </row>
    <row r="6" customHeight="1" spans="1:9">
      <c r="A6" s="29" t="s">
        <v>172</v>
      </c>
      <c r="B6" s="29" t="s">
        <v>794</v>
      </c>
      <c r="C6" s="29" t="s">
        <v>795</v>
      </c>
      <c r="D6" s="29" t="s">
        <v>796</v>
      </c>
      <c r="E6" s="29" t="s">
        <v>797</v>
      </c>
      <c r="F6" s="29" t="s">
        <v>798</v>
      </c>
      <c r="G6" s="29" t="s">
        <v>799</v>
      </c>
      <c r="H6" s="29" t="s">
        <v>800</v>
      </c>
      <c r="I6" s="29" t="s">
        <v>801</v>
      </c>
    </row>
    <row r="7" customHeight="1" spans="1:9">
      <c r="A7" s="29" t="s">
        <v>802</v>
      </c>
      <c r="B7" s="29" t="s">
        <v>803</v>
      </c>
      <c r="C7" s="29" t="s">
        <v>804</v>
      </c>
      <c r="D7" s="29" t="s">
        <v>805</v>
      </c>
      <c r="E7" s="29" t="s">
        <v>806</v>
      </c>
      <c r="F7" s="29" t="s">
        <v>807</v>
      </c>
      <c r="G7" s="29" t="s">
        <v>808</v>
      </c>
      <c r="I7" s="29" t="s">
        <v>809</v>
      </c>
    </row>
    <row r="8" customHeight="1" spans="1:9">
      <c r="A8" s="29" t="s">
        <v>217</v>
      </c>
      <c r="B8" s="29" t="s">
        <v>810</v>
      </c>
      <c r="C8" s="29" t="s">
        <v>811</v>
      </c>
      <c r="D8" s="29" t="s">
        <v>812</v>
      </c>
      <c r="F8" s="29" t="s">
        <v>813</v>
      </c>
      <c r="G8" s="29" t="s">
        <v>814</v>
      </c>
      <c r="I8" s="29" t="s">
        <v>815</v>
      </c>
    </row>
    <row r="9" customHeight="1" spans="2:7">
      <c r="B9" s="29" t="s">
        <v>816</v>
      </c>
      <c r="D9" s="29" t="s">
        <v>817</v>
      </c>
      <c r="F9" s="29" t="s">
        <v>818</v>
      </c>
      <c r="G9" s="29" t="s">
        <v>819</v>
      </c>
    </row>
    <row r="10" customHeight="1" spans="4:4">
      <c r="D10" s="29" t="s">
        <v>820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FC5E8"/>
    <outlinePr summaryBelow="0" summaryRight="0"/>
  </sheetPr>
  <dimension ref="A1:K13"/>
  <sheetViews>
    <sheetView workbookViewId="0">
      <pane xSplit="1" ySplit="1" topLeftCell="B2" activePane="bottomRight" state="frozen"/>
      <selection/>
      <selection pane="topRight"/>
      <selection pane="bottomLeft"/>
      <selection pane="bottomRight" activeCell="B2" sqref="B2"/>
    </sheetView>
  </sheetViews>
  <sheetFormatPr defaultColWidth="12.6285714285714" defaultRowHeight="15.75" customHeight="1"/>
  <cols>
    <col min="1" max="1" width="37.3809523809524" customWidth="1"/>
    <col min="2" max="2" width="10.8761904761905" customWidth="1"/>
    <col min="3" max="3" width="46.8761904761905" customWidth="1"/>
    <col min="4" max="4" width="11.6285714285714" customWidth="1"/>
    <col min="5" max="5" width="29.752380952381" customWidth="1"/>
    <col min="6" max="7" width="18.3809523809524" customWidth="1"/>
    <col min="8" max="11" width="9" customWidth="1"/>
  </cols>
  <sheetData>
    <row r="1" customHeight="1" spans="1:11">
      <c r="A1" s="419" t="s">
        <v>0</v>
      </c>
      <c r="B1" s="420" t="s">
        <v>1</v>
      </c>
      <c r="C1" s="419" t="s">
        <v>821</v>
      </c>
      <c r="D1" s="419" t="s">
        <v>2</v>
      </c>
      <c r="E1" s="419" t="s">
        <v>3</v>
      </c>
      <c r="F1" s="422" t="s">
        <v>4</v>
      </c>
      <c r="G1" s="422" t="s">
        <v>5</v>
      </c>
      <c r="H1" s="423" t="s">
        <v>6</v>
      </c>
      <c r="I1" s="424" t="s">
        <v>7</v>
      </c>
      <c r="J1" s="421" t="s">
        <v>8</v>
      </c>
      <c r="K1" s="421" t="s">
        <v>9</v>
      </c>
    </row>
    <row r="2" customHeight="1" spans="1:11">
      <c r="A2" s="29" t="s">
        <v>10</v>
      </c>
      <c r="B2" s="360"/>
      <c r="D2" s="308"/>
      <c r="E2" s="308"/>
      <c r="F2" s="308"/>
      <c r="H2" s="207" t="b">
        <v>0</v>
      </c>
      <c r="I2" s="29" t="b">
        <v>0</v>
      </c>
      <c r="J2" s="29" t="b">
        <v>0</v>
      </c>
      <c r="K2" s="29" t="b">
        <v>0</v>
      </c>
    </row>
    <row r="3" customHeight="1" spans="1:11">
      <c r="A3" s="11" t="s">
        <v>11</v>
      </c>
      <c r="B3" s="11"/>
      <c r="C3" s="11"/>
      <c r="D3" s="11"/>
      <c r="E3" s="11"/>
      <c r="F3" s="11"/>
      <c r="G3" s="11"/>
      <c r="H3" s="11"/>
      <c r="I3" s="11"/>
      <c r="J3" s="11"/>
      <c r="K3" s="11"/>
    </row>
    <row r="4" customHeight="1" spans="1:11">
      <c r="A4" s="29" t="s">
        <v>822</v>
      </c>
      <c r="B4" s="245" t="s">
        <v>13</v>
      </c>
      <c r="C4" s="29" t="s">
        <v>823</v>
      </c>
      <c r="D4" s="29" t="s">
        <v>14</v>
      </c>
      <c r="E4" s="29" t="s">
        <v>824</v>
      </c>
      <c r="F4" s="29" t="s">
        <v>825</v>
      </c>
      <c r="G4" s="418" t="s">
        <v>826</v>
      </c>
      <c r="H4" s="207" t="b">
        <v>1</v>
      </c>
      <c r="I4" s="29" t="b">
        <v>0</v>
      </c>
      <c r="J4" s="29" t="b">
        <v>0</v>
      </c>
      <c r="K4" s="29" t="b">
        <v>0</v>
      </c>
    </row>
    <row r="5" customHeight="1" spans="1:11">
      <c r="A5" s="29" t="s">
        <v>827</v>
      </c>
      <c r="B5" s="245"/>
      <c r="C5" s="29" t="s">
        <v>828</v>
      </c>
      <c r="D5" s="29" t="s">
        <v>25</v>
      </c>
      <c r="E5" s="29" t="s">
        <v>824</v>
      </c>
      <c r="F5" s="29" t="s">
        <v>825</v>
      </c>
      <c r="G5" s="418" t="s">
        <v>826</v>
      </c>
      <c r="H5" s="207" t="b">
        <v>0</v>
      </c>
      <c r="I5" s="29" t="b">
        <v>1</v>
      </c>
      <c r="J5" s="29" t="b">
        <v>0</v>
      </c>
      <c r="K5" s="29" t="b">
        <v>0</v>
      </c>
    </row>
    <row r="6" customHeight="1" spans="1:11">
      <c r="A6" s="29" t="s">
        <v>829</v>
      </c>
      <c r="B6" s="245"/>
      <c r="D6" s="29" t="s">
        <v>14</v>
      </c>
      <c r="E6" s="29"/>
      <c r="F6" s="29" t="s">
        <v>825</v>
      </c>
      <c r="G6" s="418" t="s">
        <v>826</v>
      </c>
      <c r="H6" s="207" t="b">
        <v>0</v>
      </c>
      <c r="I6" s="29" t="b">
        <v>0</v>
      </c>
      <c r="J6" s="29" t="b">
        <v>0</v>
      </c>
      <c r="K6" s="29" t="b">
        <v>0</v>
      </c>
    </row>
    <row r="7" customHeight="1" spans="1:11">
      <c r="A7" s="29" t="s">
        <v>830</v>
      </c>
      <c r="B7" s="245" t="s">
        <v>13</v>
      </c>
      <c r="D7" s="29" t="s">
        <v>25</v>
      </c>
      <c r="E7" s="29" t="s">
        <v>824</v>
      </c>
      <c r="F7" s="29" t="s">
        <v>825</v>
      </c>
      <c r="G7" s="418" t="s">
        <v>826</v>
      </c>
      <c r="H7" s="207" t="b">
        <v>0</v>
      </c>
      <c r="I7" s="29" t="b">
        <v>1</v>
      </c>
      <c r="J7" s="29" t="b">
        <v>0</v>
      </c>
      <c r="K7" s="29" t="b">
        <v>0</v>
      </c>
    </row>
    <row r="8" customHeight="1" spans="1:11">
      <c r="A8" s="29" t="s">
        <v>831</v>
      </c>
      <c r="B8" s="245"/>
      <c r="D8" s="29" t="s">
        <v>25</v>
      </c>
      <c r="E8" s="29" t="s">
        <v>824</v>
      </c>
      <c r="F8" s="29" t="s">
        <v>825</v>
      </c>
      <c r="G8" s="418" t="s">
        <v>826</v>
      </c>
      <c r="H8" s="207" t="b">
        <v>0</v>
      </c>
      <c r="I8" s="29" t="b">
        <v>1</v>
      </c>
      <c r="J8" s="29" t="b">
        <v>0</v>
      </c>
      <c r="K8" s="29" t="b">
        <v>0</v>
      </c>
    </row>
    <row r="9" customHeight="1" spans="1:11">
      <c r="A9" s="29" t="s">
        <v>832</v>
      </c>
      <c r="B9" s="245"/>
      <c r="D9" s="29" t="s">
        <v>14</v>
      </c>
      <c r="E9" s="29" t="s">
        <v>833</v>
      </c>
      <c r="F9" s="29" t="s">
        <v>825</v>
      </c>
      <c r="G9" s="418" t="s">
        <v>826</v>
      </c>
      <c r="H9" s="207" t="b">
        <v>0</v>
      </c>
      <c r="I9" s="29" t="b">
        <v>1</v>
      </c>
      <c r="J9" s="29" t="b">
        <v>0</v>
      </c>
      <c r="K9" s="29" t="b">
        <v>0</v>
      </c>
    </row>
    <row r="10" customHeight="1" spans="1:11">
      <c r="A10" s="29" t="s">
        <v>834</v>
      </c>
      <c r="B10" s="245"/>
      <c r="D10" s="29" t="s">
        <v>25</v>
      </c>
      <c r="E10" s="29" t="s">
        <v>833</v>
      </c>
      <c r="F10" s="29" t="s">
        <v>825</v>
      </c>
      <c r="G10" s="418" t="s">
        <v>826</v>
      </c>
      <c r="H10" s="207" t="b">
        <v>0</v>
      </c>
      <c r="I10" s="29" t="b">
        <v>1</v>
      </c>
      <c r="J10" s="29" t="b">
        <v>0</v>
      </c>
      <c r="K10" s="29" t="b">
        <v>0</v>
      </c>
    </row>
    <row r="11" customHeight="1" spans="1:11">
      <c r="A11" s="29" t="s">
        <v>835</v>
      </c>
      <c r="B11" s="245"/>
      <c r="D11" s="29" t="s">
        <v>14</v>
      </c>
      <c r="E11" s="29" t="s">
        <v>833</v>
      </c>
      <c r="F11" s="29" t="s">
        <v>825</v>
      </c>
      <c r="G11" s="418" t="s">
        <v>826</v>
      </c>
      <c r="H11" s="207" t="b">
        <v>1</v>
      </c>
      <c r="I11" s="29" t="b">
        <v>0</v>
      </c>
      <c r="J11" s="29" t="b">
        <v>0</v>
      </c>
      <c r="K11" s="29" t="b">
        <v>0</v>
      </c>
    </row>
    <row r="12" customHeight="1" spans="1:11">
      <c r="A12" s="29" t="s">
        <v>836</v>
      </c>
      <c r="B12" s="245" t="s">
        <v>13</v>
      </c>
      <c r="D12" s="29" t="s">
        <v>14</v>
      </c>
      <c r="E12" s="29" t="s">
        <v>824</v>
      </c>
      <c r="F12" s="29" t="s">
        <v>57</v>
      </c>
      <c r="H12" s="207" t="b">
        <v>1</v>
      </c>
      <c r="I12" s="29" t="b">
        <v>0</v>
      </c>
      <c r="J12" s="29" t="b">
        <v>0</v>
      </c>
      <c r="K12" s="29" t="b">
        <v>0</v>
      </c>
    </row>
    <row r="13" customHeight="1" spans="1:11">
      <c r="A13" s="29" t="s">
        <v>837</v>
      </c>
      <c r="B13" s="245" t="s">
        <v>13</v>
      </c>
      <c r="D13" s="29" t="s">
        <v>25</v>
      </c>
      <c r="E13" s="29" t="s">
        <v>824</v>
      </c>
      <c r="F13" s="29" t="s">
        <v>57</v>
      </c>
      <c r="H13" s="207" t="b">
        <v>0</v>
      </c>
      <c r="I13" s="29" t="b">
        <v>1</v>
      </c>
      <c r="J13" s="29" t="b">
        <v>0</v>
      </c>
      <c r="K13" s="29" t="b">
        <v>0</v>
      </c>
    </row>
  </sheetData>
  <dataValidations count="3">
    <dataValidation type="list" allowBlank="1" showErrorMessage="1" sqref="D2 D4:D13">
      <formula1>"Room,Surface,Unassigned"</formula1>
    </dataValidation>
    <dataValidation type="list" allowBlank="1" showErrorMessage="1" sqref="E2 E4:E13">
      <formula1>"Assigned,Edit,Create New &amp; Assign"</formula1>
    </dataValidation>
    <dataValidation type="list" allowBlank="1" showErrorMessage="1" sqref="F2 F4:F13">
      <formula1>"2025 T&amp;C,Residential,Commercial,HOA/Garage,NC,Default,Create New + Reassign!,Roof"</formula1>
    </dataValidation>
  </dataValidations>
  <hyperlinks>
    <hyperlink ref="G4" r:id="rId1" display="Reformatted OG 2025 Scout Residential Terms"/>
    <hyperlink ref="G5" r:id="rId1" display="Reformatted OG 2025 Scout Residential Terms"/>
    <hyperlink ref="G6" r:id="rId1" display="Reformatted OG 2025 Scout Residential Terms"/>
    <hyperlink ref="G7" r:id="rId1" display="Reformatted OG 2025 Scout Residential Terms"/>
    <hyperlink ref="G8" r:id="rId1" display="Reformatted OG 2025 Scout Residential Terms"/>
    <hyperlink ref="G9" r:id="rId1" display="Reformatted OG 2025 Scout Residential Terms"/>
    <hyperlink ref="G10" r:id="rId1" display="Reformatted OG 2025 Scout Residential Terms"/>
    <hyperlink ref="G11" r:id="rId1" display="Reformatted OG 2025 Scout Residential Terms"/>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FC5E8"/>
    <outlinePr summaryBelow="0" summaryRight="0"/>
  </sheetPr>
  <dimension ref="A1:W57"/>
  <sheetViews>
    <sheetView workbookViewId="0">
      <pane xSplit="1" ySplit="1" topLeftCell="B2" activePane="bottomRight" state="frozen"/>
      <selection/>
      <selection pane="topRight"/>
      <selection pane="bottomLeft"/>
      <selection pane="bottomRight" activeCell="B2" sqref="B2"/>
    </sheetView>
  </sheetViews>
  <sheetFormatPr defaultColWidth="12.6285714285714" defaultRowHeight="15.75" customHeight="1"/>
  <cols>
    <col min="1" max="1" width="61.752380952381" customWidth="1"/>
    <col min="2" max="2" width="5.87619047619048" customWidth="1"/>
    <col min="3" max="4" width="16.5047619047619" customWidth="1"/>
    <col min="5" max="5" width="10.8761904761905" customWidth="1"/>
    <col min="6" max="6" width="11.6285714285714" customWidth="1"/>
    <col min="7" max="7" width="29.752380952381" customWidth="1"/>
    <col min="8" max="8" width="18.3809523809524" customWidth="1"/>
    <col min="9" max="14" width="9" customWidth="1"/>
    <col min="15" max="16" width="27.752380952381" customWidth="1"/>
    <col min="17" max="23" width="9" customWidth="1"/>
  </cols>
  <sheetData>
    <row r="1" customHeight="1" spans="1:23">
      <c r="A1" s="419" t="s">
        <v>0</v>
      </c>
      <c r="B1" s="419"/>
      <c r="C1" s="419" t="s">
        <v>838</v>
      </c>
      <c r="D1" s="419" t="s">
        <v>839</v>
      </c>
      <c r="E1" s="420" t="s">
        <v>1</v>
      </c>
      <c r="F1" s="419" t="s">
        <v>2</v>
      </c>
      <c r="G1" s="419" t="s">
        <v>3</v>
      </c>
      <c r="H1" s="422" t="s">
        <v>4</v>
      </c>
      <c r="I1" s="423" t="s">
        <v>6</v>
      </c>
      <c r="J1" s="421" t="s">
        <v>840</v>
      </c>
      <c r="K1" s="421" t="s">
        <v>8</v>
      </c>
      <c r="L1" s="421" t="s">
        <v>9</v>
      </c>
      <c r="M1" s="424" t="s">
        <v>7</v>
      </c>
      <c r="N1" s="424" t="s">
        <v>841</v>
      </c>
      <c r="O1" s="420" t="s">
        <v>842</v>
      </c>
      <c r="P1" s="420" t="s">
        <v>843</v>
      </c>
      <c r="Q1" s="421" t="s">
        <v>844</v>
      </c>
      <c r="R1" s="421" t="s">
        <v>845</v>
      </c>
      <c r="S1" s="421" t="s">
        <v>846</v>
      </c>
      <c r="T1" s="421" t="s">
        <v>847</v>
      </c>
      <c r="U1" s="421" t="s">
        <v>848</v>
      </c>
      <c r="V1" s="421" t="s">
        <v>849</v>
      </c>
      <c r="W1" s="421" t="s">
        <v>850</v>
      </c>
    </row>
    <row r="2" customHeight="1" spans="1:23">
      <c r="A2" s="29" t="s">
        <v>10</v>
      </c>
      <c r="B2" s="29"/>
      <c r="C2" s="29"/>
      <c r="D2" s="29"/>
      <c r="E2" s="245">
        <v>115</v>
      </c>
      <c r="F2" s="29" t="s">
        <v>14</v>
      </c>
      <c r="G2" s="308"/>
      <c r="H2" s="29" t="s">
        <v>16</v>
      </c>
      <c r="I2" s="207" t="b">
        <v>1</v>
      </c>
      <c r="J2" s="29" t="b">
        <v>0</v>
      </c>
      <c r="K2" s="29" t="b">
        <v>1</v>
      </c>
      <c r="L2" s="29" t="b">
        <v>0</v>
      </c>
      <c r="M2" s="29" t="b">
        <v>0</v>
      </c>
      <c r="N2" s="29" t="b">
        <v>0</v>
      </c>
      <c r="O2" s="245" t="s">
        <v>851</v>
      </c>
      <c r="P2" s="245" t="s">
        <v>852</v>
      </c>
      <c r="Q2" s="29" t="b">
        <v>0</v>
      </c>
      <c r="R2" s="29" t="b">
        <v>1</v>
      </c>
      <c r="S2" s="29" t="b">
        <v>1</v>
      </c>
      <c r="T2" s="29" t="b">
        <v>1</v>
      </c>
      <c r="U2" s="29" t="b">
        <v>1</v>
      </c>
      <c r="V2" s="29" t="b">
        <v>1</v>
      </c>
      <c r="W2" s="29" t="b">
        <v>1</v>
      </c>
    </row>
    <row r="3" customHeight="1" spans="1:23">
      <c r="A3" s="29" t="s">
        <v>853</v>
      </c>
      <c r="B3" s="164" t="s">
        <v>854</v>
      </c>
      <c r="C3" s="29" t="s">
        <v>855</v>
      </c>
      <c r="D3" s="29" t="s">
        <v>856</v>
      </c>
      <c r="E3" s="245"/>
      <c r="F3" s="29" t="s">
        <v>25</v>
      </c>
      <c r="G3" s="308"/>
      <c r="H3" s="29" t="s">
        <v>15</v>
      </c>
      <c r="I3" s="207" t="b">
        <v>0</v>
      </c>
      <c r="J3" s="29" t="b">
        <v>0</v>
      </c>
      <c r="K3" s="29" t="b">
        <v>0</v>
      </c>
      <c r="L3" s="29" t="b">
        <v>0</v>
      </c>
      <c r="M3" s="29" t="b">
        <v>1</v>
      </c>
      <c r="N3" s="29" t="b">
        <v>0</v>
      </c>
      <c r="O3" s="245"/>
      <c r="P3" s="245"/>
      <c r="Q3" s="29" t="b">
        <v>0</v>
      </c>
      <c r="R3" s="29" t="b">
        <v>0</v>
      </c>
      <c r="S3" s="29" t="b">
        <v>0</v>
      </c>
      <c r="T3" s="29" t="b">
        <v>0</v>
      </c>
      <c r="U3" s="29" t="b">
        <v>0</v>
      </c>
      <c r="V3" s="29" t="b">
        <v>0</v>
      </c>
      <c r="W3" s="29" t="b">
        <v>0</v>
      </c>
    </row>
    <row r="4" customHeight="1" spans="1:23">
      <c r="A4" s="29" t="s">
        <v>857</v>
      </c>
      <c r="B4" s="164" t="s">
        <v>854</v>
      </c>
      <c r="C4" s="29" t="s">
        <v>855</v>
      </c>
      <c r="D4" s="29" t="s">
        <v>856</v>
      </c>
      <c r="E4" s="245"/>
      <c r="F4" s="29" t="s">
        <v>14</v>
      </c>
      <c r="G4" s="29" t="s">
        <v>858</v>
      </c>
      <c r="H4" s="29" t="s">
        <v>16</v>
      </c>
      <c r="I4" s="207" t="b">
        <v>1</v>
      </c>
      <c r="J4" s="29" t="b">
        <v>0</v>
      </c>
      <c r="K4" s="29" t="b">
        <v>0</v>
      </c>
      <c r="L4" s="29" t="b">
        <v>0</v>
      </c>
      <c r="M4" s="29" t="b">
        <v>1</v>
      </c>
      <c r="N4" s="29" t="b">
        <v>1</v>
      </c>
      <c r="O4" s="245"/>
      <c r="P4" s="245"/>
      <c r="Q4" s="29" t="b">
        <v>0</v>
      </c>
      <c r="R4" s="29" t="b">
        <v>0</v>
      </c>
      <c r="S4" s="29" t="b">
        <v>0</v>
      </c>
      <c r="T4" s="29" t="b">
        <v>0</v>
      </c>
      <c r="U4" s="29" t="b">
        <v>0</v>
      </c>
      <c r="V4" s="29" t="b">
        <v>0</v>
      </c>
      <c r="W4" s="29" t="b">
        <v>0</v>
      </c>
    </row>
    <row r="5" customHeight="1" spans="1:23">
      <c r="A5" s="29" t="s">
        <v>859</v>
      </c>
      <c r="B5" s="164" t="s">
        <v>854</v>
      </c>
      <c r="C5" s="29" t="s">
        <v>855</v>
      </c>
      <c r="D5" s="29" t="s">
        <v>860</v>
      </c>
      <c r="E5" s="245"/>
      <c r="F5" s="29" t="s">
        <v>25</v>
      </c>
      <c r="G5" s="308"/>
      <c r="H5" s="29" t="s">
        <v>16</v>
      </c>
      <c r="I5" s="207" t="b">
        <v>0</v>
      </c>
      <c r="J5" s="29" t="b">
        <v>0</v>
      </c>
      <c r="K5" s="29" t="b">
        <v>0</v>
      </c>
      <c r="L5" s="29" t="b">
        <v>0</v>
      </c>
      <c r="M5" s="29" t="b">
        <v>1</v>
      </c>
      <c r="N5" s="29" t="b">
        <v>0</v>
      </c>
      <c r="O5" s="245"/>
      <c r="P5" s="245"/>
      <c r="Q5" s="29" t="b">
        <v>0</v>
      </c>
      <c r="R5" s="29" t="b">
        <v>0</v>
      </c>
      <c r="S5" s="29" t="b">
        <v>0</v>
      </c>
      <c r="T5" s="29" t="b">
        <v>0</v>
      </c>
      <c r="U5" s="29" t="b">
        <v>0</v>
      </c>
      <c r="V5" s="29" t="b">
        <v>0</v>
      </c>
      <c r="W5" s="29" t="b">
        <v>0</v>
      </c>
    </row>
    <row r="6" customHeight="1" spans="1:23">
      <c r="A6" s="29" t="s">
        <v>861</v>
      </c>
      <c r="B6" s="164" t="s">
        <v>854</v>
      </c>
      <c r="C6" s="29" t="s">
        <v>855</v>
      </c>
      <c r="D6" s="29" t="s">
        <v>860</v>
      </c>
      <c r="E6" s="245"/>
      <c r="F6" s="29" t="s">
        <v>25</v>
      </c>
      <c r="G6" s="308"/>
      <c r="H6" s="29" t="s">
        <v>16</v>
      </c>
      <c r="I6" s="207" t="b">
        <v>0</v>
      </c>
      <c r="J6" s="29" t="b">
        <v>0</v>
      </c>
      <c r="K6" s="29" t="b">
        <v>0</v>
      </c>
      <c r="L6" s="29" t="b">
        <v>0</v>
      </c>
      <c r="M6" s="29" t="b">
        <v>1</v>
      </c>
      <c r="N6" s="29" t="b">
        <v>0</v>
      </c>
      <c r="O6" s="245"/>
      <c r="P6" s="245"/>
      <c r="Q6" s="29" t="b">
        <v>0</v>
      </c>
      <c r="R6" s="29" t="b">
        <v>0</v>
      </c>
      <c r="S6" s="29" t="b">
        <v>0</v>
      </c>
      <c r="T6" s="29" t="b">
        <v>0</v>
      </c>
      <c r="U6" s="29" t="b">
        <v>0</v>
      </c>
      <c r="V6" s="29" t="b">
        <v>0</v>
      </c>
      <c r="W6" s="29" t="b">
        <v>0</v>
      </c>
    </row>
    <row r="7" customHeight="1" spans="1:23">
      <c r="A7" s="29" t="s">
        <v>862</v>
      </c>
      <c r="B7" s="164" t="s">
        <v>854</v>
      </c>
      <c r="C7" s="29" t="s">
        <v>855</v>
      </c>
      <c r="D7" s="29" t="s">
        <v>856</v>
      </c>
      <c r="E7" s="245"/>
      <c r="F7" s="29" t="s">
        <v>25</v>
      </c>
      <c r="G7" s="308"/>
      <c r="H7" s="29" t="s">
        <v>15</v>
      </c>
      <c r="I7" s="207" t="b">
        <v>0</v>
      </c>
      <c r="J7" s="29" t="b">
        <v>0</v>
      </c>
      <c r="K7" s="29" t="b">
        <v>1</v>
      </c>
      <c r="L7" s="29" t="b">
        <v>0</v>
      </c>
      <c r="M7" s="29" t="b">
        <v>1</v>
      </c>
      <c r="N7" s="29" t="b">
        <v>0</v>
      </c>
      <c r="O7" s="245"/>
      <c r="P7" s="245"/>
      <c r="Q7" s="29" t="b">
        <v>0</v>
      </c>
      <c r="R7" s="29" t="b">
        <v>0</v>
      </c>
      <c r="S7" s="29" t="b">
        <v>0</v>
      </c>
      <c r="T7" s="29" t="b">
        <v>0</v>
      </c>
      <c r="U7" s="29" t="b">
        <v>0</v>
      </c>
      <c r="V7" s="29" t="b">
        <v>0</v>
      </c>
      <c r="W7" s="29" t="b">
        <v>0</v>
      </c>
    </row>
    <row r="8" customHeight="1" spans="1:23">
      <c r="A8" s="29" t="s">
        <v>863</v>
      </c>
      <c r="B8" s="164" t="s">
        <v>854</v>
      </c>
      <c r="C8" s="29" t="s">
        <v>855</v>
      </c>
      <c r="D8" s="29" t="s">
        <v>856</v>
      </c>
      <c r="E8" s="245"/>
      <c r="F8" s="29" t="s">
        <v>25</v>
      </c>
      <c r="G8" s="308"/>
      <c r="H8" s="29" t="s">
        <v>16</v>
      </c>
      <c r="I8" s="207" t="b">
        <v>0</v>
      </c>
      <c r="J8" s="29" t="b">
        <v>0</v>
      </c>
      <c r="K8" s="29" t="b">
        <v>0</v>
      </c>
      <c r="L8" s="29" t="b">
        <v>0</v>
      </c>
      <c r="M8" s="29" t="b">
        <v>1</v>
      </c>
      <c r="N8" s="29" t="b">
        <v>0</v>
      </c>
      <c r="O8" s="245"/>
      <c r="P8" s="245"/>
      <c r="Q8" s="29" t="b">
        <v>0</v>
      </c>
      <c r="R8" s="29" t="b">
        <v>0</v>
      </c>
      <c r="S8" s="29" t="b">
        <v>0</v>
      </c>
      <c r="T8" s="29" t="b">
        <v>0</v>
      </c>
      <c r="U8" s="29" t="b">
        <v>0</v>
      </c>
      <c r="V8" s="29" t="b">
        <v>0</v>
      </c>
      <c r="W8" s="29" t="b">
        <v>0</v>
      </c>
    </row>
    <row r="9" customHeight="1" spans="1:23">
      <c r="A9" s="29" t="s">
        <v>864</v>
      </c>
      <c r="B9" s="164" t="s">
        <v>854</v>
      </c>
      <c r="C9" s="29" t="s">
        <v>855</v>
      </c>
      <c r="D9" s="29" t="s">
        <v>856</v>
      </c>
      <c r="E9" s="245"/>
      <c r="F9" s="29" t="s">
        <v>14</v>
      </c>
      <c r="G9" s="308"/>
      <c r="H9" s="29" t="s">
        <v>42</v>
      </c>
      <c r="I9" s="207" t="b">
        <v>0</v>
      </c>
      <c r="J9" s="29" t="b">
        <v>0</v>
      </c>
      <c r="K9" s="29" t="b">
        <v>0</v>
      </c>
      <c r="L9" s="29" t="b">
        <v>0</v>
      </c>
      <c r="M9" s="29" t="b">
        <v>1</v>
      </c>
      <c r="N9" s="29" t="b">
        <v>0</v>
      </c>
      <c r="O9" s="245"/>
      <c r="P9" s="245"/>
      <c r="Q9" s="29" t="b">
        <v>0</v>
      </c>
      <c r="R9" s="29" t="b">
        <v>0</v>
      </c>
      <c r="S9" s="29" t="b">
        <v>0</v>
      </c>
      <c r="T9" s="29" t="b">
        <v>0</v>
      </c>
      <c r="U9" s="29" t="b">
        <v>0</v>
      </c>
      <c r="V9" s="29" t="b">
        <v>0</v>
      </c>
      <c r="W9" s="29" t="b">
        <v>0</v>
      </c>
    </row>
    <row r="10" customHeight="1" spans="1:23">
      <c r="A10" s="29" t="s">
        <v>865</v>
      </c>
      <c r="B10" s="164" t="s">
        <v>854</v>
      </c>
      <c r="C10" s="29" t="s">
        <v>855</v>
      </c>
      <c r="D10" s="29"/>
      <c r="E10" s="245"/>
      <c r="F10" s="29" t="s">
        <v>25</v>
      </c>
      <c r="G10" s="308"/>
      <c r="H10" s="29" t="s">
        <v>42</v>
      </c>
      <c r="I10" s="207" t="b">
        <v>0</v>
      </c>
      <c r="J10" s="29" t="b">
        <v>0</v>
      </c>
      <c r="K10" s="29" t="b">
        <v>0</v>
      </c>
      <c r="L10" s="29" t="b">
        <v>0</v>
      </c>
      <c r="M10" s="29" t="b">
        <v>1</v>
      </c>
      <c r="N10" s="29" t="b">
        <v>0</v>
      </c>
      <c r="O10" s="245"/>
      <c r="P10" s="245"/>
      <c r="Q10" s="29" t="b">
        <v>0</v>
      </c>
      <c r="R10" s="29" t="b">
        <v>0</v>
      </c>
      <c r="S10" s="29" t="b">
        <v>0</v>
      </c>
      <c r="T10" s="29" t="b">
        <v>0</v>
      </c>
      <c r="U10" s="29" t="b">
        <v>0</v>
      </c>
      <c r="V10" s="29" t="b">
        <v>0</v>
      </c>
      <c r="W10" s="29" t="b">
        <v>0</v>
      </c>
    </row>
    <row r="11" customHeight="1" spans="1:23">
      <c r="A11" s="29" t="s">
        <v>866</v>
      </c>
      <c r="B11" s="164" t="s">
        <v>854</v>
      </c>
      <c r="C11" s="29" t="s">
        <v>855</v>
      </c>
      <c r="D11" s="29"/>
      <c r="E11" s="245"/>
      <c r="F11" s="29" t="s">
        <v>25</v>
      </c>
      <c r="G11" s="308"/>
      <c r="H11" s="29" t="s">
        <v>42</v>
      </c>
      <c r="I11" s="207" t="b">
        <v>0</v>
      </c>
      <c r="J11" s="29" t="b">
        <v>0</v>
      </c>
      <c r="K11" s="29" t="b">
        <v>0</v>
      </c>
      <c r="L11" s="29" t="b">
        <v>0</v>
      </c>
      <c r="M11" s="29" t="b">
        <v>1</v>
      </c>
      <c r="N11" s="29" t="b">
        <v>0</v>
      </c>
      <c r="O11" s="245"/>
      <c r="P11" s="245"/>
      <c r="Q11" s="29" t="b">
        <v>0</v>
      </c>
      <c r="R11" s="29" t="b">
        <v>0</v>
      </c>
      <c r="S11" s="29" t="b">
        <v>0</v>
      </c>
      <c r="T11" s="29" t="b">
        <v>0</v>
      </c>
      <c r="U11" s="29" t="b">
        <v>0</v>
      </c>
      <c r="V11" s="29" t="b">
        <v>0</v>
      </c>
      <c r="W11" s="29" t="b">
        <v>0</v>
      </c>
    </row>
    <row r="12" customHeight="1" spans="1:23">
      <c r="A12" s="29" t="s">
        <v>867</v>
      </c>
      <c r="B12" s="164" t="s">
        <v>854</v>
      </c>
      <c r="C12" s="29" t="s">
        <v>855</v>
      </c>
      <c r="D12" s="29"/>
      <c r="E12" s="245"/>
      <c r="F12" s="29" t="s">
        <v>14</v>
      </c>
      <c r="G12" s="308"/>
      <c r="H12" s="29" t="s">
        <v>57</v>
      </c>
      <c r="I12" s="207" t="b">
        <v>0</v>
      </c>
      <c r="J12" s="29" t="b">
        <v>0</v>
      </c>
      <c r="K12" s="29" t="b">
        <v>0</v>
      </c>
      <c r="L12" s="29" t="b">
        <v>0</v>
      </c>
      <c r="M12" s="29" t="b">
        <v>1</v>
      </c>
      <c r="N12" s="29" t="b">
        <v>0</v>
      </c>
      <c r="O12" s="245"/>
      <c r="P12" s="245"/>
      <c r="Q12" s="29" t="b">
        <v>0</v>
      </c>
      <c r="R12" s="29" t="b">
        <v>0</v>
      </c>
      <c r="S12" s="29" t="b">
        <v>0</v>
      </c>
      <c r="T12" s="29" t="b">
        <v>0</v>
      </c>
      <c r="U12" s="29" t="b">
        <v>0</v>
      </c>
      <c r="V12" s="29" t="b">
        <v>0</v>
      </c>
      <c r="W12" s="29" t="b">
        <v>0</v>
      </c>
    </row>
    <row r="13" customHeight="1" spans="1:23">
      <c r="A13" s="29" t="s">
        <v>868</v>
      </c>
      <c r="B13" s="164" t="s">
        <v>854</v>
      </c>
      <c r="C13" s="29" t="s">
        <v>855</v>
      </c>
      <c r="D13" s="29"/>
      <c r="E13" s="245"/>
      <c r="F13" s="29" t="s">
        <v>25</v>
      </c>
      <c r="G13" s="308"/>
      <c r="H13" s="29" t="s">
        <v>57</v>
      </c>
      <c r="I13" s="207" t="b">
        <v>0</v>
      </c>
      <c r="J13" s="29" t="b">
        <v>0</v>
      </c>
      <c r="K13" s="29" t="b">
        <v>0</v>
      </c>
      <c r="L13" s="29" t="b">
        <v>0</v>
      </c>
      <c r="M13" s="29" t="b">
        <v>1</v>
      </c>
      <c r="N13" s="29" t="b">
        <v>0</v>
      </c>
      <c r="O13" s="245"/>
      <c r="P13" s="245"/>
      <c r="Q13" s="29" t="b">
        <v>0</v>
      </c>
      <c r="R13" s="29" t="b">
        <v>0</v>
      </c>
      <c r="S13" s="29" t="b">
        <v>0</v>
      </c>
      <c r="T13" s="29" t="b">
        <v>0</v>
      </c>
      <c r="U13" s="29" t="b">
        <v>0</v>
      </c>
      <c r="V13" s="29" t="b">
        <v>0</v>
      </c>
      <c r="W13" s="29" t="b">
        <v>0</v>
      </c>
    </row>
    <row r="14" customHeight="1" spans="1:23">
      <c r="A14" s="29" t="s">
        <v>869</v>
      </c>
      <c r="B14" s="164" t="s">
        <v>854</v>
      </c>
      <c r="C14" s="29" t="s">
        <v>855</v>
      </c>
      <c r="D14" s="29"/>
      <c r="E14" s="245"/>
      <c r="F14" s="29" t="s">
        <v>14</v>
      </c>
      <c r="G14" s="308"/>
      <c r="H14" s="29" t="s">
        <v>57</v>
      </c>
      <c r="I14" s="207" t="b">
        <v>0</v>
      </c>
      <c r="J14" s="29" t="b">
        <v>0</v>
      </c>
      <c r="K14" s="29" t="b">
        <v>0</v>
      </c>
      <c r="L14" s="29" t="b">
        <v>0</v>
      </c>
      <c r="M14" s="29" t="b">
        <v>1</v>
      </c>
      <c r="N14" s="29" t="b">
        <v>0</v>
      </c>
      <c r="O14" s="245"/>
      <c r="P14" s="245"/>
      <c r="Q14" s="29" t="b">
        <v>0</v>
      </c>
      <c r="R14" s="29" t="b">
        <v>0</v>
      </c>
      <c r="S14" s="29" t="b">
        <v>0</v>
      </c>
      <c r="T14" s="29" t="b">
        <v>0</v>
      </c>
      <c r="U14" s="29" t="b">
        <v>0</v>
      </c>
      <c r="V14" s="29" t="b">
        <v>0</v>
      </c>
      <c r="W14" s="29" t="b">
        <v>0</v>
      </c>
    </row>
    <row r="15" customHeight="1" spans="1:23">
      <c r="A15" s="29" t="s">
        <v>870</v>
      </c>
      <c r="B15" s="164" t="s">
        <v>854</v>
      </c>
      <c r="C15" s="29" t="s">
        <v>855</v>
      </c>
      <c r="D15" s="29"/>
      <c r="E15" s="245"/>
      <c r="F15" s="29" t="s">
        <v>14</v>
      </c>
      <c r="G15" s="308"/>
      <c r="H15" s="29" t="s">
        <v>57</v>
      </c>
      <c r="I15" s="207" t="b">
        <v>0</v>
      </c>
      <c r="J15" s="29" t="b">
        <v>0</v>
      </c>
      <c r="K15" s="29" t="b">
        <v>0</v>
      </c>
      <c r="L15" s="29" t="b">
        <v>0</v>
      </c>
      <c r="M15" s="29" t="b">
        <v>1</v>
      </c>
      <c r="N15" s="29" t="b">
        <v>0</v>
      </c>
      <c r="O15" s="245"/>
      <c r="P15" s="245"/>
      <c r="Q15" s="29" t="b">
        <v>0</v>
      </c>
      <c r="R15" s="29" t="b">
        <v>0</v>
      </c>
      <c r="S15" s="29" t="b">
        <v>0</v>
      </c>
      <c r="T15" s="29" t="b">
        <v>0</v>
      </c>
      <c r="U15" s="29" t="b">
        <v>0</v>
      </c>
      <c r="V15" s="29" t="b">
        <v>0</v>
      </c>
      <c r="W15" s="29" t="b">
        <v>0</v>
      </c>
    </row>
    <row r="16" customHeight="1" spans="1:23">
      <c r="A16" s="29" t="s">
        <v>871</v>
      </c>
      <c r="B16" s="164" t="s">
        <v>854</v>
      </c>
      <c r="C16" s="29" t="s">
        <v>872</v>
      </c>
      <c r="D16" s="29"/>
      <c r="E16" s="245"/>
      <c r="F16" s="29" t="s">
        <v>14</v>
      </c>
      <c r="G16" s="308"/>
      <c r="H16" s="29" t="s">
        <v>15</v>
      </c>
      <c r="I16" s="207" t="b">
        <v>0</v>
      </c>
      <c r="J16" s="29" t="b">
        <v>0</v>
      </c>
      <c r="K16" s="29" t="b">
        <v>0</v>
      </c>
      <c r="L16" s="29" t="b">
        <v>0</v>
      </c>
      <c r="M16" s="29" t="b">
        <v>1</v>
      </c>
      <c r="N16" s="29" t="b">
        <v>0</v>
      </c>
      <c r="O16" s="245"/>
      <c r="P16" s="245"/>
      <c r="Q16" s="29" t="b">
        <v>0</v>
      </c>
      <c r="R16" s="29" t="b">
        <v>0</v>
      </c>
      <c r="S16" s="29" t="b">
        <v>0</v>
      </c>
      <c r="T16" s="29" t="b">
        <v>0</v>
      </c>
      <c r="U16" s="29" t="b">
        <v>0</v>
      </c>
      <c r="V16" s="29" t="b">
        <v>0</v>
      </c>
      <c r="W16" s="29" t="b">
        <v>0</v>
      </c>
    </row>
    <row r="17" customHeight="1" spans="1:23">
      <c r="A17" s="29" t="s">
        <v>873</v>
      </c>
      <c r="B17" s="164" t="s">
        <v>854</v>
      </c>
      <c r="C17" s="29" t="s">
        <v>872</v>
      </c>
      <c r="D17" s="29"/>
      <c r="E17" s="245"/>
      <c r="F17" s="29" t="s">
        <v>14</v>
      </c>
      <c r="G17" s="308"/>
      <c r="H17" s="29"/>
      <c r="I17" s="207" t="b">
        <v>0</v>
      </c>
      <c r="J17" s="29" t="b">
        <v>0</v>
      </c>
      <c r="K17" s="29" t="b">
        <v>0</v>
      </c>
      <c r="L17" s="29" t="b">
        <v>0</v>
      </c>
      <c r="M17" s="29" t="b">
        <v>1</v>
      </c>
      <c r="N17" s="29" t="b">
        <v>0</v>
      </c>
      <c r="O17" s="245"/>
      <c r="P17" s="245"/>
      <c r="Q17" s="29" t="b">
        <v>0</v>
      </c>
      <c r="R17" s="29" t="b">
        <v>0</v>
      </c>
      <c r="S17" s="29" t="b">
        <v>0</v>
      </c>
      <c r="T17" s="29" t="b">
        <v>0</v>
      </c>
      <c r="U17" s="29" t="b">
        <v>0</v>
      </c>
      <c r="V17" s="29" t="b">
        <v>0</v>
      </c>
      <c r="W17" s="29" t="b">
        <v>0</v>
      </c>
    </row>
    <row r="18" customHeight="1" spans="1:23">
      <c r="A18" s="29" t="s">
        <v>874</v>
      </c>
      <c r="B18" s="164" t="s">
        <v>854</v>
      </c>
      <c r="C18" s="29" t="s">
        <v>872</v>
      </c>
      <c r="D18" s="29"/>
      <c r="E18" s="245"/>
      <c r="F18" s="29" t="s">
        <v>14</v>
      </c>
      <c r="G18" s="308"/>
      <c r="H18" s="29" t="s">
        <v>15</v>
      </c>
      <c r="I18" s="207" t="b">
        <v>0</v>
      </c>
      <c r="J18" s="29" t="b">
        <v>0</v>
      </c>
      <c r="K18" s="29" t="b">
        <v>0</v>
      </c>
      <c r="L18" s="29" t="b">
        <v>0</v>
      </c>
      <c r="M18" s="29" t="b">
        <v>1</v>
      </c>
      <c r="N18" s="29" t="b">
        <v>0</v>
      </c>
      <c r="O18" s="245"/>
      <c r="P18" s="245"/>
      <c r="Q18" s="29" t="b">
        <v>0</v>
      </c>
      <c r="R18" s="29" t="b">
        <v>0</v>
      </c>
      <c r="S18" s="29" t="b">
        <v>0</v>
      </c>
      <c r="T18" s="29" t="b">
        <v>0</v>
      </c>
      <c r="U18" s="29" t="b">
        <v>0</v>
      </c>
      <c r="V18" s="29" t="b">
        <v>0</v>
      </c>
      <c r="W18" s="29" t="b">
        <v>0</v>
      </c>
    </row>
    <row r="19" customHeight="1" spans="1:23">
      <c r="A19" s="29" t="s">
        <v>875</v>
      </c>
      <c r="B19" s="164" t="s">
        <v>854</v>
      </c>
      <c r="C19" s="29" t="s">
        <v>872</v>
      </c>
      <c r="D19" s="29"/>
      <c r="E19" s="245"/>
      <c r="F19" s="29" t="s">
        <v>14</v>
      </c>
      <c r="G19" s="308"/>
      <c r="H19" s="29"/>
      <c r="I19" s="207" t="b">
        <v>0</v>
      </c>
      <c r="J19" s="29" t="b">
        <v>0</v>
      </c>
      <c r="K19" s="29" t="b">
        <v>0</v>
      </c>
      <c r="L19" s="29" t="b">
        <v>0</v>
      </c>
      <c r="M19" s="29" t="b">
        <v>1</v>
      </c>
      <c r="N19" s="29" t="b">
        <v>0</v>
      </c>
      <c r="O19" s="245"/>
      <c r="P19" s="245"/>
      <c r="Q19" s="29" t="b">
        <v>0</v>
      </c>
      <c r="R19" s="29" t="b">
        <v>0</v>
      </c>
      <c r="S19" s="29" t="b">
        <v>0</v>
      </c>
      <c r="T19" s="29" t="b">
        <v>0</v>
      </c>
      <c r="U19" s="29" t="b">
        <v>0</v>
      </c>
      <c r="V19" s="29" t="b">
        <v>0</v>
      </c>
      <c r="W19" s="29" t="b">
        <v>0</v>
      </c>
    </row>
    <row r="20" customHeight="1" spans="3:16">
      <c r="C20" s="29"/>
      <c r="E20" s="245"/>
      <c r="I20" s="207"/>
      <c r="O20" s="245"/>
      <c r="P20" s="245"/>
    </row>
    <row r="21" customHeight="1" spans="1:23">
      <c r="A21" s="29" t="s">
        <v>876</v>
      </c>
      <c r="B21" s="164" t="s">
        <v>854</v>
      </c>
      <c r="C21" s="29"/>
      <c r="D21" s="29"/>
      <c r="E21" s="360"/>
      <c r="F21" s="308"/>
      <c r="G21" s="308"/>
      <c r="H21" s="308"/>
      <c r="I21" s="207" t="b">
        <v>1</v>
      </c>
      <c r="J21" s="29" t="b">
        <v>1</v>
      </c>
      <c r="K21" s="29" t="b">
        <v>0</v>
      </c>
      <c r="L21" s="29" t="b">
        <v>0</v>
      </c>
      <c r="M21" s="29" t="b">
        <v>0</v>
      </c>
      <c r="N21" s="29" t="b">
        <v>1</v>
      </c>
      <c r="O21" s="245"/>
      <c r="P21" s="245"/>
      <c r="Q21" s="29" t="b">
        <v>0</v>
      </c>
      <c r="R21" s="29" t="b">
        <v>0</v>
      </c>
      <c r="S21" s="29" t="b">
        <v>0</v>
      </c>
      <c r="T21" s="29" t="b">
        <v>0</v>
      </c>
      <c r="U21" s="29" t="b">
        <v>0</v>
      </c>
      <c r="V21" s="29" t="b">
        <v>0</v>
      </c>
      <c r="W21" s="29" t="b">
        <v>0</v>
      </c>
    </row>
    <row r="22" customHeight="1" spans="1:23">
      <c r="A22" s="29" t="s">
        <v>877</v>
      </c>
      <c r="B22" s="164" t="s">
        <v>854</v>
      </c>
      <c r="C22" s="29"/>
      <c r="D22" s="29"/>
      <c r="E22" s="360"/>
      <c r="F22" s="308"/>
      <c r="G22" s="308"/>
      <c r="H22" s="308"/>
      <c r="I22" s="207" t="b">
        <v>0</v>
      </c>
      <c r="J22" s="29" t="b">
        <v>0</v>
      </c>
      <c r="K22" s="29" t="b">
        <v>0</v>
      </c>
      <c r="L22" s="29" t="b">
        <v>0</v>
      </c>
      <c r="M22" s="29" t="b">
        <v>0</v>
      </c>
      <c r="N22" s="29" t="b">
        <v>0</v>
      </c>
      <c r="O22" s="360"/>
      <c r="P22" s="360"/>
      <c r="Q22" s="29" t="b">
        <v>0</v>
      </c>
      <c r="R22" s="29" t="b">
        <v>0</v>
      </c>
      <c r="S22" s="29" t="b">
        <v>0</v>
      </c>
      <c r="T22" s="29" t="b">
        <v>0</v>
      </c>
      <c r="U22" s="29" t="b">
        <v>0</v>
      </c>
      <c r="V22" s="29" t="b">
        <v>0</v>
      </c>
      <c r="W22" s="29" t="b">
        <v>0</v>
      </c>
    </row>
    <row r="23" customHeight="1" spans="1:23">
      <c r="A23" s="29" t="s">
        <v>878</v>
      </c>
      <c r="B23" s="164" t="s">
        <v>854</v>
      </c>
      <c r="C23" s="29"/>
      <c r="D23" s="29"/>
      <c r="E23" s="360"/>
      <c r="F23" s="308"/>
      <c r="G23" s="308"/>
      <c r="H23" s="308"/>
      <c r="I23" s="207" t="b">
        <v>0</v>
      </c>
      <c r="J23" s="29" t="b">
        <v>0</v>
      </c>
      <c r="K23" s="29" t="b">
        <v>0</v>
      </c>
      <c r="L23" s="29" t="b">
        <v>0</v>
      </c>
      <c r="M23" s="29" t="b">
        <v>0</v>
      </c>
      <c r="N23" s="29" t="b">
        <v>0</v>
      </c>
      <c r="O23" s="360"/>
      <c r="P23" s="360"/>
      <c r="Q23" s="29" t="b">
        <v>0</v>
      </c>
      <c r="R23" s="29" t="b">
        <v>0</v>
      </c>
      <c r="S23" s="29" t="b">
        <v>0</v>
      </c>
      <c r="T23" s="29" t="b">
        <v>0</v>
      </c>
      <c r="U23" s="29" t="b">
        <v>0</v>
      </c>
      <c r="V23" s="29" t="b">
        <v>0</v>
      </c>
      <c r="W23" s="29" t="b">
        <v>0</v>
      </c>
    </row>
    <row r="24" customHeight="1" spans="1:23">
      <c r="A24" s="29" t="s">
        <v>828</v>
      </c>
      <c r="B24" s="164" t="s">
        <v>854</v>
      </c>
      <c r="C24" s="29" t="s">
        <v>855</v>
      </c>
      <c r="D24" s="29" t="s">
        <v>13</v>
      </c>
      <c r="E24" s="245" t="s">
        <v>13</v>
      </c>
      <c r="F24" s="29" t="s">
        <v>25</v>
      </c>
      <c r="G24" s="29" t="s">
        <v>858</v>
      </c>
      <c r="H24" s="29" t="s">
        <v>16</v>
      </c>
      <c r="I24" s="207" t="b">
        <v>1</v>
      </c>
      <c r="J24" s="29" t="b">
        <v>1</v>
      </c>
      <c r="K24" s="29" t="b">
        <v>0</v>
      </c>
      <c r="L24" s="29" t="b">
        <v>0</v>
      </c>
      <c r="M24" s="29" t="b">
        <v>0</v>
      </c>
      <c r="N24" s="29" t="b">
        <v>1</v>
      </c>
      <c r="O24" s="360"/>
      <c r="P24" s="360"/>
      <c r="Q24" s="29" t="b">
        <v>0</v>
      </c>
      <c r="R24" s="29" t="b">
        <v>0</v>
      </c>
      <c r="S24" s="29" t="b">
        <v>1</v>
      </c>
      <c r="T24" s="29" t="b">
        <v>1</v>
      </c>
      <c r="U24" s="29" t="b">
        <v>0</v>
      </c>
      <c r="V24" s="29" t="b">
        <v>0</v>
      </c>
      <c r="W24" s="29" t="b">
        <v>0</v>
      </c>
    </row>
    <row r="25" customHeight="1" spans="1:23">
      <c r="A25" s="29" t="s">
        <v>879</v>
      </c>
      <c r="B25" s="164" t="s">
        <v>854</v>
      </c>
      <c r="C25" s="29" t="s">
        <v>855</v>
      </c>
      <c r="D25" s="29"/>
      <c r="E25" s="360"/>
      <c r="F25" s="308"/>
      <c r="G25" s="308"/>
      <c r="H25" s="308"/>
      <c r="I25" s="207" t="b">
        <v>0</v>
      </c>
      <c r="J25" s="29" t="b">
        <v>0</v>
      </c>
      <c r="K25" s="29" t="b">
        <v>0</v>
      </c>
      <c r="L25" s="29" t="b">
        <v>0</v>
      </c>
      <c r="M25" s="29" t="b">
        <v>0</v>
      </c>
      <c r="N25" s="29" t="b">
        <v>0</v>
      </c>
      <c r="O25" s="360"/>
      <c r="P25" s="360"/>
      <c r="Q25" s="29" t="b">
        <v>0</v>
      </c>
      <c r="R25" s="29" t="b">
        <v>0</v>
      </c>
      <c r="S25" s="29" t="b">
        <v>0</v>
      </c>
      <c r="T25" s="29" t="b">
        <v>0</v>
      </c>
      <c r="U25" s="29" t="b">
        <v>0</v>
      </c>
      <c r="V25" s="29" t="b">
        <v>0</v>
      </c>
      <c r="W25" s="29" t="b">
        <v>0</v>
      </c>
    </row>
    <row r="26" customHeight="1" spans="1:23">
      <c r="A26" s="29" t="s">
        <v>880</v>
      </c>
      <c r="B26" s="164" t="s">
        <v>854</v>
      </c>
      <c r="C26" s="29" t="s">
        <v>855</v>
      </c>
      <c r="D26" s="29"/>
      <c r="E26" s="360"/>
      <c r="F26" s="308"/>
      <c r="G26" s="308"/>
      <c r="H26" s="308"/>
      <c r="I26" s="207" t="b">
        <v>0</v>
      </c>
      <c r="J26" s="29" t="b">
        <v>0</v>
      </c>
      <c r="K26" s="29" t="b">
        <v>0</v>
      </c>
      <c r="L26" s="29" t="b">
        <v>0</v>
      </c>
      <c r="M26" s="29" t="b">
        <v>0</v>
      </c>
      <c r="N26" s="29" t="b">
        <v>0</v>
      </c>
      <c r="O26" s="360"/>
      <c r="P26" s="360"/>
      <c r="Q26" s="29" t="b">
        <v>0</v>
      </c>
      <c r="R26" s="29" t="b">
        <v>0</v>
      </c>
      <c r="S26" s="29" t="b">
        <v>0</v>
      </c>
      <c r="T26" s="29" t="b">
        <v>0</v>
      </c>
      <c r="U26" s="29" t="b">
        <v>0</v>
      </c>
      <c r="V26" s="29" t="b">
        <v>0</v>
      </c>
      <c r="W26" s="29" t="b">
        <v>0</v>
      </c>
    </row>
    <row r="27" customHeight="1" spans="1:23">
      <c r="A27" s="29" t="s">
        <v>881</v>
      </c>
      <c r="B27" s="164" t="s">
        <v>854</v>
      </c>
      <c r="C27" s="29" t="s">
        <v>855</v>
      </c>
      <c r="D27" s="29"/>
      <c r="E27" s="360"/>
      <c r="F27" s="308"/>
      <c r="G27" s="308"/>
      <c r="H27" s="308"/>
      <c r="I27" s="207" t="b">
        <v>0</v>
      </c>
      <c r="J27" s="29" t="b">
        <v>0</v>
      </c>
      <c r="K27" s="29" t="b">
        <v>0</v>
      </c>
      <c r="L27" s="29" t="b">
        <v>0</v>
      </c>
      <c r="M27" s="29" t="b">
        <v>0</v>
      </c>
      <c r="N27" s="29" t="b">
        <v>0</v>
      </c>
      <c r="O27" s="360"/>
      <c r="P27" s="360"/>
      <c r="Q27" s="29" t="b">
        <v>0</v>
      </c>
      <c r="R27" s="29" t="b">
        <v>0</v>
      </c>
      <c r="S27" s="29" t="b">
        <v>0</v>
      </c>
      <c r="T27" s="29" t="b">
        <v>0</v>
      </c>
      <c r="U27" s="29" t="b">
        <v>0</v>
      </c>
      <c r="V27" s="29" t="b">
        <v>0</v>
      </c>
      <c r="W27" s="29" t="b">
        <v>0</v>
      </c>
    </row>
    <row r="28" customHeight="1" spans="3:16">
      <c r="C28" s="29"/>
      <c r="E28" s="360"/>
      <c r="I28" s="207"/>
      <c r="O28" s="360"/>
      <c r="P28" s="360"/>
    </row>
    <row r="29" customHeight="1" spans="1:23">
      <c r="A29" s="29" t="s">
        <v>882</v>
      </c>
      <c r="B29" s="164" t="s">
        <v>854</v>
      </c>
      <c r="C29" s="29"/>
      <c r="D29" s="29"/>
      <c r="E29" s="360"/>
      <c r="F29" s="308"/>
      <c r="G29" s="308"/>
      <c r="H29" s="308"/>
      <c r="I29" s="207" t="b">
        <v>0</v>
      </c>
      <c r="J29" s="29" t="b">
        <v>0</v>
      </c>
      <c r="K29" s="29" t="b">
        <v>0</v>
      </c>
      <c r="L29" s="29" t="b">
        <v>0</v>
      </c>
      <c r="M29" s="29" t="b">
        <v>0</v>
      </c>
      <c r="N29" s="29" t="b">
        <v>0</v>
      </c>
      <c r="O29" s="360"/>
      <c r="P29" s="360"/>
      <c r="Q29" s="29" t="b">
        <v>0</v>
      </c>
      <c r="R29" s="29" t="b">
        <v>0</v>
      </c>
      <c r="S29" s="29" t="b">
        <v>0</v>
      </c>
      <c r="T29" s="29" t="b">
        <v>0</v>
      </c>
      <c r="U29" s="29" t="b">
        <v>0</v>
      </c>
      <c r="V29" s="29" t="b">
        <v>0</v>
      </c>
      <c r="W29" s="29" t="b">
        <v>0</v>
      </c>
    </row>
    <row r="30" customHeight="1" spans="1:23">
      <c r="A30" s="29" t="s">
        <v>883</v>
      </c>
      <c r="B30" s="164" t="s">
        <v>854</v>
      </c>
      <c r="C30" s="29"/>
      <c r="D30" s="29"/>
      <c r="E30" s="360"/>
      <c r="F30" s="308"/>
      <c r="G30" s="308"/>
      <c r="H30" s="308"/>
      <c r="I30" s="207" t="b">
        <v>0</v>
      </c>
      <c r="J30" s="29" t="b">
        <v>0</v>
      </c>
      <c r="K30" s="29" t="b">
        <v>0</v>
      </c>
      <c r="L30" s="29" t="b">
        <v>0</v>
      </c>
      <c r="M30" s="29" t="b">
        <v>0</v>
      </c>
      <c r="N30" s="29" t="b">
        <v>0</v>
      </c>
      <c r="O30" s="360"/>
      <c r="P30" s="360"/>
      <c r="Q30" s="29" t="b">
        <v>0</v>
      </c>
      <c r="R30" s="29" t="b">
        <v>0</v>
      </c>
      <c r="S30" s="29" t="b">
        <v>0</v>
      </c>
      <c r="T30" s="29" t="b">
        <v>0</v>
      </c>
      <c r="U30" s="29" t="b">
        <v>0</v>
      </c>
      <c r="V30" s="29" t="b">
        <v>0</v>
      </c>
      <c r="W30" s="29" t="b">
        <v>0</v>
      </c>
    </row>
    <row r="31" customHeight="1" spans="1:23">
      <c r="A31" s="29" t="s">
        <v>884</v>
      </c>
      <c r="B31" s="164" t="s">
        <v>854</v>
      </c>
      <c r="C31" s="29"/>
      <c r="D31" s="29"/>
      <c r="E31" s="360"/>
      <c r="F31" s="308"/>
      <c r="G31" s="308"/>
      <c r="H31" s="308"/>
      <c r="I31" s="207" t="b">
        <v>0</v>
      </c>
      <c r="J31" s="29" t="b">
        <v>0</v>
      </c>
      <c r="K31" s="29" t="b">
        <v>0</v>
      </c>
      <c r="L31" s="29" t="b">
        <v>0</v>
      </c>
      <c r="M31" s="29" t="b">
        <v>0</v>
      </c>
      <c r="N31" s="29" t="b">
        <v>0</v>
      </c>
      <c r="O31" s="360"/>
      <c r="P31" s="360"/>
      <c r="Q31" s="29" t="b">
        <v>0</v>
      </c>
      <c r="R31" s="29" t="b">
        <v>0</v>
      </c>
      <c r="S31" s="29" t="b">
        <v>0</v>
      </c>
      <c r="T31" s="29" t="b">
        <v>0</v>
      </c>
      <c r="U31" s="29" t="b">
        <v>0</v>
      </c>
      <c r="V31" s="29" t="b">
        <v>0</v>
      </c>
      <c r="W31" s="29" t="b">
        <v>0</v>
      </c>
    </row>
    <row r="32" customHeight="1" spans="3:16">
      <c r="C32" s="29"/>
      <c r="E32" s="360"/>
      <c r="I32" s="207"/>
      <c r="O32" s="360"/>
      <c r="P32" s="360"/>
    </row>
    <row r="33" customHeight="1" spans="1:23">
      <c r="A33" s="29" t="s">
        <v>885</v>
      </c>
      <c r="B33" s="164" t="s">
        <v>854</v>
      </c>
      <c r="C33" s="29"/>
      <c r="D33" s="29"/>
      <c r="E33" s="360"/>
      <c r="F33" s="308"/>
      <c r="G33" s="308"/>
      <c r="H33" s="308"/>
      <c r="I33" s="207" t="b">
        <v>0</v>
      </c>
      <c r="J33" s="29" t="b">
        <v>0</v>
      </c>
      <c r="K33" s="29" t="b">
        <v>0</v>
      </c>
      <c r="L33" s="29" t="b">
        <v>0</v>
      </c>
      <c r="M33" s="29" t="b">
        <v>0</v>
      </c>
      <c r="N33" s="29" t="b">
        <v>0</v>
      </c>
      <c r="O33" s="360"/>
      <c r="P33" s="360"/>
      <c r="Q33" s="29" t="b">
        <v>0</v>
      </c>
      <c r="R33" s="29" t="b">
        <v>0</v>
      </c>
      <c r="S33" s="29" t="b">
        <v>0</v>
      </c>
      <c r="T33" s="29" t="b">
        <v>0</v>
      </c>
      <c r="U33" s="29" t="b">
        <v>0</v>
      </c>
      <c r="V33" s="29" t="b">
        <v>0</v>
      </c>
      <c r="W33" s="29" t="b">
        <v>0</v>
      </c>
    </row>
    <row r="34" customHeight="1" spans="1:23">
      <c r="A34" s="29" t="s">
        <v>886</v>
      </c>
      <c r="B34" s="164" t="s">
        <v>854</v>
      </c>
      <c r="C34" s="29"/>
      <c r="D34" s="29"/>
      <c r="E34" s="360"/>
      <c r="F34" s="308"/>
      <c r="G34" s="308"/>
      <c r="H34" s="308"/>
      <c r="I34" s="207" t="b">
        <v>0</v>
      </c>
      <c r="J34" s="29" t="b">
        <v>0</v>
      </c>
      <c r="K34" s="29" t="b">
        <v>0</v>
      </c>
      <c r="L34" s="29" t="b">
        <v>0</v>
      </c>
      <c r="M34" s="29" t="b">
        <v>0</v>
      </c>
      <c r="N34" s="29" t="b">
        <v>0</v>
      </c>
      <c r="O34" s="360"/>
      <c r="P34" s="360"/>
      <c r="Q34" s="29" t="b">
        <v>0</v>
      </c>
      <c r="R34" s="29" t="b">
        <v>0</v>
      </c>
      <c r="S34" s="29" t="b">
        <v>0</v>
      </c>
      <c r="T34" s="29" t="b">
        <v>0</v>
      </c>
      <c r="U34" s="29" t="b">
        <v>0</v>
      </c>
      <c r="V34" s="29" t="b">
        <v>0</v>
      </c>
      <c r="W34" s="29" t="b">
        <v>0</v>
      </c>
    </row>
    <row r="35" customHeight="1" spans="1:23">
      <c r="A35" s="29" t="s">
        <v>887</v>
      </c>
      <c r="B35" s="164" t="s">
        <v>854</v>
      </c>
      <c r="C35" s="29"/>
      <c r="D35" s="29"/>
      <c r="E35" s="360"/>
      <c r="F35" s="308"/>
      <c r="G35" s="308"/>
      <c r="H35" s="308"/>
      <c r="I35" s="207" t="b">
        <v>0</v>
      </c>
      <c r="J35" s="29" t="b">
        <v>0</v>
      </c>
      <c r="K35" s="29" t="b">
        <v>0</v>
      </c>
      <c r="L35" s="29" t="b">
        <v>0</v>
      </c>
      <c r="M35" s="29" t="b">
        <v>0</v>
      </c>
      <c r="N35" s="29" t="b">
        <v>0</v>
      </c>
      <c r="O35" s="360"/>
      <c r="P35" s="360"/>
      <c r="Q35" s="29" t="b">
        <v>0</v>
      </c>
      <c r="R35" s="29" t="b">
        <v>0</v>
      </c>
      <c r="S35" s="29" t="b">
        <v>0</v>
      </c>
      <c r="T35" s="29" t="b">
        <v>0</v>
      </c>
      <c r="U35" s="29" t="b">
        <v>0</v>
      </c>
      <c r="V35" s="29" t="b">
        <v>0</v>
      </c>
      <c r="W35" s="29" t="b">
        <v>0</v>
      </c>
    </row>
    <row r="36" customHeight="1" spans="1:23">
      <c r="A36" s="29" t="s">
        <v>888</v>
      </c>
      <c r="B36" s="164" t="s">
        <v>854</v>
      </c>
      <c r="C36" s="29"/>
      <c r="D36" s="29"/>
      <c r="E36" s="360"/>
      <c r="F36" s="308"/>
      <c r="G36" s="308"/>
      <c r="H36" s="308"/>
      <c r="I36" s="207" t="b">
        <v>0</v>
      </c>
      <c r="J36" s="29" t="b">
        <v>0</v>
      </c>
      <c r="K36" s="29" t="b">
        <v>0</v>
      </c>
      <c r="L36" s="29" t="b">
        <v>0</v>
      </c>
      <c r="M36" s="29" t="b">
        <v>0</v>
      </c>
      <c r="N36" s="29" t="b">
        <v>0</v>
      </c>
      <c r="O36" s="360"/>
      <c r="P36" s="360"/>
      <c r="Q36" s="29" t="b">
        <v>0</v>
      </c>
      <c r="R36" s="29" t="b">
        <v>0</v>
      </c>
      <c r="S36" s="29" t="b">
        <v>0</v>
      </c>
      <c r="T36" s="29" t="b">
        <v>0</v>
      </c>
      <c r="U36" s="29" t="b">
        <v>0</v>
      </c>
      <c r="V36" s="29" t="b">
        <v>0</v>
      </c>
      <c r="W36" s="29" t="b">
        <v>0</v>
      </c>
    </row>
    <row r="37" customHeight="1" spans="1:23">
      <c r="A37" s="29" t="s">
        <v>889</v>
      </c>
      <c r="B37" s="164" t="s">
        <v>854</v>
      </c>
      <c r="C37" s="29"/>
      <c r="D37" s="29"/>
      <c r="E37" s="360"/>
      <c r="F37" s="308"/>
      <c r="G37" s="308"/>
      <c r="H37" s="308"/>
      <c r="I37" s="207" t="b">
        <v>0</v>
      </c>
      <c r="J37" s="29" t="b">
        <v>0</v>
      </c>
      <c r="K37" s="29" t="b">
        <v>0</v>
      </c>
      <c r="L37" s="29" t="b">
        <v>0</v>
      </c>
      <c r="M37" s="29" t="b">
        <v>0</v>
      </c>
      <c r="N37" s="29" t="b">
        <v>0</v>
      </c>
      <c r="O37" s="360"/>
      <c r="P37" s="360"/>
      <c r="Q37" s="29" t="b">
        <v>0</v>
      </c>
      <c r="R37" s="29" t="b">
        <v>0</v>
      </c>
      <c r="S37" s="29" t="b">
        <v>0</v>
      </c>
      <c r="T37" s="29" t="b">
        <v>0</v>
      </c>
      <c r="U37" s="29" t="b">
        <v>0</v>
      </c>
      <c r="V37" s="29" t="b">
        <v>0</v>
      </c>
      <c r="W37" s="29" t="b">
        <v>0</v>
      </c>
    </row>
    <row r="38" customHeight="1" spans="1:23">
      <c r="A38" s="29" t="s">
        <v>890</v>
      </c>
      <c r="B38" s="164" t="s">
        <v>854</v>
      </c>
      <c r="C38" s="29"/>
      <c r="D38" s="29"/>
      <c r="E38" s="360"/>
      <c r="F38" s="308"/>
      <c r="G38" s="308"/>
      <c r="H38" s="308"/>
      <c r="I38" s="207" t="b">
        <v>0</v>
      </c>
      <c r="J38" s="29" t="b">
        <v>0</v>
      </c>
      <c r="K38" s="29" t="b">
        <v>0</v>
      </c>
      <c r="L38" s="29" t="b">
        <v>0</v>
      </c>
      <c r="M38" s="29" t="b">
        <v>0</v>
      </c>
      <c r="N38" s="29" t="b">
        <v>0</v>
      </c>
      <c r="O38" s="360"/>
      <c r="P38" s="360"/>
      <c r="Q38" s="29" t="b">
        <v>0</v>
      </c>
      <c r="R38" s="29" t="b">
        <v>0</v>
      </c>
      <c r="S38" s="29" t="b">
        <v>0</v>
      </c>
      <c r="T38" s="29" t="b">
        <v>0</v>
      </c>
      <c r="U38" s="29" t="b">
        <v>0</v>
      </c>
      <c r="V38" s="29" t="b">
        <v>0</v>
      </c>
      <c r="W38" s="29" t="b">
        <v>0</v>
      </c>
    </row>
    <row r="39" customHeight="1" spans="1:23">
      <c r="A39" s="29" t="s">
        <v>891</v>
      </c>
      <c r="B39" s="164" t="s">
        <v>854</v>
      </c>
      <c r="C39" s="29"/>
      <c r="D39" s="29"/>
      <c r="E39" s="360"/>
      <c r="F39" s="308"/>
      <c r="G39" s="308"/>
      <c r="H39" s="308"/>
      <c r="I39" s="207" t="b">
        <v>0</v>
      </c>
      <c r="J39" s="29" t="b">
        <v>0</v>
      </c>
      <c r="K39" s="29" t="b">
        <v>0</v>
      </c>
      <c r="L39" s="29" t="b">
        <v>0</v>
      </c>
      <c r="M39" s="29" t="b">
        <v>0</v>
      </c>
      <c r="N39" s="29" t="b">
        <v>0</v>
      </c>
      <c r="O39" s="360"/>
      <c r="P39" s="360"/>
      <c r="Q39" s="29" t="b">
        <v>0</v>
      </c>
      <c r="R39" s="29" t="b">
        <v>0</v>
      </c>
      <c r="S39" s="29" t="b">
        <v>0</v>
      </c>
      <c r="T39" s="29" t="b">
        <v>0</v>
      </c>
      <c r="U39" s="29" t="b">
        <v>0</v>
      </c>
      <c r="V39" s="29" t="b">
        <v>0</v>
      </c>
      <c r="W39" s="29" t="b">
        <v>0</v>
      </c>
    </row>
    <row r="40" customHeight="1" spans="1:23">
      <c r="A40" s="29" t="s">
        <v>892</v>
      </c>
      <c r="B40" s="29" t="s">
        <v>854</v>
      </c>
      <c r="C40" s="29"/>
      <c r="D40" s="29"/>
      <c r="E40" s="360"/>
      <c r="F40" s="308"/>
      <c r="G40" s="308"/>
      <c r="H40" s="308"/>
      <c r="I40" s="207" t="b">
        <v>0</v>
      </c>
      <c r="J40" s="29" t="b">
        <v>0</v>
      </c>
      <c r="K40" s="29" t="b">
        <v>0</v>
      </c>
      <c r="L40" s="29" t="b">
        <v>0</v>
      </c>
      <c r="M40" s="29" t="b">
        <v>0</v>
      </c>
      <c r="N40" s="29" t="b">
        <v>0</v>
      </c>
      <c r="O40" s="360"/>
      <c r="P40" s="360"/>
      <c r="Q40" s="29" t="b">
        <v>0</v>
      </c>
      <c r="R40" s="29" t="b">
        <v>0</v>
      </c>
      <c r="S40" s="29" t="b">
        <v>0</v>
      </c>
      <c r="T40" s="29" t="b">
        <v>0</v>
      </c>
      <c r="U40" s="29" t="b">
        <v>0</v>
      </c>
      <c r="V40" s="29" t="b">
        <v>0</v>
      </c>
      <c r="W40" s="29" t="b">
        <v>0</v>
      </c>
    </row>
    <row r="41" customHeight="1" spans="1:23">
      <c r="A41" s="29" t="s">
        <v>893</v>
      </c>
      <c r="B41" s="29" t="s">
        <v>854</v>
      </c>
      <c r="C41" s="29"/>
      <c r="D41" s="29"/>
      <c r="E41" s="360"/>
      <c r="F41" s="308"/>
      <c r="G41" s="308"/>
      <c r="H41" s="308"/>
      <c r="I41" s="207" t="b">
        <v>0</v>
      </c>
      <c r="J41" s="29" t="b">
        <v>0</v>
      </c>
      <c r="K41" s="29" t="b">
        <v>0</v>
      </c>
      <c r="L41" s="29" t="b">
        <v>0</v>
      </c>
      <c r="M41" s="29" t="b">
        <v>0</v>
      </c>
      <c r="N41" s="29" t="b">
        <v>0</v>
      </c>
      <c r="O41" s="360"/>
      <c r="P41" s="360"/>
      <c r="Q41" s="29" t="b">
        <v>0</v>
      </c>
      <c r="R41" s="29" t="b">
        <v>0</v>
      </c>
      <c r="S41" s="29" t="b">
        <v>0</v>
      </c>
      <c r="T41" s="29" t="b">
        <v>0</v>
      </c>
      <c r="U41" s="29" t="b">
        <v>0</v>
      </c>
      <c r="V41" s="29" t="b">
        <v>0</v>
      </c>
      <c r="W41" s="29" t="b">
        <v>0</v>
      </c>
    </row>
    <row r="42" customHeight="1" spans="1:23">
      <c r="A42" s="29" t="s">
        <v>894</v>
      </c>
      <c r="B42" s="29" t="s">
        <v>854</v>
      </c>
      <c r="C42" s="29"/>
      <c r="D42" s="29"/>
      <c r="E42" s="360"/>
      <c r="F42" s="308"/>
      <c r="G42" s="308"/>
      <c r="H42" s="308"/>
      <c r="I42" s="207" t="b">
        <v>0</v>
      </c>
      <c r="J42" s="29" t="b">
        <v>0</v>
      </c>
      <c r="K42" s="29" t="b">
        <v>0</v>
      </c>
      <c r="L42" s="29" t="b">
        <v>0</v>
      </c>
      <c r="M42" s="29" t="b">
        <v>0</v>
      </c>
      <c r="N42" s="29" t="b">
        <v>0</v>
      </c>
      <c r="O42" s="360"/>
      <c r="P42" s="360"/>
      <c r="Q42" s="29" t="b">
        <v>0</v>
      </c>
      <c r="R42" s="29" t="b">
        <v>0</v>
      </c>
      <c r="S42" s="29" t="b">
        <v>0</v>
      </c>
      <c r="T42" s="29" t="b">
        <v>0</v>
      </c>
      <c r="U42" s="29" t="b">
        <v>0</v>
      </c>
      <c r="V42" s="29" t="b">
        <v>0</v>
      </c>
      <c r="W42" s="29" t="b">
        <v>0</v>
      </c>
    </row>
    <row r="43" customHeight="1" spans="1:23">
      <c r="A43" s="29" t="s">
        <v>895</v>
      </c>
      <c r="B43" s="29" t="s">
        <v>854</v>
      </c>
      <c r="C43" s="29"/>
      <c r="D43" s="29"/>
      <c r="E43" s="360"/>
      <c r="F43" s="308"/>
      <c r="G43" s="308"/>
      <c r="H43" s="308"/>
      <c r="I43" s="207" t="b">
        <v>0</v>
      </c>
      <c r="J43" s="29" t="b">
        <v>0</v>
      </c>
      <c r="K43" s="29" t="b">
        <v>0</v>
      </c>
      <c r="L43" s="29" t="b">
        <v>0</v>
      </c>
      <c r="M43" s="29" t="b">
        <v>0</v>
      </c>
      <c r="N43" s="29" t="b">
        <v>0</v>
      </c>
      <c r="O43" s="360"/>
      <c r="P43" s="360"/>
      <c r="Q43" s="29" t="b">
        <v>0</v>
      </c>
      <c r="R43" s="29" t="b">
        <v>0</v>
      </c>
      <c r="S43" s="29" t="b">
        <v>0</v>
      </c>
      <c r="T43" s="29" t="b">
        <v>0</v>
      </c>
      <c r="U43" s="29" t="b">
        <v>0</v>
      </c>
      <c r="V43" s="29" t="b">
        <v>0</v>
      </c>
      <c r="W43" s="29" t="b">
        <v>0</v>
      </c>
    </row>
    <row r="44" customHeight="1" spans="1:23">
      <c r="A44" s="29" t="s">
        <v>896</v>
      </c>
      <c r="B44" s="29" t="s">
        <v>854</v>
      </c>
      <c r="C44" s="29"/>
      <c r="D44" s="29"/>
      <c r="E44" s="360"/>
      <c r="F44" s="308"/>
      <c r="G44" s="308"/>
      <c r="H44" s="308"/>
      <c r="I44" s="207" t="b">
        <v>0</v>
      </c>
      <c r="J44" s="29" t="b">
        <v>0</v>
      </c>
      <c r="K44" s="29" t="b">
        <v>0</v>
      </c>
      <c r="L44" s="29" t="b">
        <v>0</v>
      </c>
      <c r="M44" s="29" t="b">
        <v>0</v>
      </c>
      <c r="N44" s="29" t="b">
        <v>0</v>
      </c>
      <c r="O44" s="360"/>
      <c r="P44" s="360"/>
      <c r="Q44" s="29" t="b">
        <v>0</v>
      </c>
      <c r="R44" s="29" t="b">
        <v>0</v>
      </c>
      <c r="S44" s="29" t="b">
        <v>0</v>
      </c>
      <c r="T44" s="29" t="b">
        <v>0</v>
      </c>
      <c r="U44" s="29" t="b">
        <v>0</v>
      </c>
      <c r="V44" s="29" t="b">
        <v>0</v>
      </c>
      <c r="W44" s="29" t="b">
        <v>0</v>
      </c>
    </row>
    <row r="45" customHeight="1" spans="1:23">
      <c r="A45" s="29" t="s">
        <v>897</v>
      </c>
      <c r="B45" s="29" t="s">
        <v>854</v>
      </c>
      <c r="C45" s="29"/>
      <c r="D45" s="29"/>
      <c r="E45" s="360"/>
      <c r="F45" s="308"/>
      <c r="G45" s="308"/>
      <c r="H45" s="308"/>
      <c r="I45" s="207" t="b">
        <v>0</v>
      </c>
      <c r="J45" s="29" t="b">
        <v>0</v>
      </c>
      <c r="K45" s="29" t="b">
        <v>0</v>
      </c>
      <c r="L45" s="29" t="b">
        <v>0</v>
      </c>
      <c r="M45" s="29" t="b">
        <v>0</v>
      </c>
      <c r="N45" s="29" t="b">
        <v>0</v>
      </c>
      <c r="O45" s="360"/>
      <c r="P45" s="360"/>
      <c r="Q45" s="29" t="b">
        <v>0</v>
      </c>
      <c r="R45" s="29" t="b">
        <v>0</v>
      </c>
      <c r="S45" s="29" t="b">
        <v>0</v>
      </c>
      <c r="T45" s="29" t="b">
        <v>0</v>
      </c>
      <c r="U45" s="29" t="b">
        <v>0</v>
      </c>
      <c r="V45" s="29" t="b">
        <v>0</v>
      </c>
      <c r="W45" s="29" t="b">
        <v>0</v>
      </c>
    </row>
    <row r="46" customHeight="1" spans="1:23">
      <c r="A46" s="29" t="s">
        <v>898</v>
      </c>
      <c r="B46" s="164" t="s">
        <v>854</v>
      </c>
      <c r="C46" s="29"/>
      <c r="D46" s="29"/>
      <c r="E46" s="360"/>
      <c r="F46" s="308"/>
      <c r="G46" s="308"/>
      <c r="H46" s="308"/>
      <c r="I46" s="207" t="b">
        <v>0</v>
      </c>
      <c r="J46" s="29" t="b">
        <v>0</v>
      </c>
      <c r="K46" s="29" t="b">
        <v>0</v>
      </c>
      <c r="L46" s="29" t="b">
        <v>0</v>
      </c>
      <c r="M46" s="29" t="b">
        <v>0</v>
      </c>
      <c r="N46" s="29" t="b">
        <v>0</v>
      </c>
      <c r="O46" s="245"/>
      <c r="P46" s="245"/>
      <c r="Q46" s="29" t="b">
        <v>0</v>
      </c>
      <c r="R46" s="29" t="b">
        <v>0</v>
      </c>
      <c r="S46" s="29" t="b">
        <v>0</v>
      </c>
      <c r="T46" s="29" t="b">
        <v>0</v>
      </c>
      <c r="U46" s="29" t="b">
        <v>0</v>
      </c>
      <c r="V46" s="29" t="b">
        <v>0</v>
      </c>
      <c r="W46" s="29" t="b">
        <v>0</v>
      </c>
    </row>
    <row r="47" customHeight="1" spans="1:23">
      <c r="A47" s="29" t="s">
        <v>899</v>
      </c>
      <c r="B47" s="164" t="s">
        <v>854</v>
      </c>
      <c r="C47" s="29"/>
      <c r="D47" s="29"/>
      <c r="E47" s="360"/>
      <c r="F47" s="308"/>
      <c r="G47" s="308"/>
      <c r="H47" s="308"/>
      <c r="I47" s="207" t="b">
        <v>0</v>
      </c>
      <c r="J47" s="29" t="b">
        <v>0</v>
      </c>
      <c r="K47" s="29" t="b">
        <v>0</v>
      </c>
      <c r="L47" s="29" t="b">
        <v>0</v>
      </c>
      <c r="M47" s="29" t="b">
        <v>0</v>
      </c>
      <c r="N47" s="29" t="b">
        <v>0</v>
      </c>
      <c r="O47" s="360"/>
      <c r="P47" s="360"/>
      <c r="Q47" s="29" t="b">
        <v>0</v>
      </c>
      <c r="R47" s="29" t="b">
        <v>0</v>
      </c>
      <c r="S47" s="29" t="b">
        <v>0</v>
      </c>
      <c r="T47" s="29" t="b">
        <v>0</v>
      </c>
      <c r="U47" s="29" t="b">
        <v>0</v>
      </c>
      <c r="V47" s="29" t="b">
        <v>0</v>
      </c>
      <c r="W47" s="29" t="b">
        <v>0</v>
      </c>
    </row>
    <row r="48" customHeight="1" spans="1:23">
      <c r="A48" s="29" t="s">
        <v>900</v>
      </c>
      <c r="B48" s="29" t="s">
        <v>854</v>
      </c>
      <c r="C48" s="29"/>
      <c r="D48" s="29"/>
      <c r="E48" s="360"/>
      <c r="F48" s="308"/>
      <c r="G48" s="308"/>
      <c r="H48" s="308"/>
      <c r="I48" s="207" t="b">
        <v>0</v>
      </c>
      <c r="J48" s="29" t="b">
        <v>0</v>
      </c>
      <c r="K48" s="29" t="b">
        <v>0</v>
      </c>
      <c r="L48" s="29" t="b">
        <v>0</v>
      </c>
      <c r="M48" s="29" t="b">
        <v>0</v>
      </c>
      <c r="N48" s="29" t="b">
        <v>0</v>
      </c>
      <c r="O48" s="360"/>
      <c r="P48" s="360"/>
      <c r="Q48" s="29" t="b">
        <v>0</v>
      </c>
      <c r="R48" s="29" t="b">
        <v>0</v>
      </c>
      <c r="S48" s="29" t="b">
        <v>0</v>
      </c>
      <c r="T48" s="29" t="b">
        <v>0</v>
      </c>
      <c r="U48" s="29" t="b">
        <v>0</v>
      </c>
      <c r="V48" s="29" t="b">
        <v>0</v>
      </c>
      <c r="W48" s="29" t="b">
        <v>0</v>
      </c>
    </row>
    <row r="49" customHeight="1" spans="1:23">
      <c r="A49" s="29" t="s">
        <v>901</v>
      </c>
      <c r="B49" s="29" t="s">
        <v>854</v>
      </c>
      <c r="C49" s="29"/>
      <c r="D49" s="29"/>
      <c r="E49" s="360"/>
      <c r="F49" s="308"/>
      <c r="G49" s="308"/>
      <c r="H49" s="308"/>
      <c r="I49" s="207" t="b">
        <v>0</v>
      </c>
      <c r="J49" s="29" t="b">
        <v>0</v>
      </c>
      <c r="K49" s="29" t="b">
        <v>0</v>
      </c>
      <c r="L49" s="29" t="b">
        <v>0</v>
      </c>
      <c r="M49" s="29" t="b">
        <v>0</v>
      </c>
      <c r="N49" s="29" t="b">
        <v>0</v>
      </c>
      <c r="O49" s="360"/>
      <c r="P49" s="360"/>
      <c r="Q49" s="29" t="b">
        <v>0</v>
      </c>
      <c r="R49" s="29" t="b">
        <v>0</v>
      </c>
      <c r="S49" s="29" t="b">
        <v>0</v>
      </c>
      <c r="T49" s="29" t="b">
        <v>0</v>
      </c>
      <c r="U49" s="29" t="b">
        <v>0</v>
      </c>
      <c r="V49" s="29" t="b">
        <v>0</v>
      </c>
      <c r="W49" s="29" t="b">
        <v>0</v>
      </c>
    </row>
    <row r="50" customHeight="1" spans="1:23">
      <c r="A50" s="29" t="s">
        <v>902</v>
      </c>
      <c r="B50" s="29" t="s">
        <v>854</v>
      </c>
      <c r="C50" s="29"/>
      <c r="D50" s="29"/>
      <c r="E50" s="360"/>
      <c r="F50" s="308"/>
      <c r="G50" s="308"/>
      <c r="H50" s="308"/>
      <c r="I50" s="207" t="b">
        <v>0</v>
      </c>
      <c r="J50" s="29" t="b">
        <v>0</v>
      </c>
      <c r="K50" s="29" t="b">
        <v>0</v>
      </c>
      <c r="L50" s="29" t="b">
        <v>0</v>
      </c>
      <c r="M50" s="29" t="b">
        <v>0</v>
      </c>
      <c r="N50" s="29" t="b">
        <v>0</v>
      </c>
      <c r="O50" s="360"/>
      <c r="P50" s="360"/>
      <c r="Q50" s="29" t="b">
        <v>0</v>
      </c>
      <c r="R50" s="29" t="b">
        <v>0</v>
      </c>
      <c r="S50" s="29" t="b">
        <v>0</v>
      </c>
      <c r="T50" s="29" t="b">
        <v>0</v>
      </c>
      <c r="U50" s="29" t="b">
        <v>0</v>
      </c>
      <c r="V50" s="29" t="b">
        <v>0</v>
      </c>
      <c r="W50" s="29" t="b">
        <v>0</v>
      </c>
    </row>
    <row r="51" customHeight="1" spans="1:23">
      <c r="A51" s="29" t="s">
        <v>903</v>
      </c>
      <c r="B51" s="29" t="s">
        <v>854</v>
      </c>
      <c r="C51" s="29"/>
      <c r="D51" s="29"/>
      <c r="E51" s="360"/>
      <c r="F51" s="308"/>
      <c r="G51" s="308"/>
      <c r="H51" s="308"/>
      <c r="I51" s="207" t="b">
        <v>0</v>
      </c>
      <c r="J51" s="29" t="b">
        <v>0</v>
      </c>
      <c r="K51" s="29" t="b">
        <v>0</v>
      </c>
      <c r="L51" s="29" t="b">
        <v>0</v>
      </c>
      <c r="M51" s="29" t="b">
        <v>0</v>
      </c>
      <c r="N51" s="29" t="b">
        <v>0</v>
      </c>
      <c r="O51" s="360"/>
      <c r="P51" s="360"/>
      <c r="Q51" s="29" t="b">
        <v>0</v>
      </c>
      <c r="R51" s="29" t="b">
        <v>0</v>
      </c>
      <c r="S51" s="29" t="b">
        <v>0</v>
      </c>
      <c r="T51" s="29" t="b">
        <v>0</v>
      </c>
      <c r="U51" s="29" t="b">
        <v>0</v>
      </c>
      <c r="V51" s="29" t="b">
        <v>0</v>
      </c>
      <c r="W51" s="29" t="b">
        <v>0</v>
      </c>
    </row>
    <row r="52" customHeight="1" spans="1:23">
      <c r="A52" s="29" t="s">
        <v>904</v>
      </c>
      <c r="B52" s="29" t="s">
        <v>854</v>
      </c>
      <c r="C52" s="29"/>
      <c r="D52" s="29"/>
      <c r="E52" s="360"/>
      <c r="F52" s="308"/>
      <c r="G52" s="308"/>
      <c r="H52" s="308"/>
      <c r="I52" s="207" t="b">
        <v>0</v>
      </c>
      <c r="J52" s="29" t="b">
        <v>0</v>
      </c>
      <c r="K52" s="29" t="b">
        <v>0</v>
      </c>
      <c r="L52" s="29" t="b">
        <v>0</v>
      </c>
      <c r="M52" s="29" t="b">
        <v>0</v>
      </c>
      <c r="N52" s="29" t="b">
        <v>0</v>
      </c>
      <c r="O52" s="360"/>
      <c r="P52" s="360"/>
      <c r="Q52" s="29" t="b">
        <v>0</v>
      </c>
      <c r="R52" s="29" t="b">
        <v>0</v>
      </c>
      <c r="S52" s="29" t="b">
        <v>0</v>
      </c>
      <c r="T52" s="29" t="b">
        <v>0</v>
      </c>
      <c r="U52" s="29" t="b">
        <v>0</v>
      </c>
      <c r="V52" s="29" t="b">
        <v>0</v>
      </c>
      <c r="W52" s="29" t="b">
        <v>0</v>
      </c>
    </row>
    <row r="53" customHeight="1" spans="3:16">
      <c r="C53" s="29"/>
      <c r="E53" s="360"/>
      <c r="I53" s="207"/>
      <c r="O53" s="360"/>
      <c r="P53" s="360"/>
    </row>
    <row r="54" customHeight="1" spans="1:23">
      <c r="A54" s="29" t="s">
        <v>905</v>
      </c>
      <c r="B54" s="29" t="s">
        <v>854</v>
      </c>
      <c r="C54" s="29"/>
      <c r="D54" s="29"/>
      <c r="E54" s="360"/>
      <c r="F54" s="308"/>
      <c r="G54" s="308"/>
      <c r="H54" s="308"/>
      <c r="I54" s="207" t="b">
        <v>0</v>
      </c>
      <c r="J54" s="29" t="b">
        <v>0</v>
      </c>
      <c r="K54" s="29" t="b">
        <v>0</v>
      </c>
      <c r="L54" s="29" t="b">
        <v>0</v>
      </c>
      <c r="M54" s="29" t="b">
        <v>0</v>
      </c>
      <c r="N54" s="29" t="b">
        <v>0</v>
      </c>
      <c r="O54" s="360"/>
      <c r="P54" s="360"/>
      <c r="Q54" s="29" t="b">
        <v>0</v>
      </c>
      <c r="R54" s="29" t="b">
        <v>0</v>
      </c>
      <c r="S54" s="29" t="b">
        <v>0</v>
      </c>
      <c r="T54" s="29" t="b">
        <v>0</v>
      </c>
      <c r="U54" s="29" t="b">
        <v>0</v>
      </c>
      <c r="V54" s="29" t="b">
        <v>0</v>
      </c>
      <c r="W54" s="29" t="b">
        <v>0</v>
      </c>
    </row>
    <row r="55" customHeight="1" spans="1:23">
      <c r="A55" s="29" t="s">
        <v>906</v>
      </c>
      <c r="B55" s="29" t="s">
        <v>854</v>
      </c>
      <c r="C55" s="29"/>
      <c r="D55" s="29"/>
      <c r="E55" s="360"/>
      <c r="F55" s="308"/>
      <c r="G55" s="308"/>
      <c r="H55" s="308"/>
      <c r="I55" s="207" t="b">
        <v>0</v>
      </c>
      <c r="J55" s="29" t="b">
        <v>0</v>
      </c>
      <c r="K55" s="29" t="b">
        <v>0</v>
      </c>
      <c r="L55" s="29" t="b">
        <v>0</v>
      </c>
      <c r="M55" s="29" t="b">
        <v>0</v>
      </c>
      <c r="N55" s="29" t="b">
        <v>0</v>
      </c>
      <c r="O55" s="360"/>
      <c r="P55" s="360"/>
      <c r="Q55" s="29" t="b">
        <v>0</v>
      </c>
      <c r="R55" s="29" t="b">
        <v>0</v>
      </c>
      <c r="S55" s="29" t="b">
        <v>0</v>
      </c>
      <c r="T55" s="29" t="b">
        <v>0</v>
      </c>
      <c r="U55" s="29" t="b">
        <v>0</v>
      </c>
      <c r="V55" s="29" t="b">
        <v>0</v>
      </c>
      <c r="W55" s="29" t="b">
        <v>0</v>
      </c>
    </row>
    <row r="56" customHeight="1" spans="1:23">
      <c r="A56" s="29" t="s">
        <v>907</v>
      </c>
      <c r="B56" s="29" t="s">
        <v>854</v>
      </c>
      <c r="C56" s="29"/>
      <c r="D56" s="29"/>
      <c r="E56" s="360"/>
      <c r="F56" s="308"/>
      <c r="G56" s="308"/>
      <c r="H56" s="308"/>
      <c r="I56" s="207" t="b">
        <v>0</v>
      </c>
      <c r="J56" s="29" t="b">
        <v>0</v>
      </c>
      <c r="K56" s="29" t="b">
        <v>0</v>
      </c>
      <c r="L56" s="29" t="b">
        <v>0</v>
      </c>
      <c r="M56" s="29" t="b">
        <v>0</v>
      </c>
      <c r="N56" s="29" t="b">
        <v>0</v>
      </c>
      <c r="O56" s="360"/>
      <c r="P56" s="360"/>
      <c r="Q56" s="29" t="b">
        <v>0</v>
      </c>
      <c r="R56" s="29" t="b">
        <v>0</v>
      </c>
      <c r="S56" s="29" t="b">
        <v>0</v>
      </c>
      <c r="T56" s="29" t="b">
        <v>0</v>
      </c>
      <c r="U56" s="29" t="b">
        <v>0</v>
      </c>
      <c r="V56" s="29" t="b">
        <v>0</v>
      </c>
      <c r="W56" s="29" t="b">
        <v>0</v>
      </c>
    </row>
    <row r="57" customHeight="1" spans="1:23">
      <c r="A57" s="29" t="s">
        <v>908</v>
      </c>
      <c r="B57" s="29" t="s">
        <v>854</v>
      </c>
      <c r="C57" s="29"/>
      <c r="D57" s="29"/>
      <c r="E57" s="360"/>
      <c r="F57" s="308"/>
      <c r="G57" s="308"/>
      <c r="H57" s="308"/>
      <c r="I57" s="207" t="b">
        <v>0</v>
      </c>
      <c r="J57" s="29" t="b">
        <v>0</v>
      </c>
      <c r="K57" s="29" t="b">
        <v>0</v>
      </c>
      <c r="L57" s="29" t="b">
        <v>0</v>
      </c>
      <c r="M57" s="29" t="b">
        <v>0</v>
      </c>
      <c r="N57" s="29" t="b">
        <v>0</v>
      </c>
      <c r="O57" s="360"/>
      <c r="P57" s="360"/>
      <c r="Q57" s="29" t="b">
        <v>0</v>
      </c>
      <c r="R57" s="29" t="b">
        <v>0</v>
      </c>
      <c r="S57" s="29" t="b">
        <v>0</v>
      </c>
      <c r="T57" s="29" t="b">
        <v>0</v>
      </c>
      <c r="U57" s="29" t="b">
        <v>0</v>
      </c>
      <c r="V57" s="29" t="b">
        <v>0</v>
      </c>
      <c r="W57" s="29" t="b">
        <v>0</v>
      </c>
    </row>
  </sheetData>
  <dataValidations count="4">
    <dataValidation type="list" allowBlank="1" showErrorMessage="1" sqref="C3:C19 C21:C27 C29:C31 C33:C52 C54:C57">
      <formula1>"On The Spot,Office"</formula1>
    </dataValidation>
    <dataValidation type="list" allowBlank="1" showErrorMessage="1" sqref="F2:F19 F21:F27 F29:F31 F33:F52 F54:F57">
      <formula1>"Room,Surface,Unassigned"</formula1>
    </dataValidation>
    <dataValidation type="list" allowBlank="1" showErrorMessage="1" sqref="G2:G19 G21:G27 G29:G31 G33:G52 G54:G57">
      <formula1>"All set,Edit,Create New + Reassign!"</formula1>
    </dataValidation>
    <dataValidation type="list" allowBlank="1" showErrorMessage="1" sqref="H2:H19 H21:H27 H29:H31 H33:H52 H54:H57">
      <formula1>"Residential,Commercial,HOA/Garage,NC,Default,Create New + Reassign!"</formula1>
    </dataValidation>
  </dataValidations>
  <hyperlinks>
    <hyperlink ref="B3" r:id="rId1" display="LINK"/>
    <hyperlink ref="B4" r:id="rId2" display="LINK"/>
    <hyperlink ref="B5" r:id="rId3" display="LINK"/>
    <hyperlink ref="B6" r:id="rId4" display="LINK"/>
    <hyperlink ref="B7" r:id="rId5" display="LINK"/>
    <hyperlink ref="B8" r:id="rId6" display="LINK"/>
    <hyperlink ref="B9" r:id="rId7" display="LINK"/>
    <hyperlink ref="B10" r:id="rId8" display="LINK"/>
    <hyperlink ref="B11" r:id="rId9" display="LINK"/>
    <hyperlink ref="B12" r:id="rId10" display="LINK"/>
    <hyperlink ref="B13" r:id="rId11" display="LINK"/>
    <hyperlink ref="B14" r:id="rId12" display="LINK"/>
    <hyperlink ref="B15" r:id="rId13" display="LINK"/>
    <hyperlink ref="B16" r:id="rId14" display="LINK"/>
    <hyperlink ref="B17" r:id="rId15" display="LINK"/>
    <hyperlink ref="B18" r:id="rId16" display="LINK"/>
    <hyperlink ref="B19" r:id="rId17" display="LINK"/>
    <hyperlink ref="B21" r:id="rId18" display="LINK"/>
    <hyperlink ref="B22" r:id="rId19" display="LINK"/>
    <hyperlink ref="B23" r:id="rId20" display="LINK"/>
    <hyperlink ref="B24" r:id="rId21" display="LINK"/>
    <hyperlink ref="B25" r:id="rId22" display="LINK"/>
    <hyperlink ref="B26" r:id="rId23" display="LINK"/>
    <hyperlink ref="B27" r:id="rId24" display="LINK"/>
    <hyperlink ref="B29" r:id="rId25" display="LINK"/>
    <hyperlink ref="B30" r:id="rId26" display="LINK"/>
    <hyperlink ref="B31" r:id="rId27" display="LINK"/>
    <hyperlink ref="B33" r:id="rId28" display="LINK"/>
    <hyperlink ref="B34" r:id="rId29" display="LINK"/>
    <hyperlink ref="B35" r:id="rId30" display="LINK"/>
    <hyperlink ref="B36" r:id="rId31" display="LINK"/>
    <hyperlink ref="B37" r:id="rId32" display="LINK"/>
    <hyperlink ref="B38" r:id="rId33" display="LINK"/>
    <hyperlink ref="B39" r:id="rId34" display="LINK"/>
    <hyperlink ref="B46" r:id="rId35" display="LINK"/>
    <hyperlink ref="B47" r:id="rId36" display="LINK"/>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00FF"/>
    <outlinePr summaryBelow="0" summaryRight="0"/>
  </sheetPr>
  <dimension ref="A1:AF30"/>
  <sheetViews>
    <sheetView workbookViewId="0">
      <pane ySplit="2" topLeftCell="A3" activePane="bottomLeft" state="frozen"/>
      <selection/>
      <selection pane="bottomLeft" activeCell="B4" sqref="B4"/>
    </sheetView>
  </sheetViews>
  <sheetFormatPr defaultColWidth="12.6285714285714" defaultRowHeight="15.75" customHeight="1"/>
  <cols>
    <col min="1" max="1" width="61.752380952381" customWidth="1"/>
    <col min="2" max="6" width="8.87619047619048" customWidth="1"/>
    <col min="7" max="8" width="24" customWidth="1"/>
    <col min="9" max="9" width="17.3809523809524" customWidth="1"/>
    <col min="10" max="10" width="24" customWidth="1"/>
    <col min="11" max="12" width="9" customWidth="1"/>
    <col min="13" max="13" width="17.3809523809524" customWidth="1"/>
    <col min="14" max="14" width="24" customWidth="1"/>
    <col min="15" max="16" width="9" customWidth="1"/>
    <col min="17" max="17" width="17.3809523809524" customWidth="1"/>
    <col min="18" max="18" width="24" customWidth="1"/>
    <col min="19" max="20" width="9" customWidth="1"/>
    <col min="21" max="21" width="17.3809523809524" customWidth="1"/>
    <col min="22" max="22" width="24" customWidth="1"/>
    <col min="23" max="24" width="9" customWidth="1"/>
    <col min="25" max="25" width="17.3809523809524" customWidth="1"/>
    <col min="26" max="26" width="24" customWidth="1"/>
    <col min="27" max="28" width="9" customWidth="1"/>
    <col min="29" max="29" width="17.3809523809524" customWidth="1"/>
    <col min="30" max="30" width="24" customWidth="1"/>
    <col min="31" max="32" width="9" customWidth="1"/>
  </cols>
  <sheetData>
    <row r="1" customHeight="1" spans="1:32">
      <c r="A1" s="419"/>
      <c r="B1" s="616"/>
      <c r="C1" s="616"/>
      <c r="D1" s="616"/>
      <c r="E1" s="616"/>
      <c r="F1" s="616"/>
      <c r="G1" s="420"/>
      <c r="H1" s="420"/>
      <c r="I1" s="621" t="s">
        <v>909</v>
      </c>
      <c r="AF1" s="628"/>
    </row>
    <row r="2" customHeight="1" spans="1:32">
      <c r="A2" s="419" t="s">
        <v>0</v>
      </c>
      <c r="B2" s="423" t="s">
        <v>6</v>
      </c>
      <c r="C2" s="421" t="s">
        <v>8</v>
      </c>
      <c r="D2" s="421" t="s">
        <v>9</v>
      </c>
      <c r="E2" s="421" t="s">
        <v>910</v>
      </c>
      <c r="F2" s="617" t="s">
        <v>7</v>
      </c>
      <c r="G2" s="420" t="s">
        <v>911</v>
      </c>
      <c r="H2" s="420" t="s">
        <v>912</v>
      </c>
      <c r="I2" s="622" t="s">
        <v>913</v>
      </c>
      <c r="J2" s="420" t="s">
        <v>914</v>
      </c>
      <c r="K2" s="421" t="s">
        <v>915</v>
      </c>
      <c r="L2" s="623" t="s">
        <v>916</v>
      </c>
      <c r="M2" s="420" t="s">
        <v>917</v>
      </c>
      <c r="N2" s="420" t="s">
        <v>914</v>
      </c>
      <c r="O2" s="421" t="s">
        <v>915</v>
      </c>
      <c r="P2" s="623" t="s">
        <v>916</v>
      </c>
      <c r="Q2" s="420" t="s">
        <v>918</v>
      </c>
      <c r="R2" s="420" t="s">
        <v>914</v>
      </c>
      <c r="S2" s="421" t="s">
        <v>915</v>
      </c>
      <c r="T2" s="623" t="s">
        <v>916</v>
      </c>
      <c r="U2" s="420" t="s">
        <v>919</v>
      </c>
      <c r="V2" s="420" t="s">
        <v>914</v>
      </c>
      <c r="W2" s="421" t="s">
        <v>915</v>
      </c>
      <c r="X2" s="623" t="s">
        <v>916</v>
      </c>
      <c r="Y2" s="420" t="s">
        <v>920</v>
      </c>
      <c r="Z2" s="420" t="s">
        <v>914</v>
      </c>
      <c r="AA2" s="421" t="s">
        <v>915</v>
      </c>
      <c r="AB2" s="623" t="s">
        <v>916</v>
      </c>
      <c r="AC2" s="420" t="s">
        <v>921</v>
      </c>
      <c r="AD2" s="420" t="s">
        <v>914</v>
      </c>
      <c r="AE2" s="421" t="s">
        <v>915</v>
      </c>
      <c r="AF2" s="623" t="s">
        <v>916</v>
      </c>
    </row>
    <row r="3" customHeight="1" spans="1:32">
      <c r="A3" s="29" t="s">
        <v>922</v>
      </c>
      <c r="B3" s="207" t="b">
        <v>1</v>
      </c>
      <c r="C3" s="29" t="b">
        <v>1</v>
      </c>
      <c r="D3" s="29" t="b">
        <v>0</v>
      </c>
      <c r="E3" s="29" t="b">
        <v>1</v>
      </c>
      <c r="F3" s="618" t="b">
        <v>0</v>
      </c>
      <c r="G3" s="454" t="s">
        <v>923</v>
      </c>
      <c r="H3" s="454" t="s">
        <v>924</v>
      </c>
      <c r="I3" s="624" t="s">
        <v>925</v>
      </c>
      <c r="J3" s="454" t="s">
        <v>926</v>
      </c>
      <c r="K3" s="29" t="b">
        <v>1</v>
      </c>
      <c r="L3" s="625" t="b">
        <v>0</v>
      </c>
      <c r="M3" s="454" t="s">
        <v>927</v>
      </c>
      <c r="N3" s="454" t="s">
        <v>928</v>
      </c>
      <c r="O3" s="29" t="b">
        <v>0</v>
      </c>
      <c r="P3" s="625" t="b">
        <v>0</v>
      </c>
      <c r="Q3" s="454" t="s">
        <v>929</v>
      </c>
      <c r="R3" s="454" t="s">
        <v>119</v>
      </c>
      <c r="S3" s="29" t="b">
        <v>1</v>
      </c>
      <c r="T3" s="625" t="b">
        <v>1</v>
      </c>
      <c r="U3" s="454" t="s">
        <v>930</v>
      </c>
      <c r="V3" s="454" t="s">
        <v>931</v>
      </c>
      <c r="W3" s="29" t="b">
        <v>1</v>
      </c>
      <c r="X3" s="625" t="b">
        <v>1</v>
      </c>
      <c r="Y3" s="454" t="s">
        <v>932</v>
      </c>
      <c r="Z3" s="454" t="s">
        <v>933</v>
      </c>
      <c r="AA3" s="29" t="b">
        <v>0</v>
      </c>
      <c r="AB3" s="625" t="b">
        <v>0</v>
      </c>
      <c r="AC3" s="454" t="s">
        <v>13</v>
      </c>
      <c r="AD3" s="454"/>
      <c r="AE3" s="29" t="b">
        <v>0</v>
      </c>
      <c r="AF3" s="625" t="b">
        <v>0</v>
      </c>
    </row>
    <row r="4" customHeight="1" spans="1:32">
      <c r="A4" s="29" t="s">
        <v>934</v>
      </c>
      <c r="B4" s="207" t="b">
        <v>1</v>
      </c>
      <c r="C4" s="29" t="b">
        <v>1</v>
      </c>
      <c r="D4" s="29" t="b">
        <v>0</v>
      </c>
      <c r="E4" s="29" t="b">
        <v>1</v>
      </c>
      <c r="F4" s="618" t="b">
        <v>1</v>
      </c>
      <c r="G4" s="454"/>
      <c r="H4" s="454"/>
      <c r="I4" s="624"/>
      <c r="J4" s="454"/>
      <c r="K4" s="29" t="b">
        <v>0</v>
      </c>
      <c r="L4" s="625" t="b">
        <v>0</v>
      </c>
      <c r="M4" s="454"/>
      <c r="N4" s="454"/>
      <c r="O4" s="29" t="b">
        <v>0</v>
      </c>
      <c r="P4" s="625" t="b">
        <v>0</v>
      </c>
      <c r="Q4" s="454"/>
      <c r="R4" s="454"/>
      <c r="S4" s="29" t="b">
        <v>0</v>
      </c>
      <c r="T4" s="625" t="b">
        <v>0</v>
      </c>
      <c r="U4" s="454"/>
      <c r="V4" s="454"/>
      <c r="W4" s="29" t="b">
        <v>0</v>
      </c>
      <c r="X4" s="625" t="b">
        <v>0</v>
      </c>
      <c r="Y4" s="454"/>
      <c r="Z4" s="454"/>
      <c r="AA4" s="29" t="b">
        <v>0</v>
      </c>
      <c r="AB4" s="625" t="b">
        <v>0</v>
      </c>
      <c r="AC4" s="454"/>
      <c r="AD4" s="454"/>
      <c r="AE4" s="29" t="b">
        <v>0</v>
      </c>
      <c r="AF4" s="625" t="b">
        <v>0</v>
      </c>
    </row>
    <row r="5" customHeight="1" spans="1:32">
      <c r="A5" s="29" t="s">
        <v>935</v>
      </c>
      <c r="B5" s="207" t="b">
        <v>0</v>
      </c>
      <c r="C5" s="29" t="b">
        <v>0</v>
      </c>
      <c r="D5" s="29" t="b">
        <v>0</v>
      </c>
      <c r="E5" s="29" t="b">
        <v>0</v>
      </c>
      <c r="F5" s="618" t="b">
        <v>1</v>
      </c>
      <c r="G5" s="454"/>
      <c r="H5" s="454"/>
      <c r="I5" s="624"/>
      <c r="J5" s="454"/>
      <c r="K5" s="29" t="b">
        <v>0</v>
      </c>
      <c r="L5" s="625" t="b">
        <v>0</v>
      </c>
      <c r="M5" s="454"/>
      <c r="N5" s="454"/>
      <c r="O5" s="29" t="b">
        <v>0</v>
      </c>
      <c r="P5" s="625" t="b">
        <v>0</v>
      </c>
      <c r="Q5" s="454"/>
      <c r="R5" s="454"/>
      <c r="S5" s="29" t="b">
        <v>0</v>
      </c>
      <c r="T5" s="625" t="b">
        <v>0</v>
      </c>
      <c r="U5" s="454"/>
      <c r="V5" s="454"/>
      <c r="W5" s="29" t="b">
        <v>0</v>
      </c>
      <c r="X5" s="625" t="b">
        <v>0</v>
      </c>
      <c r="Y5" s="454"/>
      <c r="Z5" s="454"/>
      <c r="AA5" s="29" t="b">
        <v>0</v>
      </c>
      <c r="AB5" s="625" t="b">
        <v>0</v>
      </c>
      <c r="AC5" s="454"/>
      <c r="AD5" s="454"/>
      <c r="AE5" s="29" t="b">
        <v>0</v>
      </c>
      <c r="AF5" s="625" t="b">
        <v>0</v>
      </c>
    </row>
    <row r="6" customHeight="1" spans="1:32">
      <c r="A6" s="29" t="s">
        <v>936</v>
      </c>
      <c r="B6" s="207" t="b">
        <v>0</v>
      </c>
      <c r="C6" s="29" t="b">
        <v>0</v>
      </c>
      <c r="D6" s="29" t="b">
        <v>0</v>
      </c>
      <c r="E6" s="29" t="b">
        <v>0</v>
      </c>
      <c r="F6" s="618" t="b">
        <v>1</v>
      </c>
      <c r="G6" s="454"/>
      <c r="H6" s="454"/>
      <c r="I6" s="624"/>
      <c r="J6" s="454"/>
      <c r="K6" s="29" t="b">
        <v>0</v>
      </c>
      <c r="L6" s="625" t="b">
        <v>0</v>
      </c>
      <c r="M6" s="454"/>
      <c r="N6" s="454"/>
      <c r="O6" s="29" t="b">
        <v>0</v>
      </c>
      <c r="P6" s="625" t="b">
        <v>0</v>
      </c>
      <c r="Q6" s="454"/>
      <c r="R6" s="454"/>
      <c r="S6" s="29" t="b">
        <v>0</v>
      </c>
      <c r="T6" s="625" t="b">
        <v>0</v>
      </c>
      <c r="U6" s="454"/>
      <c r="V6" s="454"/>
      <c r="W6" s="29" t="b">
        <v>0</v>
      </c>
      <c r="X6" s="625" t="b">
        <v>0</v>
      </c>
      <c r="Y6" s="454"/>
      <c r="Z6" s="454"/>
      <c r="AA6" s="29" t="b">
        <v>0</v>
      </c>
      <c r="AB6" s="625" t="b">
        <v>0</v>
      </c>
      <c r="AC6" s="454"/>
      <c r="AD6" s="454"/>
      <c r="AE6" s="29" t="b">
        <v>0</v>
      </c>
      <c r="AF6" s="625" t="b">
        <v>0</v>
      </c>
    </row>
    <row r="7" customHeight="1" spans="1:32">
      <c r="A7" s="29" t="s">
        <v>937</v>
      </c>
      <c r="B7" s="207" t="b">
        <v>0</v>
      </c>
      <c r="C7" s="29" t="b">
        <v>0</v>
      </c>
      <c r="D7" s="29" t="b">
        <v>0</v>
      </c>
      <c r="E7" s="29" t="b">
        <v>0</v>
      </c>
      <c r="F7" s="618" t="b">
        <v>1</v>
      </c>
      <c r="G7" s="454"/>
      <c r="H7" s="454"/>
      <c r="I7" s="624"/>
      <c r="J7" s="454"/>
      <c r="K7" s="29" t="b">
        <v>0</v>
      </c>
      <c r="L7" s="625" t="b">
        <v>0</v>
      </c>
      <c r="M7" s="454"/>
      <c r="N7" s="454"/>
      <c r="O7" s="29" t="b">
        <v>0</v>
      </c>
      <c r="P7" s="625" t="b">
        <v>0</v>
      </c>
      <c r="Q7" s="454"/>
      <c r="R7" s="454"/>
      <c r="S7" s="29" t="b">
        <v>0</v>
      </c>
      <c r="T7" s="625" t="b">
        <v>0</v>
      </c>
      <c r="U7" s="454"/>
      <c r="V7" s="454"/>
      <c r="W7" s="29" t="b">
        <v>0</v>
      </c>
      <c r="X7" s="625" t="b">
        <v>0</v>
      </c>
      <c r="Y7" s="454"/>
      <c r="Z7" s="454"/>
      <c r="AA7" s="29" t="b">
        <v>0</v>
      </c>
      <c r="AB7" s="625" t="b">
        <v>0</v>
      </c>
      <c r="AC7" s="454"/>
      <c r="AD7" s="454"/>
      <c r="AE7" s="29" t="b">
        <v>0</v>
      </c>
      <c r="AF7" s="625" t="b">
        <v>0</v>
      </c>
    </row>
    <row r="8" customHeight="1" spans="1:32">
      <c r="A8" s="29" t="s">
        <v>938</v>
      </c>
      <c r="B8" s="207" t="b">
        <v>0</v>
      </c>
      <c r="C8" s="29" t="b">
        <v>0</v>
      </c>
      <c r="D8" s="29" t="b">
        <v>0</v>
      </c>
      <c r="E8" s="29" t="b">
        <v>0</v>
      </c>
      <c r="F8" s="618" t="b">
        <v>1</v>
      </c>
      <c r="G8" s="454"/>
      <c r="H8" s="454"/>
      <c r="I8" s="624"/>
      <c r="J8" s="454"/>
      <c r="K8" s="29" t="b">
        <v>0</v>
      </c>
      <c r="L8" s="625" t="b">
        <v>0</v>
      </c>
      <c r="M8" s="454"/>
      <c r="N8" s="454"/>
      <c r="O8" s="29" t="b">
        <v>0</v>
      </c>
      <c r="P8" s="625" t="b">
        <v>0</v>
      </c>
      <c r="Q8" s="454"/>
      <c r="R8" s="454"/>
      <c r="S8" s="29" t="b">
        <v>0</v>
      </c>
      <c r="T8" s="625" t="b">
        <v>0</v>
      </c>
      <c r="U8" s="454"/>
      <c r="V8" s="454"/>
      <c r="W8" s="29" t="b">
        <v>0</v>
      </c>
      <c r="X8" s="625" t="b">
        <v>0</v>
      </c>
      <c r="Y8" s="454"/>
      <c r="Z8" s="454"/>
      <c r="AA8" s="29" t="b">
        <v>0</v>
      </c>
      <c r="AB8" s="625" t="b">
        <v>0</v>
      </c>
      <c r="AC8" s="454"/>
      <c r="AD8" s="454"/>
      <c r="AE8" s="29" t="b">
        <v>0</v>
      </c>
      <c r="AF8" s="625" t="b">
        <v>0</v>
      </c>
    </row>
    <row r="9" customHeight="1" spans="1:32">
      <c r="A9" s="29" t="s">
        <v>939</v>
      </c>
      <c r="B9" s="207" t="b">
        <v>0</v>
      </c>
      <c r="C9" s="29" t="b">
        <v>0</v>
      </c>
      <c r="D9" s="29" t="b">
        <v>0</v>
      </c>
      <c r="E9" s="29" t="b">
        <v>0</v>
      </c>
      <c r="F9" s="618" t="b">
        <v>1</v>
      </c>
      <c r="G9" s="454"/>
      <c r="H9" s="454"/>
      <c r="I9" s="624"/>
      <c r="J9" s="454"/>
      <c r="K9" s="29" t="b">
        <v>0</v>
      </c>
      <c r="L9" s="625" t="b">
        <v>0</v>
      </c>
      <c r="M9" s="454"/>
      <c r="N9" s="454"/>
      <c r="O9" s="29" t="b">
        <v>0</v>
      </c>
      <c r="P9" s="625" t="b">
        <v>0</v>
      </c>
      <c r="Q9" s="454"/>
      <c r="R9" s="454"/>
      <c r="S9" s="29" t="b">
        <v>0</v>
      </c>
      <c r="T9" s="625" t="b">
        <v>0</v>
      </c>
      <c r="U9" s="454"/>
      <c r="V9" s="454"/>
      <c r="W9" s="29" t="b">
        <v>0</v>
      </c>
      <c r="X9" s="625" t="b">
        <v>0</v>
      </c>
      <c r="Y9" s="454"/>
      <c r="Z9" s="454"/>
      <c r="AA9" s="29" t="b">
        <v>0</v>
      </c>
      <c r="AB9" s="625" t="b">
        <v>0</v>
      </c>
      <c r="AC9" s="454"/>
      <c r="AD9" s="454"/>
      <c r="AE9" s="29" t="b">
        <v>0</v>
      </c>
      <c r="AF9" s="625" t="b">
        <v>0</v>
      </c>
    </row>
    <row r="10" customHeight="1" spans="1:32">
      <c r="A10" s="452" t="s">
        <v>940</v>
      </c>
      <c r="B10" s="165" t="b">
        <v>1</v>
      </c>
      <c r="C10" s="165" t="b">
        <v>1</v>
      </c>
      <c r="D10" s="165" t="b">
        <v>0</v>
      </c>
      <c r="E10" s="165" t="b">
        <v>1</v>
      </c>
      <c r="F10" s="619" t="b">
        <v>1</v>
      </c>
      <c r="G10" s="468"/>
      <c r="H10" s="629"/>
      <c r="I10" s="468"/>
      <c r="J10" s="468"/>
      <c r="K10" s="165" t="b">
        <v>0</v>
      </c>
      <c r="L10" s="626" t="b">
        <v>0</v>
      </c>
      <c r="M10" s="468"/>
      <c r="N10" s="468"/>
      <c r="O10" s="165" t="b">
        <v>0</v>
      </c>
      <c r="P10" s="626" t="b">
        <v>0</v>
      </c>
      <c r="Q10" s="468"/>
      <c r="R10" s="468"/>
      <c r="S10" s="165" t="b">
        <v>0</v>
      </c>
      <c r="T10" s="626" t="b">
        <v>0</v>
      </c>
      <c r="U10" s="468"/>
      <c r="V10" s="468"/>
      <c r="W10" s="165" t="b">
        <v>0</v>
      </c>
      <c r="X10" s="626" t="b">
        <v>0</v>
      </c>
      <c r="Y10" s="468"/>
      <c r="Z10" s="468"/>
      <c r="AA10" s="165" t="b">
        <v>0</v>
      </c>
      <c r="AB10" s="626" t="b">
        <v>0</v>
      </c>
      <c r="AC10" s="468"/>
      <c r="AD10" s="468"/>
      <c r="AE10" s="165" t="b">
        <v>0</v>
      </c>
      <c r="AF10" s="626" t="b">
        <v>0</v>
      </c>
    </row>
    <row r="11" customHeight="1" spans="1:32">
      <c r="A11" s="29" t="s">
        <v>941</v>
      </c>
      <c r="B11" s="207" t="b">
        <v>0</v>
      </c>
      <c r="C11" s="29" t="b">
        <v>0</v>
      </c>
      <c r="D11" s="29" t="b">
        <v>0</v>
      </c>
      <c r="E11" s="29" t="b">
        <v>0</v>
      </c>
      <c r="F11" s="618" t="b">
        <v>1</v>
      </c>
      <c r="G11" s="454"/>
      <c r="H11" s="454"/>
      <c r="I11" s="624"/>
      <c r="J11" s="454"/>
      <c r="K11" s="29" t="b">
        <v>0</v>
      </c>
      <c r="L11" s="625" t="b">
        <v>0</v>
      </c>
      <c r="M11" s="454"/>
      <c r="N11" s="454"/>
      <c r="O11" s="29" t="b">
        <v>0</v>
      </c>
      <c r="P11" s="625" t="b">
        <v>0</v>
      </c>
      <c r="Q11" s="454"/>
      <c r="R11" s="454"/>
      <c r="S11" s="29" t="b">
        <v>0</v>
      </c>
      <c r="T11" s="625" t="b">
        <v>0</v>
      </c>
      <c r="U11" s="454"/>
      <c r="V11" s="454"/>
      <c r="W11" s="29" t="b">
        <v>0</v>
      </c>
      <c r="X11" s="625" t="b">
        <v>0</v>
      </c>
      <c r="Y11" s="454"/>
      <c r="Z11" s="454"/>
      <c r="AA11" s="29" t="b">
        <v>0</v>
      </c>
      <c r="AB11" s="625" t="b">
        <v>0</v>
      </c>
      <c r="AC11" s="454"/>
      <c r="AD11" s="454"/>
      <c r="AE11" s="29" t="b">
        <v>0</v>
      </c>
      <c r="AF11" s="625" t="b">
        <v>0</v>
      </c>
    </row>
    <row r="12" customHeight="1" spans="1:32">
      <c r="A12" s="29" t="s">
        <v>942</v>
      </c>
      <c r="B12" s="207" t="b">
        <v>0</v>
      </c>
      <c r="C12" s="29" t="b">
        <v>0</v>
      </c>
      <c r="D12" s="29" t="b">
        <v>0</v>
      </c>
      <c r="E12" s="29" t="b">
        <v>0</v>
      </c>
      <c r="F12" s="618" t="b">
        <v>1</v>
      </c>
      <c r="G12" s="454"/>
      <c r="H12" s="454"/>
      <c r="I12" s="624"/>
      <c r="J12" s="454"/>
      <c r="K12" s="29" t="b">
        <v>0</v>
      </c>
      <c r="L12" s="625" t="b">
        <v>0</v>
      </c>
      <c r="M12" s="454"/>
      <c r="N12" s="454"/>
      <c r="O12" s="29" t="b">
        <v>0</v>
      </c>
      <c r="P12" s="625" t="b">
        <v>0</v>
      </c>
      <c r="Q12" s="454"/>
      <c r="R12" s="454"/>
      <c r="S12" s="29" t="b">
        <v>0</v>
      </c>
      <c r="T12" s="625" t="b">
        <v>0</v>
      </c>
      <c r="U12" s="454"/>
      <c r="V12" s="454"/>
      <c r="W12" s="29" t="b">
        <v>0</v>
      </c>
      <c r="X12" s="625" t="b">
        <v>0</v>
      </c>
      <c r="Y12" s="454"/>
      <c r="Z12" s="454"/>
      <c r="AA12" s="29" t="b">
        <v>0</v>
      </c>
      <c r="AB12" s="625" t="b">
        <v>0</v>
      </c>
      <c r="AC12" s="454"/>
      <c r="AD12" s="454"/>
      <c r="AE12" s="29" t="b">
        <v>0</v>
      </c>
      <c r="AF12" s="625" t="b">
        <v>0</v>
      </c>
    </row>
    <row r="13" customHeight="1" spans="1:32">
      <c r="A13" s="29" t="s">
        <v>943</v>
      </c>
      <c r="B13" s="207" t="b">
        <v>0</v>
      </c>
      <c r="C13" s="29" t="b">
        <v>0</v>
      </c>
      <c r="D13" s="29" t="b">
        <v>0</v>
      </c>
      <c r="E13" s="29" t="b">
        <v>0</v>
      </c>
      <c r="F13" s="618" t="b">
        <v>1</v>
      </c>
      <c r="G13" s="454"/>
      <c r="H13" s="454"/>
      <c r="I13" s="624"/>
      <c r="J13" s="454"/>
      <c r="K13" s="29" t="b">
        <v>0</v>
      </c>
      <c r="L13" s="625" t="b">
        <v>0</v>
      </c>
      <c r="M13" s="454"/>
      <c r="N13" s="454"/>
      <c r="O13" s="29" t="b">
        <v>0</v>
      </c>
      <c r="P13" s="625" t="b">
        <v>0</v>
      </c>
      <c r="Q13" s="454"/>
      <c r="R13" s="454"/>
      <c r="S13" s="29" t="b">
        <v>0</v>
      </c>
      <c r="T13" s="625" t="b">
        <v>0</v>
      </c>
      <c r="U13" s="454"/>
      <c r="V13" s="454"/>
      <c r="W13" s="29" t="b">
        <v>0</v>
      </c>
      <c r="X13" s="625" t="b">
        <v>0</v>
      </c>
      <c r="Y13" s="454"/>
      <c r="Z13" s="454"/>
      <c r="AA13" s="29" t="b">
        <v>0</v>
      </c>
      <c r="AB13" s="625" t="b">
        <v>0</v>
      </c>
      <c r="AC13" s="454"/>
      <c r="AD13" s="454"/>
      <c r="AE13" s="29" t="b">
        <v>0</v>
      </c>
      <c r="AF13" s="625" t="b">
        <v>0</v>
      </c>
    </row>
    <row r="14" customHeight="1" spans="1:32">
      <c r="A14" s="29" t="s">
        <v>944</v>
      </c>
      <c r="B14" s="207" t="b">
        <v>0</v>
      </c>
      <c r="C14" s="29" t="b">
        <v>0</v>
      </c>
      <c r="D14" s="29" t="b">
        <v>0</v>
      </c>
      <c r="E14" s="29" t="b">
        <v>0</v>
      </c>
      <c r="F14" s="618" t="b">
        <v>1</v>
      </c>
      <c r="G14" s="454"/>
      <c r="H14" s="454"/>
      <c r="I14" s="624"/>
      <c r="J14" s="454"/>
      <c r="K14" s="29" t="b">
        <v>0</v>
      </c>
      <c r="L14" s="625" t="b">
        <v>0</v>
      </c>
      <c r="M14" s="454"/>
      <c r="N14" s="454"/>
      <c r="O14" s="29" t="b">
        <v>0</v>
      </c>
      <c r="P14" s="625" t="b">
        <v>0</v>
      </c>
      <c r="Q14" s="454"/>
      <c r="R14" s="454"/>
      <c r="S14" s="29" t="b">
        <v>0</v>
      </c>
      <c r="T14" s="625" t="b">
        <v>0</v>
      </c>
      <c r="U14" s="454"/>
      <c r="V14" s="454"/>
      <c r="W14" s="29" t="b">
        <v>0</v>
      </c>
      <c r="X14" s="625" t="b">
        <v>0</v>
      </c>
      <c r="Y14" s="454"/>
      <c r="Z14" s="454"/>
      <c r="AA14" s="29" t="b">
        <v>0</v>
      </c>
      <c r="AB14" s="625" t="b">
        <v>0</v>
      </c>
      <c r="AC14" s="454"/>
      <c r="AD14" s="454"/>
      <c r="AE14" s="29" t="b">
        <v>0</v>
      </c>
      <c r="AF14" s="625" t="b">
        <v>0</v>
      </c>
    </row>
    <row r="15" customHeight="1" spans="1:32">
      <c r="A15" s="29" t="s">
        <v>945</v>
      </c>
      <c r="B15" s="207" t="b">
        <v>0</v>
      </c>
      <c r="C15" s="29" t="b">
        <v>0</v>
      </c>
      <c r="D15" s="29" t="b">
        <v>0</v>
      </c>
      <c r="E15" s="29" t="b">
        <v>0</v>
      </c>
      <c r="F15" s="618" t="b">
        <v>1</v>
      </c>
      <c r="G15" s="454"/>
      <c r="H15" s="454"/>
      <c r="I15" s="624"/>
      <c r="J15" s="454"/>
      <c r="K15" s="29" t="b">
        <v>0</v>
      </c>
      <c r="L15" s="625" t="b">
        <v>0</v>
      </c>
      <c r="M15" s="454"/>
      <c r="N15" s="454"/>
      <c r="O15" s="29" t="b">
        <v>0</v>
      </c>
      <c r="P15" s="625" t="b">
        <v>0</v>
      </c>
      <c r="Q15" s="454"/>
      <c r="R15" s="454"/>
      <c r="S15" s="29" t="b">
        <v>0</v>
      </c>
      <c r="T15" s="625" t="b">
        <v>0</v>
      </c>
      <c r="U15" s="454"/>
      <c r="V15" s="454"/>
      <c r="W15" s="29" t="b">
        <v>0</v>
      </c>
      <c r="X15" s="625" t="b">
        <v>0</v>
      </c>
      <c r="Y15" s="454"/>
      <c r="Z15" s="454"/>
      <c r="AA15" s="29" t="b">
        <v>0</v>
      </c>
      <c r="AB15" s="625" t="b">
        <v>0</v>
      </c>
      <c r="AC15" s="454"/>
      <c r="AD15" s="454"/>
      <c r="AE15" s="29" t="b">
        <v>0</v>
      </c>
      <c r="AF15" s="625" t="b">
        <v>0</v>
      </c>
    </row>
    <row r="16" customHeight="1" spans="1:32">
      <c r="A16" s="29" t="s">
        <v>946</v>
      </c>
      <c r="B16" s="207" t="b">
        <v>0</v>
      </c>
      <c r="C16" s="29" t="b">
        <v>0</v>
      </c>
      <c r="D16" s="29" t="b">
        <v>0</v>
      </c>
      <c r="E16" s="29" t="b">
        <v>0</v>
      </c>
      <c r="F16" s="618" t="b">
        <v>1</v>
      </c>
      <c r="G16" s="454"/>
      <c r="H16" s="454"/>
      <c r="I16" s="624"/>
      <c r="J16" s="454"/>
      <c r="K16" s="29" t="b">
        <v>0</v>
      </c>
      <c r="L16" s="625" t="b">
        <v>0</v>
      </c>
      <c r="M16" s="454"/>
      <c r="N16" s="454"/>
      <c r="O16" s="29" t="b">
        <v>0</v>
      </c>
      <c r="P16" s="625" t="b">
        <v>0</v>
      </c>
      <c r="Q16" s="454"/>
      <c r="R16" s="454"/>
      <c r="S16" s="29" t="b">
        <v>0</v>
      </c>
      <c r="T16" s="625" t="b">
        <v>0</v>
      </c>
      <c r="U16" s="454"/>
      <c r="V16" s="454"/>
      <c r="W16" s="29" t="b">
        <v>0</v>
      </c>
      <c r="X16" s="625" t="b">
        <v>0</v>
      </c>
      <c r="Y16" s="454"/>
      <c r="Z16" s="454"/>
      <c r="AA16" s="29" t="b">
        <v>0</v>
      </c>
      <c r="AB16" s="625" t="b">
        <v>0</v>
      </c>
      <c r="AC16" s="454"/>
      <c r="AD16" s="454"/>
      <c r="AE16" s="29" t="b">
        <v>0</v>
      </c>
      <c r="AF16" s="625" t="b">
        <v>0</v>
      </c>
    </row>
    <row r="17" customHeight="1" spans="1:32">
      <c r="A17" s="29" t="s">
        <v>947</v>
      </c>
      <c r="B17" s="207" t="b">
        <v>0</v>
      </c>
      <c r="C17" s="29" t="b">
        <v>0</v>
      </c>
      <c r="D17" s="29" t="b">
        <v>0</v>
      </c>
      <c r="E17" s="29" t="b">
        <v>0</v>
      </c>
      <c r="F17" s="618" t="b">
        <v>1</v>
      </c>
      <c r="G17" s="454"/>
      <c r="H17" s="454"/>
      <c r="I17" s="624"/>
      <c r="J17" s="454"/>
      <c r="K17" s="29" t="b">
        <v>0</v>
      </c>
      <c r="L17" s="625" t="b">
        <v>0</v>
      </c>
      <c r="M17" s="454"/>
      <c r="N17" s="454"/>
      <c r="O17" s="29" t="b">
        <v>0</v>
      </c>
      <c r="P17" s="625" t="b">
        <v>0</v>
      </c>
      <c r="Q17" s="454"/>
      <c r="R17" s="454"/>
      <c r="S17" s="29" t="b">
        <v>0</v>
      </c>
      <c r="T17" s="625" t="b">
        <v>0</v>
      </c>
      <c r="U17" s="454"/>
      <c r="V17" s="454"/>
      <c r="W17" s="29" t="b">
        <v>0</v>
      </c>
      <c r="X17" s="625" t="b">
        <v>0</v>
      </c>
      <c r="Y17" s="454"/>
      <c r="Z17" s="454"/>
      <c r="AA17" s="29" t="b">
        <v>0</v>
      </c>
      <c r="AB17" s="625" t="b">
        <v>0</v>
      </c>
      <c r="AC17" s="454"/>
      <c r="AD17" s="454"/>
      <c r="AE17" s="29" t="b">
        <v>0</v>
      </c>
      <c r="AF17" s="625" t="b">
        <v>0</v>
      </c>
    </row>
    <row r="18" customHeight="1" spans="1:32">
      <c r="A18" s="29" t="s">
        <v>948</v>
      </c>
      <c r="B18" s="207" t="b">
        <v>0</v>
      </c>
      <c r="C18" s="29" t="b">
        <v>0</v>
      </c>
      <c r="D18" s="29" t="b">
        <v>0</v>
      </c>
      <c r="E18" s="29" t="b">
        <v>0</v>
      </c>
      <c r="F18" s="618" t="b">
        <v>1</v>
      </c>
      <c r="G18" s="454"/>
      <c r="H18" s="454"/>
      <c r="I18" s="624"/>
      <c r="J18" s="454"/>
      <c r="K18" s="29" t="b">
        <v>0</v>
      </c>
      <c r="L18" s="625" t="b">
        <v>0</v>
      </c>
      <c r="M18" s="454"/>
      <c r="N18" s="454"/>
      <c r="O18" s="29" t="b">
        <v>0</v>
      </c>
      <c r="P18" s="625" t="b">
        <v>0</v>
      </c>
      <c r="Q18" s="454"/>
      <c r="R18" s="454"/>
      <c r="S18" s="29" t="b">
        <v>0</v>
      </c>
      <c r="T18" s="625" t="b">
        <v>0</v>
      </c>
      <c r="U18" s="454"/>
      <c r="V18" s="454"/>
      <c r="W18" s="29" t="b">
        <v>0</v>
      </c>
      <c r="X18" s="625" t="b">
        <v>0</v>
      </c>
      <c r="Y18" s="454"/>
      <c r="Z18" s="454"/>
      <c r="AA18" s="29" t="b">
        <v>0</v>
      </c>
      <c r="AB18" s="625" t="b">
        <v>0</v>
      </c>
      <c r="AC18" s="454"/>
      <c r="AD18" s="454"/>
      <c r="AE18" s="29" t="b">
        <v>0</v>
      </c>
      <c r="AF18" s="625" t="b">
        <v>0</v>
      </c>
    </row>
    <row r="19" customHeight="1" spans="1:32">
      <c r="A19" s="29" t="s">
        <v>949</v>
      </c>
      <c r="B19" s="207" t="b">
        <v>0</v>
      </c>
      <c r="C19" s="29" t="b">
        <v>0</v>
      </c>
      <c r="D19" s="29" t="b">
        <v>0</v>
      </c>
      <c r="E19" s="29" t="b">
        <v>0</v>
      </c>
      <c r="F19" s="618" t="b">
        <v>1</v>
      </c>
      <c r="G19" s="454"/>
      <c r="H19" s="454"/>
      <c r="I19" s="624"/>
      <c r="J19" s="454"/>
      <c r="K19" s="29" t="b">
        <v>0</v>
      </c>
      <c r="L19" s="625" t="b">
        <v>0</v>
      </c>
      <c r="M19" s="454"/>
      <c r="N19" s="454"/>
      <c r="O19" s="29" t="b">
        <v>0</v>
      </c>
      <c r="P19" s="625" t="b">
        <v>0</v>
      </c>
      <c r="Q19" s="454"/>
      <c r="R19" s="454"/>
      <c r="S19" s="29" t="b">
        <v>0</v>
      </c>
      <c r="T19" s="625" t="b">
        <v>0</v>
      </c>
      <c r="U19" s="454"/>
      <c r="V19" s="454"/>
      <c r="W19" s="29" t="b">
        <v>0</v>
      </c>
      <c r="X19" s="625" t="b">
        <v>0</v>
      </c>
      <c r="Y19" s="454"/>
      <c r="Z19" s="454"/>
      <c r="AA19" s="29" t="b">
        <v>0</v>
      </c>
      <c r="AB19" s="625" t="b">
        <v>0</v>
      </c>
      <c r="AC19" s="454"/>
      <c r="AD19" s="454"/>
      <c r="AE19" s="29" t="b">
        <v>0</v>
      </c>
      <c r="AF19" s="625" t="b">
        <v>0</v>
      </c>
    </row>
    <row r="20" customHeight="1" spans="1:32">
      <c r="A20" s="29" t="s">
        <v>950</v>
      </c>
      <c r="B20" s="207" t="b">
        <v>0</v>
      </c>
      <c r="C20" s="29" t="b">
        <v>0</v>
      </c>
      <c r="D20" s="29" t="b">
        <v>0</v>
      </c>
      <c r="E20" s="29" t="b">
        <v>0</v>
      </c>
      <c r="F20" s="618" t="b">
        <v>1</v>
      </c>
      <c r="G20" s="454"/>
      <c r="H20" s="454"/>
      <c r="I20" s="624"/>
      <c r="J20" s="454"/>
      <c r="K20" s="29" t="b">
        <v>0</v>
      </c>
      <c r="L20" s="625" t="b">
        <v>0</v>
      </c>
      <c r="M20" s="454"/>
      <c r="N20" s="454"/>
      <c r="O20" s="29" t="b">
        <v>0</v>
      </c>
      <c r="P20" s="625" t="b">
        <v>0</v>
      </c>
      <c r="Q20" s="454"/>
      <c r="R20" s="454"/>
      <c r="S20" s="29" t="b">
        <v>0</v>
      </c>
      <c r="T20" s="625" t="b">
        <v>0</v>
      </c>
      <c r="U20" s="454"/>
      <c r="V20" s="454"/>
      <c r="W20" s="29" t="b">
        <v>0</v>
      </c>
      <c r="X20" s="625" t="b">
        <v>0</v>
      </c>
      <c r="Y20" s="454"/>
      <c r="Z20" s="454"/>
      <c r="AA20" s="29" t="b">
        <v>0</v>
      </c>
      <c r="AB20" s="625" t="b">
        <v>0</v>
      </c>
      <c r="AC20" s="454"/>
      <c r="AD20" s="454"/>
      <c r="AE20" s="29" t="b">
        <v>0</v>
      </c>
      <c r="AF20" s="625" t="b">
        <v>0</v>
      </c>
    </row>
    <row r="21" customHeight="1" spans="2:32">
      <c r="B21" s="207" t="b">
        <v>0</v>
      </c>
      <c r="C21" s="29" t="b">
        <v>0</v>
      </c>
      <c r="D21" s="29" t="b">
        <v>0</v>
      </c>
      <c r="E21" s="29" t="b">
        <v>0</v>
      </c>
      <c r="F21" s="618" t="b">
        <v>0</v>
      </c>
      <c r="G21" s="454"/>
      <c r="H21" s="454"/>
      <c r="I21" s="624"/>
      <c r="J21" s="454"/>
      <c r="K21" s="29" t="b">
        <v>0</v>
      </c>
      <c r="L21" s="625" t="b">
        <v>0</v>
      </c>
      <c r="M21" s="454"/>
      <c r="N21" s="454"/>
      <c r="O21" s="29" t="b">
        <v>0</v>
      </c>
      <c r="P21" s="625" t="b">
        <v>0</v>
      </c>
      <c r="Q21" s="454"/>
      <c r="R21" s="454"/>
      <c r="S21" s="29" t="b">
        <v>0</v>
      </c>
      <c r="T21" s="625" t="b">
        <v>0</v>
      </c>
      <c r="U21" s="454"/>
      <c r="V21" s="454"/>
      <c r="W21" s="29" t="b">
        <v>0</v>
      </c>
      <c r="X21" s="625" t="b">
        <v>0</v>
      </c>
      <c r="Y21" s="454"/>
      <c r="Z21" s="454"/>
      <c r="AA21" s="29" t="b">
        <v>0</v>
      </c>
      <c r="AB21" s="625" t="b">
        <v>0</v>
      </c>
      <c r="AC21" s="454"/>
      <c r="AD21" s="454"/>
      <c r="AE21" s="29" t="b">
        <v>0</v>
      </c>
      <c r="AF21" s="625" t="b">
        <v>0</v>
      </c>
    </row>
    <row r="22" customHeight="1" spans="2:32">
      <c r="B22" s="207" t="b">
        <v>0</v>
      </c>
      <c r="C22" s="29" t="b">
        <v>0</v>
      </c>
      <c r="D22" s="29" t="b">
        <v>0</v>
      </c>
      <c r="E22" s="29" t="b">
        <v>0</v>
      </c>
      <c r="F22" s="618" t="b">
        <v>0</v>
      </c>
      <c r="G22" s="454"/>
      <c r="H22" s="454"/>
      <c r="I22" s="624"/>
      <c r="J22" s="454"/>
      <c r="K22" s="29" t="b">
        <v>0</v>
      </c>
      <c r="L22" s="625" t="b">
        <v>0</v>
      </c>
      <c r="M22" s="454"/>
      <c r="N22" s="454"/>
      <c r="O22" s="29" t="b">
        <v>0</v>
      </c>
      <c r="P22" s="625" t="b">
        <v>0</v>
      </c>
      <c r="Q22" s="454"/>
      <c r="R22" s="454"/>
      <c r="S22" s="29" t="b">
        <v>0</v>
      </c>
      <c r="T22" s="625" t="b">
        <v>0</v>
      </c>
      <c r="U22" s="454"/>
      <c r="V22" s="454"/>
      <c r="W22" s="29" t="b">
        <v>0</v>
      </c>
      <c r="X22" s="625" t="b">
        <v>0</v>
      </c>
      <c r="Y22" s="454"/>
      <c r="Z22" s="454"/>
      <c r="AA22" s="29" t="b">
        <v>0</v>
      </c>
      <c r="AB22" s="625" t="b">
        <v>0</v>
      </c>
      <c r="AC22" s="454"/>
      <c r="AD22" s="454"/>
      <c r="AE22" s="29" t="b">
        <v>0</v>
      </c>
      <c r="AF22" s="625" t="b">
        <v>0</v>
      </c>
    </row>
    <row r="23" customHeight="1" spans="2:32">
      <c r="B23" s="207" t="b">
        <v>0</v>
      </c>
      <c r="C23" s="29" t="b">
        <v>0</v>
      </c>
      <c r="D23" s="29" t="b">
        <v>0</v>
      </c>
      <c r="E23" s="29" t="b">
        <v>0</v>
      </c>
      <c r="F23" s="618" t="b">
        <v>0</v>
      </c>
      <c r="G23" s="454"/>
      <c r="H23" s="454"/>
      <c r="I23" s="624"/>
      <c r="J23" s="454"/>
      <c r="K23" s="29" t="b">
        <v>0</v>
      </c>
      <c r="L23" s="625" t="b">
        <v>0</v>
      </c>
      <c r="M23" s="454"/>
      <c r="N23" s="454"/>
      <c r="O23" s="29" t="b">
        <v>0</v>
      </c>
      <c r="P23" s="625" t="b">
        <v>0</v>
      </c>
      <c r="Q23" s="454"/>
      <c r="R23" s="454"/>
      <c r="S23" s="29" t="b">
        <v>0</v>
      </c>
      <c r="T23" s="625" t="b">
        <v>0</v>
      </c>
      <c r="U23" s="454"/>
      <c r="V23" s="454"/>
      <c r="W23" s="29" t="b">
        <v>0</v>
      </c>
      <c r="X23" s="625" t="b">
        <v>0</v>
      </c>
      <c r="Y23" s="454"/>
      <c r="Z23" s="454"/>
      <c r="AA23" s="29" t="b">
        <v>0</v>
      </c>
      <c r="AB23" s="625" t="b">
        <v>0</v>
      </c>
      <c r="AC23" s="454"/>
      <c r="AD23" s="454"/>
      <c r="AE23" s="29" t="b">
        <v>0</v>
      </c>
      <c r="AF23" s="625" t="b">
        <v>0</v>
      </c>
    </row>
    <row r="24" customHeight="1" spans="2:32">
      <c r="B24" s="207" t="b">
        <v>0</v>
      </c>
      <c r="C24" s="29" t="b">
        <v>0</v>
      </c>
      <c r="D24" s="29" t="b">
        <v>0</v>
      </c>
      <c r="E24" s="29" t="b">
        <v>0</v>
      </c>
      <c r="F24" s="618" t="b">
        <v>0</v>
      </c>
      <c r="G24" s="454"/>
      <c r="H24" s="454"/>
      <c r="I24" s="624"/>
      <c r="J24" s="454"/>
      <c r="K24" s="29" t="b">
        <v>0</v>
      </c>
      <c r="L24" s="625" t="b">
        <v>0</v>
      </c>
      <c r="M24" s="454"/>
      <c r="N24" s="454"/>
      <c r="O24" s="29" t="b">
        <v>0</v>
      </c>
      <c r="P24" s="625" t="b">
        <v>0</v>
      </c>
      <c r="Q24" s="454"/>
      <c r="R24" s="454"/>
      <c r="S24" s="29" t="b">
        <v>0</v>
      </c>
      <c r="T24" s="625" t="b">
        <v>0</v>
      </c>
      <c r="U24" s="454"/>
      <c r="V24" s="454"/>
      <c r="W24" s="29" t="b">
        <v>0</v>
      </c>
      <c r="X24" s="625" t="b">
        <v>0</v>
      </c>
      <c r="Y24" s="454"/>
      <c r="Z24" s="454"/>
      <c r="AA24" s="29" t="b">
        <v>0</v>
      </c>
      <c r="AB24" s="625" t="b">
        <v>0</v>
      </c>
      <c r="AC24" s="454"/>
      <c r="AD24" s="454"/>
      <c r="AE24" s="29" t="b">
        <v>0</v>
      </c>
      <c r="AF24" s="625" t="b">
        <v>0</v>
      </c>
    </row>
    <row r="25" customHeight="1" spans="2:32">
      <c r="B25" s="207" t="b">
        <v>0</v>
      </c>
      <c r="C25" s="29" t="b">
        <v>0</v>
      </c>
      <c r="D25" s="29" t="b">
        <v>0</v>
      </c>
      <c r="E25" s="29" t="b">
        <v>0</v>
      </c>
      <c r="F25" s="618" t="b">
        <v>0</v>
      </c>
      <c r="G25" s="454"/>
      <c r="H25" s="454"/>
      <c r="I25" s="624"/>
      <c r="J25" s="454"/>
      <c r="K25" s="29" t="b">
        <v>0</v>
      </c>
      <c r="L25" s="625" t="b">
        <v>0</v>
      </c>
      <c r="M25" s="454"/>
      <c r="N25" s="454"/>
      <c r="O25" s="29" t="b">
        <v>0</v>
      </c>
      <c r="P25" s="625" t="b">
        <v>0</v>
      </c>
      <c r="Q25" s="454"/>
      <c r="R25" s="454"/>
      <c r="S25" s="29" t="b">
        <v>0</v>
      </c>
      <c r="T25" s="625" t="b">
        <v>0</v>
      </c>
      <c r="U25" s="454"/>
      <c r="V25" s="454"/>
      <c r="W25" s="29" t="b">
        <v>0</v>
      </c>
      <c r="X25" s="625" t="b">
        <v>0</v>
      </c>
      <c r="Y25" s="454"/>
      <c r="Z25" s="454"/>
      <c r="AA25" s="29" t="b">
        <v>0</v>
      </c>
      <c r="AB25" s="625" t="b">
        <v>0</v>
      </c>
      <c r="AC25" s="454"/>
      <c r="AD25" s="454"/>
      <c r="AE25" s="29" t="b">
        <v>0</v>
      </c>
      <c r="AF25" s="625" t="b">
        <v>0</v>
      </c>
    </row>
    <row r="26" customHeight="1" spans="2:32">
      <c r="B26" s="207" t="b">
        <v>0</v>
      </c>
      <c r="C26" s="29" t="b">
        <v>0</v>
      </c>
      <c r="D26" s="29" t="b">
        <v>0</v>
      </c>
      <c r="E26" s="29" t="b">
        <v>0</v>
      </c>
      <c r="F26" s="618" t="b">
        <v>0</v>
      </c>
      <c r="G26" s="454"/>
      <c r="H26" s="454"/>
      <c r="I26" s="624"/>
      <c r="J26" s="454"/>
      <c r="K26" s="29" t="b">
        <v>0</v>
      </c>
      <c r="L26" s="625" t="b">
        <v>0</v>
      </c>
      <c r="M26" s="454"/>
      <c r="N26" s="454"/>
      <c r="O26" s="29" t="b">
        <v>0</v>
      </c>
      <c r="P26" s="625" t="b">
        <v>0</v>
      </c>
      <c r="Q26" s="454"/>
      <c r="R26" s="454"/>
      <c r="S26" s="29" t="b">
        <v>0</v>
      </c>
      <c r="T26" s="625" t="b">
        <v>0</v>
      </c>
      <c r="U26" s="454"/>
      <c r="V26" s="454"/>
      <c r="W26" s="29" t="b">
        <v>0</v>
      </c>
      <c r="X26" s="625" t="b">
        <v>0</v>
      </c>
      <c r="Y26" s="454"/>
      <c r="Z26" s="454"/>
      <c r="AA26" s="29" t="b">
        <v>0</v>
      </c>
      <c r="AB26" s="625" t="b">
        <v>0</v>
      </c>
      <c r="AC26" s="454"/>
      <c r="AD26" s="454"/>
      <c r="AE26" s="29" t="b">
        <v>0</v>
      </c>
      <c r="AF26" s="625" t="b">
        <v>0</v>
      </c>
    </row>
    <row r="27" customHeight="1" spans="2:32">
      <c r="B27" s="207" t="b">
        <v>0</v>
      </c>
      <c r="C27" s="29" t="b">
        <v>0</v>
      </c>
      <c r="D27" s="29" t="b">
        <v>0</v>
      </c>
      <c r="E27" s="29" t="b">
        <v>0</v>
      </c>
      <c r="F27" s="618" t="b">
        <v>0</v>
      </c>
      <c r="G27" s="454"/>
      <c r="H27" s="454"/>
      <c r="I27" s="624"/>
      <c r="J27" s="454"/>
      <c r="K27" s="29" t="b">
        <v>0</v>
      </c>
      <c r="L27" s="625" t="b">
        <v>0</v>
      </c>
      <c r="M27" s="454"/>
      <c r="N27" s="454"/>
      <c r="O27" s="29" t="b">
        <v>0</v>
      </c>
      <c r="P27" s="625" t="b">
        <v>0</v>
      </c>
      <c r="Q27" s="454"/>
      <c r="R27" s="454"/>
      <c r="S27" s="29" t="b">
        <v>0</v>
      </c>
      <c r="T27" s="625" t="b">
        <v>0</v>
      </c>
      <c r="U27" s="454"/>
      <c r="V27" s="454"/>
      <c r="W27" s="29" t="b">
        <v>0</v>
      </c>
      <c r="X27" s="625" t="b">
        <v>0</v>
      </c>
      <c r="Y27" s="454"/>
      <c r="Z27" s="454"/>
      <c r="AA27" s="29" t="b">
        <v>0</v>
      </c>
      <c r="AB27" s="625" t="b">
        <v>0</v>
      </c>
      <c r="AC27" s="454"/>
      <c r="AD27" s="454"/>
      <c r="AE27" s="29" t="b">
        <v>0</v>
      </c>
      <c r="AF27" s="625" t="b">
        <v>0</v>
      </c>
    </row>
    <row r="28" customHeight="1" spans="2:32">
      <c r="B28" s="207" t="b">
        <v>0</v>
      </c>
      <c r="C28" s="29" t="b">
        <v>0</v>
      </c>
      <c r="D28" s="29" t="b">
        <v>0</v>
      </c>
      <c r="E28" s="29" t="b">
        <v>0</v>
      </c>
      <c r="F28" s="618" t="b">
        <v>0</v>
      </c>
      <c r="G28" s="454"/>
      <c r="H28" s="454"/>
      <c r="I28" s="624"/>
      <c r="J28" s="454"/>
      <c r="K28" s="29" t="b">
        <v>0</v>
      </c>
      <c r="L28" s="625" t="b">
        <v>0</v>
      </c>
      <c r="M28" s="454"/>
      <c r="N28" s="454"/>
      <c r="O28" s="29" t="b">
        <v>0</v>
      </c>
      <c r="P28" s="625" t="b">
        <v>0</v>
      </c>
      <c r="Q28" s="454"/>
      <c r="R28" s="454"/>
      <c r="S28" s="29" t="b">
        <v>0</v>
      </c>
      <c r="T28" s="625" t="b">
        <v>0</v>
      </c>
      <c r="U28" s="454"/>
      <c r="V28" s="454"/>
      <c r="W28" s="29" t="b">
        <v>0</v>
      </c>
      <c r="X28" s="625" t="b">
        <v>0</v>
      </c>
      <c r="Y28" s="454"/>
      <c r="Z28" s="454"/>
      <c r="AA28" s="29" t="b">
        <v>0</v>
      </c>
      <c r="AB28" s="625" t="b">
        <v>0</v>
      </c>
      <c r="AC28" s="454"/>
      <c r="AD28" s="454"/>
      <c r="AE28" s="29" t="b">
        <v>0</v>
      </c>
      <c r="AF28" s="625" t="b">
        <v>0</v>
      </c>
    </row>
    <row r="29" customHeight="1" spans="2:32">
      <c r="B29" s="207" t="b">
        <v>0</v>
      </c>
      <c r="C29" s="29" t="b">
        <v>0</v>
      </c>
      <c r="D29" s="29" t="b">
        <v>0</v>
      </c>
      <c r="E29" s="29" t="b">
        <v>0</v>
      </c>
      <c r="F29" s="618" t="b">
        <v>0</v>
      </c>
      <c r="G29" s="454"/>
      <c r="H29" s="454"/>
      <c r="I29" s="624"/>
      <c r="J29" s="454"/>
      <c r="K29" s="29" t="b">
        <v>0</v>
      </c>
      <c r="L29" s="625" t="b">
        <v>0</v>
      </c>
      <c r="M29" s="454"/>
      <c r="N29" s="454"/>
      <c r="O29" s="29" t="b">
        <v>0</v>
      </c>
      <c r="P29" s="625" t="b">
        <v>0</v>
      </c>
      <c r="Q29" s="454"/>
      <c r="R29" s="454"/>
      <c r="S29" s="29" t="b">
        <v>0</v>
      </c>
      <c r="T29" s="625" t="b">
        <v>0</v>
      </c>
      <c r="U29" s="454"/>
      <c r="V29" s="454"/>
      <c r="W29" s="29" t="b">
        <v>0</v>
      </c>
      <c r="X29" s="625" t="b">
        <v>0</v>
      </c>
      <c r="Y29" s="454"/>
      <c r="Z29" s="454"/>
      <c r="AA29" s="29" t="b">
        <v>0</v>
      </c>
      <c r="AB29" s="625" t="b">
        <v>0</v>
      </c>
      <c r="AC29" s="454"/>
      <c r="AD29" s="454"/>
      <c r="AE29" s="29" t="b">
        <v>0</v>
      </c>
      <c r="AF29" s="625" t="b">
        <v>0</v>
      </c>
    </row>
    <row r="30" customHeight="1" spans="2:32">
      <c r="B30" s="207" t="b">
        <v>0</v>
      </c>
      <c r="C30" s="29" t="b">
        <v>0</v>
      </c>
      <c r="D30" s="29" t="b">
        <v>0</v>
      </c>
      <c r="E30" s="29" t="b">
        <v>0</v>
      </c>
      <c r="F30" s="618" t="b">
        <v>0</v>
      </c>
      <c r="G30" s="454"/>
      <c r="H30" s="454"/>
      <c r="I30" s="624"/>
      <c r="J30" s="454"/>
      <c r="K30" s="29" t="b">
        <v>0</v>
      </c>
      <c r="L30" s="625" t="b">
        <v>0</v>
      </c>
      <c r="M30" s="454"/>
      <c r="N30" s="454"/>
      <c r="O30" s="29" t="b">
        <v>0</v>
      </c>
      <c r="P30" s="625" t="b">
        <v>0</v>
      </c>
      <c r="Q30" s="454"/>
      <c r="R30" s="454"/>
      <c r="S30" s="29" t="b">
        <v>0</v>
      </c>
      <c r="T30" s="625" t="b">
        <v>0</v>
      </c>
      <c r="U30" s="454"/>
      <c r="V30" s="454"/>
      <c r="W30" s="29" t="b">
        <v>0</v>
      </c>
      <c r="X30" s="625" t="b">
        <v>0</v>
      </c>
      <c r="Y30" s="454"/>
      <c r="Z30" s="454"/>
      <c r="AA30" s="29" t="b">
        <v>0</v>
      </c>
      <c r="AB30" s="625" t="b">
        <v>0</v>
      </c>
      <c r="AC30" s="454"/>
      <c r="AD30" s="454"/>
      <c r="AE30" s="29" t="b">
        <v>0</v>
      </c>
      <c r="AF30" s="625" t="b">
        <v>0</v>
      </c>
    </row>
  </sheetData>
  <mergeCells count="1">
    <mergeCell ref="I1:AF1"/>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FC5E8"/>
    <outlinePr summaryBelow="0" summaryRight="0"/>
  </sheetPr>
  <dimension ref="A1:AH58"/>
  <sheetViews>
    <sheetView workbookViewId="0">
      <pane ySplit="2" topLeftCell="A3" activePane="bottomLeft" state="frozen"/>
      <selection/>
      <selection pane="bottomLeft" activeCell="B4" sqref="B4"/>
    </sheetView>
  </sheetViews>
  <sheetFormatPr defaultColWidth="12.6285714285714" defaultRowHeight="15.75" customHeight="1"/>
  <cols>
    <col min="1" max="1" width="61.752380952381" customWidth="1"/>
    <col min="2" max="6" width="8.87619047619048" customWidth="1"/>
    <col min="7" max="8" width="12.1333333333333" customWidth="1"/>
    <col min="9" max="9" width="24" customWidth="1"/>
    <col min="10" max="10" width="48.1333333333333" customWidth="1" collapsed="1"/>
    <col min="11" max="11" width="17.3809523809524" hidden="1" customWidth="1" outlineLevel="1"/>
    <col min="12" max="12" width="24" hidden="1" customWidth="1" outlineLevel="1"/>
    <col min="13" max="14" width="9" hidden="1" customWidth="1" outlineLevel="1"/>
    <col min="15" max="15" width="17.3809523809524" hidden="1" customWidth="1" outlineLevel="1"/>
    <col min="16" max="16" width="24" hidden="1" customWidth="1" outlineLevel="1"/>
    <col min="17" max="18" width="9" hidden="1" customWidth="1" outlineLevel="1"/>
    <col min="19" max="19" width="17.3809523809524" hidden="1" customWidth="1" outlineLevel="1"/>
    <col min="20" max="20" width="24" hidden="1" customWidth="1" outlineLevel="1"/>
    <col min="21" max="22" width="9" hidden="1" customWidth="1" outlineLevel="1"/>
    <col min="23" max="23" width="17.3809523809524" hidden="1" customWidth="1" outlineLevel="1"/>
    <col min="24" max="24" width="24" hidden="1" customWidth="1" outlineLevel="1"/>
    <col min="25" max="26" width="9" hidden="1" customWidth="1" outlineLevel="1"/>
    <col min="27" max="27" width="17.3809523809524" hidden="1" customWidth="1" outlineLevel="1"/>
    <col min="28" max="28" width="24" hidden="1" customWidth="1" outlineLevel="1"/>
    <col min="29" max="30" width="9" hidden="1" customWidth="1" outlineLevel="1"/>
    <col min="31" max="31" width="17.3809523809524" hidden="1" customWidth="1" outlineLevel="1"/>
    <col min="32" max="32" width="24" hidden="1" customWidth="1" outlineLevel="1"/>
    <col min="33" max="34" width="9" hidden="1" customWidth="1" outlineLevel="1"/>
  </cols>
  <sheetData>
    <row r="1" customHeight="1" spans="1:34">
      <c r="A1" s="615" t="s">
        <v>951</v>
      </c>
      <c r="B1" s="616"/>
      <c r="C1" s="616"/>
      <c r="D1" s="616"/>
      <c r="E1" s="616"/>
      <c r="F1" s="616"/>
      <c r="G1" s="420"/>
      <c r="H1" s="420"/>
      <c r="I1" s="420"/>
      <c r="J1" s="420"/>
      <c r="K1" s="621" t="s">
        <v>909</v>
      </c>
      <c r="AH1" s="628"/>
    </row>
    <row r="2" customHeight="1" spans="1:34">
      <c r="A2" s="419" t="s">
        <v>0</v>
      </c>
      <c r="B2" s="423" t="s">
        <v>6</v>
      </c>
      <c r="C2" s="421" t="s">
        <v>8</v>
      </c>
      <c r="D2" s="421" t="s">
        <v>9</v>
      </c>
      <c r="E2" s="421" t="s">
        <v>910</v>
      </c>
      <c r="F2" s="617" t="s">
        <v>7</v>
      </c>
      <c r="G2" s="420" t="s">
        <v>952</v>
      </c>
      <c r="H2" s="420" t="s">
        <v>953</v>
      </c>
      <c r="I2" s="420" t="s">
        <v>911</v>
      </c>
      <c r="J2" s="420" t="s">
        <v>912</v>
      </c>
      <c r="K2" s="622" t="s">
        <v>913</v>
      </c>
      <c r="L2" s="420" t="s">
        <v>914</v>
      </c>
      <c r="M2" s="421" t="s">
        <v>915</v>
      </c>
      <c r="N2" s="623" t="s">
        <v>916</v>
      </c>
      <c r="O2" s="420" t="s">
        <v>917</v>
      </c>
      <c r="P2" s="420" t="s">
        <v>914</v>
      </c>
      <c r="Q2" s="421" t="s">
        <v>915</v>
      </c>
      <c r="R2" s="623" t="s">
        <v>916</v>
      </c>
      <c r="S2" s="420" t="s">
        <v>918</v>
      </c>
      <c r="T2" s="420" t="s">
        <v>914</v>
      </c>
      <c r="U2" s="421" t="s">
        <v>915</v>
      </c>
      <c r="V2" s="623" t="s">
        <v>916</v>
      </c>
      <c r="W2" s="420" t="s">
        <v>919</v>
      </c>
      <c r="X2" s="420" t="s">
        <v>914</v>
      </c>
      <c r="Y2" s="421" t="s">
        <v>915</v>
      </c>
      <c r="Z2" s="623" t="s">
        <v>916</v>
      </c>
      <c r="AA2" s="420" t="s">
        <v>920</v>
      </c>
      <c r="AB2" s="420" t="s">
        <v>914</v>
      </c>
      <c r="AC2" s="421" t="s">
        <v>915</v>
      </c>
      <c r="AD2" s="623" t="s">
        <v>916</v>
      </c>
      <c r="AE2" s="420" t="s">
        <v>921</v>
      </c>
      <c r="AF2" s="420" t="s">
        <v>914</v>
      </c>
      <c r="AG2" s="421" t="s">
        <v>915</v>
      </c>
      <c r="AH2" s="623" t="s">
        <v>916</v>
      </c>
    </row>
    <row r="3" customHeight="1" spans="1:34">
      <c r="A3" s="29" t="s">
        <v>954</v>
      </c>
      <c r="B3" s="207" t="b">
        <v>1</v>
      </c>
      <c r="C3" s="29" t="b">
        <v>1</v>
      </c>
      <c r="D3" s="29" t="b">
        <v>0</v>
      </c>
      <c r="E3" s="29" t="b">
        <v>1</v>
      </c>
      <c r="F3" s="618" t="b">
        <v>0</v>
      </c>
      <c r="G3" s="618" t="b">
        <v>0</v>
      </c>
      <c r="H3" s="29" t="b">
        <v>0</v>
      </c>
      <c r="I3" s="454" t="s">
        <v>955</v>
      </c>
      <c r="J3" s="454" t="s">
        <v>924</v>
      </c>
      <c r="K3" s="624" t="s">
        <v>925</v>
      </c>
      <c r="L3" s="454" t="s">
        <v>926</v>
      </c>
      <c r="M3" s="29" t="b">
        <v>1</v>
      </c>
      <c r="N3" s="625" t="b">
        <v>0</v>
      </c>
      <c r="O3" s="454" t="s">
        <v>927</v>
      </c>
      <c r="P3" s="454" t="s">
        <v>928</v>
      </c>
      <c r="Q3" s="29" t="b">
        <v>0</v>
      </c>
      <c r="R3" s="625" t="b">
        <v>0</v>
      </c>
      <c r="S3" s="454" t="s">
        <v>929</v>
      </c>
      <c r="T3" s="454" t="s">
        <v>119</v>
      </c>
      <c r="U3" s="29" t="b">
        <v>1</v>
      </c>
      <c r="V3" s="625" t="b">
        <v>1</v>
      </c>
      <c r="W3" s="454" t="s">
        <v>930</v>
      </c>
      <c r="X3" s="454" t="s">
        <v>931</v>
      </c>
      <c r="Y3" s="29" t="b">
        <v>1</v>
      </c>
      <c r="Z3" s="625" t="b">
        <v>1</v>
      </c>
      <c r="AA3" s="454" t="s">
        <v>932</v>
      </c>
      <c r="AB3" s="454" t="s">
        <v>933</v>
      </c>
      <c r="AC3" s="29" t="b">
        <v>0</v>
      </c>
      <c r="AD3" s="625" t="b">
        <v>0</v>
      </c>
      <c r="AE3" s="454" t="s">
        <v>13</v>
      </c>
      <c r="AF3" s="454"/>
      <c r="AG3" s="29" t="b">
        <v>0</v>
      </c>
      <c r="AH3" s="625" t="b">
        <v>0</v>
      </c>
    </row>
    <row r="4" customHeight="1" spans="1:34">
      <c r="A4" s="29" t="s">
        <v>956</v>
      </c>
      <c r="B4" s="207" t="b">
        <v>1</v>
      </c>
      <c r="C4" s="29" t="b">
        <v>0</v>
      </c>
      <c r="D4" s="29" t="b">
        <v>0</v>
      </c>
      <c r="E4" s="29" t="b">
        <v>0</v>
      </c>
      <c r="F4" s="618" t="b">
        <v>0</v>
      </c>
      <c r="G4" s="618" t="b">
        <v>0</v>
      </c>
      <c r="H4" s="29" t="b">
        <v>0</v>
      </c>
      <c r="I4" s="454"/>
      <c r="J4" s="454"/>
      <c r="K4" s="624"/>
      <c r="L4" s="454"/>
      <c r="M4" s="29" t="b">
        <v>0</v>
      </c>
      <c r="N4" s="625" t="b">
        <v>0</v>
      </c>
      <c r="O4" s="454"/>
      <c r="P4" s="454"/>
      <c r="Q4" s="29" t="b">
        <v>0</v>
      </c>
      <c r="R4" s="625" t="b">
        <v>0</v>
      </c>
      <c r="S4" s="454"/>
      <c r="T4" s="454"/>
      <c r="U4" s="29" t="b">
        <v>0</v>
      </c>
      <c r="V4" s="625" t="b">
        <v>0</v>
      </c>
      <c r="W4" s="454"/>
      <c r="X4" s="454"/>
      <c r="Y4" s="29" t="b">
        <v>0</v>
      </c>
      <c r="Z4" s="625" t="b">
        <v>0</v>
      </c>
      <c r="AA4" s="454"/>
      <c r="AB4" s="454"/>
      <c r="AC4" s="29" t="b">
        <v>0</v>
      </c>
      <c r="AD4" s="625" t="b">
        <v>0</v>
      </c>
      <c r="AE4" s="454"/>
      <c r="AF4" s="454"/>
      <c r="AG4" s="29" t="b">
        <v>0</v>
      </c>
      <c r="AH4" s="625" t="b">
        <v>0</v>
      </c>
    </row>
    <row r="5" customHeight="1" spans="1:34">
      <c r="A5" s="29" t="s">
        <v>859</v>
      </c>
      <c r="B5" s="207" t="b">
        <v>0</v>
      </c>
      <c r="C5" s="29" t="b">
        <v>1</v>
      </c>
      <c r="D5" s="29" t="b">
        <v>0</v>
      </c>
      <c r="E5" s="29" t="b">
        <v>1</v>
      </c>
      <c r="F5" s="618" t="b">
        <v>1</v>
      </c>
      <c r="G5" s="618" t="b">
        <v>0</v>
      </c>
      <c r="H5" s="29" t="b">
        <v>0</v>
      </c>
      <c r="I5" s="454"/>
      <c r="J5" s="454"/>
      <c r="K5" s="624"/>
      <c r="L5" s="454"/>
      <c r="M5" s="29" t="b">
        <v>0</v>
      </c>
      <c r="N5" s="625" t="b">
        <v>0</v>
      </c>
      <c r="O5" s="454"/>
      <c r="P5" s="454"/>
      <c r="Q5" s="29" t="b">
        <v>0</v>
      </c>
      <c r="R5" s="625" t="b">
        <v>0</v>
      </c>
      <c r="S5" s="454"/>
      <c r="T5" s="454"/>
      <c r="U5" s="29" t="b">
        <v>0</v>
      </c>
      <c r="V5" s="625" t="b">
        <v>0</v>
      </c>
      <c r="W5" s="454"/>
      <c r="X5" s="454"/>
      <c r="Y5" s="29" t="b">
        <v>0</v>
      </c>
      <c r="Z5" s="625" t="b">
        <v>0</v>
      </c>
      <c r="AA5" s="454"/>
      <c r="AB5" s="454"/>
      <c r="AC5" s="29" t="b">
        <v>0</v>
      </c>
      <c r="AD5" s="625" t="b">
        <v>0</v>
      </c>
      <c r="AE5" s="454"/>
      <c r="AF5" s="454"/>
      <c r="AG5" s="29" t="b">
        <v>0</v>
      </c>
      <c r="AH5" s="625" t="b">
        <v>0</v>
      </c>
    </row>
    <row r="6" customHeight="1" spans="1:34">
      <c r="A6" s="29" t="s">
        <v>861</v>
      </c>
      <c r="B6" s="207" t="b">
        <v>0</v>
      </c>
      <c r="C6" s="29" t="b">
        <v>0</v>
      </c>
      <c r="D6" s="29" t="b">
        <v>0</v>
      </c>
      <c r="E6" s="29" t="b">
        <v>0</v>
      </c>
      <c r="F6" s="618" t="b">
        <v>1</v>
      </c>
      <c r="G6" s="618" t="b">
        <v>0</v>
      </c>
      <c r="H6" s="29" t="b">
        <v>0</v>
      </c>
      <c r="I6" s="454"/>
      <c r="J6" s="454"/>
      <c r="K6" s="624"/>
      <c r="L6" s="454"/>
      <c r="M6" s="29" t="b">
        <v>0</v>
      </c>
      <c r="N6" s="625" t="b">
        <v>0</v>
      </c>
      <c r="O6" s="454"/>
      <c r="P6" s="454"/>
      <c r="Q6" s="29" t="b">
        <v>0</v>
      </c>
      <c r="R6" s="625" t="b">
        <v>0</v>
      </c>
      <c r="S6" s="454"/>
      <c r="T6" s="454"/>
      <c r="U6" s="29" t="b">
        <v>0</v>
      </c>
      <c r="V6" s="625" t="b">
        <v>0</v>
      </c>
      <c r="W6" s="454"/>
      <c r="X6" s="454"/>
      <c r="Y6" s="29" t="b">
        <v>0</v>
      </c>
      <c r="Z6" s="625" t="b">
        <v>0</v>
      </c>
      <c r="AA6" s="454"/>
      <c r="AB6" s="454"/>
      <c r="AC6" s="29" t="b">
        <v>0</v>
      </c>
      <c r="AD6" s="625" t="b">
        <v>0</v>
      </c>
      <c r="AE6" s="454"/>
      <c r="AF6" s="454"/>
      <c r="AG6" s="29" t="b">
        <v>0</v>
      </c>
      <c r="AH6" s="625" t="b">
        <v>0</v>
      </c>
    </row>
    <row r="7" customHeight="1" spans="1:34">
      <c r="A7" s="29" t="s">
        <v>862</v>
      </c>
      <c r="B7" s="207" t="b">
        <v>0</v>
      </c>
      <c r="C7" s="29" t="b">
        <v>0</v>
      </c>
      <c r="D7" s="29" t="b">
        <v>0</v>
      </c>
      <c r="E7" s="29" t="b">
        <v>0</v>
      </c>
      <c r="F7" s="618" t="b">
        <v>1</v>
      </c>
      <c r="G7" s="618" t="b">
        <v>0</v>
      </c>
      <c r="H7" s="29" t="b">
        <v>0</v>
      </c>
      <c r="I7" s="454"/>
      <c r="J7" s="454"/>
      <c r="K7" s="624"/>
      <c r="L7" s="454"/>
      <c r="M7" s="29" t="b">
        <v>0</v>
      </c>
      <c r="N7" s="625" t="b">
        <v>0</v>
      </c>
      <c r="O7" s="454"/>
      <c r="P7" s="454"/>
      <c r="Q7" s="29" t="b">
        <v>0</v>
      </c>
      <c r="R7" s="625" t="b">
        <v>0</v>
      </c>
      <c r="S7" s="454"/>
      <c r="T7" s="454"/>
      <c r="U7" s="29" t="b">
        <v>0</v>
      </c>
      <c r="V7" s="625" t="b">
        <v>0</v>
      </c>
      <c r="W7" s="454"/>
      <c r="X7" s="454"/>
      <c r="Y7" s="29" t="b">
        <v>0</v>
      </c>
      <c r="Z7" s="625" t="b">
        <v>0</v>
      </c>
      <c r="AA7" s="454"/>
      <c r="AB7" s="454"/>
      <c r="AC7" s="29" t="b">
        <v>0</v>
      </c>
      <c r="AD7" s="625" t="b">
        <v>0</v>
      </c>
      <c r="AE7" s="454"/>
      <c r="AF7" s="454"/>
      <c r="AG7" s="29" t="b">
        <v>0</v>
      </c>
      <c r="AH7" s="625" t="b">
        <v>0</v>
      </c>
    </row>
    <row r="8" customHeight="1" spans="1:34">
      <c r="A8" s="29" t="s">
        <v>863</v>
      </c>
      <c r="B8" s="207" t="b">
        <v>0</v>
      </c>
      <c r="C8" s="29" t="b">
        <v>0</v>
      </c>
      <c r="D8" s="29" t="b">
        <v>0</v>
      </c>
      <c r="E8" s="29" t="b">
        <v>0</v>
      </c>
      <c r="F8" s="618" t="b">
        <v>1</v>
      </c>
      <c r="G8" s="618" t="b">
        <v>0</v>
      </c>
      <c r="H8" s="29" t="b">
        <v>0</v>
      </c>
      <c r="I8" s="454"/>
      <c r="J8" s="454"/>
      <c r="K8" s="624"/>
      <c r="L8" s="454"/>
      <c r="M8" s="29" t="b">
        <v>0</v>
      </c>
      <c r="N8" s="625" t="b">
        <v>0</v>
      </c>
      <c r="O8" s="454"/>
      <c r="P8" s="454"/>
      <c r="Q8" s="29" t="b">
        <v>0</v>
      </c>
      <c r="R8" s="625" t="b">
        <v>0</v>
      </c>
      <c r="S8" s="454"/>
      <c r="T8" s="454"/>
      <c r="U8" s="29" t="b">
        <v>0</v>
      </c>
      <c r="V8" s="625" t="b">
        <v>0</v>
      </c>
      <c r="W8" s="454"/>
      <c r="X8" s="454"/>
      <c r="Y8" s="29" t="b">
        <v>0</v>
      </c>
      <c r="Z8" s="625" t="b">
        <v>0</v>
      </c>
      <c r="AA8" s="454"/>
      <c r="AB8" s="454"/>
      <c r="AC8" s="29" t="b">
        <v>0</v>
      </c>
      <c r="AD8" s="625" t="b">
        <v>0</v>
      </c>
      <c r="AE8" s="454"/>
      <c r="AF8" s="454"/>
      <c r="AG8" s="29" t="b">
        <v>0</v>
      </c>
      <c r="AH8" s="625" t="b">
        <v>0</v>
      </c>
    </row>
    <row r="9" customHeight="1" spans="1:34">
      <c r="A9" s="29" t="s">
        <v>864</v>
      </c>
      <c r="B9" s="207" t="b">
        <v>0</v>
      </c>
      <c r="C9" s="29" t="b">
        <v>0</v>
      </c>
      <c r="D9" s="29" t="b">
        <v>0</v>
      </c>
      <c r="E9" s="29" t="b">
        <v>0</v>
      </c>
      <c r="F9" s="618" t="b">
        <v>1</v>
      </c>
      <c r="G9" s="618" t="b">
        <v>0</v>
      </c>
      <c r="H9" s="29" t="b">
        <v>0</v>
      </c>
      <c r="I9" s="454"/>
      <c r="J9" s="454"/>
      <c r="K9" s="624"/>
      <c r="L9" s="454"/>
      <c r="M9" s="29" t="b">
        <v>0</v>
      </c>
      <c r="N9" s="625" t="b">
        <v>0</v>
      </c>
      <c r="O9" s="454"/>
      <c r="P9" s="454"/>
      <c r="Q9" s="29" t="b">
        <v>0</v>
      </c>
      <c r="R9" s="625" t="b">
        <v>0</v>
      </c>
      <c r="S9" s="454"/>
      <c r="T9" s="454"/>
      <c r="U9" s="29" t="b">
        <v>0</v>
      </c>
      <c r="V9" s="625" t="b">
        <v>0</v>
      </c>
      <c r="W9" s="454"/>
      <c r="X9" s="454"/>
      <c r="Y9" s="29" t="b">
        <v>0</v>
      </c>
      <c r="Z9" s="625" t="b">
        <v>0</v>
      </c>
      <c r="AA9" s="454"/>
      <c r="AB9" s="454"/>
      <c r="AC9" s="29" t="b">
        <v>0</v>
      </c>
      <c r="AD9" s="625" t="b">
        <v>0</v>
      </c>
      <c r="AE9" s="454"/>
      <c r="AF9" s="454"/>
      <c r="AG9" s="29" t="b">
        <v>0</v>
      </c>
      <c r="AH9" s="625" t="b">
        <v>0</v>
      </c>
    </row>
    <row r="10" customHeight="1" spans="1:34">
      <c r="A10" s="29" t="s">
        <v>865</v>
      </c>
      <c r="B10" s="207" t="b">
        <v>0</v>
      </c>
      <c r="C10" s="29" t="b">
        <v>0</v>
      </c>
      <c r="D10" s="29" t="b">
        <v>0</v>
      </c>
      <c r="E10" s="29" t="b">
        <v>0</v>
      </c>
      <c r="F10" s="618" t="b">
        <v>1</v>
      </c>
      <c r="G10" s="618" t="b">
        <v>0</v>
      </c>
      <c r="H10" s="29" t="b">
        <v>0</v>
      </c>
      <c r="I10" s="454"/>
      <c r="J10" s="615" t="s">
        <v>951</v>
      </c>
      <c r="K10" s="624"/>
      <c r="L10" s="454"/>
      <c r="M10" s="29" t="b">
        <v>0</v>
      </c>
      <c r="N10" s="625" t="b">
        <v>0</v>
      </c>
      <c r="O10" s="454"/>
      <c r="P10" s="454"/>
      <c r="Q10" s="29" t="b">
        <v>0</v>
      </c>
      <c r="R10" s="625" t="b">
        <v>0</v>
      </c>
      <c r="S10" s="454"/>
      <c r="T10" s="454"/>
      <c r="U10" s="29" t="b">
        <v>0</v>
      </c>
      <c r="V10" s="625" t="b">
        <v>0</v>
      </c>
      <c r="W10" s="454"/>
      <c r="X10" s="454"/>
      <c r="Y10" s="29" t="b">
        <v>0</v>
      </c>
      <c r="Z10" s="625" t="b">
        <v>0</v>
      </c>
      <c r="AA10" s="454"/>
      <c r="AB10" s="454"/>
      <c r="AC10" s="29" t="b">
        <v>0</v>
      </c>
      <c r="AD10" s="625" t="b">
        <v>0</v>
      </c>
      <c r="AE10" s="454"/>
      <c r="AF10" s="454"/>
      <c r="AG10" s="29" t="b">
        <v>0</v>
      </c>
      <c r="AH10" s="625" t="b">
        <v>0</v>
      </c>
    </row>
    <row r="11" customHeight="1" spans="1:34">
      <c r="A11" s="452" t="s">
        <v>866</v>
      </c>
      <c r="B11" s="165" t="b">
        <v>0</v>
      </c>
      <c r="C11" s="165" t="b">
        <v>0</v>
      </c>
      <c r="D11" s="165" t="b">
        <v>0</v>
      </c>
      <c r="E11" s="165" t="b">
        <v>0</v>
      </c>
      <c r="F11" s="619" t="b">
        <v>1</v>
      </c>
      <c r="G11" s="618" t="b">
        <v>0</v>
      </c>
      <c r="H11" s="29" t="b">
        <v>0</v>
      </c>
      <c r="I11" s="468"/>
      <c r="J11" s="615" t="s">
        <v>951</v>
      </c>
      <c r="K11" s="468"/>
      <c r="L11" s="468"/>
      <c r="M11" s="165" t="b">
        <v>0</v>
      </c>
      <c r="N11" s="626" t="b">
        <v>0</v>
      </c>
      <c r="O11" s="468"/>
      <c r="P11" s="468"/>
      <c r="Q11" s="165" t="b">
        <v>0</v>
      </c>
      <c r="R11" s="626" t="b">
        <v>0</v>
      </c>
      <c r="S11" s="468"/>
      <c r="T11" s="468"/>
      <c r="U11" s="165" t="b">
        <v>0</v>
      </c>
      <c r="V11" s="626" t="b">
        <v>0</v>
      </c>
      <c r="W11" s="468"/>
      <c r="X11" s="468"/>
      <c r="Y11" s="165" t="b">
        <v>0</v>
      </c>
      <c r="Z11" s="626" t="b">
        <v>0</v>
      </c>
      <c r="AA11" s="468"/>
      <c r="AB11" s="468"/>
      <c r="AC11" s="165" t="b">
        <v>0</v>
      </c>
      <c r="AD11" s="626" t="b">
        <v>0</v>
      </c>
      <c r="AE11" s="468"/>
      <c r="AF11" s="468"/>
      <c r="AG11" s="165" t="b">
        <v>0</v>
      </c>
      <c r="AH11" s="626" t="b">
        <v>0</v>
      </c>
    </row>
    <row r="12" customHeight="1" spans="1:34">
      <c r="A12" s="29" t="s">
        <v>867</v>
      </c>
      <c r="B12" s="207" t="b">
        <v>0</v>
      </c>
      <c r="C12" s="29" t="b">
        <v>0</v>
      </c>
      <c r="D12" s="29" t="b">
        <v>0</v>
      </c>
      <c r="E12" s="29" t="b">
        <v>0</v>
      </c>
      <c r="F12" s="618" t="b">
        <v>1</v>
      </c>
      <c r="G12" s="618" t="b">
        <v>0</v>
      </c>
      <c r="H12" s="29" t="b">
        <v>0</v>
      </c>
      <c r="I12" s="454"/>
      <c r="J12" s="615" t="s">
        <v>951</v>
      </c>
      <c r="K12" s="624"/>
      <c r="L12" s="454"/>
      <c r="M12" s="29" t="b">
        <v>0</v>
      </c>
      <c r="N12" s="625" t="b">
        <v>0</v>
      </c>
      <c r="O12" s="454"/>
      <c r="P12" s="454"/>
      <c r="Q12" s="29" t="b">
        <v>0</v>
      </c>
      <c r="R12" s="625" t="b">
        <v>0</v>
      </c>
      <c r="S12" s="454"/>
      <c r="T12" s="454"/>
      <c r="U12" s="29" t="b">
        <v>0</v>
      </c>
      <c r="V12" s="625" t="b">
        <v>0</v>
      </c>
      <c r="W12" s="454"/>
      <c r="X12" s="454"/>
      <c r="Y12" s="29" t="b">
        <v>0</v>
      </c>
      <c r="Z12" s="625" t="b">
        <v>0</v>
      </c>
      <c r="AA12" s="454"/>
      <c r="AB12" s="454"/>
      <c r="AC12" s="29" t="b">
        <v>0</v>
      </c>
      <c r="AD12" s="625" t="b">
        <v>0</v>
      </c>
      <c r="AE12" s="454"/>
      <c r="AF12" s="454"/>
      <c r="AG12" s="29" t="b">
        <v>0</v>
      </c>
      <c r="AH12" s="625" t="b">
        <v>0</v>
      </c>
    </row>
    <row r="13" customHeight="1" spans="1:34">
      <c r="A13" s="29" t="s">
        <v>868</v>
      </c>
      <c r="B13" s="207" t="b">
        <v>0</v>
      </c>
      <c r="C13" s="29" t="b">
        <v>0</v>
      </c>
      <c r="D13" s="29" t="b">
        <v>0</v>
      </c>
      <c r="E13" s="29" t="b">
        <v>0</v>
      </c>
      <c r="F13" s="618" t="b">
        <v>1</v>
      </c>
      <c r="G13" s="618" t="b">
        <v>0</v>
      </c>
      <c r="H13" s="29" t="b">
        <v>0</v>
      </c>
      <c r="I13" s="454"/>
      <c r="J13" s="615" t="s">
        <v>951</v>
      </c>
      <c r="K13" s="624"/>
      <c r="L13" s="454"/>
      <c r="M13" s="29" t="b">
        <v>0</v>
      </c>
      <c r="N13" s="625" t="b">
        <v>0</v>
      </c>
      <c r="O13" s="454"/>
      <c r="P13" s="454"/>
      <c r="Q13" s="29" t="b">
        <v>0</v>
      </c>
      <c r="R13" s="625" t="b">
        <v>0</v>
      </c>
      <c r="S13" s="454"/>
      <c r="T13" s="454"/>
      <c r="U13" s="29" t="b">
        <v>0</v>
      </c>
      <c r="V13" s="625" t="b">
        <v>0</v>
      </c>
      <c r="W13" s="454"/>
      <c r="X13" s="454"/>
      <c r="Y13" s="29" t="b">
        <v>0</v>
      </c>
      <c r="Z13" s="625" t="b">
        <v>0</v>
      </c>
      <c r="AA13" s="454"/>
      <c r="AB13" s="454"/>
      <c r="AC13" s="29" t="b">
        <v>0</v>
      </c>
      <c r="AD13" s="625" t="b">
        <v>0</v>
      </c>
      <c r="AE13" s="454"/>
      <c r="AF13" s="454"/>
      <c r="AG13" s="29" t="b">
        <v>0</v>
      </c>
      <c r="AH13" s="625" t="b">
        <v>0</v>
      </c>
    </row>
    <row r="14" customHeight="1" spans="1:34">
      <c r="A14" s="29" t="s">
        <v>869</v>
      </c>
      <c r="B14" s="207" t="b">
        <v>0</v>
      </c>
      <c r="C14" s="29" t="b">
        <v>0</v>
      </c>
      <c r="D14" s="29" t="b">
        <v>0</v>
      </c>
      <c r="E14" s="29" t="b">
        <v>0</v>
      </c>
      <c r="F14" s="618" t="b">
        <v>1</v>
      </c>
      <c r="G14" s="618" t="b">
        <v>0</v>
      </c>
      <c r="H14" s="29" t="b">
        <v>0</v>
      </c>
      <c r="I14" s="454"/>
      <c r="J14" s="615" t="s">
        <v>951</v>
      </c>
      <c r="K14" s="624"/>
      <c r="L14" s="454"/>
      <c r="M14" s="29" t="b">
        <v>0</v>
      </c>
      <c r="N14" s="625" t="b">
        <v>0</v>
      </c>
      <c r="O14" s="454"/>
      <c r="P14" s="454"/>
      <c r="Q14" s="29" t="b">
        <v>0</v>
      </c>
      <c r="R14" s="625" t="b">
        <v>0</v>
      </c>
      <c r="S14" s="454"/>
      <c r="T14" s="454"/>
      <c r="U14" s="29" t="b">
        <v>0</v>
      </c>
      <c r="V14" s="625" t="b">
        <v>0</v>
      </c>
      <c r="W14" s="454"/>
      <c r="X14" s="454"/>
      <c r="Y14" s="29" t="b">
        <v>0</v>
      </c>
      <c r="Z14" s="625" t="b">
        <v>0</v>
      </c>
      <c r="AA14" s="454"/>
      <c r="AB14" s="454"/>
      <c r="AC14" s="29" t="b">
        <v>0</v>
      </c>
      <c r="AD14" s="625" t="b">
        <v>0</v>
      </c>
      <c r="AE14" s="454"/>
      <c r="AF14" s="454"/>
      <c r="AG14" s="29" t="b">
        <v>0</v>
      </c>
      <c r="AH14" s="625" t="b">
        <v>0</v>
      </c>
    </row>
    <row r="15" customHeight="1" spans="1:34">
      <c r="A15" s="29" t="s">
        <v>870</v>
      </c>
      <c r="B15" s="207" t="b">
        <v>0</v>
      </c>
      <c r="C15" s="29" t="b">
        <v>0</v>
      </c>
      <c r="D15" s="29" t="b">
        <v>0</v>
      </c>
      <c r="E15" s="29" t="b">
        <v>0</v>
      </c>
      <c r="F15" s="618" t="b">
        <v>1</v>
      </c>
      <c r="G15" s="618" t="b">
        <v>0</v>
      </c>
      <c r="H15" s="29" t="b">
        <v>0</v>
      </c>
      <c r="I15" s="454"/>
      <c r="J15" s="615" t="s">
        <v>951</v>
      </c>
      <c r="K15" s="624"/>
      <c r="L15" s="454"/>
      <c r="M15" s="29" t="b">
        <v>0</v>
      </c>
      <c r="N15" s="625" t="b">
        <v>0</v>
      </c>
      <c r="O15" s="454"/>
      <c r="P15" s="454"/>
      <c r="Q15" s="29" t="b">
        <v>0</v>
      </c>
      <c r="R15" s="625" t="b">
        <v>0</v>
      </c>
      <c r="S15" s="454"/>
      <c r="T15" s="454"/>
      <c r="U15" s="29" t="b">
        <v>0</v>
      </c>
      <c r="V15" s="625" t="b">
        <v>0</v>
      </c>
      <c r="W15" s="454"/>
      <c r="X15" s="454"/>
      <c r="Y15" s="29" t="b">
        <v>0</v>
      </c>
      <c r="Z15" s="625" t="b">
        <v>0</v>
      </c>
      <c r="AA15" s="454"/>
      <c r="AB15" s="454"/>
      <c r="AC15" s="29" t="b">
        <v>0</v>
      </c>
      <c r="AD15" s="625" t="b">
        <v>0</v>
      </c>
      <c r="AE15" s="454"/>
      <c r="AF15" s="454"/>
      <c r="AG15" s="29" t="b">
        <v>0</v>
      </c>
      <c r="AH15" s="625" t="b">
        <v>0</v>
      </c>
    </row>
    <row r="16" customHeight="1" spans="1:34">
      <c r="A16" s="29" t="s">
        <v>871</v>
      </c>
      <c r="B16" s="207" t="b">
        <v>0</v>
      </c>
      <c r="C16" s="29" t="b">
        <v>0</v>
      </c>
      <c r="D16" s="29" t="b">
        <v>0</v>
      </c>
      <c r="E16" s="29" t="b">
        <v>0</v>
      </c>
      <c r="F16" s="618" t="b">
        <v>1</v>
      </c>
      <c r="G16" s="618" t="b">
        <v>0</v>
      </c>
      <c r="H16" s="29" t="b">
        <v>0</v>
      </c>
      <c r="I16" s="454"/>
      <c r="J16" s="615" t="s">
        <v>951</v>
      </c>
      <c r="K16" s="624"/>
      <c r="L16" s="454"/>
      <c r="M16" s="29" t="b">
        <v>0</v>
      </c>
      <c r="N16" s="625" t="b">
        <v>0</v>
      </c>
      <c r="O16" s="454"/>
      <c r="P16" s="454"/>
      <c r="Q16" s="29" t="b">
        <v>0</v>
      </c>
      <c r="R16" s="625" t="b">
        <v>0</v>
      </c>
      <c r="S16" s="454"/>
      <c r="T16" s="454"/>
      <c r="U16" s="29" t="b">
        <v>0</v>
      </c>
      <c r="V16" s="625" t="b">
        <v>0</v>
      </c>
      <c r="W16" s="454"/>
      <c r="X16" s="454"/>
      <c r="Y16" s="29" t="b">
        <v>0</v>
      </c>
      <c r="Z16" s="625" t="b">
        <v>0</v>
      </c>
      <c r="AA16" s="454"/>
      <c r="AB16" s="454"/>
      <c r="AC16" s="29" t="b">
        <v>0</v>
      </c>
      <c r="AD16" s="625" t="b">
        <v>0</v>
      </c>
      <c r="AE16" s="454"/>
      <c r="AF16" s="454"/>
      <c r="AG16" s="29" t="b">
        <v>0</v>
      </c>
      <c r="AH16" s="625" t="b">
        <v>0</v>
      </c>
    </row>
    <row r="17" customHeight="1" spans="1:34">
      <c r="A17" s="29" t="s">
        <v>873</v>
      </c>
      <c r="B17" s="207" t="b">
        <v>0</v>
      </c>
      <c r="C17" s="29" t="b">
        <v>0</v>
      </c>
      <c r="D17" s="29" t="b">
        <v>0</v>
      </c>
      <c r="E17" s="29" t="b">
        <v>0</v>
      </c>
      <c r="F17" s="618" t="b">
        <v>1</v>
      </c>
      <c r="G17" s="618" t="b">
        <v>0</v>
      </c>
      <c r="H17" s="29" t="b">
        <v>0</v>
      </c>
      <c r="I17" s="454"/>
      <c r="J17" s="615" t="s">
        <v>951</v>
      </c>
      <c r="K17" s="624"/>
      <c r="L17" s="454"/>
      <c r="M17" s="29" t="b">
        <v>0</v>
      </c>
      <c r="N17" s="625" t="b">
        <v>0</v>
      </c>
      <c r="O17" s="454"/>
      <c r="P17" s="454"/>
      <c r="Q17" s="29" t="b">
        <v>0</v>
      </c>
      <c r="R17" s="625" t="b">
        <v>0</v>
      </c>
      <c r="S17" s="454"/>
      <c r="T17" s="454"/>
      <c r="U17" s="29" t="b">
        <v>0</v>
      </c>
      <c r="V17" s="625" t="b">
        <v>0</v>
      </c>
      <c r="W17" s="454"/>
      <c r="X17" s="454"/>
      <c r="Y17" s="29" t="b">
        <v>0</v>
      </c>
      <c r="Z17" s="625" t="b">
        <v>0</v>
      </c>
      <c r="AA17" s="454"/>
      <c r="AB17" s="454"/>
      <c r="AC17" s="29" t="b">
        <v>0</v>
      </c>
      <c r="AD17" s="625" t="b">
        <v>0</v>
      </c>
      <c r="AE17" s="454"/>
      <c r="AF17" s="454"/>
      <c r="AG17" s="29" t="b">
        <v>0</v>
      </c>
      <c r="AH17" s="625" t="b">
        <v>0</v>
      </c>
    </row>
    <row r="18" customHeight="1" spans="1:34">
      <c r="A18" s="29" t="s">
        <v>874</v>
      </c>
      <c r="B18" s="207" t="b">
        <v>0</v>
      </c>
      <c r="C18" s="29" t="b">
        <v>0</v>
      </c>
      <c r="D18" s="29" t="b">
        <v>0</v>
      </c>
      <c r="E18" s="29" t="b">
        <v>0</v>
      </c>
      <c r="F18" s="618" t="b">
        <v>1</v>
      </c>
      <c r="G18" s="618" t="b">
        <v>0</v>
      </c>
      <c r="H18" s="29" t="b">
        <v>0</v>
      </c>
      <c r="I18" s="454"/>
      <c r="J18" s="615" t="s">
        <v>951</v>
      </c>
      <c r="K18" s="624"/>
      <c r="L18" s="454"/>
      <c r="M18" s="29" t="b">
        <v>0</v>
      </c>
      <c r="N18" s="625" t="b">
        <v>0</v>
      </c>
      <c r="O18" s="454"/>
      <c r="P18" s="454"/>
      <c r="Q18" s="29" t="b">
        <v>0</v>
      </c>
      <c r="R18" s="625" t="b">
        <v>0</v>
      </c>
      <c r="S18" s="454"/>
      <c r="T18" s="454"/>
      <c r="U18" s="29" t="b">
        <v>0</v>
      </c>
      <c r="V18" s="625" t="b">
        <v>0</v>
      </c>
      <c r="W18" s="454"/>
      <c r="X18" s="454"/>
      <c r="Y18" s="29" t="b">
        <v>0</v>
      </c>
      <c r="Z18" s="625" t="b">
        <v>0</v>
      </c>
      <c r="AA18" s="454"/>
      <c r="AB18" s="454"/>
      <c r="AC18" s="29" t="b">
        <v>0</v>
      </c>
      <c r="AD18" s="625" t="b">
        <v>0</v>
      </c>
      <c r="AE18" s="454"/>
      <c r="AF18" s="454"/>
      <c r="AG18" s="29" t="b">
        <v>0</v>
      </c>
      <c r="AH18" s="625" t="b">
        <v>0</v>
      </c>
    </row>
    <row r="19" customHeight="1" spans="1:34">
      <c r="A19" s="29" t="s">
        <v>875</v>
      </c>
      <c r="B19" s="207" t="b">
        <v>0</v>
      </c>
      <c r="C19" s="29" t="b">
        <v>0</v>
      </c>
      <c r="D19" s="29" t="b">
        <v>0</v>
      </c>
      <c r="E19" s="29" t="b">
        <v>0</v>
      </c>
      <c r="F19" s="618" t="b">
        <v>1</v>
      </c>
      <c r="G19" s="618" t="b">
        <v>0</v>
      </c>
      <c r="H19" s="29" t="b">
        <v>0</v>
      </c>
      <c r="I19" s="454"/>
      <c r="J19" s="615" t="s">
        <v>951</v>
      </c>
      <c r="K19" s="624"/>
      <c r="L19" s="454"/>
      <c r="M19" s="29" t="b">
        <v>0</v>
      </c>
      <c r="N19" s="625" t="b">
        <v>0</v>
      </c>
      <c r="O19" s="454"/>
      <c r="P19" s="454"/>
      <c r="Q19" s="29" t="b">
        <v>0</v>
      </c>
      <c r="R19" s="625" t="b">
        <v>0</v>
      </c>
      <c r="S19" s="454"/>
      <c r="T19" s="454"/>
      <c r="U19" s="29" t="b">
        <v>0</v>
      </c>
      <c r="V19" s="625" t="b">
        <v>0</v>
      </c>
      <c r="W19" s="454"/>
      <c r="X19" s="454"/>
      <c r="Y19" s="29" t="b">
        <v>0</v>
      </c>
      <c r="Z19" s="625" t="b">
        <v>0</v>
      </c>
      <c r="AA19" s="454"/>
      <c r="AB19" s="454"/>
      <c r="AC19" s="29" t="b">
        <v>0</v>
      </c>
      <c r="AD19" s="625" t="b">
        <v>0</v>
      </c>
      <c r="AE19" s="454"/>
      <c r="AF19" s="454"/>
      <c r="AG19" s="29" t="b">
        <v>0</v>
      </c>
      <c r="AH19" s="625" t="b">
        <v>0</v>
      </c>
    </row>
    <row r="20" customHeight="1" spans="2:34">
      <c r="B20" s="207" t="b">
        <v>0</v>
      </c>
      <c r="C20" s="29" t="b">
        <v>0</v>
      </c>
      <c r="D20" s="29" t="b">
        <v>0</v>
      </c>
      <c r="E20" s="29" t="b">
        <v>0</v>
      </c>
      <c r="F20" s="618" t="b">
        <v>1</v>
      </c>
      <c r="G20" s="618" t="b">
        <v>0</v>
      </c>
      <c r="H20" s="29" t="b">
        <v>0</v>
      </c>
      <c r="I20" s="454"/>
      <c r="J20" s="615" t="s">
        <v>951</v>
      </c>
      <c r="K20" s="624"/>
      <c r="L20" s="454"/>
      <c r="M20" s="29" t="b">
        <v>0</v>
      </c>
      <c r="N20" s="625" t="b">
        <v>0</v>
      </c>
      <c r="O20" s="454"/>
      <c r="P20" s="454"/>
      <c r="Q20" s="29" t="b">
        <v>0</v>
      </c>
      <c r="R20" s="625" t="b">
        <v>0</v>
      </c>
      <c r="S20" s="454"/>
      <c r="T20" s="454"/>
      <c r="U20" s="29" t="b">
        <v>0</v>
      </c>
      <c r="V20" s="625" t="b">
        <v>0</v>
      </c>
      <c r="W20" s="454"/>
      <c r="X20" s="454"/>
      <c r="Y20" s="29" t="b">
        <v>0</v>
      </c>
      <c r="Z20" s="625" t="b">
        <v>0</v>
      </c>
      <c r="AA20" s="454"/>
      <c r="AB20" s="454"/>
      <c r="AC20" s="29" t="b">
        <v>0</v>
      </c>
      <c r="AD20" s="625" t="b">
        <v>0</v>
      </c>
      <c r="AE20" s="454"/>
      <c r="AF20" s="454"/>
      <c r="AG20" s="29" t="b">
        <v>0</v>
      </c>
      <c r="AH20" s="625" t="b">
        <v>0</v>
      </c>
    </row>
    <row r="21" customHeight="1" spans="1:34">
      <c r="A21" s="29" t="s">
        <v>957</v>
      </c>
      <c r="B21" s="207" t="b">
        <v>1</v>
      </c>
      <c r="C21" s="29" t="b">
        <v>1</v>
      </c>
      <c r="D21" s="29" t="b">
        <v>1</v>
      </c>
      <c r="E21" s="29" t="b">
        <v>1</v>
      </c>
      <c r="F21" s="618" t="b">
        <v>0</v>
      </c>
      <c r="G21" s="618" t="b">
        <v>0</v>
      </c>
      <c r="H21" s="29" t="b">
        <v>0</v>
      </c>
      <c r="I21" s="454" t="s">
        <v>955</v>
      </c>
      <c r="J21" s="615" t="s">
        <v>951</v>
      </c>
      <c r="K21" s="624"/>
      <c r="L21" s="454"/>
      <c r="M21" s="29" t="b">
        <v>0</v>
      </c>
      <c r="N21" s="625" t="b">
        <v>0</v>
      </c>
      <c r="O21" s="454"/>
      <c r="P21" s="454"/>
      <c r="Q21" s="29" t="b">
        <v>0</v>
      </c>
      <c r="R21" s="625" t="b">
        <v>0</v>
      </c>
      <c r="S21" s="454"/>
      <c r="T21" s="454"/>
      <c r="U21" s="29" t="b">
        <v>0</v>
      </c>
      <c r="V21" s="625" t="b">
        <v>0</v>
      </c>
      <c r="W21" s="454"/>
      <c r="X21" s="454"/>
      <c r="Y21" s="29" t="b">
        <v>0</v>
      </c>
      <c r="Z21" s="625" t="b">
        <v>0</v>
      </c>
      <c r="AA21" s="454"/>
      <c r="AB21" s="454"/>
      <c r="AC21" s="29" t="b">
        <v>0</v>
      </c>
      <c r="AD21" s="625" t="b">
        <v>0</v>
      </c>
      <c r="AE21" s="454"/>
      <c r="AF21" s="454"/>
      <c r="AG21" s="29" t="b">
        <v>0</v>
      </c>
      <c r="AH21" s="625" t="b">
        <v>0</v>
      </c>
    </row>
    <row r="22" customHeight="1" spans="1:34">
      <c r="A22" s="29" t="s">
        <v>958</v>
      </c>
      <c r="B22" s="207" t="b">
        <v>0</v>
      </c>
      <c r="C22" s="29" t="b">
        <v>0</v>
      </c>
      <c r="D22" s="29" t="b">
        <v>0</v>
      </c>
      <c r="E22" s="29" t="b">
        <v>0</v>
      </c>
      <c r="F22" s="618" t="b">
        <v>1</v>
      </c>
      <c r="G22" s="618" t="b">
        <v>0</v>
      </c>
      <c r="H22" s="29" t="b">
        <v>0</v>
      </c>
      <c r="I22" s="454"/>
      <c r="J22" s="615" t="s">
        <v>951</v>
      </c>
      <c r="K22" s="624"/>
      <c r="L22" s="454"/>
      <c r="M22" s="29" t="b">
        <v>0</v>
      </c>
      <c r="N22" s="625" t="b">
        <v>0</v>
      </c>
      <c r="O22" s="454"/>
      <c r="P22" s="454"/>
      <c r="Q22" s="29" t="b">
        <v>0</v>
      </c>
      <c r="R22" s="625" t="b">
        <v>0</v>
      </c>
      <c r="S22" s="454"/>
      <c r="T22" s="454"/>
      <c r="U22" s="29" t="b">
        <v>0</v>
      </c>
      <c r="V22" s="625" t="b">
        <v>0</v>
      </c>
      <c r="W22" s="454"/>
      <c r="X22" s="454"/>
      <c r="Y22" s="29" t="b">
        <v>0</v>
      </c>
      <c r="Z22" s="625" t="b">
        <v>0</v>
      </c>
      <c r="AA22" s="454"/>
      <c r="AB22" s="454"/>
      <c r="AC22" s="29" t="b">
        <v>0</v>
      </c>
      <c r="AD22" s="625" t="b">
        <v>0</v>
      </c>
      <c r="AE22" s="454"/>
      <c r="AF22" s="454"/>
      <c r="AG22" s="29" t="b">
        <v>0</v>
      </c>
      <c r="AH22" s="625" t="b">
        <v>0</v>
      </c>
    </row>
    <row r="23" customHeight="1" spans="1:34">
      <c r="A23" s="29" t="s">
        <v>959</v>
      </c>
      <c r="B23" s="207" t="b">
        <v>0</v>
      </c>
      <c r="C23" s="29" t="b">
        <v>0</v>
      </c>
      <c r="D23" s="29" t="b">
        <v>0</v>
      </c>
      <c r="E23" s="29" t="b">
        <v>0</v>
      </c>
      <c r="F23" s="618" t="b">
        <v>1</v>
      </c>
      <c r="G23" s="618" t="b">
        <v>0</v>
      </c>
      <c r="H23" s="29" t="b">
        <v>0</v>
      </c>
      <c r="I23" s="454"/>
      <c r="J23" s="615" t="s">
        <v>951</v>
      </c>
      <c r="K23" s="624"/>
      <c r="L23" s="454"/>
      <c r="M23" s="29" t="b">
        <v>0</v>
      </c>
      <c r="N23" s="625" t="b">
        <v>0</v>
      </c>
      <c r="O23" s="454"/>
      <c r="P23" s="454"/>
      <c r="Q23" s="29" t="b">
        <v>0</v>
      </c>
      <c r="R23" s="625" t="b">
        <v>0</v>
      </c>
      <c r="S23" s="454"/>
      <c r="T23" s="454"/>
      <c r="U23" s="29" t="b">
        <v>0</v>
      </c>
      <c r="V23" s="625" t="b">
        <v>0</v>
      </c>
      <c r="W23" s="454"/>
      <c r="X23" s="454"/>
      <c r="Y23" s="29" t="b">
        <v>0</v>
      </c>
      <c r="Z23" s="625" t="b">
        <v>0</v>
      </c>
      <c r="AA23" s="454"/>
      <c r="AB23" s="454"/>
      <c r="AC23" s="29" t="b">
        <v>0</v>
      </c>
      <c r="AD23" s="625" t="b">
        <v>0</v>
      </c>
      <c r="AE23" s="454"/>
      <c r="AF23" s="454"/>
      <c r="AG23" s="29" t="b">
        <v>0</v>
      </c>
      <c r="AH23" s="625" t="b">
        <v>0</v>
      </c>
    </row>
    <row r="24" customHeight="1" spans="1:34">
      <c r="A24" s="29" t="s">
        <v>828</v>
      </c>
      <c r="B24" s="207" t="b">
        <v>1</v>
      </c>
      <c r="C24" s="29" t="b">
        <v>1</v>
      </c>
      <c r="D24" s="29" t="b">
        <v>1</v>
      </c>
      <c r="E24" s="29" t="b">
        <v>0</v>
      </c>
      <c r="F24" s="618" t="b">
        <v>0</v>
      </c>
      <c r="G24" s="618" t="b">
        <v>1</v>
      </c>
      <c r="H24" s="29" t="b">
        <v>1</v>
      </c>
      <c r="I24" s="454"/>
      <c r="J24" s="419"/>
      <c r="K24" s="624"/>
      <c r="L24" s="454"/>
      <c r="M24" s="29" t="b">
        <v>0</v>
      </c>
      <c r="N24" s="625" t="b">
        <v>0</v>
      </c>
      <c r="O24" s="454"/>
      <c r="P24" s="454"/>
      <c r="Q24" s="29" t="b">
        <v>0</v>
      </c>
      <c r="R24" s="625" t="b">
        <v>0</v>
      </c>
      <c r="S24" s="454"/>
      <c r="T24" s="454"/>
      <c r="U24" s="29" t="b">
        <v>0</v>
      </c>
      <c r="V24" s="625" t="b">
        <v>0</v>
      </c>
      <c r="W24" s="454"/>
      <c r="X24" s="454"/>
      <c r="Y24" s="29" t="b">
        <v>0</v>
      </c>
      <c r="Z24" s="625" t="b">
        <v>0</v>
      </c>
      <c r="AA24" s="454"/>
      <c r="AB24" s="454"/>
      <c r="AC24" s="29" t="b">
        <v>0</v>
      </c>
      <c r="AD24" s="625" t="b">
        <v>0</v>
      </c>
      <c r="AE24" s="454"/>
      <c r="AF24" s="454"/>
      <c r="AG24" s="29" t="b">
        <v>0</v>
      </c>
      <c r="AH24" s="625" t="b">
        <v>0</v>
      </c>
    </row>
    <row r="25" customHeight="1" spans="1:34">
      <c r="A25" s="29" t="s">
        <v>960</v>
      </c>
      <c r="B25" s="207" t="b">
        <v>0</v>
      </c>
      <c r="C25" s="29" t="b">
        <v>0</v>
      </c>
      <c r="D25" s="29" t="b">
        <v>0</v>
      </c>
      <c r="E25" s="29" t="b">
        <v>0</v>
      </c>
      <c r="F25" s="618" t="b">
        <v>1</v>
      </c>
      <c r="G25" s="618" t="b">
        <v>0</v>
      </c>
      <c r="H25" s="29" t="b">
        <v>0</v>
      </c>
      <c r="I25" s="454"/>
      <c r="J25" s="615" t="s">
        <v>951</v>
      </c>
      <c r="K25" s="624"/>
      <c r="L25" s="454"/>
      <c r="M25" s="29" t="b">
        <v>0</v>
      </c>
      <c r="N25" s="625" t="b">
        <v>0</v>
      </c>
      <c r="O25" s="454"/>
      <c r="P25" s="454"/>
      <c r="Q25" s="29" t="b">
        <v>0</v>
      </c>
      <c r="R25" s="625" t="b">
        <v>0</v>
      </c>
      <c r="S25" s="454"/>
      <c r="T25" s="454"/>
      <c r="U25" s="29" t="b">
        <v>0</v>
      </c>
      <c r="V25" s="625" t="b">
        <v>0</v>
      </c>
      <c r="W25" s="454"/>
      <c r="X25" s="454"/>
      <c r="Y25" s="29" t="b">
        <v>0</v>
      </c>
      <c r="Z25" s="625" t="b">
        <v>0</v>
      </c>
      <c r="AA25" s="454"/>
      <c r="AB25" s="454"/>
      <c r="AC25" s="29" t="b">
        <v>0</v>
      </c>
      <c r="AD25" s="625" t="b">
        <v>0</v>
      </c>
      <c r="AE25" s="454"/>
      <c r="AF25" s="454"/>
      <c r="AG25" s="29" t="b">
        <v>0</v>
      </c>
      <c r="AH25" s="625" t="b">
        <v>0</v>
      </c>
    </row>
    <row r="26" customHeight="1" spans="1:34">
      <c r="A26" s="29" t="s">
        <v>961</v>
      </c>
      <c r="B26" s="207" t="b">
        <v>0</v>
      </c>
      <c r="C26" s="29" t="b">
        <v>0</v>
      </c>
      <c r="D26" s="29" t="b">
        <v>0</v>
      </c>
      <c r="E26" s="29" t="b">
        <v>0</v>
      </c>
      <c r="F26" s="618" t="b">
        <v>1</v>
      </c>
      <c r="G26" s="618" t="b">
        <v>0</v>
      </c>
      <c r="H26" s="29" t="b">
        <v>0</v>
      </c>
      <c r="I26" s="454"/>
      <c r="J26" s="615" t="s">
        <v>951</v>
      </c>
      <c r="K26" s="624"/>
      <c r="L26" s="454"/>
      <c r="M26" s="29" t="b">
        <v>0</v>
      </c>
      <c r="N26" s="625" t="b">
        <v>0</v>
      </c>
      <c r="O26" s="454"/>
      <c r="P26" s="454"/>
      <c r="Q26" s="29" t="b">
        <v>0</v>
      </c>
      <c r="R26" s="625" t="b">
        <v>0</v>
      </c>
      <c r="S26" s="454"/>
      <c r="T26" s="454"/>
      <c r="U26" s="29" t="b">
        <v>0</v>
      </c>
      <c r="V26" s="625" t="b">
        <v>0</v>
      </c>
      <c r="W26" s="454"/>
      <c r="X26" s="454"/>
      <c r="Y26" s="29" t="b">
        <v>0</v>
      </c>
      <c r="Z26" s="625" t="b">
        <v>0</v>
      </c>
      <c r="AA26" s="454"/>
      <c r="AB26" s="454"/>
      <c r="AC26" s="29" t="b">
        <v>0</v>
      </c>
      <c r="AD26" s="625" t="b">
        <v>0</v>
      </c>
      <c r="AE26" s="454"/>
      <c r="AF26" s="454"/>
      <c r="AG26" s="29" t="b">
        <v>0</v>
      </c>
      <c r="AH26" s="625" t="b">
        <v>0</v>
      </c>
    </row>
    <row r="27" customHeight="1" spans="1:34">
      <c r="A27" s="29" t="s">
        <v>962</v>
      </c>
      <c r="B27" s="207" t="b">
        <v>0</v>
      </c>
      <c r="C27" s="29" t="b">
        <v>0</v>
      </c>
      <c r="D27" s="29" t="b">
        <v>0</v>
      </c>
      <c r="E27" s="29" t="b">
        <v>0</v>
      </c>
      <c r="F27" s="618" t="b">
        <v>1</v>
      </c>
      <c r="G27" s="618" t="b">
        <v>0</v>
      </c>
      <c r="H27" s="29" t="b">
        <v>0</v>
      </c>
      <c r="I27" s="454"/>
      <c r="J27" s="615" t="s">
        <v>951</v>
      </c>
      <c r="K27" s="624"/>
      <c r="L27" s="454"/>
      <c r="M27" s="29" t="b">
        <v>0</v>
      </c>
      <c r="N27" s="625" t="b">
        <v>0</v>
      </c>
      <c r="O27" s="454"/>
      <c r="P27" s="454"/>
      <c r="Q27" s="29" t="b">
        <v>0</v>
      </c>
      <c r="R27" s="625" t="b">
        <v>0</v>
      </c>
      <c r="S27" s="454"/>
      <c r="T27" s="454"/>
      <c r="U27" s="29" t="b">
        <v>0</v>
      </c>
      <c r="V27" s="625" t="b">
        <v>0</v>
      </c>
      <c r="W27" s="454"/>
      <c r="X27" s="454"/>
      <c r="Y27" s="29" t="b">
        <v>0</v>
      </c>
      <c r="Z27" s="625" t="b">
        <v>0</v>
      </c>
      <c r="AA27" s="454"/>
      <c r="AB27" s="454"/>
      <c r="AC27" s="29" t="b">
        <v>0</v>
      </c>
      <c r="AD27" s="625" t="b">
        <v>0</v>
      </c>
      <c r="AE27" s="454"/>
      <c r="AF27" s="454"/>
      <c r="AG27" s="29" t="b">
        <v>0</v>
      </c>
      <c r="AH27" s="625" t="b">
        <v>0</v>
      </c>
    </row>
    <row r="28" customHeight="1" spans="2:34">
      <c r="B28" s="207"/>
      <c r="F28" s="618"/>
      <c r="G28" s="618" t="b">
        <v>0</v>
      </c>
      <c r="H28" s="29" t="b">
        <v>0</v>
      </c>
      <c r="I28" s="454"/>
      <c r="J28" s="615" t="s">
        <v>951</v>
      </c>
      <c r="K28" s="624"/>
      <c r="L28" s="454"/>
      <c r="N28" s="625"/>
      <c r="O28" s="454"/>
      <c r="P28" s="454"/>
      <c r="R28" s="625"/>
      <c r="S28" s="454"/>
      <c r="T28" s="454"/>
      <c r="V28" s="625"/>
      <c r="W28" s="454"/>
      <c r="X28" s="454"/>
      <c r="Z28" s="625"/>
      <c r="AA28" s="454"/>
      <c r="AB28" s="454"/>
      <c r="AD28" s="625"/>
      <c r="AE28" s="454"/>
      <c r="AF28" s="454"/>
      <c r="AH28" s="625"/>
    </row>
    <row r="29" customHeight="1" spans="1:34">
      <c r="A29" s="29" t="s">
        <v>882</v>
      </c>
      <c r="B29" s="207" t="b">
        <v>0</v>
      </c>
      <c r="C29" s="29" t="b">
        <v>0</v>
      </c>
      <c r="D29" s="29" t="b">
        <v>0</v>
      </c>
      <c r="E29" s="29" t="b">
        <v>0</v>
      </c>
      <c r="F29" s="618" t="b">
        <v>1</v>
      </c>
      <c r="G29" s="618" t="b">
        <v>0</v>
      </c>
      <c r="H29" s="29" t="b">
        <v>0</v>
      </c>
      <c r="I29" s="454"/>
      <c r="J29" s="615" t="s">
        <v>951</v>
      </c>
      <c r="K29" s="624"/>
      <c r="L29" s="454"/>
      <c r="M29" s="29" t="b">
        <v>0</v>
      </c>
      <c r="N29" s="625" t="b">
        <v>0</v>
      </c>
      <c r="O29" s="454"/>
      <c r="P29" s="454"/>
      <c r="Q29" s="29" t="b">
        <v>0</v>
      </c>
      <c r="R29" s="625" t="b">
        <v>0</v>
      </c>
      <c r="S29" s="454"/>
      <c r="T29" s="454"/>
      <c r="U29" s="29" t="b">
        <v>0</v>
      </c>
      <c r="V29" s="625" t="b">
        <v>0</v>
      </c>
      <c r="W29" s="454"/>
      <c r="X29" s="454"/>
      <c r="Y29" s="29" t="b">
        <v>0</v>
      </c>
      <c r="Z29" s="625" t="b">
        <v>0</v>
      </c>
      <c r="AA29" s="454"/>
      <c r="AB29" s="454"/>
      <c r="AC29" s="29" t="b">
        <v>0</v>
      </c>
      <c r="AD29" s="625" t="b">
        <v>0</v>
      </c>
      <c r="AE29" s="454"/>
      <c r="AF29" s="454"/>
      <c r="AG29" s="29" t="b">
        <v>0</v>
      </c>
      <c r="AH29" s="625" t="b">
        <v>0</v>
      </c>
    </row>
    <row r="30" customHeight="1" spans="1:34">
      <c r="A30" s="29" t="s">
        <v>883</v>
      </c>
      <c r="B30" s="207" t="b">
        <v>1</v>
      </c>
      <c r="C30" s="29" t="b">
        <v>1</v>
      </c>
      <c r="D30" s="29" t="b">
        <v>0</v>
      </c>
      <c r="E30" s="29" t="b">
        <v>0</v>
      </c>
      <c r="F30" s="618" t="b">
        <v>0</v>
      </c>
      <c r="G30" s="618" t="b">
        <v>0</v>
      </c>
      <c r="H30" s="29" t="b">
        <v>0</v>
      </c>
      <c r="I30" s="454"/>
      <c r="J30" s="615" t="s">
        <v>951</v>
      </c>
      <c r="K30" s="624"/>
      <c r="L30" s="454"/>
      <c r="M30" s="29" t="b">
        <v>0</v>
      </c>
      <c r="N30" s="625" t="b">
        <v>0</v>
      </c>
      <c r="O30" s="454"/>
      <c r="P30" s="454"/>
      <c r="Q30" s="29" t="b">
        <v>0</v>
      </c>
      <c r="R30" s="625" t="b">
        <v>0</v>
      </c>
      <c r="S30" s="454"/>
      <c r="T30" s="454"/>
      <c r="U30" s="29" t="b">
        <v>0</v>
      </c>
      <c r="V30" s="625" t="b">
        <v>0</v>
      </c>
      <c r="W30" s="454"/>
      <c r="X30" s="454"/>
      <c r="Y30" s="29" t="b">
        <v>0</v>
      </c>
      <c r="Z30" s="625" t="b">
        <v>0</v>
      </c>
      <c r="AA30" s="454"/>
      <c r="AB30" s="454"/>
      <c r="AC30" s="29" t="b">
        <v>0</v>
      </c>
      <c r="AD30" s="625" t="b">
        <v>0</v>
      </c>
      <c r="AE30" s="454"/>
      <c r="AF30" s="454"/>
      <c r="AG30" s="29" t="b">
        <v>0</v>
      </c>
      <c r="AH30" s="625" t="b">
        <v>0</v>
      </c>
    </row>
    <row r="31" customHeight="1" spans="1:34">
      <c r="A31" s="29" t="s">
        <v>963</v>
      </c>
      <c r="B31" s="207" t="b">
        <v>0</v>
      </c>
      <c r="C31" s="308" t="b">
        <v>0</v>
      </c>
      <c r="D31" s="308" t="b">
        <v>0</v>
      </c>
      <c r="E31" s="308" t="b">
        <v>0</v>
      </c>
      <c r="F31" s="618" t="b">
        <v>1</v>
      </c>
      <c r="G31" s="620" t="b">
        <v>0</v>
      </c>
      <c r="H31" s="308" t="b">
        <v>0</v>
      </c>
      <c r="I31" s="454"/>
      <c r="J31" s="615" t="s">
        <v>951</v>
      </c>
      <c r="K31" s="624"/>
      <c r="L31" s="454"/>
      <c r="M31" s="308" t="b">
        <v>0</v>
      </c>
      <c r="N31" s="627" t="b">
        <v>0</v>
      </c>
      <c r="O31" s="454"/>
      <c r="P31" s="454"/>
      <c r="Q31" s="308" t="b">
        <v>0</v>
      </c>
      <c r="R31" s="627" t="b">
        <v>0</v>
      </c>
      <c r="S31" s="454"/>
      <c r="T31" s="454"/>
      <c r="U31" s="308" t="b">
        <v>0</v>
      </c>
      <c r="V31" s="627" t="b">
        <v>0</v>
      </c>
      <c r="W31" s="454"/>
      <c r="X31" s="454"/>
      <c r="Y31" s="308" t="b">
        <v>0</v>
      </c>
      <c r="Z31" s="627" t="b">
        <v>0</v>
      </c>
      <c r="AA31" s="454"/>
      <c r="AB31" s="454"/>
      <c r="AC31" s="308" t="b">
        <v>0</v>
      </c>
      <c r="AD31" s="627" t="b">
        <v>0</v>
      </c>
      <c r="AE31" s="454"/>
      <c r="AF31" s="454"/>
      <c r="AG31" s="308" t="b">
        <v>0</v>
      </c>
      <c r="AH31" s="627" t="b">
        <v>0</v>
      </c>
    </row>
    <row r="32" customHeight="1" spans="1:34">
      <c r="A32" s="29" t="s">
        <v>884</v>
      </c>
      <c r="B32" s="207" t="b">
        <v>0</v>
      </c>
      <c r="C32" s="29" t="b">
        <v>0</v>
      </c>
      <c r="D32" s="29" t="b">
        <v>0</v>
      </c>
      <c r="E32" s="29" t="b">
        <v>0</v>
      </c>
      <c r="F32" s="618" t="b">
        <v>1</v>
      </c>
      <c r="G32" s="618" t="b">
        <v>0</v>
      </c>
      <c r="H32" s="29" t="b">
        <v>0</v>
      </c>
      <c r="I32" s="454"/>
      <c r="J32" s="615" t="s">
        <v>951</v>
      </c>
      <c r="K32" s="624"/>
      <c r="L32" s="454"/>
      <c r="M32" s="29" t="b">
        <v>0</v>
      </c>
      <c r="N32" s="625" t="b">
        <v>0</v>
      </c>
      <c r="O32" s="454"/>
      <c r="P32" s="454"/>
      <c r="Q32" s="29" t="b">
        <v>0</v>
      </c>
      <c r="R32" s="625" t="b">
        <v>0</v>
      </c>
      <c r="S32" s="454"/>
      <c r="T32" s="454"/>
      <c r="U32" s="29" t="b">
        <v>0</v>
      </c>
      <c r="V32" s="625" t="b">
        <v>0</v>
      </c>
      <c r="W32" s="454"/>
      <c r="X32" s="454"/>
      <c r="Y32" s="29" t="b">
        <v>0</v>
      </c>
      <c r="Z32" s="625" t="b">
        <v>0</v>
      </c>
      <c r="AA32" s="454"/>
      <c r="AB32" s="454"/>
      <c r="AC32" s="29" t="b">
        <v>0</v>
      </c>
      <c r="AD32" s="625" t="b">
        <v>0</v>
      </c>
      <c r="AE32" s="454"/>
      <c r="AF32" s="454"/>
      <c r="AG32" s="29" t="b">
        <v>0</v>
      </c>
      <c r="AH32" s="625" t="b">
        <v>0</v>
      </c>
    </row>
    <row r="33" customHeight="1" spans="2:32">
      <c r="B33" s="207"/>
      <c r="F33" s="618"/>
      <c r="G33" s="618" t="b">
        <v>0</v>
      </c>
      <c r="H33" s="29" t="b">
        <v>0</v>
      </c>
      <c r="I33" s="454"/>
      <c r="J33" s="615" t="s">
        <v>951</v>
      </c>
      <c r="K33" s="454"/>
      <c r="L33" s="454"/>
      <c r="O33" s="454"/>
      <c r="P33" s="454"/>
      <c r="S33" s="454"/>
      <c r="T33" s="454"/>
      <c r="W33" s="454"/>
      <c r="X33" s="454"/>
      <c r="AA33" s="454"/>
      <c r="AB33" s="454"/>
      <c r="AE33" s="454"/>
      <c r="AF33" s="454"/>
    </row>
    <row r="34" customHeight="1" spans="1:34">
      <c r="A34" s="29" t="s">
        <v>885</v>
      </c>
      <c r="B34" s="207" t="b">
        <v>0</v>
      </c>
      <c r="C34" s="29" t="b">
        <v>0</v>
      </c>
      <c r="D34" s="29" t="b">
        <v>0</v>
      </c>
      <c r="E34" s="29" t="b">
        <v>0</v>
      </c>
      <c r="F34" s="618" t="b">
        <v>1</v>
      </c>
      <c r="G34" s="618" t="b">
        <v>0</v>
      </c>
      <c r="H34" s="29" t="b">
        <v>0</v>
      </c>
      <c r="I34" s="454"/>
      <c r="J34" s="615" t="s">
        <v>951</v>
      </c>
      <c r="K34" s="454"/>
      <c r="L34" s="454"/>
      <c r="M34" s="29" t="b">
        <v>0</v>
      </c>
      <c r="N34" s="29" t="b">
        <v>0</v>
      </c>
      <c r="O34" s="454"/>
      <c r="P34" s="454"/>
      <c r="Q34" s="29" t="b">
        <v>0</v>
      </c>
      <c r="R34" s="29" t="b">
        <v>0</v>
      </c>
      <c r="S34" s="454"/>
      <c r="T34" s="454"/>
      <c r="U34" s="29" t="b">
        <v>0</v>
      </c>
      <c r="V34" s="29" t="b">
        <v>0</v>
      </c>
      <c r="W34" s="454"/>
      <c r="X34" s="454"/>
      <c r="Y34" s="29" t="b">
        <v>0</v>
      </c>
      <c r="Z34" s="29" t="b">
        <v>0</v>
      </c>
      <c r="AA34" s="454"/>
      <c r="AB34" s="454"/>
      <c r="AC34" s="29" t="b">
        <v>0</v>
      </c>
      <c r="AD34" s="29" t="b">
        <v>0</v>
      </c>
      <c r="AE34" s="454"/>
      <c r="AF34" s="454"/>
      <c r="AG34" s="29" t="b">
        <v>0</v>
      </c>
      <c r="AH34" s="29" t="b">
        <v>0</v>
      </c>
    </row>
    <row r="35" customHeight="1" spans="1:34">
      <c r="A35" s="29" t="s">
        <v>886</v>
      </c>
      <c r="B35" s="207" t="b">
        <v>0</v>
      </c>
      <c r="C35" s="29" t="b">
        <v>0</v>
      </c>
      <c r="D35" s="29" t="b">
        <v>0</v>
      </c>
      <c r="E35" s="29" t="b">
        <v>0</v>
      </c>
      <c r="F35" s="618" t="b">
        <v>1</v>
      </c>
      <c r="G35" s="618" t="b">
        <v>0</v>
      </c>
      <c r="H35" s="29" t="b">
        <v>0</v>
      </c>
      <c r="I35" s="454"/>
      <c r="J35" s="615" t="s">
        <v>951</v>
      </c>
      <c r="K35" s="454"/>
      <c r="L35" s="454"/>
      <c r="M35" s="29" t="b">
        <v>0</v>
      </c>
      <c r="N35" s="29" t="b">
        <v>0</v>
      </c>
      <c r="O35" s="454"/>
      <c r="P35" s="454"/>
      <c r="Q35" s="29" t="b">
        <v>0</v>
      </c>
      <c r="R35" s="29" t="b">
        <v>0</v>
      </c>
      <c r="S35" s="454"/>
      <c r="T35" s="454"/>
      <c r="U35" s="29" t="b">
        <v>0</v>
      </c>
      <c r="V35" s="29" t="b">
        <v>0</v>
      </c>
      <c r="W35" s="454"/>
      <c r="X35" s="454"/>
      <c r="Y35" s="29" t="b">
        <v>0</v>
      </c>
      <c r="Z35" s="29" t="b">
        <v>0</v>
      </c>
      <c r="AA35" s="454"/>
      <c r="AB35" s="454"/>
      <c r="AC35" s="29" t="b">
        <v>0</v>
      </c>
      <c r="AD35" s="29" t="b">
        <v>0</v>
      </c>
      <c r="AE35" s="454"/>
      <c r="AF35" s="454"/>
      <c r="AG35" s="29" t="b">
        <v>0</v>
      </c>
      <c r="AH35" s="29" t="b">
        <v>0</v>
      </c>
    </row>
    <row r="36" customHeight="1" spans="1:34">
      <c r="A36" s="29" t="s">
        <v>887</v>
      </c>
      <c r="B36" s="207" t="b">
        <v>0</v>
      </c>
      <c r="C36" s="29" t="b">
        <v>0</v>
      </c>
      <c r="D36" s="29" t="b">
        <v>0</v>
      </c>
      <c r="E36" s="29" t="b">
        <v>0</v>
      </c>
      <c r="F36" s="618" t="b">
        <v>1</v>
      </c>
      <c r="G36" s="618" t="b">
        <v>0</v>
      </c>
      <c r="H36" s="29" t="b">
        <v>0</v>
      </c>
      <c r="I36" s="454"/>
      <c r="J36" s="615" t="s">
        <v>951</v>
      </c>
      <c r="K36" s="454"/>
      <c r="L36" s="454"/>
      <c r="M36" s="29" t="b">
        <v>0</v>
      </c>
      <c r="N36" s="29" t="b">
        <v>0</v>
      </c>
      <c r="O36" s="454"/>
      <c r="P36" s="454"/>
      <c r="Q36" s="29" t="b">
        <v>0</v>
      </c>
      <c r="R36" s="29" t="b">
        <v>0</v>
      </c>
      <c r="S36" s="454"/>
      <c r="T36" s="454"/>
      <c r="U36" s="29" t="b">
        <v>0</v>
      </c>
      <c r="V36" s="29" t="b">
        <v>0</v>
      </c>
      <c r="W36" s="454"/>
      <c r="X36" s="454"/>
      <c r="Y36" s="29" t="b">
        <v>0</v>
      </c>
      <c r="Z36" s="29" t="b">
        <v>0</v>
      </c>
      <c r="AA36" s="454"/>
      <c r="AB36" s="454"/>
      <c r="AC36" s="29" t="b">
        <v>0</v>
      </c>
      <c r="AD36" s="29" t="b">
        <v>0</v>
      </c>
      <c r="AE36" s="454"/>
      <c r="AF36" s="454"/>
      <c r="AG36" s="29" t="b">
        <v>0</v>
      </c>
      <c r="AH36" s="29" t="b">
        <v>0</v>
      </c>
    </row>
    <row r="37" customHeight="1" spans="1:34">
      <c r="A37" s="29" t="s">
        <v>888</v>
      </c>
      <c r="B37" s="207" t="b">
        <v>0</v>
      </c>
      <c r="C37" s="29" t="b">
        <v>0</v>
      </c>
      <c r="D37" s="29" t="b">
        <v>0</v>
      </c>
      <c r="E37" s="29" t="b">
        <v>0</v>
      </c>
      <c r="F37" s="618" t="b">
        <v>1</v>
      </c>
      <c r="G37" s="618" t="b">
        <v>0</v>
      </c>
      <c r="H37" s="29" t="b">
        <v>0</v>
      </c>
      <c r="I37" s="454"/>
      <c r="J37" s="615" t="s">
        <v>951</v>
      </c>
      <c r="K37" s="454"/>
      <c r="L37" s="454"/>
      <c r="M37" s="29" t="b">
        <v>0</v>
      </c>
      <c r="N37" s="29" t="b">
        <v>0</v>
      </c>
      <c r="O37" s="454"/>
      <c r="P37" s="454"/>
      <c r="Q37" s="29" t="b">
        <v>0</v>
      </c>
      <c r="R37" s="29" t="b">
        <v>0</v>
      </c>
      <c r="S37" s="454"/>
      <c r="T37" s="454"/>
      <c r="U37" s="29" t="b">
        <v>0</v>
      </c>
      <c r="V37" s="29" t="b">
        <v>0</v>
      </c>
      <c r="W37" s="454"/>
      <c r="X37" s="454"/>
      <c r="Y37" s="29" t="b">
        <v>0</v>
      </c>
      <c r="Z37" s="29" t="b">
        <v>0</v>
      </c>
      <c r="AA37" s="454"/>
      <c r="AB37" s="454"/>
      <c r="AC37" s="29" t="b">
        <v>0</v>
      </c>
      <c r="AD37" s="29" t="b">
        <v>0</v>
      </c>
      <c r="AE37" s="454"/>
      <c r="AF37" s="454"/>
      <c r="AG37" s="29" t="b">
        <v>0</v>
      </c>
      <c r="AH37" s="29" t="b">
        <v>0</v>
      </c>
    </row>
    <row r="38" customHeight="1" spans="1:34">
      <c r="A38" s="29" t="s">
        <v>889</v>
      </c>
      <c r="B38" s="207" t="b">
        <v>0</v>
      </c>
      <c r="C38" s="29" t="b">
        <v>0</v>
      </c>
      <c r="D38" s="29" t="b">
        <v>0</v>
      </c>
      <c r="E38" s="29" t="b">
        <v>0</v>
      </c>
      <c r="F38" s="618" t="b">
        <v>1</v>
      </c>
      <c r="G38" s="618" t="b">
        <v>0</v>
      </c>
      <c r="H38" s="29" t="b">
        <v>0</v>
      </c>
      <c r="I38" s="454"/>
      <c r="J38" s="615" t="s">
        <v>951</v>
      </c>
      <c r="K38" s="454"/>
      <c r="L38" s="454"/>
      <c r="M38" s="29" t="b">
        <v>0</v>
      </c>
      <c r="N38" s="29" t="b">
        <v>0</v>
      </c>
      <c r="O38" s="454"/>
      <c r="P38" s="454"/>
      <c r="Q38" s="29" t="b">
        <v>0</v>
      </c>
      <c r="R38" s="29" t="b">
        <v>0</v>
      </c>
      <c r="S38" s="454"/>
      <c r="T38" s="454"/>
      <c r="U38" s="29" t="b">
        <v>0</v>
      </c>
      <c r="V38" s="29" t="b">
        <v>0</v>
      </c>
      <c r="W38" s="454"/>
      <c r="X38" s="454"/>
      <c r="Y38" s="29" t="b">
        <v>0</v>
      </c>
      <c r="Z38" s="29" t="b">
        <v>0</v>
      </c>
      <c r="AA38" s="454"/>
      <c r="AB38" s="454"/>
      <c r="AC38" s="29" t="b">
        <v>0</v>
      </c>
      <c r="AD38" s="29" t="b">
        <v>0</v>
      </c>
      <c r="AE38" s="454"/>
      <c r="AF38" s="454"/>
      <c r="AG38" s="29" t="b">
        <v>0</v>
      </c>
      <c r="AH38" s="29" t="b">
        <v>0</v>
      </c>
    </row>
    <row r="39" customHeight="1" spans="1:34">
      <c r="A39" s="29" t="s">
        <v>890</v>
      </c>
      <c r="B39" s="207" t="b">
        <v>0</v>
      </c>
      <c r="C39" s="29" t="b">
        <v>0</v>
      </c>
      <c r="D39" s="29" t="b">
        <v>0</v>
      </c>
      <c r="E39" s="29" t="b">
        <v>0</v>
      </c>
      <c r="F39" s="618" t="b">
        <v>1</v>
      </c>
      <c r="G39" s="618" t="b">
        <v>0</v>
      </c>
      <c r="H39" s="29" t="b">
        <v>0</v>
      </c>
      <c r="I39" s="454"/>
      <c r="J39" s="615" t="s">
        <v>951</v>
      </c>
      <c r="K39" s="454"/>
      <c r="L39" s="454"/>
      <c r="M39" s="29" t="b">
        <v>0</v>
      </c>
      <c r="N39" s="29" t="b">
        <v>0</v>
      </c>
      <c r="O39" s="454"/>
      <c r="P39" s="454"/>
      <c r="Q39" s="29" t="b">
        <v>0</v>
      </c>
      <c r="R39" s="29" t="b">
        <v>0</v>
      </c>
      <c r="S39" s="454"/>
      <c r="T39" s="454"/>
      <c r="U39" s="29" t="b">
        <v>0</v>
      </c>
      <c r="V39" s="29" t="b">
        <v>0</v>
      </c>
      <c r="W39" s="454"/>
      <c r="X39" s="454"/>
      <c r="Y39" s="29" t="b">
        <v>0</v>
      </c>
      <c r="Z39" s="29" t="b">
        <v>0</v>
      </c>
      <c r="AA39" s="454"/>
      <c r="AB39" s="454"/>
      <c r="AC39" s="29" t="b">
        <v>0</v>
      </c>
      <c r="AD39" s="29" t="b">
        <v>0</v>
      </c>
      <c r="AE39" s="454"/>
      <c r="AF39" s="454"/>
      <c r="AG39" s="29" t="b">
        <v>0</v>
      </c>
      <c r="AH39" s="29" t="b">
        <v>0</v>
      </c>
    </row>
    <row r="40" customHeight="1" spans="1:34">
      <c r="A40" s="29" t="s">
        <v>891</v>
      </c>
      <c r="B40" s="207" t="b">
        <v>0</v>
      </c>
      <c r="C40" s="29" t="b">
        <v>0</v>
      </c>
      <c r="D40" s="29" t="b">
        <v>0</v>
      </c>
      <c r="E40" s="29" t="b">
        <v>0</v>
      </c>
      <c r="F40" s="618" t="b">
        <v>1</v>
      </c>
      <c r="G40" s="618" t="b">
        <v>0</v>
      </c>
      <c r="H40" s="29" t="b">
        <v>0</v>
      </c>
      <c r="I40" s="454"/>
      <c r="J40" s="615" t="s">
        <v>951</v>
      </c>
      <c r="K40" s="454"/>
      <c r="L40" s="454"/>
      <c r="M40" s="29" t="b">
        <v>0</v>
      </c>
      <c r="N40" s="29" t="b">
        <v>0</v>
      </c>
      <c r="O40" s="454"/>
      <c r="P40" s="454"/>
      <c r="Q40" s="29" t="b">
        <v>0</v>
      </c>
      <c r="R40" s="29" t="b">
        <v>0</v>
      </c>
      <c r="S40" s="454"/>
      <c r="T40" s="454"/>
      <c r="U40" s="29" t="b">
        <v>0</v>
      </c>
      <c r="V40" s="29" t="b">
        <v>0</v>
      </c>
      <c r="W40" s="454"/>
      <c r="X40" s="454"/>
      <c r="Y40" s="29" t="b">
        <v>0</v>
      </c>
      <c r="Z40" s="29" t="b">
        <v>0</v>
      </c>
      <c r="AA40" s="454"/>
      <c r="AB40" s="454"/>
      <c r="AC40" s="29" t="b">
        <v>0</v>
      </c>
      <c r="AD40" s="29" t="b">
        <v>0</v>
      </c>
      <c r="AE40" s="454"/>
      <c r="AF40" s="454"/>
      <c r="AG40" s="29" t="b">
        <v>0</v>
      </c>
      <c r="AH40" s="29" t="b">
        <v>0</v>
      </c>
    </row>
    <row r="41" customHeight="1" spans="1:34">
      <c r="A41" s="29" t="s">
        <v>892</v>
      </c>
      <c r="B41" s="207" t="b">
        <v>0</v>
      </c>
      <c r="C41" s="29" t="b">
        <v>0</v>
      </c>
      <c r="D41" s="29" t="b">
        <v>0</v>
      </c>
      <c r="E41" s="29" t="b">
        <v>0</v>
      </c>
      <c r="F41" s="618" t="b">
        <v>1</v>
      </c>
      <c r="G41" s="618" t="b">
        <v>0</v>
      </c>
      <c r="H41" s="29" t="b">
        <v>0</v>
      </c>
      <c r="I41" s="454"/>
      <c r="J41" s="615" t="s">
        <v>951</v>
      </c>
      <c r="K41" s="454"/>
      <c r="L41" s="454"/>
      <c r="M41" s="29" t="b">
        <v>0</v>
      </c>
      <c r="N41" s="29" t="b">
        <v>0</v>
      </c>
      <c r="O41" s="454"/>
      <c r="P41" s="454"/>
      <c r="Q41" s="29" t="b">
        <v>0</v>
      </c>
      <c r="R41" s="29" t="b">
        <v>0</v>
      </c>
      <c r="S41" s="454"/>
      <c r="T41" s="454"/>
      <c r="U41" s="29" t="b">
        <v>0</v>
      </c>
      <c r="V41" s="29" t="b">
        <v>0</v>
      </c>
      <c r="W41" s="454"/>
      <c r="X41" s="454"/>
      <c r="Y41" s="29" t="b">
        <v>0</v>
      </c>
      <c r="Z41" s="29" t="b">
        <v>0</v>
      </c>
      <c r="AA41" s="454"/>
      <c r="AB41" s="454"/>
      <c r="AC41" s="29" t="b">
        <v>0</v>
      </c>
      <c r="AD41" s="29" t="b">
        <v>0</v>
      </c>
      <c r="AE41" s="454"/>
      <c r="AF41" s="454"/>
      <c r="AG41" s="29" t="b">
        <v>0</v>
      </c>
      <c r="AH41" s="29" t="b">
        <v>0</v>
      </c>
    </row>
    <row r="42" customHeight="1" spans="1:34">
      <c r="A42" s="29" t="s">
        <v>893</v>
      </c>
      <c r="B42" s="207" t="b">
        <v>0</v>
      </c>
      <c r="C42" s="29" t="b">
        <v>0</v>
      </c>
      <c r="D42" s="29" t="b">
        <v>0</v>
      </c>
      <c r="E42" s="29" t="b">
        <v>0</v>
      </c>
      <c r="F42" s="618" t="b">
        <v>1</v>
      </c>
      <c r="G42" s="618" t="b">
        <v>0</v>
      </c>
      <c r="H42" s="29" t="b">
        <v>0</v>
      </c>
      <c r="I42" s="454"/>
      <c r="J42" s="615" t="s">
        <v>951</v>
      </c>
      <c r="K42" s="454"/>
      <c r="L42" s="454"/>
      <c r="M42" s="29" t="b">
        <v>0</v>
      </c>
      <c r="N42" s="29" t="b">
        <v>0</v>
      </c>
      <c r="O42" s="454"/>
      <c r="P42" s="454"/>
      <c r="Q42" s="29" t="b">
        <v>0</v>
      </c>
      <c r="R42" s="29" t="b">
        <v>0</v>
      </c>
      <c r="S42" s="454"/>
      <c r="T42" s="454"/>
      <c r="U42" s="29" t="b">
        <v>0</v>
      </c>
      <c r="V42" s="29" t="b">
        <v>0</v>
      </c>
      <c r="W42" s="454"/>
      <c r="X42" s="454"/>
      <c r="Y42" s="29" t="b">
        <v>0</v>
      </c>
      <c r="Z42" s="29" t="b">
        <v>0</v>
      </c>
      <c r="AA42" s="454"/>
      <c r="AB42" s="454"/>
      <c r="AC42" s="29" t="b">
        <v>0</v>
      </c>
      <c r="AD42" s="29" t="b">
        <v>0</v>
      </c>
      <c r="AE42" s="454"/>
      <c r="AF42" s="454"/>
      <c r="AG42" s="29" t="b">
        <v>0</v>
      </c>
      <c r="AH42" s="29" t="b">
        <v>0</v>
      </c>
    </row>
    <row r="43" customHeight="1" spans="1:34">
      <c r="A43" s="29" t="s">
        <v>894</v>
      </c>
      <c r="B43" s="207" t="b">
        <v>0</v>
      </c>
      <c r="C43" s="29" t="b">
        <v>0</v>
      </c>
      <c r="D43" s="29" t="b">
        <v>0</v>
      </c>
      <c r="E43" s="29" t="b">
        <v>0</v>
      </c>
      <c r="F43" s="618" t="b">
        <v>1</v>
      </c>
      <c r="G43" s="618" t="b">
        <v>0</v>
      </c>
      <c r="H43" s="29" t="b">
        <v>0</v>
      </c>
      <c r="I43" s="454"/>
      <c r="J43" s="615" t="s">
        <v>951</v>
      </c>
      <c r="K43" s="454"/>
      <c r="L43" s="454"/>
      <c r="M43" s="29" t="b">
        <v>0</v>
      </c>
      <c r="N43" s="29" t="b">
        <v>0</v>
      </c>
      <c r="O43" s="454"/>
      <c r="P43" s="454"/>
      <c r="Q43" s="29" t="b">
        <v>0</v>
      </c>
      <c r="R43" s="29" t="b">
        <v>0</v>
      </c>
      <c r="S43" s="454"/>
      <c r="T43" s="454"/>
      <c r="U43" s="29" t="b">
        <v>0</v>
      </c>
      <c r="V43" s="29" t="b">
        <v>0</v>
      </c>
      <c r="W43" s="454"/>
      <c r="X43" s="454"/>
      <c r="Y43" s="29" t="b">
        <v>0</v>
      </c>
      <c r="Z43" s="29" t="b">
        <v>0</v>
      </c>
      <c r="AA43" s="454"/>
      <c r="AB43" s="454"/>
      <c r="AC43" s="29" t="b">
        <v>0</v>
      </c>
      <c r="AD43" s="29" t="b">
        <v>0</v>
      </c>
      <c r="AE43" s="454"/>
      <c r="AF43" s="454"/>
      <c r="AG43" s="29" t="b">
        <v>0</v>
      </c>
      <c r="AH43" s="29" t="b">
        <v>0</v>
      </c>
    </row>
    <row r="44" customHeight="1" spans="1:34">
      <c r="A44" s="29" t="s">
        <v>895</v>
      </c>
      <c r="B44" s="207" t="b">
        <v>0</v>
      </c>
      <c r="C44" s="29" t="b">
        <v>0</v>
      </c>
      <c r="D44" s="29" t="b">
        <v>0</v>
      </c>
      <c r="E44" s="29" t="b">
        <v>0</v>
      </c>
      <c r="F44" s="618" t="b">
        <v>1</v>
      </c>
      <c r="G44" s="618" t="b">
        <v>0</v>
      </c>
      <c r="H44" s="29" t="b">
        <v>0</v>
      </c>
      <c r="I44" s="454"/>
      <c r="J44" s="615" t="s">
        <v>951</v>
      </c>
      <c r="K44" s="454"/>
      <c r="L44" s="454"/>
      <c r="M44" s="29" t="b">
        <v>0</v>
      </c>
      <c r="N44" s="29" t="b">
        <v>0</v>
      </c>
      <c r="O44" s="454"/>
      <c r="P44" s="454"/>
      <c r="Q44" s="29" t="b">
        <v>0</v>
      </c>
      <c r="R44" s="29" t="b">
        <v>0</v>
      </c>
      <c r="S44" s="454"/>
      <c r="T44" s="454"/>
      <c r="U44" s="29" t="b">
        <v>0</v>
      </c>
      <c r="V44" s="29" t="b">
        <v>0</v>
      </c>
      <c r="W44" s="454"/>
      <c r="X44" s="454"/>
      <c r="Y44" s="29" t="b">
        <v>0</v>
      </c>
      <c r="Z44" s="29" t="b">
        <v>0</v>
      </c>
      <c r="AA44" s="454"/>
      <c r="AB44" s="454"/>
      <c r="AC44" s="29" t="b">
        <v>0</v>
      </c>
      <c r="AD44" s="29" t="b">
        <v>0</v>
      </c>
      <c r="AE44" s="454"/>
      <c r="AF44" s="454"/>
      <c r="AG44" s="29" t="b">
        <v>0</v>
      </c>
      <c r="AH44" s="29" t="b">
        <v>0</v>
      </c>
    </row>
    <row r="45" customHeight="1" spans="1:34">
      <c r="A45" s="29" t="s">
        <v>896</v>
      </c>
      <c r="B45" s="207" t="b">
        <v>0</v>
      </c>
      <c r="C45" s="29" t="b">
        <v>0</v>
      </c>
      <c r="D45" s="29" t="b">
        <v>0</v>
      </c>
      <c r="E45" s="29" t="b">
        <v>0</v>
      </c>
      <c r="F45" s="618" t="b">
        <v>1</v>
      </c>
      <c r="G45" s="618" t="b">
        <v>0</v>
      </c>
      <c r="H45" s="29" t="b">
        <v>0</v>
      </c>
      <c r="I45" s="454"/>
      <c r="J45" s="454"/>
      <c r="K45" s="454"/>
      <c r="L45" s="454"/>
      <c r="M45" s="29" t="b">
        <v>0</v>
      </c>
      <c r="N45" s="29" t="b">
        <v>0</v>
      </c>
      <c r="O45" s="454"/>
      <c r="P45" s="454"/>
      <c r="Q45" s="29" t="b">
        <v>0</v>
      </c>
      <c r="R45" s="29" t="b">
        <v>0</v>
      </c>
      <c r="S45" s="454"/>
      <c r="T45" s="454"/>
      <c r="U45" s="29" t="b">
        <v>0</v>
      </c>
      <c r="V45" s="29" t="b">
        <v>0</v>
      </c>
      <c r="W45" s="454"/>
      <c r="X45" s="454"/>
      <c r="Y45" s="29" t="b">
        <v>0</v>
      </c>
      <c r="Z45" s="29" t="b">
        <v>0</v>
      </c>
      <c r="AA45" s="454"/>
      <c r="AB45" s="454"/>
      <c r="AC45" s="29" t="b">
        <v>0</v>
      </c>
      <c r="AD45" s="29" t="b">
        <v>0</v>
      </c>
      <c r="AE45" s="454"/>
      <c r="AF45" s="454"/>
      <c r="AG45" s="29" t="b">
        <v>0</v>
      </c>
      <c r="AH45" s="29" t="b">
        <v>0</v>
      </c>
    </row>
    <row r="46" customHeight="1" spans="1:34">
      <c r="A46" s="29" t="s">
        <v>897</v>
      </c>
      <c r="B46" s="207" t="b">
        <v>0</v>
      </c>
      <c r="C46" s="29" t="b">
        <v>0</v>
      </c>
      <c r="D46" s="29" t="b">
        <v>0</v>
      </c>
      <c r="E46" s="29" t="b">
        <v>0</v>
      </c>
      <c r="F46" s="618" t="b">
        <v>1</v>
      </c>
      <c r="G46" s="618" t="b">
        <v>0</v>
      </c>
      <c r="H46" s="29" t="b">
        <v>0</v>
      </c>
      <c r="I46" s="454"/>
      <c r="J46" s="454"/>
      <c r="K46" s="454"/>
      <c r="L46" s="454"/>
      <c r="M46" s="29" t="b">
        <v>0</v>
      </c>
      <c r="N46" s="29" t="b">
        <v>0</v>
      </c>
      <c r="O46" s="454"/>
      <c r="P46" s="454"/>
      <c r="Q46" s="29" t="b">
        <v>0</v>
      </c>
      <c r="R46" s="29" t="b">
        <v>0</v>
      </c>
      <c r="S46" s="454"/>
      <c r="T46" s="454"/>
      <c r="U46" s="29" t="b">
        <v>0</v>
      </c>
      <c r="V46" s="29" t="b">
        <v>0</v>
      </c>
      <c r="W46" s="454"/>
      <c r="X46" s="454"/>
      <c r="Y46" s="29" t="b">
        <v>0</v>
      </c>
      <c r="Z46" s="29" t="b">
        <v>0</v>
      </c>
      <c r="AA46" s="454"/>
      <c r="AB46" s="454"/>
      <c r="AC46" s="29" t="b">
        <v>0</v>
      </c>
      <c r="AD46" s="29" t="b">
        <v>0</v>
      </c>
      <c r="AE46" s="454"/>
      <c r="AF46" s="454"/>
      <c r="AG46" s="29" t="b">
        <v>0</v>
      </c>
      <c r="AH46" s="29" t="b">
        <v>0</v>
      </c>
    </row>
    <row r="47" customHeight="1" spans="1:34">
      <c r="A47" s="29" t="s">
        <v>898</v>
      </c>
      <c r="B47" s="207" t="b">
        <v>0</v>
      </c>
      <c r="C47" s="29" t="b">
        <v>0</v>
      </c>
      <c r="D47" s="29" t="b">
        <v>0</v>
      </c>
      <c r="E47" s="29" t="b">
        <v>0</v>
      </c>
      <c r="F47" s="618" t="b">
        <v>1</v>
      </c>
      <c r="G47" s="618" t="b">
        <v>0</v>
      </c>
      <c r="H47" s="29" t="b">
        <v>0</v>
      </c>
      <c r="I47" s="454"/>
      <c r="J47" s="454"/>
      <c r="K47" s="454"/>
      <c r="L47" s="454"/>
      <c r="M47" s="29" t="b">
        <v>0</v>
      </c>
      <c r="N47" s="29" t="b">
        <v>0</v>
      </c>
      <c r="O47" s="454"/>
      <c r="P47" s="454"/>
      <c r="Q47" s="29" t="b">
        <v>0</v>
      </c>
      <c r="R47" s="29" t="b">
        <v>0</v>
      </c>
      <c r="S47" s="454"/>
      <c r="T47" s="454"/>
      <c r="U47" s="29" t="b">
        <v>0</v>
      </c>
      <c r="V47" s="29" t="b">
        <v>0</v>
      </c>
      <c r="W47" s="454"/>
      <c r="X47" s="454"/>
      <c r="Y47" s="29" t="b">
        <v>0</v>
      </c>
      <c r="Z47" s="29" t="b">
        <v>0</v>
      </c>
      <c r="AA47" s="454"/>
      <c r="AB47" s="454"/>
      <c r="AC47" s="29" t="b">
        <v>0</v>
      </c>
      <c r="AD47" s="29" t="b">
        <v>0</v>
      </c>
      <c r="AE47" s="454"/>
      <c r="AF47" s="454"/>
      <c r="AG47" s="29" t="b">
        <v>0</v>
      </c>
      <c r="AH47" s="29" t="b">
        <v>0</v>
      </c>
    </row>
    <row r="48" customHeight="1" spans="1:34">
      <c r="A48" s="29" t="s">
        <v>899</v>
      </c>
      <c r="B48" s="207" t="b">
        <v>0</v>
      </c>
      <c r="C48" s="29" t="b">
        <v>0</v>
      </c>
      <c r="D48" s="29" t="b">
        <v>0</v>
      </c>
      <c r="E48" s="29" t="b">
        <v>0</v>
      </c>
      <c r="F48" s="618" t="b">
        <v>1</v>
      </c>
      <c r="G48" s="618" t="b">
        <v>0</v>
      </c>
      <c r="H48" s="29" t="b">
        <v>0</v>
      </c>
      <c r="I48" s="454"/>
      <c r="J48" s="454"/>
      <c r="K48" s="454"/>
      <c r="L48" s="454"/>
      <c r="M48" s="29" t="b">
        <v>0</v>
      </c>
      <c r="N48" s="29" t="b">
        <v>0</v>
      </c>
      <c r="O48" s="454"/>
      <c r="P48" s="454"/>
      <c r="Q48" s="29" t="b">
        <v>0</v>
      </c>
      <c r="R48" s="29" t="b">
        <v>0</v>
      </c>
      <c r="S48" s="454"/>
      <c r="T48" s="454"/>
      <c r="U48" s="29" t="b">
        <v>0</v>
      </c>
      <c r="V48" s="29" t="b">
        <v>0</v>
      </c>
      <c r="W48" s="454"/>
      <c r="X48" s="454"/>
      <c r="Y48" s="29" t="b">
        <v>0</v>
      </c>
      <c r="Z48" s="29" t="b">
        <v>0</v>
      </c>
      <c r="AA48" s="454"/>
      <c r="AB48" s="454"/>
      <c r="AC48" s="29" t="b">
        <v>0</v>
      </c>
      <c r="AD48" s="29" t="b">
        <v>0</v>
      </c>
      <c r="AE48" s="454"/>
      <c r="AF48" s="454"/>
      <c r="AG48" s="29" t="b">
        <v>0</v>
      </c>
      <c r="AH48" s="29" t="b">
        <v>0</v>
      </c>
    </row>
    <row r="49" customHeight="1" spans="1:34">
      <c r="A49" s="29" t="s">
        <v>900</v>
      </c>
      <c r="B49" s="207" t="b">
        <v>0</v>
      </c>
      <c r="C49" s="29" t="b">
        <v>0</v>
      </c>
      <c r="D49" s="29" t="b">
        <v>0</v>
      </c>
      <c r="E49" s="29" t="b">
        <v>0</v>
      </c>
      <c r="F49" s="618" t="b">
        <v>1</v>
      </c>
      <c r="G49" s="618" t="b">
        <v>0</v>
      </c>
      <c r="H49" s="29" t="b">
        <v>0</v>
      </c>
      <c r="I49" s="454"/>
      <c r="J49" s="454"/>
      <c r="K49" s="454"/>
      <c r="L49" s="454"/>
      <c r="M49" s="29" t="b">
        <v>0</v>
      </c>
      <c r="N49" s="29" t="b">
        <v>0</v>
      </c>
      <c r="O49" s="454"/>
      <c r="P49" s="454"/>
      <c r="Q49" s="29" t="b">
        <v>0</v>
      </c>
      <c r="R49" s="29" t="b">
        <v>0</v>
      </c>
      <c r="S49" s="454"/>
      <c r="T49" s="454"/>
      <c r="U49" s="29" t="b">
        <v>0</v>
      </c>
      <c r="V49" s="29" t="b">
        <v>0</v>
      </c>
      <c r="W49" s="454"/>
      <c r="X49" s="454"/>
      <c r="Y49" s="29" t="b">
        <v>0</v>
      </c>
      <c r="Z49" s="29" t="b">
        <v>0</v>
      </c>
      <c r="AA49" s="454"/>
      <c r="AB49" s="454"/>
      <c r="AC49" s="29" t="b">
        <v>0</v>
      </c>
      <c r="AD49" s="29" t="b">
        <v>0</v>
      </c>
      <c r="AE49" s="454"/>
      <c r="AF49" s="454"/>
      <c r="AG49" s="29" t="b">
        <v>0</v>
      </c>
      <c r="AH49" s="29" t="b">
        <v>0</v>
      </c>
    </row>
    <row r="50" customHeight="1" spans="1:34">
      <c r="A50" s="29" t="s">
        <v>901</v>
      </c>
      <c r="B50" s="207" t="b">
        <v>0</v>
      </c>
      <c r="C50" s="29" t="b">
        <v>0</v>
      </c>
      <c r="D50" s="29" t="b">
        <v>0</v>
      </c>
      <c r="E50" s="29" t="b">
        <v>0</v>
      </c>
      <c r="F50" s="618" t="b">
        <v>1</v>
      </c>
      <c r="G50" s="618" t="b">
        <v>0</v>
      </c>
      <c r="H50" s="29" t="b">
        <v>0</v>
      </c>
      <c r="I50" s="454"/>
      <c r="J50" s="454"/>
      <c r="K50" s="454"/>
      <c r="L50" s="454"/>
      <c r="M50" s="29" t="b">
        <v>0</v>
      </c>
      <c r="N50" s="29" t="b">
        <v>0</v>
      </c>
      <c r="O50" s="454"/>
      <c r="P50" s="454"/>
      <c r="Q50" s="29" t="b">
        <v>0</v>
      </c>
      <c r="R50" s="29" t="b">
        <v>0</v>
      </c>
      <c r="S50" s="454"/>
      <c r="T50" s="454"/>
      <c r="U50" s="29" t="b">
        <v>0</v>
      </c>
      <c r="V50" s="29" t="b">
        <v>0</v>
      </c>
      <c r="W50" s="454"/>
      <c r="X50" s="454"/>
      <c r="Y50" s="29" t="b">
        <v>0</v>
      </c>
      <c r="Z50" s="29" t="b">
        <v>0</v>
      </c>
      <c r="AA50" s="454"/>
      <c r="AB50" s="454"/>
      <c r="AC50" s="29" t="b">
        <v>0</v>
      </c>
      <c r="AD50" s="29" t="b">
        <v>0</v>
      </c>
      <c r="AE50" s="454"/>
      <c r="AF50" s="454"/>
      <c r="AG50" s="29" t="b">
        <v>0</v>
      </c>
      <c r="AH50" s="29" t="b">
        <v>0</v>
      </c>
    </row>
    <row r="51" customHeight="1" spans="1:34">
      <c r="A51" s="29" t="s">
        <v>902</v>
      </c>
      <c r="B51" s="207" t="b">
        <v>0</v>
      </c>
      <c r="C51" s="29" t="b">
        <v>0</v>
      </c>
      <c r="D51" s="29" t="b">
        <v>0</v>
      </c>
      <c r="E51" s="29" t="b">
        <v>0</v>
      </c>
      <c r="F51" s="618" t="b">
        <v>1</v>
      </c>
      <c r="G51" s="618" t="b">
        <v>0</v>
      </c>
      <c r="H51" s="29" t="b">
        <v>0</v>
      </c>
      <c r="I51" s="454"/>
      <c r="J51" s="454"/>
      <c r="K51" s="454"/>
      <c r="L51" s="454"/>
      <c r="M51" s="29" t="b">
        <v>0</v>
      </c>
      <c r="N51" s="29" t="b">
        <v>0</v>
      </c>
      <c r="O51" s="454"/>
      <c r="P51" s="454"/>
      <c r="Q51" s="29" t="b">
        <v>0</v>
      </c>
      <c r="R51" s="29" t="b">
        <v>0</v>
      </c>
      <c r="S51" s="454"/>
      <c r="T51" s="454"/>
      <c r="U51" s="29" t="b">
        <v>0</v>
      </c>
      <c r="V51" s="29" t="b">
        <v>0</v>
      </c>
      <c r="W51" s="454"/>
      <c r="X51" s="454"/>
      <c r="Y51" s="29" t="b">
        <v>0</v>
      </c>
      <c r="Z51" s="29" t="b">
        <v>0</v>
      </c>
      <c r="AA51" s="454"/>
      <c r="AB51" s="454"/>
      <c r="AC51" s="29" t="b">
        <v>0</v>
      </c>
      <c r="AD51" s="29" t="b">
        <v>0</v>
      </c>
      <c r="AE51" s="454"/>
      <c r="AF51" s="454"/>
      <c r="AG51" s="29" t="b">
        <v>0</v>
      </c>
      <c r="AH51" s="29" t="b">
        <v>0</v>
      </c>
    </row>
    <row r="52" customHeight="1" spans="1:34">
      <c r="A52" s="29" t="s">
        <v>903</v>
      </c>
      <c r="B52" s="207" t="b">
        <v>0</v>
      </c>
      <c r="C52" s="29" t="b">
        <v>0</v>
      </c>
      <c r="D52" s="29" t="b">
        <v>0</v>
      </c>
      <c r="E52" s="29" t="b">
        <v>0</v>
      </c>
      <c r="F52" s="618" t="b">
        <v>1</v>
      </c>
      <c r="G52" s="618" t="b">
        <v>0</v>
      </c>
      <c r="H52" s="29" t="b">
        <v>0</v>
      </c>
      <c r="I52" s="454"/>
      <c r="J52" s="454"/>
      <c r="K52" s="454"/>
      <c r="L52" s="454"/>
      <c r="M52" s="29" t="b">
        <v>0</v>
      </c>
      <c r="N52" s="29" t="b">
        <v>0</v>
      </c>
      <c r="O52" s="454"/>
      <c r="P52" s="454"/>
      <c r="Q52" s="29" t="b">
        <v>0</v>
      </c>
      <c r="R52" s="29" t="b">
        <v>0</v>
      </c>
      <c r="S52" s="454"/>
      <c r="T52" s="454"/>
      <c r="U52" s="29" t="b">
        <v>0</v>
      </c>
      <c r="V52" s="29" t="b">
        <v>0</v>
      </c>
      <c r="W52" s="454"/>
      <c r="X52" s="454"/>
      <c r="Y52" s="29" t="b">
        <v>0</v>
      </c>
      <c r="Z52" s="29" t="b">
        <v>0</v>
      </c>
      <c r="AA52" s="454"/>
      <c r="AB52" s="454"/>
      <c r="AC52" s="29" t="b">
        <v>0</v>
      </c>
      <c r="AD52" s="29" t="b">
        <v>0</v>
      </c>
      <c r="AE52" s="454"/>
      <c r="AF52" s="454"/>
      <c r="AG52" s="29" t="b">
        <v>0</v>
      </c>
      <c r="AH52" s="29" t="b">
        <v>0</v>
      </c>
    </row>
    <row r="53" customHeight="1" spans="1:34">
      <c r="A53" s="29" t="s">
        <v>904</v>
      </c>
      <c r="B53" s="207" t="b">
        <v>0</v>
      </c>
      <c r="C53" s="29" t="b">
        <v>0</v>
      </c>
      <c r="D53" s="29" t="b">
        <v>0</v>
      </c>
      <c r="E53" s="29" t="b">
        <v>0</v>
      </c>
      <c r="F53" s="618" t="b">
        <v>1</v>
      </c>
      <c r="G53" s="618" t="b">
        <v>0</v>
      </c>
      <c r="H53" s="29" t="b">
        <v>0</v>
      </c>
      <c r="I53" s="454"/>
      <c r="J53" s="454"/>
      <c r="K53" s="454"/>
      <c r="L53" s="454"/>
      <c r="M53" s="29" t="b">
        <v>0</v>
      </c>
      <c r="N53" s="29" t="b">
        <v>0</v>
      </c>
      <c r="O53" s="454"/>
      <c r="P53" s="454"/>
      <c r="Q53" s="29" t="b">
        <v>0</v>
      </c>
      <c r="R53" s="29" t="b">
        <v>0</v>
      </c>
      <c r="S53" s="454"/>
      <c r="T53" s="454"/>
      <c r="U53" s="29" t="b">
        <v>0</v>
      </c>
      <c r="V53" s="29" t="b">
        <v>0</v>
      </c>
      <c r="W53" s="454"/>
      <c r="X53" s="454"/>
      <c r="Y53" s="29" t="b">
        <v>0</v>
      </c>
      <c r="Z53" s="29" t="b">
        <v>0</v>
      </c>
      <c r="AA53" s="454"/>
      <c r="AB53" s="454"/>
      <c r="AC53" s="29" t="b">
        <v>0</v>
      </c>
      <c r="AD53" s="29" t="b">
        <v>0</v>
      </c>
      <c r="AE53" s="454"/>
      <c r="AF53" s="454"/>
      <c r="AG53" s="29" t="b">
        <v>0</v>
      </c>
      <c r="AH53" s="29" t="b">
        <v>0</v>
      </c>
    </row>
    <row r="54" customHeight="1" spans="2:32">
      <c r="B54" s="207"/>
      <c r="F54" s="618"/>
      <c r="G54" s="618" t="b">
        <v>0</v>
      </c>
      <c r="H54" s="29" t="b">
        <v>0</v>
      </c>
      <c r="I54" s="454"/>
      <c r="J54" s="454"/>
      <c r="K54" s="454"/>
      <c r="L54" s="454"/>
      <c r="O54" s="454"/>
      <c r="P54" s="454"/>
      <c r="S54" s="454"/>
      <c r="T54" s="454"/>
      <c r="W54" s="454"/>
      <c r="X54" s="454"/>
      <c r="AA54" s="454"/>
      <c r="AB54" s="454"/>
      <c r="AE54" s="454"/>
      <c r="AF54" s="454"/>
    </row>
    <row r="55" customHeight="1" spans="1:34">
      <c r="A55" s="29" t="s">
        <v>905</v>
      </c>
      <c r="B55" s="207" t="b">
        <v>0</v>
      </c>
      <c r="C55" s="29" t="b">
        <v>0</v>
      </c>
      <c r="D55" s="29" t="b">
        <v>0</v>
      </c>
      <c r="E55" s="29" t="b">
        <v>0</v>
      </c>
      <c r="F55" s="618" t="b">
        <v>1</v>
      </c>
      <c r="G55" s="618" t="b">
        <v>0</v>
      </c>
      <c r="H55" s="29" t="b">
        <v>0</v>
      </c>
      <c r="I55" s="454"/>
      <c r="J55" s="454"/>
      <c r="K55" s="454"/>
      <c r="L55" s="454"/>
      <c r="M55" s="29" t="b">
        <v>0</v>
      </c>
      <c r="N55" s="29" t="b">
        <v>0</v>
      </c>
      <c r="O55" s="454"/>
      <c r="P55" s="454"/>
      <c r="Q55" s="29" t="b">
        <v>0</v>
      </c>
      <c r="R55" s="29" t="b">
        <v>0</v>
      </c>
      <c r="S55" s="454"/>
      <c r="T55" s="454"/>
      <c r="U55" s="29" t="b">
        <v>0</v>
      </c>
      <c r="V55" s="29" t="b">
        <v>0</v>
      </c>
      <c r="W55" s="454"/>
      <c r="X55" s="454"/>
      <c r="Y55" s="29" t="b">
        <v>0</v>
      </c>
      <c r="Z55" s="29" t="b">
        <v>0</v>
      </c>
      <c r="AA55" s="454"/>
      <c r="AB55" s="454"/>
      <c r="AC55" s="29" t="b">
        <v>0</v>
      </c>
      <c r="AD55" s="29" t="b">
        <v>0</v>
      </c>
      <c r="AE55" s="454"/>
      <c r="AF55" s="454"/>
      <c r="AG55" s="29" t="b">
        <v>0</v>
      </c>
      <c r="AH55" s="29" t="b">
        <v>0</v>
      </c>
    </row>
    <row r="56" customHeight="1" spans="1:34">
      <c r="A56" s="29" t="s">
        <v>906</v>
      </c>
      <c r="B56" s="207" t="b">
        <v>0</v>
      </c>
      <c r="C56" s="29" t="b">
        <v>0</v>
      </c>
      <c r="D56" s="29" t="b">
        <v>0</v>
      </c>
      <c r="E56" s="29" t="b">
        <v>0</v>
      </c>
      <c r="F56" s="618" t="b">
        <v>1</v>
      </c>
      <c r="G56" s="618" t="b">
        <v>0</v>
      </c>
      <c r="H56" s="29" t="b">
        <v>0</v>
      </c>
      <c r="I56" s="454"/>
      <c r="J56" s="454"/>
      <c r="K56" s="454"/>
      <c r="L56" s="454"/>
      <c r="M56" s="29" t="b">
        <v>0</v>
      </c>
      <c r="N56" s="29" t="b">
        <v>0</v>
      </c>
      <c r="O56" s="454"/>
      <c r="P56" s="454"/>
      <c r="Q56" s="29" t="b">
        <v>0</v>
      </c>
      <c r="R56" s="29" t="b">
        <v>0</v>
      </c>
      <c r="S56" s="454"/>
      <c r="T56" s="454"/>
      <c r="U56" s="29" t="b">
        <v>0</v>
      </c>
      <c r="V56" s="29" t="b">
        <v>0</v>
      </c>
      <c r="W56" s="454"/>
      <c r="X56" s="454"/>
      <c r="Y56" s="29" t="b">
        <v>0</v>
      </c>
      <c r="Z56" s="29" t="b">
        <v>0</v>
      </c>
      <c r="AA56" s="454"/>
      <c r="AB56" s="454"/>
      <c r="AC56" s="29" t="b">
        <v>0</v>
      </c>
      <c r="AD56" s="29" t="b">
        <v>0</v>
      </c>
      <c r="AE56" s="454"/>
      <c r="AF56" s="454"/>
      <c r="AG56" s="29" t="b">
        <v>0</v>
      </c>
      <c r="AH56" s="29" t="b">
        <v>0</v>
      </c>
    </row>
    <row r="57" customHeight="1" spans="1:34">
      <c r="A57" s="29" t="s">
        <v>907</v>
      </c>
      <c r="B57" s="207" t="b">
        <v>0</v>
      </c>
      <c r="C57" s="29" t="b">
        <v>0</v>
      </c>
      <c r="D57" s="29" t="b">
        <v>0</v>
      </c>
      <c r="E57" s="29" t="b">
        <v>0</v>
      </c>
      <c r="F57" s="618" t="b">
        <v>1</v>
      </c>
      <c r="G57" s="618" t="b">
        <v>0</v>
      </c>
      <c r="H57" s="29" t="b">
        <v>0</v>
      </c>
      <c r="I57" s="454"/>
      <c r="J57" s="454"/>
      <c r="K57" s="454"/>
      <c r="L57" s="454"/>
      <c r="M57" s="29" t="b">
        <v>0</v>
      </c>
      <c r="N57" s="29" t="b">
        <v>0</v>
      </c>
      <c r="O57" s="454"/>
      <c r="P57" s="454"/>
      <c r="Q57" s="29" t="b">
        <v>0</v>
      </c>
      <c r="R57" s="29" t="b">
        <v>0</v>
      </c>
      <c r="S57" s="454"/>
      <c r="T57" s="454"/>
      <c r="U57" s="29" t="b">
        <v>0</v>
      </c>
      <c r="V57" s="29" t="b">
        <v>0</v>
      </c>
      <c r="W57" s="454"/>
      <c r="X57" s="454"/>
      <c r="Y57" s="29" t="b">
        <v>0</v>
      </c>
      <c r="Z57" s="29" t="b">
        <v>0</v>
      </c>
      <c r="AA57" s="454"/>
      <c r="AB57" s="454"/>
      <c r="AC57" s="29" t="b">
        <v>0</v>
      </c>
      <c r="AD57" s="29" t="b">
        <v>0</v>
      </c>
      <c r="AE57" s="454"/>
      <c r="AF57" s="454"/>
      <c r="AG57" s="29" t="b">
        <v>0</v>
      </c>
      <c r="AH57" s="29" t="b">
        <v>0</v>
      </c>
    </row>
    <row r="58" customHeight="1" spans="1:34">
      <c r="A58" s="29" t="s">
        <v>908</v>
      </c>
      <c r="B58" s="207" t="b">
        <v>0</v>
      </c>
      <c r="C58" s="29" t="b">
        <v>0</v>
      </c>
      <c r="D58" s="29" t="b">
        <v>0</v>
      </c>
      <c r="E58" s="29" t="b">
        <v>0</v>
      </c>
      <c r="F58" s="618" t="b">
        <v>1</v>
      </c>
      <c r="G58" s="618" t="b">
        <v>0</v>
      </c>
      <c r="H58" s="29" t="b">
        <v>0</v>
      </c>
      <c r="I58" s="454"/>
      <c r="J58" s="454"/>
      <c r="K58" s="454"/>
      <c r="L58" s="454"/>
      <c r="M58" s="29" t="b">
        <v>0</v>
      </c>
      <c r="N58" s="29" t="b">
        <v>0</v>
      </c>
      <c r="O58" s="454"/>
      <c r="P58" s="454"/>
      <c r="Q58" s="29" t="b">
        <v>0</v>
      </c>
      <c r="R58" s="29" t="b">
        <v>0</v>
      </c>
      <c r="S58" s="454"/>
      <c r="T58" s="454"/>
      <c r="U58" s="29" t="b">
        <v>0</v>
      </c>
      <c r="V58" s="29" t="b">
        <v>0</v>
      </c>
      <c r="W58" s="454"/>
      <c r="X58" s="454"/>
      <c r="Y58" s="29" t="b">
        <v>0</v>
      </c>
      <c r="Z58" s="29" t="b">
        <v>0</v>
      </c>
      <c r="AA58" s="454"/>
      <c r="AB58" s="454"/>
      <c r="AC58" s="29" t="b">
        <v>0</v>
      </c>
      <c r="AD58" s="29" t="b">
        <v>0</v>
      </c>
      <c r="AE58" s="454"/>
      <c r="AF58" s="454"/>
      <c r="AG58" s="29" t="b">
        <v>0</v>
      </c>
      <c r="AH58" s="29" t="b">
        <v>0</v>
      </c>
    </row>
  </sheetData>
  <mergeCells count="1">
    <mergeCell ref="K1:AH1"/>
  </mergeCells>
  <conditionalFormatting sqref="G1:H58">
    <cfRule type="containsText" dxfId="0" priority="1" operator="between" text="FALSE">
      <formula>NOT(ISERROR(SEARCH("FALSE",G1)))</formula>
    </cfRule>
  </conditionalFormatting>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E6"/>
  <sheetViews>
    <sheetView workbookViewId="0">
      <selection activeCell="A1" sqref="A1"/>
    </sheetView>
  </sheetViews>
  <sheetFormatPr defaultColWidth="12.6285714285714" defaultRowHeight="15.75" customHeight="1" outlineLevelRow="5" outlineLevelCol="4"/>
  <sheetData>
    <row r="2" customHeight="1" spans="1:5">
      <c r="A2" s="29" t="s">
        <v>964</v>
      </c>
      <c r="B2" s="29" t="s">
        <v>965</v>
      </c>
      <c r="C2" s="29" t="s">
        <v>966</v>
      </c>
      <c r="D2" s="29" t="s">
        <v>967</v>
      </c>
      <c r="E2" s="29" t="s">
        <v>968</v>
      </c>
    </row>
    <row r="3" customHeight="1" spans="4:5">
      <c r="D3" s="29" t="s">
        <v>969</v>
      </c>
      <c r="E3" s="29" t="s">
        <v>970</v>
      </c>
    </row>
    <row r="4" customHeight="1" spans="4:5">
      <c r="D4" s="29" t="s">
        <v>971</v>
      </c>
      <c r="E4" s="29" t="s">
        <v>972</v>
      </c>
    </row>
    <row r="5" customHeight="1" spans="4:5">
      <c r="D5" s="29" t="s">
        <v>973</v>
      </c>
      <c r="E5" s="29" t="s">
        <v>974</v>
      </c>
    </row>
    <row r="6" customHeight="1" spans="4:5">
      <c r="D6" s="29" t="s">
        <v>975</v>
      </c>
      <c r="E6" s="29" t="s">
        <v>976</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00FF"/>
    <outlinePr summaryBelow="0" summaryRight="0"/>
  </sheetPr>
  <dimension ref="A1:U29"/>
  <sheetViews>
    <sheetView workbookViewId="0">
      <pane ySplit="1" topLeftCell="A2" activePane="bottomLeft" state="frozen"/>
      <selection/>
      <selection pane="bottomLeft" activeCell="B3" sqref="B3"/>
    </sheetView>
  </sheetViews>
  <sheetFormatPr defaultColWidth="12.6285714285714" defaultRowHeight="15.75" customHeight="1"/>
  <cols>
    <col min="1" max="1" width="58.752380952381" customWidth="1"/>
    <col min="2" max="2" width="10.8761904761905" customWidth="1"/>
    <col min="3" max="3" width="11.6285714285714" customWidth="1"/>
    <col min="4" max="4" width="29.752380952381" customWidth="1"/>
    <col min="5" max="5" width="18.3809523809524" customWidth="1"/>
    <col min="6" max="9" width="9" customWidth="1"/>
    <col min="10" max="11" width="27.752380952381" customWidth="1"/>
    <col min="12" max="21" width="9" customWidth="1"/>
  </cols>
  <sheetData>
    <row r="1" customHeight="1" spans="1:21">
      <c r="A1" s="419" t="s">
        <v>0</v>
      </c>
      <c r="B1" s="420" t="s">
        <v>1</v>
      </c>
      <c r="C1" s="419" t="s">
        <v>2</v>
      </c>
      <c r="D1" s="419" t="s">
        <v>3</v>
      </c>
      <c r="E1" s="422" t="s">
        <v>4</v>
      </c>
      <c r="F1" s="423" t="s">
        <v>6</v>
      </c>
      <c r="G1" s="421" t="s">
        <v>840</v>
      </c>
      <c r="H1" s="424" t="s">
        <v>7</v>
      </c>
      <c r="I1" s="424" t="s">
        <v>841</v>
      </c>
      <c r="J1" s="420" t="s">
        <v>842</v>
      </c>
      <c r="K1" s="420" t="s">
        <v>843</v>
      </c>
      <c r="L1" s="421" t="s">
        <v>8</v>
      </c>
      <c r="M1" s="421" t="s">
        <v>840</v>
      </c>
      <c r="N1" s="421" t="s">
        <v>9</v>
      </c>
      <c r="O1" s="421" t="s">
        <v>844</v>
      </c>
      <c r="P1" s="421" t="s">
        <v>845</v>
      </c>
      <c r="Q1" s="421" t="s">
        <v>846</v>
      </c>
      <c r="R1" s="421" t="s">
        <v>847</v>
      </c>
      <c r="S1" s="421" t="s">
        <v>848</v>
      </c>
      <c r="T1" s="421" t="s">
        <v>849</v>
      </c>
      <c r="U1" s="421" t="s">
        <v>850</v>
      </c>
    </row>
    <row r="2" customHeight="1" spans="1:21">
      <c r="A2" s="29" t="s">
        <v>977</v>
      </c>
      <c r="B2" s="245">
        <v>115</v>
      </c>
      <c r="C2" s="29" t="s">
        <v>14</v>
      </c>
      <c r="D2" s="29" t="s">
        <v>978</v>
      </c>
      <c r="E2" s="29" t="s">
        <v>16</v>
      </c>
      <c r="F2" s="207" t="b">
        <v>1</v>
      </c>
      <c r="G2" s="29" t="b">
        <v>0</v>
      </c>
      <c r="H2" s="29" t="b">
        <v>0</v>
      </c>
      <c r="I2" s="29" t="b">
        <v>1</v>
      </c>
      <c r="J2" s="245" t="s">
        <v>851</v>
      </c>
      <c r="K2" s="245" t="s">
        <v>852</v>
      </c>
      <c r="L2" s="29" t="b">
        <v>1</v>
      </c>
      <c r="M2" s="29" t="b">
        <v>1</v>
      </c>
      <c r="N2" s="29" t="b">
        <v>0</v>
      </c>
      <c r="O2" s="29" t="b">
        <v>0</v>
      </c>
      <c r="P2" s="29" t="b">
        <v>1</v>
      </c>
      <c r="Q2" s="29" t="b">
        <v>1</v>
      </c>
      <c r="R2" s="29" t="b">
        <v>1</v>
      </c>
      <c r="S2" s="29" t="b">
        <v>1</v>
      </c>
      <c r="T2" s="29" t="b">
        <v>1</v>
      </c>
      <c r="U2" s="29" t="b">
        <v>1</v>
      </c>
    </row>
    <row r="3" customHeight="1" spans="1:21">
      <c r="A3" s="29" t="s">
        <v>979</v>
      </c>
      <c r="B3" s="245" t="s">
        <v>13</v>
      </c>
      <c r="C3" s="29" t="s">
        <v>25</v>
      </c>
      <c r="D3" s="29" t="s">
        <v>15</v>
      </c>
      <c r="E3" s="29" t="s">
        <v>16</v>
      </c>
      <c r="F3" s="207" t="b">
        <v>1</v>
      </c>
      <c r="G3" s="29" t="b">
        <v>1</v>
      </c>
      <c r="H3" s="29" t="b">
        <v>0</v>
      </c>
      <c r="I3" s="29" t="b">
        <v>0</v>
      </c>
      <c r="J3" s="245"/>
      <c r="K3" s="245"/>
      <c r="L3" s="29" t="b">
        <v>0</v>
      </c>
      <c r="M3" s="29" t="b">
        <v>0</v>
      </c>
      <c r="N3" s="29" t="b">
        <v>0</v>
      </c>
      <c r="O3" s="29" t="b">
        <v>0</v>
      </c>
      <c r="P3" s="29" t="b">
        <v>0</v>
      </c>
      <c r="Q3" s="29" t="b">
        <v>0</v>
      </c>
      <c r="R3" s="29" t="b">
        <v>0</v>
      </c>
      <c r="S3" s="29" t="b">
        <v>0</v>
      </c>
      <c r="T3" s="29" t="b">
        <v>0</v>
      </c>
      <c r="U3" s="29" t="b">
        <v>0</v>
      </c>
    </row>
    <row r="4" customHeight="1" spans="1:21">
      <c r="A4" s="29" t="s">
        <v>980</v>
      </c>
      <c r="B4" s="245" t="s">
        <v>13</v>
      </c>
      <c r="C4" s="29" t="s">
        <v>25</v>
      </c>
      <c r="D4" s="29" t="s">
        <v>15</v>
      </c>
      <c r="E4" s="29" t="s">
        <v>15</v>
      </c>
      <c r="F4" s="207" t="b">
        <v>1</v>
      </c>
      <c r="G4" s="29" t="b">
        <v>0</v>
      </c>
      <c r="H4" s="29" t="b">
        <v>0</v>
      </c>
      <c r="I4" s="29" t="b">
        <v>0</v>
      </c>
      <c r="J4" s="245"/>
      <c r="K4" s="245"/>
      <c r="L4" s="29" t="b">
        <v>0</v>
      </c>
      <c r="M4" s="29" t="b">
        <v>0</v>
      </c>
      <c r="N4" s="29" t="b">
        <v>0</v>
      </c>
      <c r="O4" s="29" t="b">
        <v>0</v>
      </c>
      <c r="P4" s="29" t="b">
        <v>0</v>
      </c>
      <c r="Q4" s="29" t="b">
        <v>0</v>
      </c>
      <c r="R4" s="29" t="b">
        <v>0</v>
      </c>
      <c r="S4" s="29" t="b">
        <v>0</v>
      </c>
      <c r="T4" s="29" t="b">
        <v>0</v>
      </c>
      <c r="U4" s="29" t="b">
        <v>0</v>
      </c>
    </row>
    <row r="5" customHeight="1" spans="1:21">
      <c r="A5" s="29" t="s">
        <v>981</v>
      </c>
      <c r="B5" s="245" t="s">
        <v>13</v>
      </c>
      <c r="C5" s="29" t="s">
        <v>14</v>
      </c>
      <c r="D5" s="29" t="s">
        <v>15</v>
      </c>
      <c r="E5" s="29" t="s">
        <v>15</v>
      </c>
      <c r="F5" s="207" t="b">
        <v>1</v>
      </c>
      <c r="G5" s="29" t="b">
        <v>0</v>
      </c>
      <c r="H5" s="29" t="b">
        <v>0</v>
      </c>
      <c r="I5" s="29" t="b">
        <v>0</v>
      </c>
      <c r="J5" s="245"/>
      <c r="K5" s="245"/>
      <c r="L5" s="29" t="b">
        <v>0</v>
      </c>
      <c r="M5" s="29" t="b">
        <v>0</v>
      </c>
      <c r="N5" s="29" t="b">
        <v>0</v>
      </c>
      <c r="O5" s="29" t="b">
        <v>0</v>
      </c>
      <c r="P5" s="29" t="b">
        <v>0</v>
      </c>
      <c r="Q5" s="29" t="b">
        <v>0</v>
      </c>
      <c r="R5" s="29" t="b">
        <v>0</v>
      </c>
      <c r="S5" s="29" t="b">
        <v>0</v>
      </c>
      <c r="T5" s="29" t="b">
        <v>0</v>
      </c>
      <c r="U5" s="29" t="b">
        <v>0</v>
      </c>
    </row>
    <row r="6" customHeight="1" spans="1:21">
      <c r="A6" s="29" t="s">
        <v>35</v>
      </c>
      <c r="B6" s="245" t="s">
        <v>13</v>
      </c>
      <c r="C6" s="29" t="s">
        <v>25</v>
      </c>
      <c r="D6" s="29" t="s">
        <v>15</v>
      </c>
      <c r="E6" s="29" t="s">
        <v>16</v>
      </c>
      <c r="F6" s="207" t="b">
        <v>1</v>
      </c>
      <c r="G6" s="29" t="b">
        <v>0</v>
      </c>
      <c r="H6" s="29" t="b">
        <v>0</v>
      </c>
      <c r="I6" s="29" t="b">
        <v>0</v>
      </c>
      <c r="J6" s="245"/>
      <c r="K6" s="245"/>
      <c r="L6" s="29" t="b">
        <v>0</v>
      </c>
      <c r="M6" s="29" t="b">
        <v>0</v>
      </c>
      <c r="N6" s="29" t="b">
        <v>0</v>
      </c>
      <c r="O6" s="29" t="b">
        <v>0</v>
      </c>
      <c r="P6" s="29" t="b">
        <v>0</v>
      </c>
      <c r="Q6" s="29" t="b">
        <v>0</v>
      </c>
      <c r="R6" s="29" t="b">
        <v>0</v>
      </c>
      <c r="S6" s="29" t="b">
        <v>0</v>
      </c>
      <c r="T6" s="29" t="b">
        <v>0</v>
      </c>
      <c r="U6" s="29" t="b">
        <v>0</v>
      </c>
    </row>
    <row r="7" customHeight="1" spans="1:21">
      <c r="A7" s="29" t="s">
        <v>982</v>
      </c>
      <c r="B7" s="245" t="s">
        <v>13</v>
      </c>
      <c r="C7" s="29" t="s">
        <v>25</v>
      </c>
      <c r="D7" s="29" t="s">
        <v>15</v>
      </c>
      <c r="E7" s="29" t="s">
        <v>16</v>
      </c>
      <c r="F7" s="207" t="b">
        <v>1</v>
      </c>
      <c r="G7" s="29" t="b">
        <v>0</v>
      </c>
      <c r="H7" s="29" t="b">
        <v>0</v>
      </c>
      <c r="I7" s="29" t="b">
        <v>0</v>
      </c>
      <c r="J7" s="245"/>
      <c r="K7" s="245"/>
      <c r="L7" s="29" t="b">
        <v>0</v>
      </c>
      <c r="M7" s="29" t="b">
        <v>0</v>
      </c>
      <c r="N7" s="29" t="b">
        <v>0</v>
      </c>
      <c r="O7" s="29" t="b">
        <v>0</v>
      </c>
      <c r="P7" s="29" t="b">
        <v>0</v>
      </c>
      <c r="Q7" s="29" t="b">
        <v>0</v>
      </c>
      <c r="R7" s="29" t="b">
        <v>0</v>
      </c>
      <c r="S7" s="29" t="b">
        <v>0</v>
      </c>
      <c r="T7" s="29" t="b">
        <v>0</v>
      </c>
      <c r="U7" s="29" t="b">
        <v>0</v>
      </c>
    </row>
    <row r="8" customHeight="1" spans="1:21">
      <c r="A8" s="29" t="s">
        <v>983</v>
      </c>
      <c r="B8" s="245"/>
      <c r="C8" s="29" t="s">
        <v>25</v>
      </c>
      <c r="D8" s="29" t="s">
        <v>15</v>
      </c>
      <c r="E8" s="29" t="s">
        <v>15</v>
      </c>
      <c r="F8" s="207" t="b">
        <v>1</v>
      </c>
      <c r="G8" s="29" t="b">
        <v>0</v>
      </c>
      <c r="H8" s="29" t="b">
        <v>0</v>
      </c>
      <c r="I8" s="29" t="b">
        <v>0</v>
      </c>
      <c r="J8" s="245"/>
      <c r="K8" s="245"/>
      <c r="L8" s="29" t="b">
        <v>1</v>
      </c>
      <c r="M8" s="29" t="b">
        <v>0</v>
      </c>
      <c r="N8" s="29" t="b">
        <v>0</v>
      </c>
      <c r="O8" s="29" t="b">
        <v>0</v>
      </c>
      <c r="P8" s="29" t="b">
        <v>0</v>
      </c>
      <c r="Q8" s="29" t="b">
        <v>0</v>
      </c>
      <c r="R8" s="29" t="b">
        <v>0</v>
      </c>
      <c r="S8" s="29" t="b">
        <v>0</v>
      </c>
      <c r="T8" s="29" t="b">
        <v>0</v>
      </c>
      <c r="U8" s="29" t="b">
        <v>0</v>
      </c>
    </row>
    <row r="9" customHeight="1" spans="1:21">
      <c r="A9" s="29" t="s">
        <v>984</v>
      </c>
      <c r="B9" s="245" t="s">
        <v>13</v>
      </c>
      <c r="C9" s="29" t="s">
        <v>25</v>
      </c>
      <c r="D9" s="29" t="s">
        <v>978</v>
      </c>
      <c r="E9" s="29" t="s">
        <v>16</v>
      </c>
      <c r="F9" s="207" t="b">
        <v>1</v>
      </c>
      <c r="G9" s="29" t="b">
        <v>0</v>
      </c>
      <c r="H9" s="29" t="b">
        <v>0</v>
      </c>
      <c r="I9" s="29" t="b">
        <v>0</v>
      </c>
      <c r="J9" s="245"/>
      <c r="K9" s="245"/>
      <c r="L9" s="29" t="b">
        <v>0</v>
      </c>
      <c r="M9" s="29" t="b">
        <v>0</v>
      </c>
      <c r="N9" s="29" t="b">
        <v>0</v>
      </c>
      <c r="O9" s="29" t="b">
        <v>0</v>
      </c>
      <c r="P9" s="29" t="b">
        <v>0</v>
      </c>
      <c r="Q9" s="29" t="b">
        <v>0</v>
      </c>
      <c r="R9" s="29" t="b">
        <v>0</v>
      </c>
      <c r="S9" s="29" t="b">
        <v>0</v>
      </c>
      <c r="T9" s="29" t="b">
        <v>0</v>
      </c>
      <c r="U9" s="29" t="b">
        <v>0</v>
      </c>
    </row>
    <row r="10" customHeight="1" spans="1:21">
      <c r="A10" s="29" t="s">
        <v>41</v>
      </c>
      <c r="B10" s="245" t="s">
        <v>13</v>
      </c>
      <c r="C10" s="29" t="s">
        <v>14</v>
      </c>
      <c r="D10" s="29" t="s">
        <v>985</v>
      </c>
      <c r="E10" s="29" t="s">
        <v>42</v>
      </c>
      <c r="F10" s="207" t="b">
        <v>1</v>
      </c>
      <c r="G10" s="29" t="b">
        <v>0</v>
      </c>
      <c r="H10" s="29" t="b">
        <v>0</v>
      </c>
      <c r="I10" s="29" t="b">
        <v>0</v>
      </c>
      <c r="J10" s="245"/>
      <c r="K10" s="245"/>
      <c r="L10" s="29" t="b">
        <v>0</v>
      </c>
      <c r="M10" s="29" t="b">
        <v>0</v>
      </c>
      <c r="N10" s="29" t="b">
        <v>0</v>
      </c>
      <c r="O10" s="29" t="b">
        <v>0</v>
      </c>
      <c r="P10" s="29" t="b">
        <v>0</v>
      </c>
      <c r="Q10" s="29" t="b">
        <v>0</v>
      </c>
      <c r="R10" s="29" t="b">
        <v>0</v>
      </c>
      <c r="S10" s="29" t="b">
        <v>0</v>
      </c>
      <c r="T10" s="29" t="b">
        <v>0</v>
      </c>
      <c r="U10" s="29" t="b">
        <v>0</v>
      </c>
    </row>
    <row r="11" customHeight="1" spans="1:21">
      <c r="A11" s="29" t="s">
        <v>44</v>
      </c>
      <c r="B11" s="245" t="s">
        <v>13</v>
      </c>
      <c r="C11" s="29" t="s">
        <v>25</v>
      </c>
      <c r="D11" s="29" t="s">
        <v>986</v>
      </c>
      <c r="E11" s="29" t="s">
        <v>42</v>
      </c>
      <c r="F11" s="207" t="b">
        <v>1</v>
      </c>
      <c r="G11" s="29" t="b">
        <v>0</v>
      </c>
      <c r="H11" s="29" t="b">
        <v>0</v>
      </c>
      <c r="I11" s="29" t="b">
        <v>0</v>
      </c>
      <c r="J11" s="245"/>
      <c r="K11" s="245"/>
      <c r="L11" s="29" t="b">
        <v>0</v>
      </c>
      <c r="M11" s="29" t="b">
        <v>0</v>
      </c>
      <c r="N11" s="29" t="b">
        <v>0</v>
      </c>
      <c r="O11" s="29" t="b">
        <v>0</v>
      </c>
      <c r="P11" s="29" t="b">
        <v>0</v>
      </c>
      <c r="Q11" s="29" t="b">
        <v>0</v>
      </c>
      <c r="R11" s="29" t="b">
        <v>0</v>
      </c>
      <c r="S11" s="29" t="b">
        <v>0</v>
      </c>
      <c r="T11" s="29" t="b">
        <v>0</v>
      </c>
      <c r="U11" s="29" t="b">
        <v>0</v>
      </c>
    </row>
    <row r="12" customHeight="1" spans="1:21">
      <c r="A12" s="29" t="s">
        <v>45</v>
      </c>
      <c r="B12" s="245" t="s">
        <v>13</v>
      </c>
      <c r="C12" s="29" t="s">
        <v>25</v>
      </c>
      <c r="D12" s="29" t="s">
        <v>986</v>
      </c>
      <c r="E12" s="29" t="s">
        <v>42</v>
      </c>
      <c r="F12" s="207" t="b">
        <v>1</v>
      </c>
      <c r="G12" s="29" t="b">
        <v>0</v>
      </c>
      <c r="H12" s="29" t="b">
        <v>0</v>
      </c>
      <c r="I12" s="29" t="b">
        <v>0</v>
      </c>
      <c r="J12" s="245"/>
      <c r="K12" s="245"/>
      <c r="L12" s="29" t="b">
        <v>0</v>
      </c>
      <c r="M12" s="29" t="b">
        <v>0</v>
      </c>
      <c r="N12" s="29" t="b">
        <v>0</v>
      </c>
      <c r="O12" s="29" t="b">
        <v>0</v>
      </c>
      <c r="P12" s="29" t="b">
        <v>0</v>
      </c>
      <c r="Q12" s="29" t="b">
        <v>0</v>
      </c>
      <c r="R12" s="29" t="b">
        <v>0</v>
      </c>
      <c r="S12" s="29" t="b">
        <v>0</v>
      </c>
      <c r="T12" s="29" t="b">
        <v>0</v>
      </c>
      <c r="U12" s="29" t="b">
        <v>0</v>
      </c>
    </row>
    <row r="13" customHeight="1" spans="1:21">
      <c r="A13" s="29" t="s">
        <v>56</v>
      </c>
      <c r="B13" s="245" t="s">
        <v>13</v>
      </c>
      <c r="C13" s="29" t="s">
        <v>14</v>
      </c>
      <c r="D13" s="29" t="s">
        <v>57</v>
      </c>
      <c r="E13" s="29" t="s">
        <v>57</v>
      </c>
      <c r="F13" s="207" t="b">
        <v>1</v>
      </c>
      <c r="G13" s="29" t="b">
        <v>0</v>
      </c>
      <c r="H13" s="29" t="b">
        <v>0</v>
      </c>
      <c r="I13" s="29" t="b">
        <v>0</v>
      </c>
      <c r="J13" s="245"/>
      <c r="K13" s="245"/>
      <c r="L13" s="29" t="b">
        <v>0</v>
      </c>
      <c r="M13" s="29" t="b">
        <v>0</v>
      </c>
      <c r="N13" s="29" t="b">
        <v>0</v>
      </c>
      <c r="O13" s="29" t="b">
        <v>0</v>
      </c>
      <c r="P13" s="29" t="b">
        <v>0</v>
      </c>
      <c r="Q13" s="29" t="b">
        <v>0</v>
      </c>
      <c r="R13" s="29" t="b">
        <v>0</v>
      </c>
      <c r="S13" s="29" t="b">
        <v>0</v>
      </c>
      <c r="T13" s="29" t="b">
        <v>0</v>
      </c>
      <c r="U13" s="29" t="b">
        <v>0</v>
      </c>
    </row>
    <row r="14" customHeight="1" spans="1:21">
      <c r="A14" s="29" t="s">
        <v>58</v>
      </c>
      <c r="B14" s="245" t="s">
        <v>13</v>
      </c>
      <c r="C14" s="29" t="s">
        <v>25</v>
      </c>
      <c r="D14" s="29" t="s">
        <v>57</v>
      </c>
      <c r="E14" s="29" t="s">
        <v>57</v>
      </c>
      <c r="F14" s="207" t="b">
        <v>1</v>
      </c>
      <c r="G14" s="29" t="b">
        <v>0</v>
      </c>
      <c r="H14" s="29" t="b">
        <v>0</v>
      </c>
      <c r="I14" s="29" t="b">
        <v>0</v>
      </c>
      <c r="J14" s="245"/>
      <c r="K14" s="245"/>
      <c r="L14" s="29" t="b">
        <v>0</v>
      </c>
      <c r="M14" s="29" t="b">
        <v>0</v>
      </c>
      <c r="N14" s="29" t="b">
        <v>0</v>
      </c>
      <c r="O14" s="29" t="b">
        <v>0</v>
      </c>
      <c r="P14" s="29" t="b">
        <v>0</v>
      </c>
      <c r="Q14" s="29" t="b">
        <v>0</v>
      </c>
      <c r="R14" s="29" t="b">
        <v>0</v>
      </c>
      <c r="S14" s="29" t="b">
        <v>0</v>
      </c>
      <c r="T14" s="29" t="b">
        <v>0</v>
      </c>
      <c r="U14" s="29" t="b">
        <v>0</v>
      </c>
    </row>
    <row r="15" customHeight="1" spans="1:21">
      <c r="A15" s="29" t="s">
        <v>59</v>
      </c>
      <c r="B15" s="245" t="s">
        <v>13</v>
      </c>
      <c r="C15" s="29" t="s">
        <v>14</v>
      </c>
      <c r="D15" s="29" t="s">
        <v>57</v>
      </c>
      <c r="E15" s="29" t="s">
        <v>57</v>
      </c>
      <c r="F15" s="207" t="b">
        <v>0</v>
      </c>
      <c r="G15" s="29" t="b">
        <v>0</v>
      </c>
      <c r="H15" s="29" t="b">
        <v>0</v>
      </c>
      <c r="I15" s="29" t="b">
        <v>0</v>
      </c>
      <c r="J15" s="245"/>
      <c r="K15" s="245"/>
      <c r="L15" s="29" t="b">
        <v>0</v>
      </c>
      <c r="M15" s="29" t="b">
        <v>0</v>
      </c>
      <c r="N15" s="29" t="b">
        <v>0</v>
      </c>
      <c r="O15" s="29" t="b">
        <v>0</v>
      </c>
      <c r="P15" s="29" t="b">
        <v>0</v>
      </c>
      <c r="Q15" s="29" t="b">
        <v>0</v>
      </c>
      <c r="R15" s="29" t="b">
        <v>0</v>
      </c>
      <c r="S15" s="29" t="b">
        <v>0</v>
      </c>
      <c r="T15" s="29" t="b">
        <v>0</v>
      </c>
      <c r="U15" s="29" t="b">
        <v>0</v>
      </c>
    </row>
    <row r="16" customHeight="1" spans="1:21">
      <c r="A16" s="29" t="s">
        <v>60</v>
      </c>
      <c r="B16" s="245" t="s">
        <v>13</v>
      </c>
      <c r="C16" s="29" t="s">
        <v>14</v>
      </c>
      <c r="D16" s="29" t="s">
        <v>57</v>
      </c>
      <c r="E16" s="29" t="s">
        <v>57</v>
      </c>
      <c r="F16" s="207" t="b">
        <v>0</v>
      </c>
      <c r="G16" s="29" t="b">
        <v>0</v>
      </c>
      <c r="H16" s="29" t="b">
        <v>0</v>
      </c>
      <c r="I16" s="29" t="b">
        <v>0</v>
      </c>
      <c r="J16" s="245"/>
      <c r="K16" s="245"/>
      <c r="L16" s="29" t="b">
        <v>0</v>
      </c>
      <c r="M16" s="29" t="b">
        <v>0</v>
      </c>
      <c r="N16" s="29" t="b">
        <v>0</v>
      </c>
      <c r="O16" s="29" t="b">
        <v>0</v>
      </c>
      <c r="P16" s="29" t="b">
        <v>0</v>
      </c>
      <c r="Q16" s="29" t="b">
        <v>0</v>
      </c>
      <c r="R16" s="29" t="b">
        <v>0</v>
      </c>
      <c r="S16" s="29" t="b">
        <v>0</v>
      </c>
      <c r="T16" s="29" t="b">
        <v>0</v>
      </c>
      <c r="U16" s="29" t="b">
        <v>0</v>
      </c>
    </row>
    <row r="17" customHeight="1" spans="1:21">
      <c r="A17" s="29" t="s">
        <v>987</v>
      </c>
      <c r="B17" s="245">
        <v>105</v>
      </c>
      <c r="C17" s="29" t="s">
        <v>14</v>
      </c>
      <c r="D17" s="29" t="s">
        <v>978</v>
      </c>
      <c r="E17" s="29" t="s">
        <v>15</v>
      </c>
      <c r="F17" s="207" t="b">
        <v>0</v>
      </c>
      <c r="G17" s="29" t="b">
        <v>0</v>
      </c>
      <c r="H17" s="29" t="b">
        <v>0</v>
      </c>
      <c r="I17" s="29" t="b">
        <v>0</v>
      </c>
      <c r="J17" s="245"/>
      <c r="K17" s="245"/>
      <c r="L17" s="29" t="b">
        <v>0</v>
      </c>
      <c r="M17" s="29" t="b">
        <v>0</v>
      </c>
      <c r="N17" s="29" t="b">
        <v>0</v>
      </c>
      <c r="O17" s="29" t="b">
        <v>0</v>
      </c>
      <c r="P17" s="29" t="b">
        <v>0</v>
      </c>
      <c r="Q17" s="29" t="b">
        <v>0</v>
      </c>
      <c r="R17" s="29" t="b">
        <v>0</v>
      </c>
      <c r="S17" s="29" t="b">
        <v>0</v>
      </c>
      <c r="T17" s="29" t="b">
        <v>0</v>
      </c>
      <c r="U17" s="29" t="b">
        <v>0</v>
      </c>
    </row>
    <row r="18" customHeight="1" spans="1:21">
      <c r="A18" s="29" t="s">
        <v>988</v>
      </c>
      <c r="B18" s="245">
        <v>105</v>
      </c>
      <c r="C18" s="29" t="s">
        <v>25</v>
      </c>
      <c r="D18" s="29" t="s">
        <v>989</v>
      </c>
      <c r="E18" s="29" t="s">
        <v>15</v>
      </c>
      <c r="F18" s="207" t="b">
        <v>0</v>
      </c>
      <c r="G18" s="29" t="b">
        <v>0</v>
      </c>
      <c r="H18" s="29" t="b">
        <v>0</v>
      </c>
      <c r="I18" s="29" t="b">
        <v>0</v>
      </c>
      <c r="J18" s="245"/>
      <c r="K18" s="245"/>
      <c r="L18" s="29" t="b">
        <v>0</v>
      </c>
      <c r="M18" s="29" t="b">
        <v>0</v>
      </c>
      <c r="N18" s="29" t="b">
        <v>0</v>
      </c>
      <c r="O18" s="29" t="b">
        <v>0</v>
      </c>
      <c r="P18" s="29" t="b">
        <v>0</v>
      </c>
      <c r="Q18" s="29" t="b">
        <v>0</v>
      </c>
      <c r="R18" s="29" t="b">
        <v>0</v>
      </c>
      <c r="S18" s="29" t="b">
        <v>0</v>
      </c>
      <c r="T18" s="29" t="b">
        <v>0</v>
      </c>
      <c r="U18" s="29" t="b">
        <v>0</v>
      </c>
    </row>
    <row r="19" customHeight="1" spans="1:21">
      <c r="A19" s="29" t="s">
        <v>990</v>
      </c>
      <c r="B19" s="245">
        <v>105</v>
      </c>
      <c r="C19" s="29" t="s">
        <v>25</v>
      </c>
      <c r="D19" s="29" t="s">
        <v>15</v>
      </c>
      <c r="E19" s="29" t="s">
        <v>15</v>
      </c>
      <c r="F19" s="207" t="b">
        <v>0</v>
      </c>
      <c r="G19" s="29" t="b">
        <v>0</v>
      </c>
      <c r="H19" s="29" t="b">
        <v>0</v>
      </c>
      <c r="I19" s="29" t="b">
        <v>0</v>
      </c>
      <c r="J19" s="245"/>
      <c r="K19" s="245"/>
      <c r="L19" s="29" t="b">
        <v>0</v>
      </c>
      <c r="M19" s="29" t="b">
        <v>0</v>
      </c>
      <c r="N19" s="29" t="b">
        <v>0</v>
      </c>
      <c r="O19" s="29" t="b">
        <v>0</v>
      </c>
      <c r="P19" s="29" t="b">
        <v>0</v>
      </c>
      <c r="Q19" s="29" t="b">
        <v>0</v>
      </c>
      <c r="R19" s="29" t="b">
        <v>0</v>
      </c>
      <c r="S19" s="29" t="b">
        <v>0</v>
      </c>
      <c r="T19" s="29" t="b">
        <v>0</v>
      </c>
      <c r="U19" s="29" t="b">
        <v>0</v>
      </c>
    </row>
    <row r="20" customHeight="1" spans="1:21">
      <c r="A20" s="29" t="s">
        <v>10</v>
      </c>
      <c r="B20" s="360"/>
      <c r="C20" s="308"/>
      <c r="D20" s="308"/>
      <c r="E20" s="308"/>
      <c r="F20" s="207" t="b">
        <v>0</v>
      </c>
      <c r="G20" s="29" t="b">
        <v>0</v>
      </c>
      <c r="H20" s="29" t="b">
        <v>0</v>
      </c>
      <c r="I20" s="29" t="b">
        <v>0</v>
      </c>
      <c r="J20" s="245"/>
      <c r="K20" s="245"/>
      <c r="L20" s="29" t="b">
        <v>0</v>
      </c>
      <c r="M20" s="29" t="b">
        <v>0</v>
      </c>
      <c r="N20" s="29" t="b">
        <v>0</v>
      </c>
      <c r="O20" s="29" t="b">
        <v>0</v>
      </c>
      <c r="P20" s="29" t="b">
        <v>0</v>
      </c>
      <c r="Q20" s="29" t="b">
        <v>0</v>
      </c>
      <c r="R20" s="29" t="b">
        <v>0</v>
      </c>
      <c r="S20" s="29" t="b">
        <v>0</v>
      </c>
      <c r="T20" s="29" t="b">
        <v>0</v>
      </c>
      <c r="U20" s="29" t="b">
        <v>0</v>
      </c>
    </row>
    <row r="21" customHeight="1" spans="1:21">
      <c r="A21" s="29" t="s">
        <v>991</v>
      </c>
      <c r="B21" s="360"/>
      <c r="C21" s="308"/>
      <c r="D21" s="308"/>
      <c r="E21" s="308"/>
      <c r="F21" s="207" t="b">
        <v>0</v>
      </c>
      <c r="G21" s="29" t="b">
        <v>0</v>
      </c>
      <c r="H21" s="29" t="b">
        <v>0</v>
      </c>
      <c r="I21" s="29" t="b">
        <v>0</v>
      </c>
      <c r="J21" s="360"/>
      <c r="K21" s="360"/>
      <c r="L21" s="29" t="b">
        <v>0</v>
      </c>
      <c r="M21" s="29" t="b">
        <v>0</v>
      </c>
      <c r="N21" s="29" t="b">
        <v>0</v>
      </c>
      <c r="O21" s="29" t="b">
        <v>0</v>
      </c>
      <c r="P21" s="29" t="b">
        <v>0</v>
      </c>
      <c r="Q21" s="29" t="b">
        <v>0</v>
      </c>
      <c r="R21" s="29" t="b">
        <v>0</v>
      </c>
      <c r="S21" s="29" t="b">
        <v>0</v>
      </c>
      <c r="T21" s="29" t="b">
        <v>0</v>
      </c>
      <c r="U21" s="29" t="b">
        <v>0</v>
      </c>
    </row>
    <row r="22" customHeight="1" spans="1:21">
      <c r="A22" s="29" t="s">
        <v>39</v>
      </c>
      <c r="B22" s="360"/>
      <c r="C22" s="308"/>
      <c r="D22" s="308"/>
      <c r="E22" s="308"/>
      <c r="F22" s="207" t="b">
        <v>0</v>
      </c>
      <c r="G22" s="29" t="b">
        <v>0</v>
      </c>
      <c r="H22" s="29" t="b">
        <v>0</v>
      </c>
      <c r="I22" s="29" t="b">
        <v>0</v>
      </c>
      <c r="J22" s="360"/>
      <c r="K22" s="360"/>
      <c r="L22" s="29" t="b">
        <v>0</v>
      </c>
      <c r="M22" s="29" t="b">
        <v>0</v>
      </c>
      <c r="N22" s="29" t="b">
        <v>0</v>
      </c>
      <c r="O22" s="29" t="b">
        <v>0</v>
      </c>
      <c r="P22" s="29" t="b">
        <v>0</v>
      </c>
      <c r="Q22" s="29" t="b">
        <v>0</v>
      </c>
      <c r="R22" s="29" t="b">
        <v>0</v>
      </c>
      <c r="S22" s="29" t="b">
        <v>0</v>
      </c>
      <c r="T22" s="29" t="b">
        <v>0</v>
      </c>
      <c r="U22" s="29" t="b">
        <v>0</v>
      </c>
    </row>
    <row r="23" customHeight="1" spans="1:21">
      <c r="A23" s="29" t="s">
        <v>992</v>
      </c>
      <c r="B23" s="360"/>
      <c r="C23" s="308"/>
      <c r="D23" s="308"/>
      <c r="E23" s="308"/>
      <c r="F23" s="207" t="b">
        <v>0</v>
      </c>
      <c r="G23" s="29" t="b">
        <v>0</v>
      </c>
      <c r="H23" s="29" t="b">
        <v>0</v>
      </c>
      <c r="I23" s="29" t="b">
        <v>0</v>
      </c>
      <c r="J23" s="360"/>
      <c r="K23" s="360"/>
      <c r="L23" s="29" t="b">
        <v>0</v>
      </c>
      <c r="M23" s="29" t="b">
        <v>0</v>
      </c>
      <c r="N23" s="29" t="b">
        <v>0</v>
      </c>
      <c r="O23" s="29" t="b">
        <v>0</v>
      </c>
      <c r="P23" s="29" t="b">
        <v>0</v>
      </c>
      <c r="Q23" s="29" t="b">
        <v>0</v>
      </c>
      <c r="R23" s="29" t="b">
        <v>0</v>
      </c>
      <c r="S23" s="29" t="b">
        <v>0</v>
      </c>
      <c r="T23" s="29" t="b">
        <v>0</v>
      </c>
      <c r="U23" s="29" t="b">
        <v>0</v>
      </c>
    </row>
    <row r="24" customHeight="1" spans="2:21">
      <c r="B24" s="360"/>
      <c r="C24" s="308"/>
      <c r="D24" s="308"/>
      <c r="E24" s="308"/>
      <c r="F24" s="207" t="b">
        <v>0</v>
      </c>
      <c r="G24" s="29" t="b">
        <v>0</v>
      </c>
      <c r="H24" s="29" t="b">
        <v>0</v>
      </c>
      <c r="I24" s="29" t="b">
        <v>0</v>
      </c>
      <c r="J24" s="360"/>
      <c r="K24" s="360"/>
      <c r="L24" s="29" t="b">
        <v>0</v>
      </c>
      <c r="M24" s="29" t="b">
        <v>0</v>
      </c>
      <c r="N24" s="29" t="b">
        <v>0</v>
      </c>
      <c r="O24" s="29" t="b">
        <v>0</v>
      </c>
      <c r="P24" s="29" t="b">
        <v>0</v>
      </c>
      <c r="Q24" s="29" t="b">
        <v>0</v>
      </c>
      <c r="R24" s="29" t="b">
        <v>0</v>
      </c>
      <c r="S24" s="29" t="b">
        <v>0</v>
      </c>
      <c r="T24" s="29" t="b">
        <v>0</v>
      </c>
      <c r="U24" s="29" t="b">
        <v>0</v>
      </c>
    </row>
    <row r="25" customHeight="1" spans="2:21">
      <c r="B25" s="360"/>
      <c r="C25" s="308"/>
      <c r="D25" s="308"/>
      <c r="E25" s="308"/>
      <c r="F25" s="207" t="b">
        <v>0</v>
      </c>
      <c r="G25" s="29" t="b">
        <v>0</v>
      </c>
      <c r="H25" s="29" t="b">
        <v>0</v>
      </c>
      <c r="I25" s="29" t="b">
        <v>0</v>
      </c>
      <c r="J25" s="360"/>
      <c r="K25" s="360"/>
      <c r="L25" s="29" t="b">
        <v>0</v>
      </c>
      <c r="M25" s="29" t="b">
        <v>0</v>
      </c>
      <c r="N25" s="29" t="b">
        <v>0</v>
      </c>
      <c r="O25" s="29" t="b">
        <v>0</v>
      </c>
      <c r="P25" s="29" t="b">
        <v>0</v>
      </c>
      <c r="Q25" s="29" t="b">
        <v>0</v>
      </c>
      <c r="R25" s="29" t="b">
        <v>0</v>
      </c>
      <c r="S25" s="29" t="b">
        <v>0</v>
      </c>
      <c r="T25" s="29" t="b">
        <v>0</v>
      </c>
      <c r="U25" s="29" t="b">
        <v>0</v>
      </c>
    </row>
    <row r="26" customHeight="1" spans="2:21">
      <c r="B26" s="360"/>
      <c r="C26" s="308"/>
      <c r="D26" s="308"/>
      <c r="E26" s="308"/>
      <c r="F26" s="207" t="b">
        <v>0</v>
      </c>
      <c r="G26" s="29" t="b">
        <v>0</v>
      </c>
      <c r="H26" s="29" t="b">
        <v>0</v>
      </c>
      <c r="I26" s="29" t="b">
        <v>0</v>
      </c>
      <c r="J26" s="360"/>
      <c r="K26" s="360"/>
      <c r="L26" s="29" t="b">
        <v>0</v>
      </c>
      <c r="M26" s="29" t="b">
        <v>0</v>
      </c>
      <c r="N26" s="29" t="b">
        <v>0</v>
      </c>
      <c r="O26" s="29" t="b">
        <v>0</v>
      </c>
      <c r="P26" s="29" t="b">
        <v>0</v>
      </c>
      <c r="Q26" s="29" t="b">
        <v>0</v>
      </c>
      <c r="R26" s="29" t="b">
        <v>0</v>
      </c>
      <c r="S26" s="29" t="b">
        <v>0</v>
      </c>
      <c r="T26" s="29" t="b">
        <v>0</v>
      </c>
      <c r="U26" s="29" t="b">
        <v>0</v>
      </c>
    </row>
    <row r="27" customHeight="1" spans="2:21">
      <c r="B27" s="360"/>
      <c r="C27" s="308"/>
      <c r="D27" s="308"/>
      <c r="E27" s="308"/>
      <c r="F27" s="207" t="b">
        <v>0</v>
      </c>
      <c r="G27" s="29" t="b">
        <v>0</v>
      </c>
      <c r="H27" s="29" t="b">
        <v>0</v>
      </c>
      <c r="I27" s="29" t="b">
        <v>0</v>
      </c>
      <c r="J27" s="360"/>
      <c r="K27" s="360"/>
      <c r="L27" s="29" t="b">
        <v>0</v>
      </c>
      <c r="M27" s="29" t="b">
        <v>0</v>
      </c>
      <c r="N27" s="29" t="b">
        <v>0</v>
      </c>
      <c r="O27" s="29" t="b">
        <v>0</v>
      </c>
      <c r="P27" s="29" t="b">
        <v>0</v>
      </c>
      <c r="Q27" s="29" t="b">
        <v>0</v>
      </c>
      <c r="R27" s="29" t="b">
        <v>0</v>
      </c>
      <c r="S27" s="29" t="b">
        <v>0</v>
      </c>
      <c r="T27" s="29" t="b">
        <v>0</v>
      </c>
      <c r="U27" s="29" t="b">
        <v>0</v>
      </c>
    </row>
    <row r="28" customHeight="1" spans="2:21">
      <c r="B28" s="360"/>
      <c r="C28" s="308"/>
      <c r="D28" s="308"/>
      <c r="E28" s="308"/>
      <c r="F28" s="207" t="b">
        <v>0</v>
      </c>
      <c r="G28" s="29" t="b">
        <v>0</v>
      </c>
      <c r="H28" s="29" t="b">
        <v>0</v>
      </c>
      <c r="I28" s="29" t="b">
        <v>0</v>
      </c>
      <c r="J28" s="360"/>
      <c r="K28" s="360"/>
      <c r="L28" s="29" t="b">
        <v>0</v>
      </c>
      <c r="M28" s="29" t="b">
        <v>0</v>
      </c>
      <c r="N28" s="29" t="b">
        <v>0</v>
      </c>
      <c r="O28" s="29" t="b">
        <v>0</v>
      </c>
      <c r="P28" s="29" t="b">
        <v>0</v>
      </c>
      <c r="Q28" s="29" t="b">
        <v>0</v>
      </c>
      <c r="R28" s="29" t="b">
        <v>0</v>
      </c>
      <c r="S28" s="29" t="b">
        <v>0</v>
      </c>
      <c r="T28" s="29" t="b">
        <v>0</v>
      </c>
      <c r="U28" s="29" t="b">
        <v>0</v>
      </c>
    </row>
    <row r="29" customHeight="1" spans="2:21">
      <c r="B29" s="360"/>
      <c r="C29" s="308"/>
      <c r="D29" s="308"/>
      <c r="E29" s="308"/>
      <c r="F29" s="207" t="b">
        <v>0</v>
      </c>
      <c r="G29" s="29" t="b">
        <v>0</v>
      </c>
      <c r="H29" s="29" t="b">
        <v>0</v>
      </c>
      <c r="I29" s="29" t="b">
        <v>0</v>
      </c>
      <c r="J29" s="360"/>
      <c r="K29" s="360"/>
      <c r="L29" s="29" t="b">
        <v>0</v>
      </c>
      <c r="M29" s="29" t="b">
        <v>0</v>
      </c>
      <c r="N29" s="29" t="b">
        <v>0</v>
      </c>
      <c r="O29" s="29" t="b">
        <v>0</v>
      </c>
      <c r="P29" s="29" t="b">
        <v>0</v>
      </c>
      <c r="Q29" s="29" t="b">
        <v>0</v>
      </c>
      <c r="R29" s="29" t="b">
        <v>0</v>
      </c>
      <c r="S29" s="29" t="b">
        <v>0</v>
      </c>
      <c r="T29" s="29" t="b">
        <v>0</v>
      </c>
      <c r="U29" s="29" t="b">
        <v>0</v>
      </c>
    </row>
  </sheetData>
  <dataValidations count="4">
    <dataValidation type="list" allowBlank="1" showErrorMessage="1" sqref="D8">
      <formula1>"Residential Interior,Residential Exterior,Commercial,NC,Default,Create New + Reassign!"</formula1>
    </dataValidation>
    <dataValidation type="list" allowBlank="1" showErrorMessage="1" sqref="C2:C29">
      <formula1>"Room,Surface,Unassigned"</formula1>
    </dataValidation>
    <dataValidation type="list" allowBlank="1" showErrorMessage="1" sqref="D2:D7 D9:D29">
      <formula1>"Residential Interior,Residential Exterior,Commercial Interior,Commercial Exterior,NC,Default,Create New + Reassign!"</formula1>
    </dataValidation>
    <dataValidation type="list" allowBlank="1" showErrorMessage="1" sqref="E2:E29">
      <formula1>"Residential,Commercial,HOA/Garage,NC,Default,Create New + Reassign!"</formula1>
    </dataValidation>
  </dataValidation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00FF"/>
    <outlinePr summaryBelow="0" summaryRight="0"/>
    <pageSetUpPr fitToPage="1"/>
  </sheetPr>
  <dimension ref="A1:CV297"/>
  <sheetViews>
    <sheetView workbookViewId="0">
      <pane xSplit="3" ySplit="3" topLeftCell="D4" activePane="bottomRight" state="frozen"/>
      <selection/>
      <selection pane="topRight"/>
      <selection pane="bottomLeft"/>
      <selection pane="bottomRight" activeCell="D4" sqref="D4"/>
    </sheetView>
  </sheetViews>
  <sheetFormatPr defaultColWidth="12.6285714285714" defaultRowHeight="15.75" customHeight="1"/>
  <cols>
    <col min="1" max="1" width="56.3809523809524" customWidth="1"/>
    <col min="2" max="2" width="7.5047619047619" customWidth="1"/>
    <col min="3" max="3" width="13.247619047619" customWidth="1"/>
    <col min="4" max="4" width="19.8761904761905" customWidth="1"/>
    <col min="5" max="5" width="11" customWidth="1"/>
    <col min="6" max="7" width="9.13333333333333" customWidth="1"/>
    <col min="8" max="13" width="9" customWidth="1"/>
    <col min="14" max="14" width="24.1333333333333" customWidth="1"/>
    <col min="16" max="20" width="9" customWidth="1"/>
    <col min="21" max="21" width="9.62857142857143" customWidth="1"/>
    <col min="23" max="23" width="8.62857142857143" customWidth="1"/>
    <col min="24" max="24" width="17.5047619047619" customWidth="1"/>
    <col min="25" max="25" width="3.62857142857143" customWidth="1"/>
    <col min="26" max="26" width="11.5047619047619" customWidth="1"/>
    <col min="27" max="29" width="6" customWidth="1"/>
    <col min="30" max="32" width="9" customWidth="1"/>
    <col min="33" max="33" width="9.5047619047619" customWidth="1"/>
    <col min="34" max="80" width="5.5047619047619" customWidth="1"/>
    <col min="81" max="81" width="10.5047619047619" customWidth="1"/>
    <col min="82" max="92" width="6" customWidth="1"/>
    <col min="93" max="93" width="6" customWidth="1" collapsed="1"/>
    <col min="94" max="100" width="12.6285714285714" hidden="1" outlineLevel="1"/>
  </cols>
  <sheetData>
    <row r="1" customHeight="1" spans="1:100">
      <c r="A1" s="11" t="s">
        <v>993</v>
      </c>
      <c r="B1" s="422"/>
      <c r="C1" s="11"/>
      <c r="D1" s="11"/>
      <c r="E1" s="11"/>
      <c r="F1" s="11"/>
      <c r="G1" s="11"/>
      <c r="H1" s="11"/>
      <c r="I1" s="11"/>
      <c r="J1" s="11"/>
      <c r="K1" s="11"/>
      <c r="L1" s="11"/>
      <c r="M1" s="11"/>
      <c r="N1" s="543"/>
      <c r="O1" s="543"/>
      <c r="P1" s="11"/>
      <c r="Q1" s="11"/>
      <c r="R1" s="11"/>
      <c r="S1" s="11"/>
      <c r="T1" s="11"/>
      <c r="U1" s="11"/>
      <c r="V1" s="11"/>
      <c r="W1" s="11"/>
      <c r="X1" s="422" t="s">
        <v>994</v>
      </c>
      <c r="AA1" s="546"/>
      <c r="AB1" s="547"/>
      <c r="AC1" s="548"/>
      <c r="AD1" s="11"/>
      <c r="AE1" s="11"/>
      <c r="AF1" s="11"/>
      <c r="AG1" s="546" t="s">
        <v>995</v>
      </c>
      <c r="AH1" s="160"/>
      <c r="AI1" s="160"/>
      <c r="AJ1" s="160"/>
      <c r="AK1" s="160"/>
      <c r="AL1" s="160"/>
      <c r="AM1" s="160"/>
      <c r="AN1" s="160"/>
      <c r="AO1" s="160"/>
      <c r="AP1" s="160"/>
      <c r="AQ1" s="160"/>
      <c r="AR1" s="160"/>
      <c r="AS1" s="160"/>
      <c r="AT1" s="160"/>
      <c r="AU1" s="160"/>
      <c r="AV1" s="160"/>
      <c r="AW1" s="160"/>
      <c r="AX1" s="160"/>
      <c r="AY1" s="160"/>
      <c r="AZ1" s="160"/>
      <c r="BA1" s="160"/>
      <c r="BB1" s="160"/>
      <c r="BC1" s="160"/>
      <c r="BD1" s="160"/>
      <c r="BE1" s="160"/>
      <c r="BF1" s="160"/>
      <c r="BG1" s="160"/>
      <c r="BH1" s="160"/>
      <c r="BI1" s="160"/>
      <c r="BJ1" s="160"/>
      <c r="BK1" s="160"/>
      <c r="BL1" s="160"/>
      <c r="BM1" s="160"/>
      <c r="BN1" s="160"/>
      <c r="BO1" s="160"/>
      <c r="BP1" s="160"/>
      <c r="BQ1" s="160"/>
      <c r="BR1" s="160"/>
      <c r="BS1" s="160"/>
      <c r="BT1" s="160"/>
      <c r="BU1" s="160"/>
      <c r="BV1" s="160"/>
      <c r="BW1" s="160"/>
      <c r="BX1" s="160"/>
      <c r="BY1" s="160"/>
      <c r="BZ1" s="160"/>
      <c r="CA1" s="160"/>
      <c r="CB1" s="160"/>
      <c r="CC1" s="578"/>
      <c r="CF1" s="579"/>
      <c r="CI1" s="579"/>
      <c r="CL1" s="579"/>
      <c r="CO1" s="579"/>
      <c r="CP1" s="543"/>
      <c r="CQ1" s="543"/>
      <c r="CR1" s="543"/>
      <c r="CS1" s="543"/>
      <c r="CT1" s="543"/>
      <c r="CU1" s="543"/>
      <c r="CV1" s="586"/>
    </row>
    <row r="2" customHeight="1" spans="1:100">
      <c r="A2" s="11"/>
      <c r="B2" s="422"/>
      <c r="C2" s="11"/>
      <c r="D2" s="11"/>
      <c r="E2" s="11"/>
      <c r="F2" s="11"/>
      <c r="G2" s="11"/>
      <c r="H2" s="11"/>
      <c r="I2" s="11"/>
      <c r="J2" s="11"/>
      <c r="K2" s="11"/>
      <c r="L2" s="11"/>
      <c r="M2" s="11"/>
      <c r="N2" s="419"/>
      <c r="O2" s="419"/>
      <c r="P2" s="11"/>
      <c r="Q2" s="11"/>
      <c r="R2" s="11"/>
      <c r="S2" s="11"/>
      <c r="T2" s="11"/>
      <c r="U2" s="11"/>
      <c r="V2" s="11"/>
      <c r="W2" s="11"/>
      <c r="AA2" s="549" t="s">
        <v>996</v>
      </c>
      <c r="AC2" s="434"/>
      <c r="AD2" s="11"/>
      <c r="AE2" s="11"/>
      <c r="AF2" s="11"/>
      <c r="AG2" s="560" t="s">
        <v>997</v>
      </c>
      <c r="AJ2" s="561" t="s">
        <v>998</v>
      </c>
      <c r="AM2" s="561" t="s">
        <v>999</v>
      </c>
      <c r="AP2" s="561" t="s">
        <v>1000</v>
      </c>
      <c r="AS2" s="561" t="s">
        <v>1001</v>
      </c>
      <c r="AV2" s="561" t="s">
        <v>1002</v>
      </c>
      <c r="AY2" s="561" t="s">
        <v>1003</v>
      </c>
      <c r="BB2" s="561" t="s">
        <v>1004</v>
      </c>
      <c r="BE2" s="561" t="s">
        <v>1005</v>
      </c>
      <c r="BH2" s="561" t="s">
        <v>1006</v>
      </c>
      <c r="BK2" s="561" t="s">
        <v>1007</v>
      </c>
      <c r="BN2" s="561" t="s">
        <v>1008</v>
      </c>
      <c r="BQ2" s="561" t="s">
        <v>1009</v>
      </c>
      <c r="BT2" s="561" t="s">
        <v>1010</v>
      </c>
      <c r="BW2" s="561" t="s">
        <v>1011</v>
      </c>
      <c r="BZ2" s="561" t="s">
        <v>1012</v>
      </c>
      <c r="CC2" s="580" t="s">
        <v>1013</v>
      </c>
      <c r="CD2" s="581" t="s">
        <v>1014</v>
      </c>
      <c r="CF2" s="434"/>
      <c r="CG2" s="581" t="s">
        <v>1015</v>
      </c>
      <c r="CI2" s="434"/>
      <c r="CJ2" s="581" t="s">
        <v>1016</v>
      </c>
      <c r="CL2" s="434"/>
      <c r="CM2" s="585" t="s">
        <v>1017</v>
      </c>
      <c r="CO2" s="434"/>
      <c r="CP2" s="419" t="s">
        <v>80</v>
      </c>
      <c r="CQ2" s="419" t="s">
        <v>81</v>
      </c>
      <c r="CR2" s="419" t="s">
        <v>82</v>
      </c>
      <c r="CS2" s="419" t="s">
        <v>83</v>
      </c>
      <c r="CT2" s="419" t="s">
        <v>84</v>
      </c>
      <c r="CU2" s="419" t="s">
        <v>85</v>
      </c>
      <c r="CV2" s="587" t="s">
        <v>86</v>
      </c>
    </row>
    <row r="3" customHeight="1" spans="1:100">
      <c r="A3" s="419" t="s">
        <v>87</v>
      </c>
      <c r="B3" s="419" t="s">
        <v>1018</v>
      </c>
      <c r="C3" s="419" t="s">
        <v>1019</v>
      </c>
      <c r="D3" s="419" t="s">
        <v>1020</v>
      </c>
      <c r="E3" s="419" t="s">
        <v>1021</v>
      </c>
      <c r="F3" s="419" t="s">
        <v>1022</v>
      </c>
      <c r="G3" s="419" t="s">
        <v>1023</v>
      </c>
      <c r="H3" s="421" t="s">
        <v>6</v>
      </c>
      <c r="I3" s="421" t="s">
        <v>8</v>
      </c>
      <c r="J3" s="424" t="s">
        <v>1024</v>
      </c>
      <c r="K3" s="424" t="s">
        <v>1025</v>
      </c>
      <c r="L3" s="421" t="s">
        <v>910</v>
      </c>
      <c r="M3" s="421" t="s">
        <v>1026</v>
      </c>
      <c r="N3" s="419" t="s">
        <v>82</v>
      </c>
      <c r="O3" s="419" t="s">
        <v>107</v>
      </c>
      <c r="P3" s="421" t="s">
        <v>83</v>
      </c>
      <c r="Q3" s="421" t="s">
        <v>1027</v>
      </c>
      <c r="R3" s="421" t="s">
        <v>1028</v>
      </c>
      <c r="S3" s="421" t="s">
        <v>1029</v>
      </c>
      <c r="T3" s="421" t="s">
        <v>9</v>
      </c>
      <c r="U3" s="544" t="s">
        <v>1030</v>
      </c>
      <c r="V3" s="419" t="s">
        <v>99</v>
      </c>
      <c r="W3" s="419" t="s">
        <v>101</v>
      </c>
      <c r="X3" s="419" t="s">
        <v>1031</v>
      </c>
      <c r="Y3" s="419"/>
      <c r="Z3" s="419" t="s">
        <v>1032</v>
      </c>
      <c r="AA3" s="550">
        <v>1</v>
      </c>
      <c r="AB3" s="551">
        <v>2</v>
      </c>
      <c r="AC3" s="552">
        <v>3</v>
      </c>
      <c r="AD3" s="553" t="s">
        <v>1033</v>
      </c>
      <c r="AE3" s="424" t="s">
        <v>1034</v>
      </c>
      <c r="AF3" s="424" t="s">
        <v>1035</v>
      </c>
      <c r="AG3" s="562">
        <v>1</v>
      </c>
      <c r="AH3" s="563">
        <v>2</v>
      </c>
      <c r="AI3" s="563">
        <v>3</v>
      </c>
      <c r="AJ3" s="564">
        <v>1</v>
      </c>
      <c r="AK3" s="564">
        <v>2</v>
      </c>
      <c r="AL3" s="565">
        <v>3</v>
      </c>
      <c r="AM3" s="564">
        <v>1</v>
      </c>
      <c r="AN3" s="564">
        <v>2</v>
      </c>
      <c r="AO3" s="565">
        <v>3</v>
      </c>
      <c r="AP3" s="564">
        <v>1</v>
      </c>
      <c r="AQ3" s="564">
        <v>2</v>
      </c>
      <c r="AR3" s="565">
        <v>3</v>
      </c>
      <c r="AS3" s="564">
        <v>1</v>
      </c>
      <c r="AT3" s="564">
        <v>2</v>
      </c>
      <c r="AU3" s="565">
        <v>3</v>
      </c>
      <c r="AV3" s="564">
        <v>1</v>
      </c>
      <c r="AW3" s="564">
        <v>2</v>
      </c>
      <c r="AX3" s="565">
        <v>3</v>
      </c>
      <c r="AY3" s="564">
        <v>1</v>
      </c>
      <c r="AZ3" s="564">
        <v>2</v>
      </c>
      <c r="BA3" s="565">
        <v>3</v>
      </c>
      <c r="BB3" s="564">
        <v>1</v>
      </c>
      <c r="BC3" s="564">
        <v>2</v>
      </c>
      <c r="BD3" s="565">
        <v>3</v>
      </c>
      <c r="BE3" s="564">
        <v>1</v>
      </c>
      <c r="BF3" s="564">
        <v>2</v>
      </c>
      <c r="BG3" s="565">
        <v>3</v>
      </c>
      <c r="BH3" s="564">
        <v>1</v>
      </c>
      <c r="BI3" s="564">
        <v>2</v>
      </c>
      <c r="BJ3" s="565">
        <v>3</v>
      </c>
      <c r="BK3" s="564">
        <v>1</v>
      </c>
      <c r="BL3" s="564">
        <v>2</v>
      </c>
      <c r="BM3" s="565">
        <v>3</v>
      </c>
      <c r="BN3" s="564">
        <v>1</v>
      </c>
      <c r="BO3" s="564">
        <v>2</v>
      </c>
      <c r="BP3" s="565">
        <v>3</v>
      </c>
      <c r="BQ3" s="564">
        <v>1</v>
      </c>
      <c r="BR3" s="564">
        <v>2</v>
      </c>
      <c r="BS3" s="565">
        <v>3</v>
      </c>
      <c r="BT3" s="564">
        <v>1</v>
      </c>
      <c r="BU3" s="564">
        <v>2</v>
      </c>
      <c r="BV3" s="565">
        <v>3</v>
      </c>
      <c r="BW3" s="564">
        <v>1</v>
      </c>
      <c r="BX3" s="564">
        <v>2</v>
      </c>
      <c r="BY3" s="565">
        <v>3</v>
      </c>
      <c r="BZ3" s="564">
        <v>1</v>
      </c>
      <c r="CA3" s="564">
        <v>2</v>
      </c>
      <c r="CB3" s="564">
        <v>3</v>
      </c>
      <c r="CC3" s="582"/>
      <c r="CD3" s="551">
        <v>1</v>
      </c>
      <c r="CE3" s="551">
        <v>2</v>
      </c>
      <c r="CF3" s="552">
        <v>3</v>
      </c>
      <c r="CG3" s="551">
        <v>1</v>
      </c>
      <c r="CH3" s="551">
        <v>2</v>
      </c>
      <c r="CI3" s="552">
        <v>3</v>
      </c>
      <c r="CJ3" s="551">
        <v>1</v>
      </c>
      <c r="CK3" s="551">
        <v>2</v>
      </c>
      <c r="CL3" s="552">
        <v>3</v>
      </c>
      <c r="CM3" s="551">
        <v>1</v>
      </c>
      <c r="CN3" s="551">
        <v>2</v>
      </c>
      <c r="CO3" s="552">
        <v>3</v>
      </c>
      <c r="CP3" s="582"/>
      <c r="CQ3" s="582"/>
      <c r="CR3" s="582"/>
      <c r="CS3" s="582"/>
      <c r="CT3" s="582"/>
      <c r="CU3" s="582"/>
      <c r="CV3" s="588"/>
    </row>
    <row r="4" customHeight="1" spans="1:100">
      <c r="A4" s="29" t="s">
        <v>149</v>
      </c>
      <c r="B4" s="541" t="s">
        <v>1036</v>
      </c>
      <c r="C4" s="29" t="s">
        <v>1037</v>
      </c>
      <c r="F4" s="29" t="s">
        <v>1038</v>
      </c>
      <c r="G4" s="29" t="s">
        <v>1039</v>
      </c>
      <c r="H4" s="29" t="b">
        <v>0</v>
      </c>
      <c r="I4" s="29" t="b">
        <v>0</v>
      </c>
      <c r="J4" s="29" t="b">
        <v>0</v>
      </c>
      <c r="K4" s="29" t="b">
        <v>0</v>
      </c>
      <c r="L4" s="29" t="b">
        <v>0</v>
      </c>
      <c r="M4" s="29" t="b">
        <v>0</v>
      </c>
      <c r="P4" s="29" t="b">
        <v>0</v>
      </c>
      <c r="Q4" s="29" t="b">
        <v>0</v>
      </c>
      <c r="R4" s="29" t="b">
        <v>0</v>
      </c>
      <c r="S4" s="29" t="b">
        <v>0</v>
      </c>
      <c r="T4" s="29" t="b">
        <f t="shared" ref="T4:T181" si="0">IF(AND(H4=TRUE,I4=TRUE,L4=TRUE,M4=TRUE,P4=TRUE,Q4=TRUE,R4=TRUE,S4=TRUE,J4=FALSE,AE4=FALSE,K4=FALSE),TRUE,FALSE)</f>
        <v>0</v>
      </c>
      <c r="U4" s="29" t="s">
        <v>999</v>
      </c>
      <c r="W4" s="29" t="s">
        <v>119</v>
      </c>
      <c r="X4" s="29" t="s">
        <v>1040</v>
      </c>
      <c r="Y4" s="16" t="s">
        <v>1041</v>
      </c>
      <c r="Z4" s="29" t="s">
        <v>1042</v>
      </c>
      <c r="AA4" s="554">
        <f t="shared" ref="AA4:AC4" si="1">AVERAGE(AJ4,AM4,AP4,AV4,AY4,AS4,BZ4,BB4,BE4,BH4,BK4,BN4,BQ4,BT4)</f>
        <v>525</v>
      </c>
      <c r="AB4" s="555" t="e">
        <f t="shared" si="1"/>
        <v>#DIV/0!</v>
      </c>
      <c r="AC4" s="556" t="e">
        <f t="shared" si="1"/>
        <v>#DIV/0!</v>
      </c>
      <c r="AD4" s="29" t="b">
        <v>0</v>
      </c>
      <c r="AE4" s="29" t="b">
        <v>1</v>
      </c>
      <c r="AF4" s="29" t="b">
        <v>0</v>
      </c>
      <c r="AG4" s="566"/>
      <c r="AH4" s="567"/>
      <c r="AI4" s="568"/>
      <c r="AJ4" s="567"/>
      <c r="AK4" s="567"/>
      <c r="AL4" s="568"/>
      <c r="AM4" s="569">
        <v>525</v>
      </c>
      <c r="AN4" s="569" t="s">
        <v>13</v>
      </c>
      <c r="AO4" s="569" t="s">
        <v>13</v>
      </c>
      <c r="AP4" s="567"/>
      <c r="AQ4" s="567"/>
      <c r="AR4" s="568"/>
      <c r="AS4" s="567"/>
      <c r="AT4" s="567"/>
      <c r="AU4" s="568"/>
      <c r="AV4" s="567"/>
      <c r="AW4" s="567"/>
      <c r="AX4" s="568"/>
      <c r="AY4" s="567"/>
      <c r="AZ4" s="567"/>
      <c r="BA4" s="568"/>
      <c r="BB4" s="567"/>
      <c r="BC4" s="567"/>
      <c r="BD4" s="568"/>
      <c r="BE4" s="567"/>
      <c r="BF4" s="567"/>
      <c r="BG4" s="568"/>
      <c r="BH4" s="567"/>
      <c r="BI4" s="567"/>
      <c r="BJ4" s="568"/>
      <c r="BK4" s="567"/>
      <c r="BL4" s="567"/>
      <c r="BM4" s="568"/>
      <c r="BN4" s="567"/>
      <c r="BO4" s="567"/>
      <c r="BP4" s="568"/>
      <c r="BQ4" s="567"/>
      <c r="BR4" s="567"/>
      <c r="BS4" s="568"/>
      <c r="BT4" s="567"/>
      <c r="BU4" s="567"/>
      <c r="BV4" s="568"/>
      <c r="BW4" s="567"/>
      <c r="BX4" s="567"/>
      <c r="BY4" s="568"/>
      <c r="BZ4" s="567"/>
      <c r="CA4" s="567"/>
      <c r="CB4" s="567"/>
      <c r="CC4" s="583"/>
      <c r="CD4" s="555">
        <f t="shared" ref="CD4:CF4" si="2">MEDIAN(AM4,AP4,AS4,AY4,BB4,AV4,AA4,BE4,BK4,BZ4,BH4,BN4,BQ4,BT4,BW4)</f>
        <v>525</v>
      </c>
      <c r="CE4" s="555" t="e">
        <f t="shared" si="2"/>
        <v>#DIV/0!</v>
      </c>
      <c r="CF4" s="556" t="e">
        <f t="shared" si="2"/>
        <v>#DIV/0!</v>
      </c>
      <c r="CG4" s="555">
        <f t="shared" ref="CG4:CI4" si="3">MAX(AP4,AS4,AV4,BB4,BE4,AY4,CD4,BK4,BZ4,AA4)-MIN(AP4,AS4,AV4,BB4,BE4,AY4,CD4,BK4,BZ4,AA4)</f>
        <v>0</v>
      </c>
      <c r="CH4" s="555" t="e">
        <f t="shared" si="3"/>
        <v>#DIV/0!</v>
      </c>
      <c r="CI4" s="556" t="e">
        <f t="shared" si="3"/>
        <v>#DIV/0!</v>
      </c>
      <c r="CJ4" s="555">
        <f t="shared" ref="CJ4:CL4" si="4">STDEV(AS4,AV4,AY4,BE4,BK4,BB4,CG4,BZ4,AA4,CD4)</f>
        <v>303.108891324554</v>
      </c>
      <c r="CK4" s="555" t="e">
        <f t="shared" si="4"/>
        <v>#DIV/0!</v>
      </c>
      <c r="CL4" s="556" t="e">
        <f t="shared" si="4"/>
        <v>#DIV/0!</v>
      </c>
      <c r="CM4" s="555">
        <f t="shared" ref="CM4:CO4" si="5">CJ4/AA4</f>
        <v>0.577350269189626</v>
      </c>
      <c r="CN4" s="555" t="e">
        <f t="shared" si="5"/>
        <v>#DIV/0!</v>
      </c>
      <c r="CO4" s="556" t="e">
        <f t="shared" si="5"/>
        <v>#DIV/0!</v>
      </c>
      <c r="CP4" s="29" t="s">
        <v>120</v>
      </c>
      <c r="CQ4" s="535" t="str">
        <f>W4</f>
        <v>n/a</v>
      </c>
      <c r="CR4" s="29" t="s">
        <v>120</v>
      </c>
      <c r="CS4" s="29"/>
      <c r="CT4" s="29"/>
      <c r="CU4" s="29"/>
      <c r="CV4" s="29"/>
    </row>
    <row r="5" customHeight="1" spans="1:100">
      <c r="A5" s="29" t="s">
        <v>179</v>
      </c>
      <c r="B5" s="541"/>
      <c r="C5" s="29" t="s">
        <v>1043</v>
      </c>
      <c r="D5" s="29" t="s">
        <v>180</v>
      </c>
      <c r="E5" s="29"/>
      <c r="F5" s="29" t="s">
        <v>1044</v>
      </c>
      <c r="G5" s="29" t="s">
        <v>1039</v>
      </c>
      <c r="H5" s="29" t="b">
        <v>1</v>
      </c>
      <c r="I5" s="29" t="b">
        <v>1</v>
      </c>
      <c r="J5" s="29" t="b">
        <v>0</v>
      </c>
      <c r="K5" s="29" t="b">
        <v>1</v>
      </c>
      <c r="L5" s="29" t="b">
        <v>1</v>
      </c>
      <c r="M5" s="29" t="b">
        <v>1</v>
      </c>
      <c r="P5" s="29" t="b">
        <v>1</v>
      </c>
      <c r="Q5" s="29" t="b">
        <v>1</v>
      </c>
      <c r="R5" s="29" t="b">
        <v>1</v>
      </c>
      <c r="S5" s="29" t="b">
        <v>1</v>
      </c>
      <c r="T5" s="29" t="b">
        <f t="shared" si="0"/>
        <v>0</v>
      </c>
      <c r="U5" s="29" t="s">
        <v>997</v>
      </c>
      <c r="V5" s="29" t="s">
        <v>181</v>
      </c>
      <c r="W5" s="29"/>
      <c r="X5" s="29" t="s">
        <v>1045</v>
      </c>
      <c r="Y5" s="16" t="s">
        <v>1041</v>
      </c>
      <c r="Z5" s="29" t="s">
        <v>1046</v>
      </c>
      <c r="AA5" s="554" t="e">
        <f t="shared" ref="AA5:AC5" si="6">AVERAGE(AJ5,AM5,AP5,AV5,AY5,AS5,BZ5,BB5,BE5,BH5,BK5,BN5,BQ5,BT5)</f>
        <v>#DIV/0!</v>
      </c>
      <c r="AB5" s="555" t="e">
        <f t="shared" si="6"/>
        <v>#DIV/0!</v>
      </c>
      <c r="AC5" s="556" t="e">
        <f t="shared" si="6"/>
        <v>#DIV/0!</v>
      </c>
      <c r="AD5" s="29" t="b">
        <v>0</v>
      </c>
      <c r="AE5" s="29" t="b">
        <v>1</v>
      </c>
      <c r="AF5" s="29" t="b">
        <v>0</v>
      </c>
      <c r="AG5" s="522">
        <v>2.5</v>
      </c>
      <c r="AH5" s="569" t="s">
        <v>13</v>
      </c>
      <c r="AI5" s="570" t="s">
        <v>13</v>
      </c>
      <c r="AJ5" s="567"/>
      <c r="AK5" s="567"/>
      <c r="AL5" s="568"/>
      <c r="AM5" s="569"/>
      <c r="AN5" s="569"/>
      <c r="AO5" s="567"/>
      <c r="AP5" s="569"/>
      <c r="AQ5" s="569"/>
      <c r="AR5" s="570"/>
      <c r="AS5" s="567"/>
      <c r="AT5" s="567"/>
      <c r="AU5" s="568"/>
      <c r="AV5" s="567"/>
      <c r="AW5" s="567"/>
      <c r="AX5" s="568"/>
      <c r="AY5" s="567"/>
      <c r="AZ5" s="567"/>
      <c r="BA5" s="568"/>
      <c r="BB5" s="567"/>
      <c r="BC5" s="567"/>
      <c r="BD5" s="568"/>
      <c r="BE5" s="567"/>
      <c r="BF5" s="567"/>
      <c r="BG5" s="568"/>
      <c r="BH5" s="567"/>
      <c r="BI5" s="567"/>
      <c r="BJ5" s="568"/>
      <c r="BK5" s="567"/>
      <c r="BL5" s="567"/>
      <c r="BM5" s="568"/>
      <c r="BN5" s="567"/>
      <c r="BO5" s="567"/>
      <c r="BP5" s="568"/>
      <c r="BQ5" s="567"/>
      <c r="BR5" s="567"/>
      <c r="BS5" s="568"/>
      <c r="BT5" s="567"/>
      <c r="BU5" s="567"/>
      <c r="BV5" s="568"/>
      <c r="BW5" s="567"/>
      <c r="BX5" s="567"/>
      <c r="BY5" s="568"/>
      <c r="BZ5" s="567"/>
      <c r="CA5" s="567"/>
      <c r="CB5" s="567"/>
      <c r="CC5" s="583"/>
      <c r="CD5" s="555" t="e">
        <f t="shared" ref="CD5:CF5" si="7">MEDIAN(AM5,AP5,AS5,AY5,BB5,AV5,AA5,BE5,BK5,BZ5,BH5,BN5,BQ5,BT5,BW5)</f>
        <v>#DIV/0!</v>
      </c>
      <c r="CE5" s="555" t="e">
        <f t="shared" si="7"/>
        <v>#DIV/0!</v>
      </c>
      <c r="CF5" s="556" t="e">
        <f t="shared" si="7"/>
        <v>#DIV/0!</v>
      </c>
      <c r="CG5" s="555" t="e">
        <f t="shared" ref="CG5:CI5" si="8">MAX(AP5,AS5,AV5,BB5,BE5,AY5,CD5,BK5,BZ5,AA5)-MIN(AP5,AS5,AV5,BB5,BE5,AY5,CD5,BK5,BZ5,AA5)</f>
        <v>#DIV/0!</v>
      </c>
      <c r="CH5" s="555" t="e">
        <f t="shared" si="8"/>
        <v>#DIV/0!</v>
      </c>
      <c r="CI5" s="556" t="e">
        <f t="shared" si="8"/>
        <v>#DIV/0!</v>
      </c>
      <c r="CJ5" s="555" t="e">
        <f t="shared" ref="CJ5:CL5" si="9">STDEV(AS5,AV5,AY5,BE5,BK5,BB5,CG5,BZ5,AA5,CD5)</f>
        <v>#DIV/0!</v>
      </c>
      <c r="CK5" s="555" t="e">
        <f t="shared" si="9"/>
        <v>#DIV/0!</v>
      </c>
      <c r="CL5" s="556" t="e">
        <f t="shared" si="9"/>
        <v>#DIV/0!</v>
      </c>
      <c r="CM5" s="555" t="e">
        <f t="shared" ref="CM5:CO5" si="10">CJ5/AA5</f>
        <v>#DIV/0!</v>
      </c>
      <c r="CN5" s="555" t="e">
        <f t="shared" si="10"/>
        <v>#DIV/0!</v>
      </c>
      <c r="CO5" s="556" t="e">
        <f t="shared" si="10"/>
        <v>#DIV/0!</v>
      </c>
      <c r="CP5" s="29"/>
      <c r="CQ5" s="535"/>
      <c r="CR5" s="29"/>
      <c r="CS5" s="29"/>
      <c r="CT5" s="29"/>
      <c r="CU5" s="29"/>
      <c r="CV5" s="29"/>
    </row>
    <row r="6" customHeight="1" spans="1:100">
      <c r="A6" s="29" t="s">
        <v>183</v>
      </c>
      <c r="B6" s="541"/>
      <c r="C6" s="29" t="s">
        <v>1043</v>
      </c>
      <c r="D6" s="29" t="s">
        <v>184</v>
      </c>
      <c r="E6" s="29"/>
      <c r="F6" s="29" t="s">
        <v>1044</v>
      </c>
      <c r="G6" s="29" t="s">
        <v>1039</v>
      </c>
      <c r="H6" s="29" t="b">
        <v>1</v>
      </c>
      <c r="I6" s="29" t="b">
        <v>1</v>
      </c>
      <c r="J6" s="29" t="b">
        <v>0</v>
      </c>
      <c r="K6" s="29" t="b">
        <v>0</v>
      </c>
      <c r="L6" s="29" t="b">
        <v>1</v>
      </c>
      <c r="M6" s="29" t="b">
        <v>1</v>
      </c>
      <c r="P6" s="29" t="b">
        <v>1</v>
      </c>
      <c r="Q6" s="29" t="b">
        <v>1</v>
      </c>
      <c r="R6" s="29" t="b">
        <v>1</v>
      </c>
      <c r="S6" s="29" t="b">
        <v>1</v>
      </c>
      <c r="T6" s="29" t="b">
        <f t="shared" si="0"/>
        <v>0</v>
      </c>
      <c r="U6" s="29" t="s">
        <v>997</v>
      </c>
      <c r="V6" s="29" t="s">
        <v>181</v>
      </c>
      <c r="W6" s="29"/>
      <c r="X6" s="29" t="s">
        <v>1045</v>
      </c>
      <c r="Y6" s="16" t="s">
        <v>1041</v>
      </c>
      <c r="Z6" s="29" t="s">
        <v>1046</v>
      </c>
      <c r="AA6" s="554" t="e">
        <f t="shared" ref="AA6:AC6" si="11">AVERAGE(AJ6,AM6,AP6,AV6,AY6,AS6,BZ6,BB6,BE6,BH6,BK6,BN6,BQ6,BT6)</f>
        <v>#DIV/0!</v>
      </c>
      <c r="AB6" s="555" t="e">
        <f t="shared" si="11"/>
        <v>#DIV/0!</v>
      </c>
      <c r="AC6" s="556" t="e">
        <f t="shared" si="11"/>
        <v>#DIV/0!</v>
      </c>
      <c r="AD6" s="29" t="b">
        <v>0</v>
      </c>
      <c r="AE6" s="29" t="b">
        <v>1</v>
      </c>
      <c r="AF6" s="29" t="b">
        <v>0</v>
      </c>
      <c r="AG6" s="522">
        <v>2</v>
      </c>
      <c r="AH6" s="569" t="s">
        <v>13</v>
      </c>
      <c r="AI6" s="570" t="s">
        <v>13</v>
      </c>
      <c r="AJ6" s="567"/>
      <c r="AK6" s="567"/>
      <c r="AL6" s="568"/>
      <c r="AM6" s="569"/>
      <c r="AN6" s="569"/>
      <c r="AO6" s="567"/>
      <c r="AP6" s="569"/>
      <c r="AQ6" s="569"/>
      <c r="AR6" s="570"/>
      <c r="AS6" s="567"/>
      <c r="AT6" s="567"/>
      <c r="AU6" s="568"/>
      <c r="AV6" s="567"/>
      <c r="AW6" s="567"/>
      <c r="AX6" s="568"/>
      <c r="AY6" s="567"/>
      <c r="AZ6" s="567"/>
      <c r="BA6" s="568"/>
      <c r="BB6" s="567"/>
      <c r="BC6" s="567"/>
      <c r="BD6" s="568"/>
      <c r="BE6" s="567"/>
      <c r="BF6" s="567"/>
      <c r="BG6" s="568"/>
      <c r="BH6" s="567"/>
      <c r="BI6" s="567"/>
      <c r="BJ6" s="568"/>
      <c r="BK6" s="567"/>
      <c r="BL6" s="567"/>
      <c r="BM6" s="568"/>
      <c r="BN6" s="567"/>
      <c r="BO6" s="567"/>
      <c r="BP6" s="568"/>
      <c r="BQ6" s="567"/>
      <c r="BR6" s="567"/>
      <c r="BS6" s="568"/>
      <c r="BT6" s="567"/>
      <c r="BU6" s="567"/>
      <c r="BV6" s="568"/>
      <c r="BW6" s="567"/>
      <c r="BX6" s="567"/>
      <c r="BY6" s="568"/>
      <c r="BZ6" s="567"/>
      <c r="CA6" s="567"/>
      <c r="CB6" s="567"/>
      <c r="CC6" s="583"/>
      <c r="CD6" s="555" t="e">
        <f t="shared" ref="CD6:CF6" si="12">MEDIAN(AM6,AP6,AS6,AY6,BB6,AV6,AA6,BE6,BK6,BZ6,BH6,BN6,BQ6,BT6,BW6)</f>
        <v>#DIV/0!</v>
      </c>
      <c r="CE6" s="555" t="e">
        <f t="shared" si="12"/>
        <v>#DIV/0!</v>
      </c>
      <c r="CF6" s="556" t="e">
        <f t="shared" si="12"/>
        <v>#DIV/0!</v>
      </c>
      <c r="CG6" s="555" t="e">
        <f t="shared" ref="CG6:CI6" si="13">MAX(AP6,AS6,AV6,BB6,BE6,AY6,CD6,BK6,BZ6,AA6)-MIN(AP6,AS6,AV6,BB6,BE6,AY6,CD6,BK6,BZ6,AA6)</f>
        <v>#DIV/0!</v>
      </c>
      <c r="CH6" s="555" t="e">
        <f t="shared" si="13"/>
        <v>#DIV/0!</v>
      </c>
      <c r="CI6" s="556" t="e">
        <f t="shared" si="13"/>
        <v>#DIV/0!</v>
      </c>
      <c r="CJ6" s="555" t="e">
        <f t="shared" ref="CJ6:CL6" si="14">STDEV(AS6,AV6,AY6,BE6,BK6,BB6,CG6,BZ6,AA6,CD6)</f>
        <v>#DIV/0!</v>
      </c>
      <c r="CK6" s="555" t="e">
        <f t="shared" si="14"/>
        <v>#DIV/0!</v>
      </c>
      <c r="CL6" s="556" t="e">
        <f t="shared" si="14"/>
        <v>#DIV/0!</v>
      </c>
      <c r="CM6" s="555" t="e">
        <f t="shared" ref="CM6:CO6" si="15">CJ6/AA6</f>
        <v>#DIV/0!</v>
      </c>
      <c r="CN6" s="555" t="e">
        <f t="shared" si="15"/>
        <v>#DIV/0!</v>
      </c>
      <c r="CO6" s="556" t="e">
        <f t="shared" si="15"/>
        <v>#DIV/0!</v>
      </c>
      <c r="CP6" s="29"/>
      <c r="CQ6" s="535"/>
      <c r="CR6" s="29"/>
      <c r="CS6" s="29"/>
      <c r="CT6" s="29"/>
      <c r="CU6" s="29"/>
      <c r="CV6" s="29"/>
    </row>
    <row r="7" customHeight="1" spans="1:100">
      <c r="A7" s="29" t="s">
        <v>185</v>
      </c>
      <c r="B7" s="541"/>
      <c r="C7" s="29" t="s">
        <v>1043</v>
      </c>
      <c r="D7" s="29" t="s">
        <v>186</v>
      </c>
      <c r="E7" s="29"/>
      <c r="F7" s="29" t="s">
        <v>1044</v>
      </c>
      <c r="G7" s="29" t="s">
        <v>1039</v>
      </c>
      <c r="H7" s="29" t="b">
        <v>1</v>
      </c>
      <c r="I7" s="29" t="b">
        <v>0</v>
      </c>
      <c r="J7" s="29" t="b">
        <v>0</v>
      </c>
      <c r="K7" s="29" t="b">
        <v>1</v>
      </c>
      <c r="L7" s="29" t="b">
        <v>1</v>
      </c>
      <c r="M7" s="29" t="b">
        <v>1</v>
      </c>
      <c r="P7" s="29" t="b">
        <v>0</v>
      </c>
      <c r="Q7" s="29" t="b">
        <v>0</v>
      </c>
      <c r="R7" s="29" t="b">
        <v>0</v>
      </c>
      <c r="S7" s="29" t="b">
        <v>0</v>
      </c>
      <c r="T7" s="29" t="b">
        <f t="shared" si="0"/>
        <v>0</v>
      </c>
      <c r="U7" s="29" t="s">
        <v>997</v>
      </c>
      <c r="V7" s="29" t="s">
        <v>181</v>
      </c>
      <c r="W7" s="29"/>
      <c r="X7" s="29" t="s">
        <v>1045</v>
      </c>
      <c r="Y7" s="16" t="s">
        <v>1041</v>
      </c>
      <c r="Z7" s="29" t="s">
        <v>1046</v>
      </c>
      <c r="AA7" s="554" t="e">
        <f t="shared" ref="AA7:AC7" si="16">AVERAGE(AJ7,AM7,AP7,AV7,AY7,AS7,BZ7,BB7,BE7,BH7,BK7,BN7,BQ7,BT7)</f>
        <v>#DIV/0!</v>
      </c>
      <c r="AB7" s="555" t="e">
        <f t="shared" si="16"/>
        <v>#DIV/0!</v>
      </c>
      <c r="AC7" s="556" t="e">
        <f t="shared" si="16"/>
        <v>#DIV/0!</v>
      </c>
      <c r="AD7" s="29" t="b">
        <v>0</v>
      </c>
      <c r="AE7" s="29" t="b">
        <v>1</v>
      </c>
      <c r="AF7" s="29" t="b">
        <v>0</v>
      </c>
      <c r="AG7" s="522">
        <v>2</v>
      </c>
      <c r="AH7" s="569" t="s">
        <v>13</v>
      </c>
      <c r="AI7" s="570" t="s">
        <v>13</v>
      </c>
      <c r="AJ7" s="567"/>
      <c r="AK7" s="567"/>
      <c r="AL7" s="568"/>
      <c r="AM7" s="569"/>
      <c r="AN7" s="569"/>
      <c r="AO7" s="568"/>
      <c r="AP7" s="569"/>
      <c r="AQ7" s="569"/>
      <c r="AR7" s="570"/>
      <c r="AS7" s="567"/>
      <c r="AT7" s="567"/>
      <c r="AU7" s="568"/>
      <c r="AV7" s="567"/>
      <c r="AW7" s="567"/>
      <c r="AX7" s="568"/>
      <c r="AY7" s="567"/>
      <c r="AZ7" s="567"/>
      <c r="BA7" s="568"/>
      <c r="BB7" s="567"/>
      <c r="BC7" s="567"/>
      <c r="BD7" s="568"/>
      <c r="BE7" s="567"/>
      <c r="BF7" s="567"/>
      <c r="BG7" s="568"/>
      <c r="BH7" s="567"/>
      <c r="BI7" s="567"/>
      <c r="BJ7" s="568"/>
      <c r="BK7" s="567"/>
      <c r="BL7" s="567"/>
      <c r="BM7" s="568"/>
      <c r="BN7" s="567"/>
      <c r="BO7" s="567"/>
      <c r="BP7" s="568"/>
      <c r="BQ7" s="567"/>
      <c r="BR7" s="567"/>
      <c r="BS7" s="568"/>
      <c r="BT7" s="567"/>
      <c r="BU7" s="567"/>
      <c r="BV7" s="568"/>
      <c r="BW7" s="567"/>
      <c r="BX7" s="567"/>
      <c r="BY7" s="568"/>
      <c r="BZ7" s="567"/>
      <c r="CA7" s="567"/>
      <c r="CB7" s="567"/>
      <c r="CC7" s="583"/>
      <c r="CD7" s="555" t="e">
        <f t="shared" ref="CD7:CF7" si="17">MEDIAN(AM7,AP7,AS7,AY7,BB7,AV7,AA7,BE7,BK7,BZ7,BH7,BN7,BQ7,BT7,BW7)</f>
        <v>#DIV/0!</v>
      </c>
      <c r="CE7" s="555" t="e">
        <f t="shared" si="17"/>
        <v>#DIV/0!</v>
      </c>
      <c r="CF7" s="556" t="e">
        <f t="shared" si="17"/>
        <v>#DIV/0!</v>
      </c>
      <c r="CG7" s="555" t="e">
        <f t="shared" ref="CG7:CI7" si="18">MAX(AP7,AS7,AV7,BB7,BE7,AY7,CD7,BK7,BZ7,AA7)-MIN(AP7,AS7,AV7,BB7,BE7,AY7,CD7,BK7,BZ7,AA7)</f>
        <v>#DIV/0!</v>
      </c>
      <c r="CH7" s="555" t="e">
        <f t="shared" si="18"/>
        <v>#DIV/0!</v>
      </c>
      <c r="CI7" s="556" t="e">
        <f t="shared" si="18"/>
        <v>#DIV/0!</v>
      </c>
      <c r="CJ7" s="555" t="e">
        <f t="shared" ref="CJ7:CL7" si="19">STDEV(AS7,AV7,AY7,BE7,BK7,BB7,CG7,BZ7,AA7,CD7)</f>
        <v>#DIV/0!</v>
      </c>
      <c r="CK7" s="555" t="e">
        <f t="shared" si="19"/>
        <v>#DIV/0!</v>
      </c>
      <c r="CL7" s="556" t="e">
        <f t="shared" si="19"/>
        <v>#DIV/0!</v>
      </c>
      <c r="CM7" s="555" t="e">
        <f t="shared" ref="CM7:CO7" si="20">CJ7/AA7</f>
        <v>#DIV/0!</v>
      </c>
      <c r="CN7" s="555" t="e">
        <f t="shared" si="20"/>
        <v>#DIV/0!</v>
      </c>
      <c r="CO7" s="556" t="e">
        <f t="shared" si="20"/>
        <v>#DIV/0!</v>
      </c>
      <c r="CP7" s="29"/>
      <c r="CQ7" s="535"/>
      <c r="CR7" s="29"/>
      <c r="CS7" s="29"/>
      <c r="CT7" s="29"/>
      <c r="CU7" s="29"/>
      <c r="CV7" s="29"/>
    </row>
    <row r="8" customHeight="1" spans="1:100">
      <c r="A8" s="29" t="s">
        <v>187</v>
      </c>
      <c r="B8" s="541"/>
      <c r="C8" s="29" t="s">
        <v>1043</v>
      </c>
      <c r="D8" s="29" t="s">
        <v>188</v>
      </c>
      <c r="E8" s="29"/>
      <c r="F8" s="29" t="s">
        <v>1044</v>
      </c>
      <c r="G8" s="29" t="s">
        <v>1039</v>
      </c>
      <c r="H8" s="29" t="b">
        <v>1</v>
      </c>
      <c r="I8" s="29" t="b">
        <v>0</v>
      </c>
      <c r="J8" s="29" t="b">
        <v>0</v>
      </c>
      <c r="K8" s="29" t="b">
        <v>1</v>
      </c>
      <c r="L8" s="29" t="b">
        <v>1</v>
      </c>
      <c r="M8" s="29" t="b">
        <v>1</v>
      </c>
      <c r="P8" s="29" t="b">
        <v>0</v>
      </c>
      <c r="Q8" s="29" t="b">
        <v>0</v>
      </c>
      <c r="R8" s="29" t="b">
        <v>0</v>
      </c>
      <c r="S8" s="29" t="b">
        <v>0</v>
      </c>
      <c r="T8" s="29" t="b">
        <f t="shared" si="0"/>
        <v>0</v>
      </c>
      <c r="U8" s="29" t="s">
        <v>997</v>
      </c>
      <c r="V8" s="29" t="s">
        <v>181</v>
      </c>
      <c r="W8" s="29"/>
      <c r="X8" s="29" t="s">
        <v>1045</v>
      </c>
      <c r="Y8" s="16" t="s">
        <v>1041</v>
      </c>
      <c r="Z8" s="29" t="s">
        <v>1046</v>
      </c>
      <c r="AA8" s="554" t="e">
        <f t="shared" ref="AA8:AC8" si="21">AVERAGE(AJ8,AM8,AP8,AV8,AY8,AS8,BZ8,BB8,BE8,BH8,BK8,BN8,BQ8,BT8)</f>
        <v>#DIV/0!</v>
      </c>
      <c r="AB8" s="555" t="e">
        <f t="shared" si="21"/>
        <v>#DIV/0!</v>
      </c>
      <c r="AC8" s="556" t="e">
        <f t="shared" si="21"/>
        <v>#DIV/0!</v>
      </c>
      <c r="AD8" s="29" t="b">
        <v>0</v>
      </c>
      <c r="AE8" s="29" t="b">
        <v>1</v>
      </c>
      <c r="AF8" s="29" t="b">
        <v>0</v>
      </c>
      <c r="AG8" s="522">
        <v>2</v>
      </c>
      <c r="AH8" s="569" t="s">
        <v>13</v>
      </c>
      <c r="AI8" s="570" t="s">
        <v>13</v>
      </c>
      <c r="AJ8" s="567"/>
      <c r="AK8" s="567"/>
      <c r="AL8" s="568"/>
      <c r="AM8" s="569"/>
      <c r="AN8" s="569"/>
      <c r="AO8" s="568"/>
      <c r="AP8" s="569"/>
      <c r="AQ8" s="569"/>
      <c r="AR8" s="570"/>
      <c r="AS8" s="567"/>
      <c r="AT8" s="567"/>
      <c r="AU8" s="568"/>
      <c r="AV8" s="567"/>
      <c r="AW8" s="567"/>
      <c r="AX8" s="568"/>
      <c r="AY8" s="567"/>
      <c r="AZ8" s="567"/>
      <c r="BA8" s="568"/>
      <c r="BB8" s="567"/>
      <c r="BC8" s="567"/>
      <c r="BD8" s="568"/>
      <c r="BE8" s="567"/>
      <c r="BF8" s="567"/>
      <c r="BG8" s="568"/>
      <c r="BH8" s="567"/>
      <c r="BI8" s="567"/>
      <c r="BJ8" s="568"/>
      <c r="BK8" s="567"/>
      <c r="BL8" s="567"/>
      <c r="BM8" s="568"/>
      <c r="BN8" s="567"/>
      <c r="BO8" s="567"/>
      <c r="BP8" s="568"/>
      <c r="BQ8" s="567"/>
      <c r="BR8" s="567"/>
      <c r="BS8" s="568"/>
      <c r="BT8" s="567"/>
      <c r="BU8" s="567"/>
      <c r="BV8" s="568"/>
      <c r="BW8" s="567"/>
      <c r="BX8" s="567"/>
      <c r="BY8" s="568"/>
      <c r="BZ8" s="567"/>
      <c r="CA8" s="567"/>
      <c r="CB8" s="567"/>
      <c r="CC8" s="583"/>
      <c r="CD8" s="555" t="e">
        <f t="shared" ref="CD8:CF8" si="22">MEDIAN(AM8,AP8,AS8,AY8,BB8,AV8,AA8,BE8,BK8,BZ8,BH8,BN8,BQ8,BT8,BW8)</f>
        <v>#DIV/0!</v>
      </c>
      <c r="CE8" s="555" t="e">
        <f t="shared" si="22"/>
        <v>#DIV/0!</v>
      </c>
      <c r="CF8" s="556" t="e">
        <f t="shared" si="22"/>
        <v>#DIV/0!</v>
      </c>
      <c r="CG8" s="555" t="e">
        <f t="shared" ref="CG8:CI8" si="23">MAX(AP8,AS8,AV8,BB8,BE8,AY8,CD8,BK8,BZ8,AA8)-MIN(AP8,AS8,AV8,BB8,BE8,AY8,CD8,BK8,BZ8,AA8)</f>
        <v>#DIV/0!</v>
      </c>
      <c r="CH8" s="555" t="e">
        <f t="shared" si="23"/>
        <v>#DIV/0!</v>
      </c>
      <c r="CI8" s="556" t="e">
        <f t="shared" si="23"/>
        <v>#DIV/0!</v>
      </c>
      <c r="CJ8" s="555" t="e">
        <f t="shared" ref="CJ8:CL8" si="24">STDEV(AS8,AV8,AY8,BE8,BK8,BB8,CG8,BZ8,AA8,CD8)</f>
        <v>#DIV/0!</v>
      </c>
      <c r="CK8" s="555" t="e">
        <f t="shared" si="24"/>
        <v>#DIV/0!</v>
      </c>
      <c r="CL8" s="556" t="e">
        <f t="shared" si="24"/>
        <v>#DIV/0!</v>
      </c>
      <c r="CM8" s="555" t="e">
        <f t="shared" ref="CM8:CO8" si="25">CJ8/AA8</f>
        <v>#DIV/0!</v>
      </c>
      <c r="CN8" s="555" t="e">
        <f t="shared" si="25"/>
        <v>#DIV/0!</v>
      </c>
      <c r="CO8" s="556" t="e">
        <f t="shared" si="25"/>
        <v>#DIV/0!</v>
      </c>
      <c r="CP8" s="29"/>
      <c r="CQ8" s="535"/>
      <c r="CR8" s="29"/>
      <c r="CS8" s="29"/>
      <c r="CT8" s="29"/>
      <c r="CU8" s="29"/>
      <c r="CV8" s="29"/>
    </row>
    <row r="9" customHeight="1" spans="1:100">
      <c r="A9" s="29" t="s">
        <v>189</v>
      </c>
      <c r="B9" s="541" t="s">
        <v>1047</v>
      </c>
      <c r="C9" s="29" t="s">
        <v>1048</v>
      </c>
      <c r="D9" s="29" t="s">
        <v>190</v>
      </c>
      <c r="F9" s="29" t="s">
        <v>1038</v>
      </c>
      <c r="G9" s="29" t="s">
        <v>1039</v>
      </c>
      <c r="H9" s="29" t="b">
        <v>1</v>
      </c>
      <c r="I9" s="29" t="b">
        <v>1</v>
      </c>
      <c r="J9" s="29" t="b">
        <v>0</v>
      </c>
      <c r="K9" s="29" t="b">
        <v>0</v>
      </c>
      <c r="L9" s="29" t="b">
        <v>1</v>
      </c>
      <c r="M9" s="29" t="b">
        <v>1</v>
      </c>
      <c r="N9" s="29" t="s">
        <v>193</v>
      </c>
      <c r="P9" s="29" t="b">
        <v>0</v>
      </c>
      <c r="Q9" s="29" t="b">
        <v>0</v>
      </c>
      <c r="R9" s="29" t="b">
        <v>0</v>
      </c>
      <c r="S9" s="29" t="b">
        <v>0</v>
      </c>
      <c r="T9" s="29" t="b">
        <f t="shared" si="0"/>
        <v>0</v>
      </c>
      <c r="U9" s="29" t="s">
        <v>997</v>
      </c>
      <c r="W9" s="29" t="s">
        <v>119</v>
      </c>
      <c r="X9" s="29" t="s">
        <v>1045</v>
      </c>
      <c r="Y9" s="16" t="s">
        <v>1041</v>
      </c>
      <c r="Z9" s="29" t="s">
        <v>1049</v>
      </c>
      <c r="AA9" s="554" t="e">
        <f t="shared" ref="AA9:AC9" si="26">AVERAGE(AJ9,AM9,AP9,AV9,AY9,AS9,BZ9,BB9,BE9,BH9,BK9,BN9,BQ9,BT9)</f>
        <v>#DIV/0!</v>
      </c>
      <c r="AB9" s="555" t="e">
        <f t="shared" si="26"/>
        <v>#DIV/0!</v>
      </c>
      <c r="AC9" s="556" t="e">
        <f t="shared" si="26"/>
        <v>#DIV/0!</v>
      </c>
      <c r="AD9" s="29" t="b">
        <v>1</v>
      </c>
      <c r="AE9" s="29" t="b">
        <v>0</v>
      </c>
      <c r="AF9" s="29" t="b">
        <v>0</v>
      </c>
      <c r="AG9" s="522">
        <v>21</v>
      </c>
      <c r="AH9" s="569" t="s">
        <v>13</v>
      </c>
      <c r="AI9" s="570" t="s">
        <v>13</v>
      </c>
      <c r="AJ9" s="567"/>
      <c r="AK9" s="567"/>
      <c r="AL9" s="568"/>
      <c r="AM9" s="567"/>
      <c r="AN9" s="567"/>
      <c r="AO9" s="568"/>
      <c r="AP9" s="567"/>
      <c r="AQ9" s="567"/>
      <c r="AR9" s="568"/>
      <c r="AS9" s="567"/>
      <c r="AT9" s="567"/>
      <c r="AU9" s="568"/>
      <c r="AV9" s="567"/>
      <c r="AW9" s="567"/>
      <c r="AX9" s="568"/>
      <c r="AY9" s="567"/>
      <c r="AZ9" s="567"/>
      <c r="BA9" s="568"/>
      <c r="BB9" s="567"/>
      <c r="BC9" s="567"/>
      <c r="BD9" s="568"/>
      <c r="BE9" s="567"/>
      <c r="BF9" s="567"/>
      <c r="BG9" s="568"/>
      <c r="BH9" s="567"/>
      <c r="BI9" s="567"/>
      <c r="BJ9" s="568"/>
      <c r="BK9" s="567"/>
      <c r="BL9" s="567"/>
      <c r="BM9" s="568"/>
      <c r="BN9" s="567"/>
      <c r="BO9" s="567"/>
      <c r="BP9" s="568"/>
      <c r="BQ9" s="567"/>
      <c r="BR9" s="567"/>
      <c r="BS9" s="568"/>
      <c r="BT9" s="567"/>
      <c r="BU9" s="567"/>
      <c r="BV9" s="568"/>
      <c r="BW9" s="567"/>
      <c r="BX9" s="567"/>
      <c r="BY9" s="568"/>
      <c r="BZ9" s="567"/>
      <c r="CA9" s="567"/>
      <c r="CB9" s="567"/>
      <c r="CC9" s="583"/>
      <c r="CD9" s="555" t="e">
        <f t="shared" ref="CD9:CF9" si="27">MEDIAN(AM9,AP9,AS9,AY9,BB9,AV9,AA9,BE9,BK9,BZ9,BH9,BN9,BQ9,BT9,BW9)</f>
        <v>#DIV/0!</v>
      </c>
      <c r="CE9" s="555" t="e">
        <f t="shared" si="27"/>
        <v>#DIV/0!</v>
      </c>
      <c r="CF9" s="556" t="e">
        <f t="shared" si="27"/>
        <v>#DIV/0!</v>
      </c>
      <c r="CG9" s="555" t="e">
        <f t="shared" ref="CG9:CI9" si="28">MAX(AP9,AS9,AV9,BB9,BE9,AY9,CD9,BK9,BZ9,AA9)-MIN(AP9,AS9,AV9,BB9,BE9,AY9,CD9,BK9,BZ9,AA9)</f>
        <v>#DIV/0!</v>
      </c>
      <c r="CH9" s="555" t="e">
        <f t="shared" si="28"/>
        <v>#DIV/0!</v>
      </c>
      <c r="CI9" s="556" t="e">
        <f t="shared" si="28"/>
        <v>#DIV/0!</v>
      </c>
      <c r="CJ9" s="555" t="e">
        <f t="shared" ref="CJ9:CL9" si="29">STDEV(AS9,AV9,AY9,BE9,BK9,BB9,CG9,BZ9,AA9,CD9)</f>
        <v>#DIV/0!</v>
      </c>
      <c r="CK9" s="555" t="e">
        <f t="shared" si="29"/>
        <v>#DIV/0!</v>
      </c>
      <c r="CL9" s="556" t="e">
        <f t="shared" si="29"/>
        <v>#DIV/0!</v>
      </c>
      <c r="CM9" s="555" t="e">
        <f t="shared" ref="CM9:CO9" si="30">CJ9/AA9</f>
        <v>#DIV/0!</v>
      </c>
      <c r="CN9" s="555" t="e">
        <f t="shared" si="30"/>
        <v>#DIV/0!</v>
      </c>
      <c r="CO9" s="556" t="e">
        <f t="shared" si="30"/>
        <v>#DIV/0!</v>
      </c>
      <c r="CP9" s="29" t="s">
        <v>120</v>
      </c>
      <c r="CQ9" s="535" t="str">
        <f t="shared" ref="CQ9:CQ36" si="31">W9</f>
        <v>n/a</v>
      </c>
      <c r="CR9" s="29" t="s">
        <v>120</v>
      </c>
      <c r="CS9" s="29"/>
      <c r="CT9" s="29"/>
      <c r="CU9" s="29"/>
      <c r="CV9" s="29"/>
    </row>
    <row r="10" customHeight="1" spans="1:100">
      <c r="A10" s="29" t="s">
        <v>194</v>
      </c>
      <c r="B10" s="541" t="s">
        <v>1047</v>
      </c>
      <c r="C10" s="29" t="s">
        <v>1048</v>
      </c>
      <c r="D10" s="29" t="s">
        <v>195</v>
      </c>
      <c r="F10" s="29" t="s">
        <v>1038</v>
      </c>
      <c r="G10" s="29" t="s">
        <v>1039</v>
      </c>
      <c r="H10" s="29" t="b">
        <v>1</v>
      </c>
      <c r="I10" s="29" t="b">
        <v>1</v>
      </c>
      <c r="J10" s="29" t="b">
        <v>0</v>
      </c>
      <c r="K10" s="29" t="b">
        <v>0</v>
      </c>
      <c r="L10" s="29" t="b">
        <v>1</v>
      </c>
      <c r="M10" s="29" t="b">
        <v>1</v>
      </c>
      <c r="N10" s="29" t="s">
        <v>196</v>
      </c>
      <c r="P10" s="29" t="b">
        <v>0</v>
      </c>
      <c r="Q10" s="29" t="b">
        <v>0</v>
      </c>
      <c r="R10" s="29" t="b">
        <v>0</v>
      </c>
      <c r="S10" s="29" t="b">
        <v>0</v>
      </c>
      <c r="T10" s="29" t="b">
        <f t="shared" si="0"/>
        <v>0</v>
      </c>
      <c r="U10" s="29" t="s">
        <v>997</v>
      </c>
      <c r="W10" s="29" t="s">
        <v>119</v>
      </c>
      <c r="X10" s="29" t="s">
        <v>1045</v>
      </c>
      <c r="Y10" s="16" t="s">
        <v>1041</v>
      </c>
      <c r="Z10" s="29" t="s">
        <v>1049</v>
      </c>
      <c r="AA10" s="554" t="e">
        <f t="shared" ref="AA10:AC10" si="32">AVERAGE(AJ10,AM10,AP10,AV10,AY10,AS10,BZ10,BB10,BE10,BH10,BK10,BN10,BQ10,BT10)</f>
        <v>#DIV/0!</v>
      </c>
      <c r="AB10" s="555" t="e">
        <f t="shared" si="32"/>
        <v>#DIV/0!</v>
      </c>
      <c r="AC10" s="556" t="e">
        <f t="shared" si="32"/>
        <v>#DIV/0!</v>
      </c>
      <c r="AD10" s="29" t="b">
        <v>1</v>
      </c>
      <c r="AE10" s="29" t="b">
        <v>0</v>
      </c>
      <c r="AF10" s="29" t="b">
        <v>0</v>
      </c>
      <c r="AG10" s="522">
        <v>21</v>
      </c>
      <c r="AH10" s="569" t="s">
        <v>13</v>
      </c>
      <c r="AI10" s="570" t="s">
        <v>13</v>
      </c>
      <c r="AJ10" s="567"/>
      <c r="AK10" s="567"/>
      <c r="AL10" s="568"/>
      <c r="AM10" s="567"/>
      <c r="AN10" s="567"/>
      <c r="AO10" s="567"/>
      <c r="AP10" s="567"/>
      <c r="AQ10" s="567"/>
      <c r="AR10" s="568"/>
      <c r="AS10" s="567"/>
      <c r="AT10" s="567"/>
      <c r="AU10" s="568"/>
      <c r="AV10" s="567"/>
      <c r="AW10" s="567"/>
      <c r="AX10" s="568"/>
      <c r="AY10" s="567"/>
      <c r="AZ10" s="567"/>
      <c r="BA10" s="568"/>
      <c r="BB10" s="567"/>
      <c r="BC10" s="567"/>
      <c r="BD10" s="568"/>
      <c r="BE10" s="567"/>
      <c r="BF10" s="567"/>
      <c r="BG10" s="568"/>
      <c r="BH10" s="567"/>
      <c r="BI10" s="567"/>
      <c r="BJ10" s="568"/>
      <c r="BK10" s="567"/>
      <c r="BL10" s="567"/>
      <c r="BM10" s="568"/>
      <c r="BN10" s="567"/>
      <c r="BO10" s="567"/>
      <c r="BP10" s="568"/>
      <c r="BQ10" s="567"/>
      <c r="BR10" s="567"/>
      <c r="BS10" s="568"/>
      <c r="BT10" s="567"/>
      <c r="BU10" s="567"/>
      <c r="BV10" s="568"/>
      <c r="BW10" s="567"/>
      <c r="BX10" s="567"/>
      <c r="BY10" s="568"/>
      <c r="BZ10" s="567"/>
      <c r="CA10" s="567"/>
      <c r="CB10" s="567"/>
      <c r="CC10" s="583"/>
      <c r="CD10" s="555" t="e">
        <f t="shared" ref="CD10:CF10" si="33">MEDIAN(AM10,AP10,AS10,AY10,BB10,AV10,AA10,BE10,BK10,BZ10,BH10,BN10,BQ10,BT10,BW10)</f>
        <v>#DIV/0!</v>
      </c>
      <c r="CE10" s="555" t="e">
        <f t="shared" si="33"/>
        <v>#DIV/0!</v>
      </c>
      <c r="CF10" s="556" t="e">
        <f t="shared" si="33"/>
        <v>#DIV/0!</v>
      </c>
      <c r="CG10" s="555" t="e">
        <f t="shared" ref="CG10:CI10" si="34">MAX(AP10,AS10,AV10,BB10,BE10,AY10,CD10,BK10,BZ10,AA10)-MIN(AP10,AS10,AV10,BB10,BE10,AY10,CD10,BK10,BZ10,AA10)</f>
        <v>#DIV/0!</v>
      </c>
      <c r="CH10" s="555" t="e">
        <f t="shared" si="34"/>
        <v>#DIV/0!</v>
      </c>
      <c r="CI10" s="556" t="e">
        <f t="shared" si="34"/>
        <v>#DIV/0!</v>
      </c>
      <c r="CJ10" s="555" t="e">
        <f t="shared" ref="CJ10:CL10" si="35">STDEV(AS10,AV10,AY10,BE10,BK10,BB10,CG10,BZ10,AA10,CD10)</f>
        <v>#DIV/0!</v>
      </c>
      <c r="CK10" s="555" t="e">
        <f t="shared" si="35"/>
        <v>#DIV/0!</v>
      </c>
      <c r="CL10" s="556" t="e">
        <f t="shared" si="35"/>
        <v>#DIV/0!</v>
      </c>
      <c r="CM10" s="555" t="e">
        <f t="shared" ref="CM10:CO10" si="36">CJ10/AA10</f>
        <v>#DIV/0!</v>
      </c>
      <c r="CN10" s="555" t="e">
        <f t="shared" si="36"/>
        <v>#DIV/0!</v>
      </c>
      <c r="CO10" s="556" t="e">
        <f t="shared" si="36"/>
        <v>#DIV/0!</v>
      </c>
      <c r="CP10" s="29" t="s">
        <v>120</v>
      </c>
      <c r="CQ10" s="535" t="str">
        <f t="shared" si="31"/>
        <v>n/a</v>
      </c>
      <c r="CR10" s="29" t="s">
        <v>120</v>
      </c>
      <c r="CS10" s="29"/>
      <c r="CT10" s="29"/>
      <c r="CU10" s="29"/>
      <c r="CV10" s="29"/>
    </row>
    <row r="11" customHeight="1" spans="1:100">
      <c r="A11" s="29" t="s">
        <v>197</v>
      </c>
      <c r="B11" s="541" t="s">
        <v>1047</v>
      </c>
      <c r="C11" s="29" t="s">
        <v>1048</v>
      </c>
      <c r="D11" s="29" t="s">
        <v>198</v>
      </c>
      <c r="F11" s="29" t="s">
        <v>1038</v>
      </c>
      <c r="G11" s="29" t="s">
        <v>1039</v>
      </c>
      <c r="H11" s="29" t="b">
        <v>1</v>
      </c>
      <c r="I11" s="29" t="b">
        <v>1</v>
      </c>
      <c r="J11" s="29" t="b">
        <v>0</v>
      </c>
      <c r="K11" s="29" t="b">
        <v>0</v>
      </c>
      <c r="L11" s="29" t="b">
        <v>1</v>
      </c>
      <c r="M11" s="29" t="b">
        <v>1</v>
      </c>
      <c r="N11" s="29" t="s">
        <v>199</v>
      </c>
      <c r="P11" s="29" t="b">
        <v>0</v>
      </c>
      <c r="Q11" s="29" t="b">
        <v>0</v>
      </c>
      <c r="R11" s="29" t="b">
        <v>0</v>
      </c>
      <c r="S11" s="29" t="b">
        <v>0</v>
      </c>
      <c r="T11" s="29" t="b">
        <f t="shared" si="0"/>
        <v>0</v>
      </c>
      <c r="U11" s="29" t="s">
        <v>997</v>
      </c>
      <c r="W11" s="29" t="s">
        <v>119</v>
      </c>
      <c r="X11" s="29" t="s">
        <v>1045</v>
      </c>
      <c r="Y11" s="16" t="s">
        <v>1041</v>
      </c>
      <c r="Z11" s="29" t="s">
        <v>1049</v>
      </c>
      <c r="AA11" s="554" t="e">
        <f t="shared" ref="AA11:AC11" si="37">AVERAGE(AJ11,AM11,AP11,AV11,AY11,AS11,BZ11,BB11,BE11,BH11,BK11,BN11,BQ11,BT11)</f>
        <v>#DIV/0!</v>
      </c>
      <c r="AB11" s="555" t="e">
        <f t="shared" si="37"/>
        <v>#DIV/0!</v>
      </c>
      <c r="AC11" s="556" t="e">
        <f t="shared" si="37"/>
        <v>#DIV/0!</v>
      </c>
      <c r="AD11" s="29" t="b">
        <v>1</v>
      </c>
      <c r="AE11" s="29" t="b">
        <v>0</v>
      </c>
      <c r="AF11" s="29" t="b">
        <v>0</v>
      </c>
      <c r="AG11" s="522">
        <v>21</v>
      </c>
      <c r="AH11" s="569" t="s">
        <v>13</v>
      </c>
      <c r="AI11" s="570" t="s">
        <v>13</v>
      </c>
      <c r="AJ11" s="567"/>
      <c r="AK11" s="567"/>
      <c r="AL11" s="568"/>
      <c r="AM11" s="567"/>
      <c r="AN11" s="567"/>
      <c r="AO11" s="567"/>
      <c r="AP11" s="567"/>
      <c r="AQ11" s="567"/>
      <c r="AR11" s="568"/>
      <c r="AS11" s="567"/>
      <c r="AT11" s="567"/>
      <c r="AU11" s="568"/>
      <c r="AV11" s="567"/>
      <c r="AW11" s="567"/>
      <c r="AX11" s="568"/>
      <c r="AY11" s="567"/>
      <c r="AZ11" s="567"/>
      <c r="BA11" s="568"/>
      <c r="BB11" s="567"/>
      <c r="BC11" s="567"/>
      <c r="BD11" s="568"/>
      <c r="BE11" s="567"/>
      <c r="BF11" s="567"/>
      <c r="BG11" s="568"/>
      <c r="BH11" s="567"/>
      <c r="BI11" s="567"/>
      <c r="BJ11" s="568"/>
      <c r="BK11" s="567"/>
      <c r="BL11" s="567"/>
      <c r="BM11" s="568"/>
      <c r="BN11" s="567"/>
      <c r="BO11" s="567"/>
      <c r="BP11" s="568"/>
      <c r="BQ11" s="567"/>
      <c r="BR11" s="567"/>
      <c r="BS11" s="568"/>
      <c r="BT11" s="567"/>
      <c r="BU11" s="567"/>
      <c r="BV11" s="568"/>
      <c r="BW11" s="567"/>
      <c r="BX11" s="567"/>
      <c r="BY11" s="568"/>
      <c r="BZ11" s="567"/>
      <c r="CA11" s="567"/>
      <c r="CB11" s="567"/>
      <c r="CC11" s="583"/>
      <c r="CD11" s="555" t="e">
        <f t="shared" ref="CD11:CF11" si="38">MEDIAN(AM11,AP11,AS11,AY11,BB11,AV11,AA11,BE11,BK11,BZ11,BH11,BN11,BQ11,BT11,BW11)</f>
        <v>#DIV/0!</v>
      </c>
      <c r="CE11" s="555" t="e">
        <f t="shared" si="38"/>
        <v>#DIV/0!</v>
      </c>
      <c r="CF11" s="556" t="e">
        <f t="shared" si="38"/>
        <v>#DIV/0!</v>
      </c>
      <c r="CG11" s="555" t="e">
        <f t="shared" ref="CG11:CI11" si="39">MAX(AP11,AS11,AV11,BB11,BE11,AY11,CD11,BK11,BZ11,AA11)-MIN(AP11,AS11,AV11,BB11,BE11,AY11,CD11,BK11,BZ11,AA11)</f>
        <v>#DIV/0!</v>
      </c>
      <c r="CH11" s="555" t="e">
        <f t="shared" si="39"/>
        <v>#DIV/0!</v>
      </c>
      <c r="CI11" s="556" t="e">
        <f t="shared" si="39"/>
        <v>#DIV/0!</v>
      </c>
      <c r="CJ11" s="555" t="e">
        <f t="shared" ref="CJ11:CL11" si="40">STDEV(AS11,AV11,AY11,BE11,BK11,BB11,CG11,BZ11,AA11,CD11)</f>
        <v>#DIV/0!</v>
      </c>
      <c r="CK11" s="555" t="e">
        <f t="shared" si="40"/>
        <v>#DIV/0!</v>
      </c>
      <c r="CL11" s="556" t="e">
        <f t="shared" si="40"/>
        <v>#DIV/0!</v>
      </c>
      <c r="CM11" s="555" t="e">
        <f t="shared" ref="CM11:CO11" si="41">CJ11/AA11</f>
        <v>#DIV/0!</v>
      </c>
      <c r="CN11" s="555" t="e">
        <f t="shared" si="41"/>
        <v>#DIV/0!</v>
      </c>
      <c r="CO11" s="556" t="e">
        <f t="shared" si="41"/>
        <v>#DIV/0!</v>
      </c>
      <c r="CP11" s="29" t="s">
        <v>120</v>
      </c>
      <c r="CQ11" s="535" t="str">
        <f t="shared" si="31"/>
        <v>n/a</v>
      </c>
      <c r="CR11" s="29" t="s">
        <v>120</v>
      </c>
      <c r="CS11" s="29"/>
      <c r="CT11" s="29"/>
      <c r="CU11" s="29"/>
      <c r="CV11" s="29"/>
    </row>
    <row r="12" customHeight="1" spans="1:100">
      <c r="A12" s="29" t="s">
        <v>200</v>
      </c>
      <c r="B12" s="541" t="s">
        <v>1047</v>
      </c>
      <c r="C12" s="29" t="s">
        <v>1048</v>
      </c>
      <c r="D12" s="29" t="s">
        <v>201</v>
      </c>
      <c r="F12" s="29" t="s">
        <v>1038</v>
      </c>
      <c r="G12" s="29" t="s">
        <v>1039</v>
      </c>
      <c r="H12" s="29" t="b">
        <v>1</v>
      </c>
      <c r="I12" s="29" t="b">
        <v>1</v>
      </c>
      <c r="J12" s="29" t="b">
        <v>0</v>
      </c>
      <c r="K12" s="29" t="b">
        <v>0</v>
      </c>
      <c r="L12" s="29" t="b">
        <v>1</v>
      </c>
      <c r="M12" s="29" t="b">
        <v>1</v>
      </c>
      <c r="N12" s="29" t="s">
        <v>193</v>
      </c>
      <c r="P12" s="29" t="b">
        <v>0</v>
      </c>
      <c r="Q12" s="29" t="b">
        <v>0</v>
      </c>
      <c r="R12" s="29" t="b">
        <v>0</v>
      </c>
      <c r="S12" s="29" t="b">
        <v>0</v>
      </c>
      <c r="T12" s="29" t="b">
        <f t="shared" si="0"/>
        <v>0</v>
      </c>
      <c r="U12" s="29" t="s">
        <v>997</v>
      </c>
      <c r="W12" s="29" t="s">
        <v>119</v>
      </c>
      <c r="X12" s="29" t="s">
        <v>1045</v>
      </c>
      <c r="Y12" s="16" t="s">
        <v>1041</v>
      </c>
      <c r="Z12" s="208" t="s">
        <v>1049</v>
      </c>
      <c r="AA12" s="555" t="e">
        <f t="shared" ref="AA12:AC12" si="42">AVERAGE(AJ12,AM12,AP12,AV12,AY12,AS12,BZ12,BB12,BE12,BH12,BK12,BN12,BQ12,BT12)</f>
        <v>#DIV/0!</v>
      </c>
      <c r="AB12" s="555" t="e">
        <f t="shared" si="42"/>
        <v>#DIV/0!</v>
      </c>
      <c r="AC12" s="556" t="e">
        <f t="shared" si="42"/>
        <v>#DIV/0!</v>
      </c>
      <c r="AD12" s="29" t="b">
        <v>1</v>
      </c>
      <c r="AE12" s="29" t="b">
        <v>0</v>
      </c>
      <c r="AF12" s="208" t="b">
        <v>0</v>
      </c>
      <c r="AG12" s="245">
        <v>29</v>
      </c>
      <c r="AH12" s="569" t="s">
        <v>13</v>
      </c>
      <c r="AI12" s="570" t="s">
        <v>13</v>
      </c>
      <c r="AJ12" s="567"/>
      <c r="AK12" s="567"/>
      <c r="AL12" s="568"/>
      <c r="AM12" s="567"/>
      <c r="AN12" s="567"/>
      <c r="AO12" s="568"/>
      <c r="AP12" s="567"/>
      <c r="AQ12" s="567"/>
      <c r="AR12" s="568"/>
      <c r="AS12" s="567"/>
      <c r="AT12" s="567"/>
      <c r="AU12" s="568"/>
      <c r="AV12" s="567"/>
      <c r="AW12" s="567"/>
      <c r="AX12" s="568"/>
      <c r="AY12" s="567"/>
      <c r="AZ12" s="567"/>
      <c r="BA12" s="568"/>
      <c r="BB12" s="567"/>
      <c r="BC12" s="567"/>
      <c r="BD12" s="568"/>
      <c r="BE12" s="567"/>
      <c r="BF12" s="567"/>
      <c r="BG12" s="568"/>
      <c r="BH12" s="567"/>
      <c r="BI12" s="567"/>
      <c r="BJ12" s="568"/>
      <c r="BK12" s="567"/>
      <c r="BL12" s="567"/>
      <c r="BM12" s="568"/>
      <c r="BN12" s="567"/>
      <c r="BO12" s="567"/>
      <c r="BP12" s="568"/>
      <c r="BQ12" s="567"/>
      <c r="BR12" s="567"/>
      <c r="BS12" s="568"/>
      <c r="BT12" s="567"/>
      <c r="BU12" s="567"/>
      <c r="BV12" s="568"/>
      <c r="BW12" s="567"/>
      <c r="BX12" s="567"/>
      <c r="BY12" s="568"/>
      <c r="BZ12" s="567"/>
      <c r="CA12" s="567"/>
      <c r="CB12" s="567"/>
      <c r="CC12" s="583"/>
      <c r="CD12" s="555" t="e">
        <f t="shared" ref="CD12:CF12" si="43">MEDIAN(AM12,AP12,AS12,AY12,BB12,AV12,AA12,BE12,BK12,BZ12,BH12,BN12,BQ12,BT12,BW12)</f>
        <v>#DIV/0!</v>
      </c>
      <c r="CE12" s="555" t="e">
        <f t="shared" si="43"/>
        <v>#DIV/0!</v>
      </c>
      <c r="CF12" s="556" t="e">
        <f t="shared" si="43"/>
        <v>#DIV/0!</v>
      </c>
      <c r="CG12" s="555" t="e">
        <f t="shared" ref="CG12:CI12" si="44">MAX(AP12,AS12,AV12,BB12,BE12,AY12,CD12,BK12,BZ12,AA12)-MIN(AP12,AS12,AV12,BB12,BE12,AY12,CD12,BK12,BZ12,AA12)</f>
        <v>#DIV/0!</v>
      </c>
      <c r="CH12" s="555" t="e">
        <f t="shared" si="44"/>
        <v>#DIV/0!</v>
      </c>
      <c r="CI12" s="556" t="e">
        <f t="shared" si="44"/>
        <v>#DIV/0!</v>
      </c>
      <c r="CJ12" s="555" t="e">
        <f t="shared" ref="CJ12:CL12" si="45">STDEV(AS12,AV12,AY12,BE12,BK12,BB12,CG12,BZ12,AA12,CD12)</f>
        <v>#DIV/0!</v>
      </c>
      <c r="CK12" s="555" t="e">
        <f t="shared" si="45"/>
        <v>#DIV/0!</v>
      </c>
      <c r="CL12" s="556" t="e">
        <f t="shared" si="45"/>
        <v>#DIV/0!</v>
      </c>
      <c r="CM12" s="555" t="e">
        <f t="shared" ref="CM12:CO12" si="46">CJ12/AA12</f>
        <v>#DIV/0!</v>
      </c>
      <c r="CN12" s="555" t="e">
        <f t="shared" si="46"/>
        <v>#DIV/0!</v>
      </c>
      <c r="CO12" s="556" t="e">
        <f t="shared" si="46"/>
        <v>#DIV/0!</v>
      </c>
      <c r="CP12" s="29" t="s">
        <v>120</v>
      </c>
      <c r="CQ12" s="535" t="str">
        <f t="shared" si="31"/>
        <v>n/a</v>
      </c>
      <c r="CR12" s="29" t="s">
        <v>120</v>
      </c>
      <c r="CS12" s="29"/>
      <c r="CT12" s="29"/>
      <c r="CU12" s="29"/>
      <c r="CV12" s="29"/>
    </row>
    <row r="13" customHeight="1" spans="1:100">
      <c r="A13" s="29" t="s">
        <v>200</v>
      </c>
      <c r="B13" s="541" t="s">
        <v>1047</v>
      </c>
      <c r="C13" s="29" t="s">
        <v>1048</v>
      </c>
      <c r="D13" s="29" t="s">
        <v>202</v>
      </c>
      <c r="F13" s="29" t="s">
        <v>1038</v>
      </c>
      <c r="G13" s="29" t="s">
        <v>1039</v>
      </c>
      <c r="H13" s="29" t="b">
        <v>1</v>
      </c>
      <c r="I13" s="29" t="b">
        <v>1</v>
      </c>
      <c r="J13" s="29" t="b">
        <v>0</v>
      </c>
      <c r="K13" s="29" t="b">
        <v>0</v>
      </c>
      <c r="L13" s="29" t="b">
        <v>1</v>
      </c>
      <c r="M13" s="29" t="b">
        <v>1</v>
      </c>
      <c r="N13" s="29" t="s">
        <v>196</v>
      </c>
      <c r="P13" s="29" t="b">
        <v>0</v>
      </c>
      <c r="Q13" s="29" t="b">
        <v>0</v>
      </c>
      <c r="R13" s="29" t="b">
        <v>0</v>
      </c>
      <c r="S13" s="29" t="b">
        <v>0</v>
      </c>
      <c r="T13" s="29" t="b">
        <f t="shared" si="0"/>
        <v>0</v>
      </c>
      <c r="U13" s="29" t="s">
        <v>997</v>
      </c>
      <c r="W13" s="29" t="s">
        <v>119</v>
      </c>
      <c r="X13" s="29" t="s">
        <v>1045</v>
      </c>
      <c r="Y13" s="16" t="s">
        <v>1041</v>
      </c>
      <c r="Z13" s="29" t="s">
        <v>1049</v>
      </c>
      <c r="AA13" s="554" t="e">
        <f t="shared" ref="AA13:AC13" si="47">AVERAGE(AJ13,AM13,AP13,AV13,AY13,AS13,BZ13,BB13,BE13,BH13,BK13,BN13,BQ13,BT13)</f>
        <v>#DIV/0!</v>
      </c>
      <c r="AB13" s="555" t="e">
        <f t="shared" si="47"/>
        <v>#DIV/0!</v>
      </c>
      <c r="AC13" s="556" t="e">
        <f t="shared" si="47"/>
        <v>#DIV/0!</v>
      </c>
      <c r="AD13" s="29" t="b">
        <v>1</v>
      </c>
      <c r="AE13" s="29" t="b">
        <v>0</v>
      </c>
      <c r="AF13" s="29" t="b">
        <v>0</v>
      </c>
      <c r="AG13" s="522">
        <v>29</v>
      </c>
      <c r="AH13" s="569" t="s">
        <v>13</v>
      </c>
      <c r="AI13" s="570" t="s">
        <v>13</v>
      </c>
      <c r="AJ13" s="567"/>
      <c r="AK13" s="567"/>
      <c r="AL13" s="568"/>
      <c r="AM13" s="567"/>
      <c r="AN13" s="567"/>
      <c r="AO13" s="568"/>
      <c r="AP13" s="567"/>
      <c r="AQ13" s="567"/>
      <c r="AR13" s="568"/>
      <c r="AS13" s="567"/>
      <c r="AT13" s="567"/>
      <c r="AU13" s="568"/>
      <c r="AV13" s="567"/>
      <c r="AW13" s="567"/>
      <c r="AX13" s="568"/>
      <c r="AY13" s="567"/>
      <c r="AZ13" s="567"/>
      <c r="BA13" s="568"/>
      <c r="BB13" s="567"/>
      <c r="BC13" s="567"/>
      <c r="BD13" s="568"/>
      <c r="BE13" s="567"/>
      <c r="BF13" s="567"/>
      <c r="BG13" s="568"/>
      <c r="BH13" s="567"/>
      <c r="BI13" s="567"/>
      <c r="BJ13" s="568"/>
      <c r="BK13" s="567"/>
      <c r="BL13" s="567"/>
      <c r="BM13" s="568"/>
      <c r="BN13" s="567"/>
      <c r="BO13" s="567"/>
      <c r="BP13" s="568"/>
      <c r="BQ13" s="567"/>
      <c r="BR13" s="567"/>
      <c r="BS13" s="568"/>
      <c r="BT13" s="567"/>
      <c r="BU13" s="567"/>
      <c r="BV13" s="568"/>
      <c r="BW13" s="567"/>
      <c r="BX13" s="567"/>
      <c r="BY13" s="568"/>
      <c r="BZ13" s="567"/>
      <c r="CA13" s="567"/>
      <c r="CB13" s="567"/>
      <c r="CC13" s="583"/>
      <c r="CD13" s="555" t="e">
        <f t="shared" ref="CD13:CF13" si="48">MEDIAN(AM13,AP13,AS13,AY13,BB13,AV13,AA13,BE13,BK13,BZ13,BH13,BN13,BQ13,BT13,BW13)</f>
        <v>#DIV/0!</v>
      </c>
      <c r="CE13" s="555" t="e">
        <f t="shared" si="48"/>
        <v>#DIV/0!</v>
      </c>
      <c r="CF13" s="556" t="e">
        <f t="shared" si="48"/>
        <v>#DIV/0!</v>
      </c>
      <c r="CG13" s="555" t="e">
        <f t="shared" ref="CG13:CI13" si="49">MAX(AP13,AS13,AV13,BB13,BE13,AY13,CD13,BK13,BZ13,AA13)-MIN(AP13,AS13,AV13,BB13,BE13,AY13,CD13,BK13,BZ13,AA13)</f>
        <v>#DIV/0!</v>
      </c>
      <c r="CH13" s="555" t="e">
        <f t="shared" si="49"/>
        <v>#DIV/0!</v>
      </c>
      <c r="CI13" s="556" t="e">
        <f t="shared" si="49"/>
        <v>#DIV/0!</v>
      </c>
      <c r="CJ13" s="555" t="e">
        <f t="shared" ref="CJ13:CL13" si="50">STDEV(AS13,AV13,AY13,BE13,BK13,BB13,CG13,BZ13,AA13,CD13)</f>
        <v>#DIV/0!</v>
      </c>
      <c r="CK13" s="555" t="e">
        <f t="shared" si="50"/>
        <v>#DIV/0!</v>
      </c>
      <c r="CL13" s="556" t="e">
        <f t="shared" si="50"/>
        <v>#DIV/0!</v>
      </c>
      <c r="CM13" s="555" t="e">
        <f t="shared" ref="CM13:CO13" si="51">CJ13/AA13</f>
        <v>#DIV/0!</v>
      </c>
      <c r="CN13" s="555" t="e">
        <f t="shared" si="51"/>
        <v>#DIV/0!</v>
      </c>
      <c r="CO13" s="556" t="e">
        <f t="shared" si="51"/>
        <v>#DIV/0!</v>
      </c>
      <c r="CP13" s="29" t="s">
        <v>120</v>
      </c>
      <c r="CQ13" s="535" t="str">
        <f t="shared" si="31"/>
        <v>n/a</v>
      </c>
      <c r="CR13" s="29" t="s">
        <v>120</v>
      </c>
      <c r="CS13" s="29"/>
      <c r="CT13" s="29"/>
      <c r="CU13" s="29"/>
      <c r="CV13" s="29"/>
    </row>
    <row r="14" customHeight="1" spans="1:100">
      <c r="A14" s="29" t="s">
        <v>203</v>
      </c>
      <c r="B14" s="541" t="s">
        <v>1047</v>
      </c>
      <c r="C14" s="29" t="s">
        <v>1048</v>
      </c>
      <c r="D14" s="29" t="s">
        <v>204</v>
      </c>
      <c r="F14" s="29" t="s">
        <v>1038</v>
      </c>
      <c r="G14" s="29" t="s">
        <v>1039</v>
      </c>
      <c r="H14" s="29" t="b">
        <v>1</v>
      </c>
      <c r="I14" s="29" t="b">
        <v>1</v>
      </c>
      <c r="J14" s="29" t="b">
        <v>0</v>
      </c>
      <c r="K14" s="29" t="b">
        <v>0</v>
      </c>
      <c r="L14" s="29" t="b">
        <v>1</v>
      </c>
      <c r="M14" s="29" t="b">
        <v>1</v>
      </c>
      <c r="N14" s="29" t="s">
        <v>199</v>
      </c>
      <c r="P14" s="29" t="b">
        <v>0</v>
      </c>
      <c r="Q14" s="29" t="b">
        <v>0</v>
      </c>
      <c r="R14" s="29" t="b">
        <v>0</v>
      </c>
      <c r="S14" s="29" t="b">
        <v>0</v>
      </c>
      <c r="T14" s="29" t="b">
        <f t="shared" si="0"/>
        <v>0</v>
      </c>
      <c r="U14" s="29" t="s">
        <v>997</v>
      </c>
      <c r="W14" s="29" t="s">
        <v>119</v>
      </c>
      <c r="X14" s="29" t="s">
        <v>1045</v>
      </c>
      <c r="Y14" s="16" t="s">
        <v>1041</v>
      </c>
      <c r="Z14" s="29" t="s">
        <v>1049</v>
      </c>
      <c r="AA14" s="554" t="e">
        <f t="shared" ref="AA14:AC14" si="52">AVERAGE(AJ14,AM14,AP14,AV14,AY14,AS14,BZ14,BB14,BE14,BH14,BK14,BN14,BQ14,BT14)</f>
        <v>#DIV/0!</v>
      </c>
      <c r="AB14" s="555" t="e">
        <f t="shared" si="52"/>
        <v>#DIV/0!</v>
      </c>
      <c r="AC14" s="556" t="e">
        <f t="shared" si="52"/>
        <v>#DIV/0!</v>
      </c>
      <c r="AD14" s="29" t="b">
        <v>1</v>
      </c>
      <c r="AE14" s="29" t="b">
        <v>0</v>
      </c>
      <c r="AF14" s="29" t="b">
        <v>0</v>
      </c>
      <c r="AG14" s="522">
        <v>29</v>
      </c>
      <c r="AH14" s="569" t="s">
        <v>13</v>
      </c>
      <c r="AI14" s="570" t="s">
        <v>13</v>
      </c>
      <c r="AJ14" s="567"/>
      <c r="AK14" s="567"/>
      <c r="AL14" s="568"/>
      <c r="AM14" s="567"/>
      <c r="AN14" s="567"/>
      <c r="AO14" s="568"/>
      <c r="AP14" s="567"/>
      <c r="AQ14" s="567"/>
      <c r="AR14" s="568"/>
      <c r="AS14" s="567"/>
      <c r="AT14" s="567"/>
      <c r="AU14" s="568"/>
      <c r="AV14" s="567"/>
      <c r="AW14" s="567"/>
      <c r="AX14" s="568"/>
      <c r="AY14" s="567"/>
      <c r="AZ14" s="567"/>
      <c r="BA14" s="568"/>
      <c r="BB14" s="567"/>
      <c r="BC14" s="567"/>
      <c r="BD14" s="568"/>
      <c r="BE14" s="567"/>
      <c r="BF14" s="567"/>
      <c r="BG14" s="568"/>
      <c r="BH14" s="567"/>
      <c r="BI14" s="567"/>
      <c r="BJ14" s="568"/>
      <c r="BK14" s="567"/>
      <c r="BL14" s="567"/>
      <c r="BM14" s="568"/>
      <c r="BN14" s="567"/>
      <c r="BO14" s="567"/>
      <c r="BP14" s="568"/>
      <c r="BQ14" s="567"/>
      <c r="BR14" s="567"/>
      <c r="BS14" s="568"/>
      <c r="BT14" s="567"/>
      <c r="BU14" s="567"/>
      <c r="BV14" s="568"/>
      <c r="BW14" s="567"/>
      <c r="BX14" s="567"/>
      <c r="BY14" s="568"/>
      <c r="BZ14" s="567"/>
      <c r="CA14" s="567"/>
      <c r="CB14" s="567"/>
      <c r="CC14" s="583"/>
      <c r="CD14" s="555" t="e">
        <f t="shared" ref="CD14:CF14" si="53">MEDIAN(AM14,AP14,AS14,AY14,BB14,AV14,AA14,BE14,BK14,BZ14,BH14,BN14,BQ14,BT14,BW14)</f>
        <v>#DIV/0!</v>
      </c>
      <c r="CE14" s="555" t="e">
        <f t="shared" si="53"/>
        <v>#DIV/0!</v>
      </c>
      <c r="CF14" s="556" t="e">
        <f t="shared" si="53"/>
        <v>#DIV/0!</v>
      </c>
      <c r="CG14" s="555" t="e">
        <f t="shared" ref="CG14:CI14" si="54">MAX(AP14,AS14,AV14,BB14,BE14,AY14,CD14,BK14,BZ14,AA14)-MIN(AP14,AS14,AV14,BB14,BE14,AY14,CD14,BK14,BZ14,AA14)</f>
        <v>#DIV/0!</v>
      </c>
      <c r="CH14" s="555" t="e">
        <f t="shared" si="54"/>
        <v>#DIV/0!</v>
      </c>
      <c r="CI14" s="556" t="e">
        <f t="shared" si="54"/>
        <v>#DIV/0!</v>
      </c>
      <c r="CJ14" s="555" t="e">
        <f t="shared" ref="CJ14:CL14" si="55">STDEV(AS14,AV14,AY14,BE14,BK14,BB14,CG14,BZ14,AA14,CD14)</f>
        <v>#DIV/0!</v>
      </c>
      <c r="CK14" s="555" t="e">
        <f t="shared" si="55"/>
        <v>#DIV/0!</v>
      </c>
      <c r="CL14" s="556" t="e">
        <f t="shared" si="55"/>
        <v>#DIV/0!</v>
      </c>
      <c r="CM14" s="555" t="e">
        <f t="shared" ref="CM14:CO14" si="56">CJ14/AA14</f>
        <v>#DIV/0!</v>
      </c>
      <c r="CN14" s="555" t="e">
        <f t="shared" si="56"/>
        <v>#DIV/0!</v>
      </c>
      <c r="CO14" s="556" t="e">
        <f t="shared" si="56"/>
        <v>#DIV/0!</v>
      </c>
      <c r="CP14" s="29" t="s">
        <v>120</v>
      </c>
      <c r="CQ14" s="535" t="str">
        <f t="shared" si="31"/>
        <v>n/a</v>
      </c>
      <c r="CR14" s="29" t="s">
        <v>120</v>
      </c>
      <c r="CS14" s="29"/>
      <c r="CT14" s="29"/>
      <c r="CU14" s="29"/>
      <c r="CV14" s="29"/>
    </row>
    <row r="15" customHeight="1" spans="1:100">
      <c r="A15" s="29" t="s">
        <v>205</v>
      </c>
      <c r="B15" s="541" t="s">
        <v>1047</v>
      </c>
      <c r="C15" s="29" t="s">
        <v>1048</v>
      </c>
      <c r="D15" s="29" t="s">
        <v>206</v>
      </c>
      <c r="F15" s="29" t="s">
        <v>1038</v>
      </c>
      <c r="G15" s="29" t="s">
        <v>1039</v>
      </c>
      <c r="H15" s="29" t="b">
        <v>1</v>
      </c>
      <c r="I15" s="29" t="b">
        <v>1</v>
      </c>
      <c r="J15" s="29" t="b">
        <v>0</v>
      </c>
      <c r="K15" s="29" t="b">
        <v>0</v>
      </c>
      <c r="L15" s="29" t="b">
        <v>1</v>
      </c>
      <c r="M15" s="29" t="b">
        <v>1</v>
      </c>
      <c r="N15" s="29" t="s">
        <v>207</v>
      </c>
      <c r="P15" s="29" t="b">
        <v>0</v>
      </c>
      <c r="Q15" s="29" t="b">
        <v>0</v>
      </c>
      <c r="R15" s="29" t="b">
        <v>0</v>
      </c>
      <c r="S15" s="29" t="b">
        <v>0</v>
      </c>
      <c r="T15" s="29" t="b">
        <f t="shared" si="0"/>
        <v>0</v>
      </c>
      <c r="U15" s="29" t="s">
        <v>997</v>
      </c>
      <c r="W15" s="29" t="s">
        <v>119</v>
      </c>
      <c r="X15" s="29" t="s">
        <v>1045</v>
      </c>
      <c r="Y15" s="16" t="s">
        <v>1041</v>
      </c>
      <c r="Z15" s="29" t="s">
        <v>1049</v>
      </c>
      <c r="AA15" s="554" t="e">
        <f t="shared" ref="AA15:AC15" si="57">AVERAGE(AJ15,AM15,AP15,AV15,AY15,AS15,BZ15,BB15,BE15,BH15,BK15,BN15,BQ15,BT15)</f>
        <v>#DIV/0!</v>
      </c>
      <c r="AB15" s="555" t="e">
        <f t="shared" si="57"/>
        <v>#DIV/0!</v>
      </c>
      <c r="AC15" s="556" t="e">
        <f t="shared" si="57"/>
        <v>#DIV/0!</v>
      </c>
      <c r="AD15" s="29" t="b">
        <v>1</v>
      </c>
      <c r="AE15" s="29" t="b">
        <v>0</v>
      </c>
      <c r="AF15" s="29" t="b">
        <v>0</v>
      </c>
      <c r="AG15" s="522">
        <v>6</v>
      </c>
      <c r="AH15" s="569" t="s">
        <v>13</v>
      </c>
      <c r="AI15" s="570" t="s">
        <v>13</v>
      </c>
      <c r="AJ15" s="567"/>
      <c r="AK15" s="567"/>
      <c r="AL15" s="568"/>
      <c r="AM15" s="567"/>
      <c r="AN15" s="567"/>
      <c r="AO15" s="568"/>
      <c r="AP15" s="567"/>
      <c r="AQ15" s="567"/>
      <c r="AR15" s="568"/>
      <c r="AS15" s="567"/>
      <c r="AT15" s="567"/>
      <c r="AU15" s="568"/>
      <c r="AV15" s="567"/>
      <c r="AW15" s="567"/>
      <c r="AX15" s="568"/>
      <c r="AY15" s="567"/>
      <c r="AZ15" s="567"/>
      <c r="BA15" s="568"/>
      <c r="BB15" s="567"/>
      <c r="BC15" s="567"/>
      <c r="BD15" s="568"/>
      <c r="BE15" s="567"/>
      <c r="BF15" s="567"/>
      <c r="BG15" s="568"/>
      <c r="BH15" s="567"/>
      <c r="BI15" s="567"/>
      <c r="BJ15" s="568"/>
      <c r="BK15" s="567"/>
      <c r="BL15" s="567"/>
      <c r="BM15" s="568"/>
      <c r="BN15" s="567"/>
      <c r="BO15" s="567"/>
      <c r="BP15" s="568"/>
      <c r="BQ15" s="567"/>
      <c r="BR15" s="567"/>
      <c r="BS15" s="568"/>
      <c r="BT15" s="567"/>
      <c r="BU15" s="567"/>
      <c r="BV15" s="568"/>
      <c r="BW15" s="567"/>
      <c r="BX15" s="567"/>
      <c r="BY15" s="568"/>
      <c r="BZ15" s="567"/>
      <c r="CA15" s="567"/>
      <c r="CB15" s="567"/>
      <c r="CC15" s="583"/>
      <c r="CD15" s="555" t="e">
        <f t="shared" ref="CD15:CF15" si="58">MEDIAN(AM15,AP15,AS15,AY15,BB15,AV15,AA15,BE15,BK15,BZ15,BH15,BN15,BQ15,BT15,BW15)</f>
        <v>#DIV/0!</v>
      </c>
      <c r="CE15" s="555" t="e">
        <f t="shared" si="58"/>
        <v>#DIV/0!</v>
      </c>
      <c r="CF15" s="556" t="e">
        <f t="shared" si="58"/>
        <v>#DIV/0!</v>
      </c>
      <c r="CG15" s="555" t="e">
        <f t="shared" ref="CG15:CI15" si="59">MAX(AP15,AS15,AV15,BB15,BE15,AY15,CD15,BK15,BZ15,AA15)-MIN(AP15,AS15,AV15,BB15,BE15,AY15,CD15,BK15,BZ15,AA15)</f>
        <v>#DIV/0!</v>
      </c>
      <c r="CH15" s="555" t="e">
        <f t="shared" si="59"/>
        <v>#DIV/0!</v>
      </c>
      <c r="CI15" s="556" t="e">
        <f t="shared" si="59"/>
        <v>#DIV/0!</v>
      </c>
      <c r="CJ15" s="555" t="e">
        <f t="shared" ref="CJ15:CL15" si="60">STDEV(AS15,AV15,AY15,BE15,BK15,BB15,CG15,BZ15,AA15,CD15)</f>
        <v>#DIV/0!</v>
      </c>
      <c r="CK15" s="555" t="e">
        <f t="shared" si="60"/>
        <v>#DIV/0!</v>
      </c>
      <c r="CL15" s="556" t="e">
        <f t="shared" si="60"/>
        <v>#DIV/0!</v>
      </c>
      <c r="CM15" s="555" t="e">
        <f t="shared" ref="CM15:CO15" si="61">CJ15/AA15</f>
        <v>#DIV/0!</v>
      </c>
      <c r="CN15" s="555" t="e">
        <f t="shared" si="61"/>
        <v>#DIV/0!</v>
      </c>
      <c r="CO15" s="556" t="e">
        <f t="shared" si="61"/>
        <v>#DIV/0!</v>
      </c>
      <c r="CP15" s="29" t="s">
        <v>120</v>
      </c>
      <c r="CQ15" s="535" t="str">
        <f t="shared" si="31"/>
        <v>n/a</v>
      </c>
      <c r="CR15" s="29" t="s">
        <v>120</v>
      </c>
      <c r="CS15" s="29"/>
      <c r="CT15" s="29"/>
      <c r="CU15" s="29"/>
      <c r="CV15" s="29"/>
    </row>
    <row r="16" customHeight="1" spans="1:100">
      <c r="A16" s="29" t="s">
        <v>208</v>
      </c>
      <c r="B16" s="541" t="s">
        <v>1047</v>
      </c>
      <c r="C16" s="29" t="s">
        <v>1048</v>
      </c>
      <c r="D16" s="29" t="s">
        <v>209</v>
      </c>
      <c r="F16" s="29" t="s">
        <v>1038</v>
      </c>
      <c r="G16" s="29" t="s">
        <v>1039</v>
      </c>
      <c r="H16" s="29" t="b">
        <v>1</v>
      </c>
      <c r="I16" s="29" t="b">
        <v>1</v>
      </c>
      <c r="J16" s="29" t="b">
        <v>0</v>
      </c>
      <c r="K16" s="29" t="b">
        <v>0</v>
      </c>
      <c r="L16" s="29" t="b">
        <v>1</v>
      </c>
      <c r="M16" s="29" t="b">
        <v>1</v>
      </c>
      <c r="N16" s="29" t="s">
        <v>207</v>
      </c>
      <c r="P16" s="29" t="b">
        <v>0</v>
      </c>
      <c r="Q16" s="29" t="b">
        <v>0</v>
      </c>
      <c r="R16" s="29" t="b">
        <v>0</v>
      </c>
      <c r="S16" s="29" t="b">
        <v>0</v>
      </c>
      <c r="T16" s="29" t="b">
        <f t="shared" si="0"/>
        <v>0</v>
      </c>
      <c r="U16" s="29" t="s">
        <v>997</v>
      </c>
      <c r="W16" s="29" t="s">
        <v>119</v>
      </c>
      <c r="X16" s="29" t="s">
        <v>1045</v>
      </c>
      <c r="Y16" s="16" t="s">
        <v>1041</v>
      </c>
      <c r="Z16" s="29" t="s">
        <v>1049</v>
      </c>
      <c r="AA16" s="554" t="e">
        <f t="shared" ref="AA16:AC16" si="62">AVERAGE(AJ16,AM16,AP16,AV16,AY16,AS16,BZ16,BB16,BE16,BH16,BK16,BN16,BQ16,BT16)</f>
        <v>#DIV/0!</v>
      </c>
      <c r="AB16" s="555" t="e">
        <f t="shared" si="62"/>
        <v>#DIV/0!</v>
      </c>
      <c r="AC16" s="556" t="e">
        <f t="shared" si="62"/>
        <v>#DIV/0!</v>
      </c>
      <c r="AD16" s="29" t="b">
        <v>1</v>
      </c>
      <c r="AE16" s="29" t="b">
        <v>0</v>
      </c>
      <c r="AF16" s="29" t="b">
        <v>0</v>
      </c>
      <c r="AG16" s="522">
        <v>9</v>
      </c>
      <c r="AH16" s="569" t="s">
        <v>13</v>
      </c>
      <c r="AI16" s="570" t="s">
        <v>13</v>
      </c>
      <c r="AJ16" s="567"/>
      <c r="AK16" s="567"/>
      <c r="AL16" s="568"/>
      <c r="AM16" s="567"/>
      <c r="AN16" s="567"/>
      <c r="AO16" s="568"/>
      <c r="AP16" s="567"/>
      <c r="AQ16" s="567"/>
      <c r="AR16" s="568"/>
      <c r="AS16" s="567"/>
      <c r="AT16" s="567"/>
      <c r="AU16" s="568"/>
      <c r="AV16" s="567"/>
      <c r="AW16" s="567"/>
      <c r="AX16" s="568"/>
      <c r="AY16" s="567"/>
      <c r="AZ16" s="567"/>
      <c r="BA16" s="568"/>
      <c r="BB16" s="567"/>
      <c r="BC16" s="567"/>
      <c r="BD16" s="568"/>
      <c r="BE16" s="567"/>
      <c r="BF16" s="567"/>
      <c r="BG16" s="568"/>
      <c r="BH16" s="567"/>
      <c r="BI16" s="567"/>
      <c r="BJ16" s="568"/>
      <c r="BK16" s="567"/>
      <c r="BL16" s="567"/>
      <c r="BM16" s="568"/>
      <c r="BN16" s="567"/>
      <c r="BO16" s="567"/>
      <c r="BP16" s="568"/>
      <c r="BQ16" s="567"/>
      <c r="BR16" s="567"/>
      <c r="BS16" s="568"/>
      <c r="BT16" s="567"/>
      <c r="BU16" s="567"/>
      <c r="BV16" s="568"/>
      <c r="BW16" s="567"/>
      <c r="BX16" s="567"/>
      <c r="BY16" s="568"/>
      <c r="BZ16" s="567"/>
      <c r="CA16" s="567"/>
      <c r="CB16" s="567"/>
      <c r="CC16" s="583"/>
      <c r="CD16" s="555" t="e">
        <f t="shared" ref="CD16:CF16" si="63">MEDIAN(AM16,AP16,AS16,AY16,BB16,AV16,AA16,BE16,BK16,BZ16,BH16,BN16,BQ16,BT16,BW16)</f>
        <v>#DIV/0!</v>
      </c>
      <c r="CE16" s="555" t="e">
        <f t="shared" si="63"/>
        <v>#DIV/0!</v>
      </c>
      <c r="CF16" s="556" t="e">
        <f t="shared" si="63"/>
        <v>#DIV/0!</v>
      </c>
      <c r="CG16" s="555" t="e">
        <f t="shared" ref="CG16:CI16" si="64">MAX(AP16,AS16,AV16,BB16,BE16,AY16,CD16,BK16,BZ16,AA16)-MIN(AP16,AS16,AV16,BB16,BE16,AY16,CD16,BK16,BZ16,AA16)</f>
        <v>#DIV/0!</v>
      </c>
      <c r="CH16" s="555" t="e">
        <f t="shared" si="64"/>
        <v>#DIV/0!</v>
      </c>
      <c r="CI16" s="556" t="e">
        <f t="shared" si="64"/>
        <v>#DIV/0!</v>
      </c>
      <c r="CJ16" s="555" t="e">
        <f t="shared" ref="CJ16:CL16" si="65">STDEV(AS16,AV16,AY16,BE16,BK16,BB16,CG16,BZ16,AA16,CD16)</f>
        <v>#DIV/0!</v>
      </c>
      <c r="CK16" s="555" t="e">
        <f t="shared" si="65"/>
        <v>#DIV/0!</v>
      </c>
      <c r="CL16" s="556" t="e">
        <f t="shared" si="65"/>
        <v>#DIV/0!</v>
      </c>
      <c r="CM16" s="555" t="e">
        <f t="shared" ref="CM16:CO16" si="66">CJ16/AA16</f>
        <v>#DIV/0!</v>
      </c>
      <c r="CN16" s="555" t="e">
        <f t="shared" si="66"/>
        <v>#DIV/0!</v>
      </c>
      <c r="CO16" s="556" t="e">
        <f t="shared" si="66"/>
        <v>#DIV/0!</v>
      </c>
      <c r="CP16" s="29" t="s">
        <v>120</v>
      </c>
      <c r="CQ16" s="535" t="str">
        <f t="shared" si="31"/>
        <v>n/a</v>
      </c>
      <c r="CR16" s="29" t="s">
        <v>120</v>
      </c>
      <c r="CS16" s="29"/>
      <c r="CT16" s="29"/>
      <c r="CU16" s="29"/>
      <c r="CV16" s="29"/>
    </row>
    <row r="17" customHeight="1" spans="1:100">
      <c r="A17" s="312" t="s">
        <v>154</v>
      </c>
      <c r="B17" s="165" t="s">
        <v>1050</v>
      </c>
      <c r="C17" s="312" t="s">
        <v>1051</v>
      </c>
      <c r="D17" s="312" t="s">
        <v>155</v>
      </c>
      <c r="E17" s="312"/>
      <c r="F17" s="312" t="s">
        <v>1044</v>
      </c>
      <c r="G17" s="312" t="s">
        <v>1039</v>
      </c>
      <c r="H17" s="165" t="b">
        <v>1</v>
      </c>
      <c r="I17" s="165" t="b">
        <v>1</v>
      </c>
      <c r="J17" s="165" t="b">
        <v>0</v>
      </c>
      <c r="K17" s="165" t="b">
        <v>0</v>
      </c>
      <c r="L17" s="165" t="b">
        <v>0</v>
      </c>
      <c r="M17" s="165" t="b">
        <v>0</v>
      </c>
      <c r="N17" s="312"/>
      <c r="O17" s="313"/>
      <c r="P17" s="165" t="b">
        <v>0</v>
      </c>
      <c r="Q17" s="165" t="b">
        <v>0</v>
      </c>
      <c r="R17" s="165" t="b">
        <v>0</v>
      </c>
      <c r="S17" s="165" t="b">
        <v>0</v>
      </c>
      <c r="T17" s="545" t="b">
        <f t="shared" si="0"/>
        <v>0</v>
      </c>
      <c r="U17" s="312" t="s">
        <v>997</v>
      </c>
      <c r="V17" s="312" t="s">
        <v>157</v>
      </c>
      <c r="W17" s="313" t="s">
        <v>119</v>
      </c>
      <c r="X17" s="312" t="s">
        <v>1049</v>
      </c>
      <c r="Y17" s="165" t="s">
        <v>1041</v>
      </c>
      <c r="Z17" s="312" t="s">
        <v>1052</v>
      </c>
      <c r="AA17" s="557" t="e">
        <f t="shared" ref="AA17:AC17" si="67">AVERAGE(AJ17,AM17,AP17,AV17,AY17,AS17,BZ17,BB17,BE17,BH17,BK17,BN17,BQ17,BT17)</f>
        <v>#DIV/0!</v>
      </c>
      <c r="AB17" s="558" t="e">
        <f t="shared" si="67"/>
        <v>#DIV/0!</v>
      </c>
      <c r="AC17" s="559" t="e">
        <f t="shared" si="67"/>
        <v>#DIV/0!</v>
      </c>
      <c r="AD17" s="165" t="b">
        <v>1</v>
      </c>
      <c r="AE17" s="165" t="b">
        <v>0</v>
      </c>
      <c r="AF17" s="165" t="b">
        <v>0</v>
      </c>
      <c r="AG17" s="571">
        <v>20</v>
      </c>
      <c r="AH17" s="572" t="s">
        <v>119</v>
      </c>
      <c r="AI17" s="573" t="s">
        <v>119</v>
      </c>
      <c r="AJ17" s="326"/>
      <c r="AK17" s="326"/>
      <c r="AL17" s="573"/>
      <c r="AM17" s="326"/>
      <c r="AN17" s="326"/>
      <c r="AO17" s="573"/>
      <c r="AP17" s="326"/>
      <c r="AQ17" s="326"/>
      <c r="AR17" s="573"/>
      <c r="AS17" s="326"/>
      <c r="AT17" s="326"/>
      <c r="AU17" s="573"/>
      <c r="AV17" s="326"/>
      <c r="AW17" s="326"/>
      <c r="AX17" s="573"/>
      <c r="AY17" s="326"/>
      <c r="AZ17" s="326"/>
      <c r="BA17" s="573"/>
      <c r="BB17" s="326"/>
      <c r="BC17" s="326"/>
      <c r="BD17" s="573"/>
      <c r="BE17" s="326"/>
      <c r="BF17" s="326"/>
      <c r="BG17" s="573"/>
      <c r="BH17" s="326"/>
      <c r="BI17" s="326"/>
      <c r="BJ17" s="573"/>
      <c r="BK17" s="326"/>
      <c r="BL17" s="326"/>
      <c r="BM17" s="573"/>
      <c r="BN17" s="326"/>
      <c r="BO17" s="326"/>
      <c r="BP17" s="573"/>
      <c r="BQ17" s="326"/>
      <c r="BR17" s="326"/>
      <c r="BS17" s="573"/>
      <c r="BT17" s="326"/>
      <c r="BU17" s="326"/>
      <c r="BV17" s="573"/>
      <c r="BW17" s="326"/>
      <c r="BX17" s="326"/>
      <c r="BY17" s="573"/>
      <c r="BZ17" s="326"/>
      <c r="CA17" s="326"/>
      <c r="CB17" s="326"/>
      <c r="CC17" s="584"/>
      <c r="CD17" s="555" t="e">
        <f t="shared" ref="CD17:CF17" si="68">MEDIAN(AM17,AP17,AS17,AY17,BB17,AV17,AA17,BE17,BK17,BZ17,BH17,BN17,BQ17,BT17,BW17)</f>
        <v>#DIV/0!</v>
      </c>
      <c r="CE17" s="555" t="e">
        <f t="shared" si="68"/>
        <v>#DIV/0!</v>
      </c>
      <c r="CF17" s="556" t="e">
        <f t="shared" si="68"/>
        <v>#DIV/0!</v>
      </c>
      <c r="CG17" s="558" t="e">
        <f t="shared" ref="CG17:CI17" si="69">MAX(AP17,AS17,AV17,BB17,BE17,AY17,CD17,BK17,BZ17,AA17)-MIN(AP17,AS17,AV17,BB17,BE17,AY17,CD17,BK17,BZ17,AA17)</f>
        <v>#DIV/0!</v>
      </c>
      <c r="CH17" s="558" t="e">
        <f t="shared" si="69"/>
        <v>#DIV/0!</v>
      </c>
      <c r="CI17" s="559" t="e">
        <f t="shared" si="69"/>
        <v>#DIV/0!</v>
      </c>
      <c r="CJ17" s="558" t="e">
        <f t="shared" ref="CJ17:CL17" si="70">STDEV(AS17,AV17,AY17,BE17,BK17,BB17,CG17,BZ17,AA17,CD17)</f>
        <v>#DIV/0!</v>
      </c>
      <c r="CK17" s="558" t="e">
        <f t="shared" si="70"/>
        <v>#DIV/0!</v>
      </c>
      <c r="CL17" s="559" t="e">
        <f t="shared" si="70"/>
        <v>#DIV/0!</v>
      </c>
      <c r="CM17" s="558" t="e">
        <f t="shared" ref="CM17:CO17" si="71">CJ17/AA17</f>
        <v>#DIV/0!</v>
      </c>
      <c r="CN17" s="558" t="e">
        <f t="shared" si="71"/>
        <v>#DIV/0!</v>
      </c>
      <c r="CO17" s="559" t="e">
        <f t="shared" si="71"/>
        <v>#DIV/0!</v>
      </c>
      <c r="CP17" s="312" t="s">
        <v>120</v>
      </c>
      <c r="CQ17" s="313" t="str">
        <f t="shared" si="31"/>
        <v>n/a</v>
      </c>
      <c r="CR17" s="312" t="s">
        <v>120</v>
      </c>
      <c r="CS17" s="312" t="s">
        <v>120</v>
      </c>
      <c r="CT17" s="312" t="s">
        <v>120</v>
      </c>
      <c r="CU17" s="312" t="s">
        <v>120</v>
      </c>
      <c r="CV17" s="312" t="s">
        <v>120</v>
      </c>
    </row>
    <row r="18" customHeight="1" spans="1:100">
      <c r="A18" s="29" t="s">
        <v>210</v>
      </c>
      <c r="B18" s="541" t="s">
        <v>1050</v>
      </c>
      <c r="C18" s="312" t="s">
        <v>1051</v>
      </c>
      <c r="D18" s="29" t="s">
        <v>211</v>
      </c>
      <c r="F18" s="29" t="s">
        <v>1044</v>
      </c>
      <c r="G18" s="29" t="s">
        <v>1039</v>
      </c>
      <c r="H18" s="29" t="b">
        <v>1</v>
      </c>
      <c r="I18" s="29" t="b">
        <v>1</v>
      </c>
      <c r="J18" s="29" t="b">
        <v>0</v>
      </c>
      <c r="K18" s="29" t="b">
        <v>0</v>
      </c>
      <c r="L18" s="29" t="b">
        <v>0</v>
      </c>
      <c r="M18" s="29" t="b">
        <v>0</v>
      </c>
      <c r="P18" s="29" t="b">
        <v>0</v>
      </c>
      <c r="Q18" s="29" t="b">
        <v>0</v>
      </c>
      <c r="R18" s="29" t="b">
        <v>0</v>
      </c>
      <c r="S18" s="29" t="b">
        <v>0</v>
      </c>
      <c r="T18" s="29" t="b">
        <f t="shared" si="0"/>
        <v>0</v>
      </c>
      <c r="U18" s="312" t="s">
        <v>997</v>
      </c>
      <c r="V18" s="29" t="s">
        <v>157</v>
      </c>
      <c r="W18" s="29" t="s">
        <v>119</v>
      </c>
      <c r="X18" s="29" t="s">
        <v>1045</v>
      </c>
      <c r="Y18" s="16" t="s">
        <v>1041</v>
      </c>
      <c r="Z18" s="208" t="s">
        <v>1052</v>
      </c>
      <c r="AA18" s="555" t="e">
        <f t="shared" ref="AA18:AC18" si="72">AVERAGE(AJ18,AM18,AP18,AV18,AY18,AS18,BZ18,BB18,BE18,BH18,BK18,BN18,BQ18,BT18)</f>
        <v>#DIV/0!</v>
      </c>
      <c r="AB18" s="555" t="e">
        <f t="shared" si="72"/>
        <v>#DIV/0!</v>
      </c>
      <c r="AC18" s="556" t="e">
        <f t="shared" si="72"/>
        <v>#DIV/0!</v>
      </c>
      <c r="AD18" s="29" t="b">
        <v>1</v>
      </c>
      <c r="AE18" s="29" t="b">
        <v>0</v>
      </c>
      <c r="AF18" s="208" t="b">
        <v>0</v>
      </c>
      <c r="AG18" s="522">
        <v>25</v>
      </c>
      <c r="AH18" s="569" t="s">
        <v>13</v>
      </c>
      <c r="AI18" s="570" t="s">
        <v>13</v>
      </c>
      <c r="AJ18" s="567"/>
      <c r="AK18" s="567"/>
      <c r="AL18" s="568"/>
      <c r="AM18" s="567"/>
      <c r="AN18" s="567"/>
      <c r="AO18" s="568"/>
      <c r="AP18" s="567"/>
      <c r="AQ18" s="567"/>
      <c r="AR18" s="568"/>
      <c r="AS18" s="567"/>
      <c r="AT18" s="567"/>
      <c r="AU18" s="568"/>
      <c r="AV18" s="567"/>
      <c r="AW18" s="567"/>
      <c r="AX18" s="568"/>
      <c r="AY18" s="567"/>
      <c r="AZ18" s="567"/>
      <c r="BA18" s="568"/>
      <c r="BB18" s="567"/>
      <c r="BC18" s="567"/>
      <c r="BD18" s="568"/>
      <c r="BE18" s="567"/>
      <c r="BF18" s="567"/>
      <c r="BG18" s="568"/>
      <c r="BH18" s="567"/>
      <c r="BI18" s="567"/>
      <c r="BJ18" s="568"/>
      <c r="BK18" s="567"/>
      <c r="BL18" s="567"/>
      <c r="BM18" s="568"/>
      <c r="BN18" s="567"/>
      <c r="BO18" s="567"/>
      <c r="BP18" s="568"/>
      <c r="BQ18" s="567"/>
      <c r="BR18" s="567"/>
      <c r="BS18" s="568"/>
      <c r="BT18" s="567"/>
      <c r="BU18" s="567"/>
      <c r="BV18" s="568"/>
      <c r="BW18" s="567"/>
      <c r="BX18" s="567"/>
      <c r="BY18" s="568"/>
      <c r="BZ18" s="567"/>
      <c r="CA18" s="567"/>
      <c r="CB18" s="567"/>
      <c r="CC18" s="583"/>
      <c r="CD18" s="555" t="e">
        <f t="shared" ref="CD18:CF18" si="73">MEDIAN(AM18,AP18,AS18,AY18,BB18,AV18,AA18,BE18,BK18,BZ18,BH18,BN18,BQ18,BT18,BW18)</f>
        <v>#DIV/0!</v>
      </c>
      <c r="CE18" s="555" t="e">
        <f t="shared" si="73"/>
        <v>#DIV/0!</v>
      </c>
      <c r="CF18" s="556" t="e">
        <f t="shared" si="73"/>
        <v>#DIV/0!</v>
      </c>
      <c r="CG18" s="555" t="e">
        <f t="shared" ref="CG18:CI18" si="74">MAX(AP18,AS18,AV18,BB18,BE18,AY18,CD18,BK18,BZ18,AA18)-MIN(AP18,AS18,AV18,BB18,BE18,AY18,CD18,BK18,BZ18,AA18)</f>
        <v>#DIV/0!</v>
      </c>
      <c r="CH18" s="555" t="e">
        <f t="shared" si="74"/>
        <v>#DIV/0!</v>
      </c>
      <c r="CI18" s="556" t="e">
        <f t="shared" si="74"/>
        <v>#DIV/0!</v>
      </c>
      <c r="CJ18" s="555" t="e">
        <f t="shared" ref="CJ18:CL18" si="75">STDEV(AS18,AV18,AY18,BE18,BK18,BB18,CG18,BZ18,AA18,CD18)</f>
        <v>#DIV/0!</v>
      </c>
      <c r="CK18" s="555" t="e">
        <f t="shared" si="75"/>
        <v>#DIV/0!</v>
      </c>
      <c r="CL18" s="556" t="e">
        <f t="shared" si="75"/>
        <v>#DIV/0!</v>
      </c>
      <c r="CM18" s="555" t="e">
        <f t="shared" ref="CM18:CO18" si="76">CJ18/AA18</f>
        <v>#DIV/0!</v>
      </c>
      <c r="CN18" s="555" t="e">
        <f t="shared" si="76"/>
        <v>#DIV/0!</v>
      </c>
      <c r="CO18" s="556" t="e">
        <f t="shared" si="76"/>
        <v>#DIV/0!</v>
      </c>
      <c r="CP18" s="29" t="s">
        <v>120</v>
      </c>
      <c r="CQ18" s="535" t="str">
        <f t="shared" si="31"/>
        <v>n/a</v>
      </c>
      <c r="CR18" s="29" t="s">
        <v>120</v>
      </c>
      <c r="CS18" s="29" t="s">
        <v>120</v>
      </c>
      <c r="CT18" s="29" t="s">
        <v>120</v>
      </c>
      <c r="CU18" s="29" t="s">
        <v>120</v>
      </c>
      <c r="CV18" s="29" t="s">
        <v>120</v>
      </c>
    </row>
    <row r="19" customHeight="1" spans="1:100">
      <c r="A19" s="29" t="s">
        <v>212</v>
      </c>
      <c r="B19" s="541" t="s">
        <v>1050</v>
      </c>
      <c r="C19" s="312" t="s">
        <v>1051</v>
      </c>
      <c r="D19" s="29" t="s">
        <v>213</v>
      </c>
      <c r="E19" s="29"/>
      <c r="F19" s="29" t="s">
        <v>1044</v>
      </c>
      <c r="G19" s="29" t="s">
        <v>1039</v>
      </c>
      <c r="H19" s="29" t="b">
        <v>1</v>
      </c>
      <c r="I19" s="29" t="b">
        <v>1</v>
      </c>
      <c r="J19" s="29" t="b">
        <v>0</v>
      </c>
      <c r="K19" s="29" t="b">
        <v>0</v>
      </c>
      <c r="L19" s="29" t="b">
        <v>0</v>
      </c>
      <c r="M19" s="29" t="b">
        <v>0</v>
      </c>
      <c r="P19" s="29" t="b">
        <v>0</v>
      </c>
      <c r="Q19" s="29" t="b">
        <v>0</v>
      </c>
      <c r="R19" s="29" t="b">
        <v>0</v>
      </c>
      <c r="S19" s="29" t="b">
        <v>0</v>
      </c>
      <c r="T19" s="29" t="b">
        <f t="shared" si="0"/>
        <v>0</v>
      </c>
      <c r="U19" s="29" t="s">
        <v>997</v>
      </c>
      <c r="V19" s="29" t="s">
        <v>181</v>
      </c>
      <c r="W19" s="29">
        <v>2</v>
      </c>
      <c r="X19" s="29" t="s">
        <v>1045</v>
      </c>
      <c r="Y19" s="16" t="s">
        <v>1041</v>
      </c>
      <c r="Z19" s="208" t="s">
        <v>1052</v>
      </c>
      <c r="AA19" s="555" t="e">
        <f t="shared" ref="AA19:AC19" si="77">AVERAGE(AJ19,AM19,AP19,AV19,AY19,AS19,BZ19,BB19,BE19,BH19,BK19,BN19,BQ19,BT19)</f>
        <v>#DIV/0!</v>
      </c>
      <c r="AB19" s="555" t="e">
        <f t="shared" si="77"/>
        <v>#DIV/0!</v>
      </c>
      <c r="AC19" s="556" t="e">
        <f t="shared" si="77"/>
        <v>#DIV/0!</v>
      </c>
      <c r="AD19" s="29" t="b">
        <v>1</v>
      </c>
      <c r="AE19" s="29" t="b">
        <v>1</v>
      </c>
      <c r="AF19" s="208" t="b">
        <v>0</v>
      </c>
      <c r="AG19" s="522">
        <v>9</v>
      </c>
      <c r="AH19" s="569" t="s">
        <v>13</v>
      </c>
      <c r="AI19" s="570" t="s">
        <v>13</v>
      </c>
      <c r="AJ19" s="567"/>
      <c r="AK19" s="567"/>
      <c r="AL19" s="568"/>
      <c r="AM19" s="567"/>
      <c r="AN19" s="567"/>
      <c r="AO19" s="568"/>
      <c r="AP19" s="567"/>
      <c r="AQ19" s="567"/>
      <c r="AR19" s="568"/>
      <c r="AS19" s="567"/>
      <c r="AT19" s="567"/>
      <c r="AU19" s="568"/>
      <c r="AV19" s="567"/>
      <c r="AW19" s="567"/>
      <c r="AX19" s="568"/>
      <c r="AY19" s="567"/>
      <c r="AZ19" s="567"/>
      <c r="BA19" s="568"/>
      <c r="BB19" s="567"/>
      <c r="BC19" s="567"/>
      <c r="BD19" s="568"/>
      <c r="BE19" s="567"/>
      <c r="BF19" s="567"/>
      <c r="BG19" s="568"/>
      <c r="BH19" s="567"/>
      <c r="BI19" s="567"/>
      <c r="BJ19" s="568"/>
      <c r="BK19" s="567"/>
      <c r="BL19" s="567"/>
      <c r="BM19" s="568"/>
      <c r="BN19" s="567"/>
      <c r="BO19" s="567"/>
      <c r="BP19" s="568"/>
      <c r="BQ19" s="567"/>
      <c r="BR19" s="567"/>
      <c r="BS19" s="568"/>
      <c r="BT19" s="567"/>
      <c r="BU19" s="567"/>
      <c r="BV19" s="568"/>
      <c r="BW19" s="567"/>
      <c r="BX19" s="567"/>
      <c r="BY19" s="568"/>
      <c r="BZ19" s="567"/>
      <c r="CA19" s="567"/>
      <c r="CB19" s="567"/>
      <c r="CC19" s="583"/>
      <c r="CD19" s="555" t="e">
        <f t="shared" ref="CD19:CF19" si="78">MEDIAN(AM19,AP19,AS19,AY19,BB19,AV19,AA19,BE19,BK19,BZ19,BH19,BN19,BQ19,BT19,BW19)</f>
        <v>#DIV/0!</v>
      </c>
      <c r="CE19" s="555" t="e">
        <f t="shared" si="78"/>
        <v>#DIV/0!</v>
      </c>
      <c r="CF19" s="556" t="e">
        <f t="shared" si="78"/>
        <v>#DIV/0!</v>
      </c>
      <c r="CG19" s="555" t="e">
        <f t="shared" ref="CG19:CI19" si="79">MAX(AP19,AS19,AV19,BB19,BE19,AY19,CD19,BK19,BZ19,AA19)-MIN(AP19,AS19,AV19,BB19,BE19,AY19,CD19,BK19,BZ19,AA19)</f>
        <v>#DIV/0!</v>
      </c>
      <c r="CH19" s="555" t="e">
        <f t="shared" si="79"/>
        <v>#DIV/0!</v>
      </c>
      <c r="CI19" s="556" t="e">
        <f t="shared" si="79"/>
        <v>#DIV/0!</v>
      </c>
      <c r="CJ19" s="555" t="e">
        <f t="shared" ref="CJ19:CL19" si="80">STDEV(AS19,AV19,AY19,BE19,BK19,BB19,CG19,BZ19,AA19,CD19)</f>
        <v>#DIV/0!</v>
      </c>
      <c r="CK19" s="555" t="e">
        <f t="shared" si="80"/>
        <v>#DIV/0!</v>
      </c>
      <c r="CL19" s="556" t="e">
        <f t="shared" si="80"/>
        <v>#DIV/0!</v>
      </c>
      <c r="CM19" s="555" t="e">
        <f t="shared" ref="CM19:CO19" si="81">CJ19/AA19</f>
        <v>#DIV/0!</v>
      </c>
      <c r="CN19" s="555" t="e">
        <f t="shared" si="81"/>
        <v>#DIV/0!</v>
      </c>
      <c r="CO19" s="556" t="e">
        <f t="shared" si="81"/>
        <v>#DIV/0!</v>
      </c>
      <c r="CP19" s="29" t="s">
        <v>120</v>
      </c>
      <c r="CQ19" s="535">
        <f t="shared" si="31"/>
        <v>2</v>
      </c>
      <c r="CR19" s="29" t="s">
        <v>120</v>
      </c>
      <c r="CS19" s="29" t="s">
        <v>120</v>
      </c>
      <c r="CT19" s="29" t="s">
        <v>120</v>
      </c>
      <c r="CU19" s="29" t="s">
        <v>120</v>
      </c>
      <c r="CV19" s="29" t="s">
        <v>120</v>
      </c>
    </row>
    <row r="20" customHeight="1" spans="1:100">
      <c r="A20" s="29" t="s">
        <v>214</v>
      </c>
      <c r="B20" s="541" t="s">
        <v>1050</v>
      </c>
      <c r="C20" s="312" t="s">
        <v>1051</v>
      </c>
      <c r="D20" s="29" t="s">
        <v>215</v>
      </c>
      <c r="E20" s="29"/>
      <c r="F20" s="29" t="s">
        <v>1044</v>
      </c>
      <c r="G20" s="29" t="s">
        <v>1039</v>
      </c>
      <c r="H20" s="29" t="b">
        <v>1</v>
      </c>
      <c r="I20" s="29" t="b">
        <v>1</v>
      </c>
      <c r="J20" s="29" t="b">
        <v>0</v>
      </c>
      <c r="K20" s="29" t="b">
        <v>0</v>
      </c>
      <c r="L20" s="29" t="b">
        <v>0</v>
      </c>
      <c r="M20" s="29" t="b">
        <v>0</v>
      </c>
      <c r="P20" s="29" t="b">
        <v>0</v>
      </c>
      <c r="Q20" s="29" t="b">
        <v>0</v>
      </c>
      <c r="R20" s="29" t="b">
        <v>0</v>
      </c>
      <c r="S20" s="29" t="b">
        <v>0</v>
      </c>
      <c r="T20" s="29" t="b">
        <f t="shared" si="0"/>
        <v>0</v>
      </c>
      <c r="U20" s="29" t="s">
        <v>997</v>
      </c>
      <c r="V20" s="29" t="s">
        <v>181</v>
      </c>
      <c r="W20" s="29">
        <v>2</v>
      </c>
      <c r="X20" s="29" t="s">
        <v>1045</v>
      </c>
      <c r="Y20" s="16" t="s">
        <v>1041</v>
      </c>
      <c r="Z20" s="29" t="s">
        <v>1052</v>
      </c>
      <c r="AA20" s="554" t="e">
        <f t="shared" ref="AA20:AC20" si="82">AVERAGE(AJ20,AM20,AP20,AV20,AY20,AS20,BZ20,BB20,BE20,BH20,BK20,BN20,BQ20,BT20)</f>
        <v>#DIV/0!</v>
      </c>
      <c r="AB20" s="555" t="e">
        <f t="shared" si="82"/>
        <v>#DIV/0!</v>
      </c>
      <c r="AC20" s="556" t="e">
        <f t="shared" si="82"/>
        <v>#DIV/0!</v>
      </c>
      <c r="AD20" s="29" t="b">
        <v>1</v>
      </c>
      <c r="AE20" s="29" t="b">
        <v>1</v>
      </c>
      <c r="AF20" s="29" t="b">
        <v>0</v>
      </c>
      <c r="AG20" s="522">
        <v>25</v>
      </c>
      <c r="AH20" s="569" t="s">
        <v>13</v>
      </c>
      <c r="AI20" s="570" t="s">
        <v>13</v>
      </c>
      <c r="AJ20" s="567"/>
      <c r="AK20" s="567"/>
      <c r="AL20" s="568"/>
      <c r="AM20" s="567"/>
      <c r="AN20" s="567"/>
      <c r="AO20" s="568"/>
      <c r="AP20" s="567"/>
      <c r="AQ20" s="567"/>
      <c r="AR20" s="568"/>
      <c r="AS20" s="567"/>
      <c r="AT20" s="567"/>
      <c r="AU20" s="568"/>
      <c r="AV20" s="567"/>
      <c r="AW20" s="567"/>
      <c r="AX20" s="568"/>
      <c r="AY20" s="567"/>
      <c r="AZ20" s="567"/>
      <c r="BA20" s="568"/>
      <c r="BB20" s="567"/>
      <c r="BC20" s="567"/>
      <c r="BD20" s="568"/>
      <c r="BE20" s="567"/>
      <c r="BF20" s="567"/>
      <c r="BG20" s="568"/>
      <c r="BH20" s="567"/>
      <c r="BI20" s="567"/>
      <c r="BJ20" s="568"/>
      <c r="BK20" s="567"/>
      <c r="BL20" s="567"/>
      <c r="BM20" s="568"/>
      <c r="BN20" s="567"/>
      <c r="BO20" s="567"/>
      <c r="BP20" s="568"/>
      <c r="BQ20" s="567"/>
      <c r="BR20" s="567"/>
      <c r="BS20" s="568"/>
      <c r="BT20" s="567"/>
      <c r="BU20" s="567"/>
      <c r="BV20" s="568"/>
      <c r="BW20" s="567"/>
      <c r="BX20" s="567"/>
      <c r="BY20" s="568"/>
      <c r="BZ20" s="567"/>
      <c r="CA20" s="567"/>
      <c r="CB20" s="567"/>
      <c r="CC20" s="583"/>
      <c r="CD20" s="555" t="e">
        <f t="shared" ref="CD20:CF20" si="83">MEDIAN(AM20,AP20,AS20,AY20,BB20,AV20,AA20,BE20,BK20,BZ20,BH20,BN20,BQ20,BT20,BW20)</f>
        <v>#DIV/0!</v>
      </c>
      <c r="CE20" s="555" t="e">
        <f t="shared" si="83"/>
        <v>#DIV/0!</v>
      </c>
      <c r="CF20" s="556" t="e">
        <f t="shared" si="83"/>
        <v>#DIV/0!</v>
      </c>
      <c r="CG20" s="555" t="e">
        <f t="shared" ref="CG20:CI20" si="84">MAX(AP20,AS20,AV20,BB20,BE20,AY20,CD20,BK20,BZ20,AA20)-MIN(AP20,AS20,AV20,BB20,BE20,AY20,CD20,BK20,BZ20,AA20)</f>
        <v>#DIV/0!</v>
      </c>
      <c r="CH20" s="555" t="e">
        <f t="shared" si="84"/>
        <v>#DIV/0!</v>
      </c>
      <c r="CI20" s="556" t="e">
        <f t="shared" si="84"/>
        <v>#DIV/0!</v>
      </c>
      <c r="CJ20" s="555" t="e">
        <f t="shared" ref="CJ20:CL20" si="85">STDEV(AS20,AV20,AY20,BE20,BK20,BB20,CG20,BZ20,AA20,CD20)</f>
        <v>#DIV/0!</v>
      </c>
      <c r="CK20" s="555" t="e">
        <f t="shared" si="85"/>
        <v>#DIV/0!</v>
      </c>
      <c r="CL20" s="556" t="e">
        <f t="shared" si="85"/>
        <v>#DIV/0!</v>
      </c>
      <c r="CM20" s="555" t="e">
        <f t="shared" ref="CM20:CO20" si="86">CJ20/AA20</f>
        <v>#DIV/0!</v>
      </c>
      <c r="CN20" s="555" t="e">
        <f t="shared" si="86"/>
        <v>#DIV/0!</v>
      </c>
      <c r="CO20" s="556" t="e">
        <f t="shared" si="86"/>
        <v>#DIV/0!</v>
      </c>
      <c r="CP20" s="29" t="s">
        <v>120</v>
      </c>
      <c r="CQ20" s="535">
        <f t="shared" si="31"/>
        <v>2</v>
      </c>
      <c r="CR20" s="29" t="s">
        <v>120</v>
      </c>
      <c r="CS20" s="29" t="s">
        <v>120</v>
      </c>
      <c r="CT20" s="29" t="s">
        <v>120</v>
      </c>
      <c r="CU20" s="29" t="s">
        <v>120</v>
      </c>
      <c r="CV20" s="29" t="s">
        <v>120</v>
      </c>
    </row>
    <row r="21" customHeight="1" spans="1:100">
      <c r="A21" s="29" t="s">
        <v>1053</v>
      </c>
      <c r="B21" s="541" t="s">
        <v>1050</v>
      </c>
      <c r="C21" s="312" t="s">
        <v>1051</v>
      </c>
      <c r="D21" s="29" t="s">
        <v>161</v>
      </c>
      <c r="E21" s="29"/>
      <c r="F21" s="29" t="s">
        <v>1044</v>
      </c>
      <c r="G21" s="29" t="s">
        <v>1039</v>
      </c>
      <c r="H21" s="29" t="b">
        <v>1</v>
      </c>
      <c r="I21" s="29" t="b">
        <v>1</v>
      </c>
      <c r="J21" s="29" t="b">
        <v>0</v>
      </c>
      <c r="K21" s="29" t="b">
        <v>0</v>
      </c>
      <c r="L21" s="29" t="b">
        <v>0</v>
      </c>
      <c r="M21" s="29" t="b">
        <v>0</v>
      </c>
      <c r="O21" s="29">
        <v>0.05</v>
      </c>
      <c r="P21" s="29" t="b">
        <v>0</v>
      </c>
      <c r="Q21" s="29" t="b">
        <v>0</v>
      </c>
      <c r="R21" s="29" t="b">
        <v>0</v>
      </c>
      <c r="S21" s="29" t="b">
        <v>0</v>
      </c>
      <c r="T21" s="29" t="b">
        <f t="shared" si="0"/>
        <v>0</v>
      </c>
      <c r="U21" s="29" t="s">
        <v>997</v>
      </c>
      <c r="V21" s="29" t="s">
        <v>129</v>
      </c>
      <c r="W21" s="29">
        <v>2</v>
      </c>
      <c r="X21" s="29" t="s">
        <v>1045</v>
      </c>
      <c r="Y21" s="16" t="s">
        <v>1041</v>
      </c>
      <c r="Z21" s="29" t="s">
        <v>1052</v>
      </c>
      <c r="AA21" s="554" t="e">
        <f t="shared" ref="AA21:AC21" si="87">AVERAGE(AJ21,AM21,AP21,AV21,AY21,AS21,BZ21,BB21,BE21,BH21,BK21,BN21,BQ21,BT21)</f>
        <v>#DIV/0!</v>
      </c>
      <c r="AB21" s="555" t="e">
        <f t="shared" si="87"/>
        <v>#DIV/0!</v>
      </c>
      <c r="AC21" s="556" t="e">
        <f t="shared" si="87"/>
        <v>#DIV/0!</v>
      </c>
      <c r="AD21" s="165" t="b">
        <v>1</v>
      </c>
      <c r="AE21" s="29" t="b">
        <v>0</v>
      </c>
      <c r="AF21" s="29" t="b">
        <v>0</v>
      </c>
      <c r="AG21" s="574" t="s">
        <v>13</v>
      </c>
      <c r="AH21" s="569" t="s">
        <v>13</v>
      </c>
      <c r="AI21" s="570" t="s">
        <v>13</v>
      </c>
      <c r="AJ21" s="567"/>
      <c r="AK21" s="567"/>
      <c r="AL21" s="568"/>
      <c r="AM21" s="567"/>
      <c r="AN21" s="567"/>
      <c r="AO21" s="568"/>
      <c r="AP21" s="567"/>
      <c r="AQ21" s="567"/>
      <c r="AR21" s="568"/>
      <c r="AS21" s="567"/>
      <c r="AT21" s="567"/>
      <c r="AU21" s="568"/>
      <c r="AV21" s="567"/>
      <c r="AW21" s="567"/>
      <c r="AX21" s="568"/>
      <c r="AY21" s="567"/>
      <c r="AZ21" s="567"/>
      <c r="BA21" s="568"/>
      <c r="BB21" s="567"/>
      <c r="BC21" s="567"/>
      <c r="BD21" s="568"/>
      <c r="BE21" s="567"/>
      <c r="BF21" s="567"/>
      <c r="BG21" s="568"/>
      <c r="BH21" s="567"/>
      <c r="BI21" s="567"/>
      <c r="BJ21" s="568"/>
      <c r="BK21" s="567"/>
      <c r="BL21" s="567"/>
      <c r="BM21" s="568"/>
      <c r="BN21" s="567"/>
      <c r="BO21" s="567"/>
      <c r="BP21" s="568"/>
      <c r="BQ21" s="567"/>
      <c r="BR21" s="567"/>
      <c r="BS21" s="568"/>
      <c r="BT21" s="567"/>
      <c r="BU21" s="567"/>
      <c r="BV21" s="568"/>
      <c r="BW21" s="567"/>
      <c r="BX21" s="567"/>
      <c r="BY21" s="568"/>
      <c r="BZ21" s="567"/>
      <c r="CA21" s="567"/>
      <c r="CB21" s="567"/>
      <c r="CC21" s="583"/>
      <c r="CD21" s="555" t="e">
        <f t="shared" ref="CD21:CF21" si="88">MEDIAN(AM21,AP21,AS21,AY21,BB21,AV21,AA21,BE21,BK21,BZ21,BH21,BN21,BQ21,BT21,BW21)</f>
        <v>#DIV/0!</v>
      </c>
      <c r="CE21" s="555" t="e">
        <f t="shared" si="88"/>
        <v>#DIV/0!</v>
      </c>
      <c r="CF21" s="556" t="e">
        <f t="shared" si="88"/>
        <v>#DIV/0!</v>
      </c>
      <c r="CG21" s="555" t="e">
        <f t="shared" ref="CG21:CI21" si="89">MAX(AP21,AS21,AV21,BB21,BE21,AY21,CD21,BK21,BZ21,AA21)-MIN(AP21,AS21,AV21,BB21,BE21,AY21,CD21,BK21,BZ21,AA21)</f>
        <v>#DIV/0!</v>
      </c>
      <c r="CH21" s="555" t="e">
        <f t="shared" si="89"/>
        <v>#DIV/0!</v>
      </c>
      <c r="CI21" s="556" t="e">
        <f t="shared" si="89"/>
        <v>#DIV/0!</v>
      </c>
      <c r="CJ21" s="555" t="e">
        <f t="shared" ref="CJ21:CL21" si="90">STDEV(AS21,AV21,AY21,BE21,BK21,BB21,CG21,BZ21,AA21,CD21)</f>
        <v>#DIV/0!</v>
      </c>
      <c r="CK21" s="555" t="e">
        <f t="shared" si="90"/>
        <v>#DIV/0!</v>
      </c>
      <c r="CL21" s="556" t="e">
        <f t="shared" si="90"/>
        <v>#DIV/0!</v>
      </c>
      <c r="CM21" s="555" t="e">
        <f t="shared" ref="CM21:CO21" si="91">CJ21/AA21</f>
        <v>#DIV/0!</v>
      </c>
      <c r="CN21" s="555" t="e">
        <f t="shared" si="91"/>
        <v>#DIV/0!</v>
      </c>
      <c r="CO21" s="556" t="e">
        <f t="shared" si="91"/>
        <v>#DIV/0!</v>
      </c>
      <c r="CP21" s="29" t="s">
        <v>120</v>
      </c>
      <c r="CQ21" s="535">
        <f t="shared" si="31"/>
        <v>2</v>
      </c>
      <c r="CR21" s="29" t="s">
        <v>120</v>
      </c>
      <c r="CS21" s="29" t="s">
        <v>120</v>
      </c>
      <c r="CT21" s="29" t="s">
        <v>120</v>
      </c>
      <c r="CU21" s="29" t="s">
        <v>120</v>
      </c>
      <c r="CV21" s="29" t="s">
        <v>120</v>
      </c>
    </row>
    <row r="22" customHeight="1" spans="1:100">
      <c r="A22" s="29" t="s">
        <v>1054</v>
      </c>
      <c r="B22" s="541" t="s">
        <v>1050</v>
      </c>
      <c r="C22" s="312" t="s">
        <v>1051</v>
      </c>
      <c r="D22" s="29" t="s">
        <v>163</v>
      </c>
      <c r="E22" s="29"/>
      <c r="F22" s="29" t="s">
        <v>1044</v>
      </c>
      <c r="G22" s="29" t="s">
        <v>1039</v>
      </c>
      <c r="H22" s="29" t="b">
        <v>1</v>
      </c>
      <c r="I22" s="29" t="b">
        <v>1</v>
      </c>
      <c r="J22" s="29" t="b">
        <v>0</v>
      </c>
      <c r="K22" s="29" t="b">
        <v>0</v>
      </c>
      <c r="L22" s="29" t="b">
        <v>0</v>
      </c>
      <c r="M22" s="29" t="b">
        <v>0</v>
      </c>
      <c r="O22" s="29">
        <v>0.04</v>
      </c>
      <c r="P22" s="29" t="b">
        <v>0</v>
      </c>
      <c r="Q22" s="29" t="b">
        <v>0</v>
      </c>
      <c r="R22" s="29" t="b">
        <v>0</v>
      </c>
      <c r="S22" s="29" t="b">
        <v>0</v>
      </c>
      <c r="T22" s="29" t="b">
        <f t="shared" si="0"/>
        <v>0</v>
      </c>
      <c r="U22" s="29" t="s">
        <v>997</v>
      </c>
      <c r="V22" s="29" t="s">
        <v>129</v>
      </c>
      <c r="W22" s="29">
        <v>2</v>
      </c>
      <c r="X22" s="29" t="s">
        <v>1045</v>
      </c>
      <c r="Y22" s="16" t="s">
        <v>1041</v>
      </c>
      <c r="Z22" s="208" t="s">
        <v>1052</v>
      </c>
      <c r="AA22" s="554" t="e">
        <f t="shared" ref="AA22:AC22" si="92">AVERAGE(AJ22,AM22,AP22,AV22,AY22,AS22,BZ22,BB22,BE22,BH22,BK22,BN22,BQ22,BT22)</f>
        <v>#DIV/0!</v>
      </c>
      <c r="AB22" s="555" t="e">
        <f t="shared" si="92"/>
        <v>#DIV/0!</v>
      </c>
      <c r="AC22" s="556" t="e">
        <f t="shared" si="92"/>
        <v>#DIV/0!</v>
      </c>
      <c r="AD22" s="165" t="b">
        <v>1</v>
      </c>
      <c r="AE22" s="29" t="b">
        <v>0</v>
      </c>
      <c r="AF22" s="29" t="b">
        <v>0</v>
      </c>
      <c r="AG22" s="574" t="s">
        <v>13</v>
      </c>
      <c r="AH22" s="569" t="s">
        <v>13</v>
      </c>
      <c r="AI22" s="570" t="s">
        <v>13</v>
      </c>
      <c r="AJ22" s="567"/>
      <c r="AK22" s="567"/>
      <c r="AL22" s="568"/>
      <c r="AM22" s="567"/>
      <c r="AN22" s="567"/>
      <c r="AO22" s="568"/>
      <c r="AP22" s="567"/>
      <c r="AQ22" s="567"/>
      <c r="AR22" s="568"/>
      <c r="AS22" s="567"/>
      <c r="AT22" s="567"/>
      <c r="AU22" s="568"/>
      <c r="AV22" s="567"/>
      <c r="AW22" s="567"/>
      <c r="AX22" s="568"/>
      <c r="AY22" s="567"/>
      <c r="AZ22" s="567"/>
      <c r="BA22" s="568"/>
      <c r="BB22" s="567"/>
      <c r="BC22" s="567"/>
      <c r="BD22" s="568"/>
      <c r="BE22" s="567"/>
      <c r="BF22" s="567"/>
      <c r="BG22" s="568"/>
      <c r="BH22" s="567"/>
      <c r="BI22" s="567"/>
      <c r="BJ22" s="568"/>
      <c r="BK22" s="567"/>
      <c r="BL22" s="567"/>
      <c r="BM22" s="568"/>
      <c r="BN22" s="567"/>
      <c r="BO22" s="567"/>
      <c r="BP22" s="568"/>
      <c r="BQ22" s="567"/>
      <c r="BR22" s="567"/>
      <c r="BS22" s="568"/>
      <c r="BT22" s="567"/>
      <c r="BU22" s="567"/>
      <c r="BV22" s="568"/>
      <c r="BW22" s="567"/>
      <c r="BX22" s="567"/>
      <c r="BY22" s="568"/>
      <c r="BZ22" s="567"/>
      <c r="CA22" s="567"/>
      <c r="CB22" s="567"/>
      <c r="CC22" s="583"/>
      <c r="CD22" s="555" t="e">
        <f t="shared" ref="CD22:CF22" si="93">MEDIAN(AM22,AP22,AS22,AY22,BB22,AV22,AA22,BE22,BK22,BZ22,BH22,BN22,BQ22,BT22,BW22)</f>
        <v>#DIV/0!</v>
      </c>
      <c r="CE22" s="555" t="e">
        <f t="shared" si="93"/>
        <v>#DIV/0!</v>
      </c>
      <c r="CF22" s="556" t="e">
        <f t="shared" si="93"/>
        <v>#DIV/0!</v>
      </c>
      <c r="CG22" s="555" t="e">
        <f t="shared" ref="CG22:CI22" si="94">MAX(AP22,AS22,AV22,BB22,BE22,AY22,CD22,BK22,BZ22,AA22)-MIN(AP22,AS22,AV22,BB22,BE22,AY22,CD22,BK22,BZ22,AA22)</f>
        <v>#DIV/0!</v>
      </c>
      <c r="CH22" s="555" t="e">
        <f t="shared" si="94"/>
        <v>#DIV/0!</v>
      </c>
      <c r="CI22" s="556" t="e">
        <f t="shared" si="94"/>
        <v>#DIV/0!</v>
      </c>
      <c r="CJ22" s="555" t="e">
        <f t="shared" ref="CJ22:CL22" si="95">STDEV(AS22,AV22,AY22,BE22,BK22,BB22,CG22,BZ22,AA22,CD22)</f>
        <v>#DIV/0!</v>
      </c>
      <c r="CK22" s="555" t="e">
        <f t="shared" si="95"/>
        <v>#DIV/0!</v>
      </c>
      <c r="CL22" s="556" t="e">
        <f t="shared" si="95"/>
        <v>#DIV/0!</v>
      </c>
      <c r="CM22" s="555" t="e">
        <f t="shared" ref="CM22:CO22" si="96">CJ22/AA22</f>
        <v>#DIV/0!</v>
      </c>
      <c r="CN22" s="555" t="e">
        <f t="shared" si="96"/>
        <v>#DIV/0!</v>
      </c>
      <c r="CO22" s="556" t="e">
        <f t="shared" si="96"/>
        <v>#DIV/0!</v>
      </c>
      <c r="CP22" s="29" t="s">
        <v>120</v>
      </c>
      <c r="CQ22" s="535">
        <f t="shared" si="31"/>
        <v>2</v>
      </c>
      <c r="CR22" s="29" t="s">
        <v>120</v>
      </c>
      <c r="CS22" s="29" t="s">
        <v>120</v>
      </c>
      <c r="CT22" s="29" t="s">
        <v>120</v>
      </c>
      <c r="CU22" s="29" t="s">
        <v>120</v>
      </c>
      <c r="CV22" s="29" t="s">
        <v>120</v>
      </c>
    </row>
    <row r="23" customHeight="1" spans="1:100">
      <c r="A23" s="312" t="s">
        <v>1055</v>
      </c>
      <c r="B23" s="165" t="s">
        <v>1050</v>
      </c>
      <c r="C23" s="312" t="s">
        <v>1051</v>
      </c>
      <c r="D23" s="312" t="s">
        <v>165</v>
      </c>
      <c r="E23" s="312"/>
      <c r="F23" s="312" t="s">
        <v>1044</v>
      </c>
      <c r="G23" s="312" t="s">
        <v>1039</v>
      </c>
      <c r="H23" s="165" t="b">
        <v>1</v>
      </c>
      <c r="I23" s="165" t="b">
        <v>1</v>
      </c>
      <c r="J23" s="165" t="b">
        <v>0</v>
      </c>
      <c r="K23" s="165" t="b">
        <v>0</v>
      </c>
      <c r="L23" s="165" t="b">
        <v>0</v>
      </c>
      <c r="M23" s="165" t="b">
        <v>0</v>
      </c>
      <c r="N23" s="312"/>
      <c r="O23" s="312">
        <v>0.01</v>
      </c>
      <c r="P23" s="165" t="b">
        <v>0</v>
      </c>
      <c r="Q23" s="165" t="b">
        <v>0</v>
      </c>
      <c r="R23" s="165" t="b">
        <v>0</v>
      </c>
      <c r="S23" s="165" t="b">
        <v>0</v>
      </c>
      <c r="T23" s="545" t="b">
        <f t="shared" si="0"/>
        <v>0</v>
      </c>
      <c r="U23" s="312" t="s">
        <v>997</v>
      </c>
      <c r="V23" s="29" t="s">
        <v>129</v>
      </c>
      <c r="W23" s="313">
        <v>2</v>
      </c>
      <c r="X23" s="29" t="s">
        <v>1049</v>
      </c>
      <c r="Y23" s="165" t="s">
        <v>1041</v>
      </c>
      <c r="Z23" s="452" t="s">
        <v>1042</v>
      </c>
      <c r="AA23" s="557" t="e">
        <f t="shared" ref="AA23:AC23" si="97">AVERAGE(AJ23,AM23,AP23,AV23,AY23,AS23,BZ23,BB23,BE23,BH23,BK23,BN23,BQ23,BT23)</f>
        <v>#DIV/0!</v>
      </c>
      <c r="AB23" s="558" t="e">
        <f t="shared" si="97"/>
        <v>#DIV/0!</v>
      </c>
      <c r="AC23" s="559" t="e">
        <f t="shared" si="97"/>
        <v>#DIV/0!</v>
      </c>
      <c r="AD23" s="165" t="b">
        <v>1</v>
      </c>
      <c r="AE23" s="165" t="b">
        <v>0</v>
      </c>
      <c r="AF23" s="165" t="b">
        <v>0</v>
      </c>
      <c r="AG23" s="522" t="s">
        <v>13</v>
      </c>
      <c r="AH23" s="326" t="s">
        <v>13</v>
      </c>
      <c r="AI23" s="573" t="s">
        <v>13</v>
      </c>
      <c r="AJ23" s="326"/>
      <c r="AK23" s="326"/>
      <c r="AL23" s="573"/>
      <c r="AM23" s="326"/>
      <c r="AN23" s="326"/>
      <c r="AO23" s="573"/>
      <c r="AP23" s="567"/>
      <c r="AQ23" s="567"/>
      <c r="AR23" s="568"/>
      <c r="AS23" s="567"/>
      <c r="AT23" s="567"/>
      <c r="AU23" s="568"/>
      <c r="AV23" s="567"/>
      <c r="AW23" s="567"/>
      <c r="AX23" s="568"/>
      <c r="AY23" s="567"/>
      <c r="AZ23" s="567"/>
      <c r="BA23" s="568"/>
      <c r="BB23" s="567"/>
      <c r="BC23" s="567"/>
      <c r="BD23" s="568"/>
      <c r="BE23" s="567"/>
      <c r="BF23" s="567"/>
      <c r="BG23" s="568"/>
      <c r="BH23" s="567"/>
      <c r="BI23" s="567"/>
      <c r="BJ23" s="568"/>
      <c r="BK23" s="567"/>
      <c r="BL23" s="567"/>
      <c r="BM23" s="568"/>
      <c r="BN23" s="567"/>
      <c r="BO23" s="567"/>
      <c r="BP23" s="568"/>
      <c r="BQ23" s="567"/>
      <c r="BR23" s="567"/>
      <c r="BS23" s="568"/>
      <c r="BT23" s="567"/>
      <c r="BU23" s="567"/>
      <c r="BV23" s="568"/>
      <c r="BW23" s="326"/>
      <c r="BX23" s="326"/>
      <c r="BY23" s="573"/>
      <c r="BZ23" s="326"/>
      <c r="CA23" s="326"/>
      <c r="CB23" s="326"/>
      <c r="CC23" s="584"/>
      <c r="CD23" s="555" t="e">
        <f t="shared" ref="CD23:CF23" si="98">MEDIAN(AM23,AP23,AS23,AY23,BB23,AV23,AA23,BE23,BK23,BZ23,BH23,BN23,BQ23,BT23,BW23)</f>
        <v>#DIV/0!</v>
      </c>
      <c r="CE23" s="555" t="e">
        <f t="shared" si="98"/>
        <v>#DIV/0!</v>
      </c>
      <c r="CF23" s="556" t="e">
        <f t="shared" si="98"/>
        <v>#DIV/0!</v>
      </c>
      <c r="CG23" s="558" t="e">
        <f t="shared" ref="CG23:CI23" si="99">MAX(AP23,AS23,AV23,BB23,BE23,AY23,CD23,BK23,BZ23,AA23)-MIN(AP23,AS23,AV23,BB23,BE23,AY23,CD23,BK23,BZ23,AA23)</f>
        <v>#DIV/0!</v>
      </c>
      <c r="CH23" s="558" t="e">
        <f t="shared" si="99"/>
        <v>#DIV/0!</v>
      </c>
      <c r="CI23" s="559" t="e">
        <f t="shared" si="99"/>
        <v>#DIV/0!</v>
      </c>
      <c r="CJ23" s="558" t="e">
        <f t="shared" ref="CJ23:CL23" si="100">STDEV(AS23,AV23,AY23,BE23,BK23,BB23,CG23,BZ23,AA23,CD23)</f>
        <v>#DIV/0!</v>
      </c>
      <c r="CK23" s="558" t="e">
        <f t="shared" si="100"/>
        <v>#DIV/0!</v>
      </c>
      <c r="CL23" s="559" t="e">
        <f t="shared" si="100"/>
        <v>#DIV/0!</v>
      </c>
      <c r="CM23" s="558" t="e">
        <f t="shared" ref="CM23:CO23" si="101">CJ23/AA23</f>
        <v>#DIV/0!</v>
      </c>
      <c r="CN23" s="558" t="e">
        <f t="shared" si="101"/>
        <v>#DIV/0!</v>
      </c>
      <c r="CO23" s="559" t="e">
        <f t="shared" si="101"/>
        <v>#DIV/0!</v>
      </c>
      <c r="CP23" s="312" t="s">
        <v>120</v>
      </c>
      <c r="CQ23" s="313">
        <f t="shared" si="31"/>
        <v>2</v>
      </c>
      <c r="CR23" s="312" t="s">
        <v>120</v>
      </c>
      <c r="CS23" s="312" t="s">
        <v>120</v>
      </c>
      <c r="CT23" s="312" t="s">
        <v>120</v>
      </c>
      <c r="CU23" s="312" t="s">
        <v>120</v>
      </c>
      <c r="CV23" s="312" t="s">
        <v>120</v>
      </c>
    </row>
    <row r="24" customHeight="1" spans="1:100">
      <c r="A24" s="312" t="s">
        <v>1056</v>
      </c>
      <c r="B24" s="165" t="s">
        <v>1050</v>
      </c>
      <c r="C24" s="312" t="s">
        <v>1051</v>
      </c>
      <c r="D24" s="312" t="s">
        <v>167</v>
      </c>
      <c r="E24" s="312"/>
      <c r="F24" s="312" t="s">
        <v>1044</v>
      </c>
      <c r="G24" s="312" t="s">
        <v>1039</v>
      </c>
      <c r="H24" s="165" t="b">
        <v>1</v>
      </c>
      <c r="I24" s="165" t="b">
        <v>1</v>
      </c>
      <c r="J24" s="165" t="b">
        <v>0</v>
      </c>
      <c r="K24" s="165" t="b">
        <v>0</v>
      </c>
      <c r="L24" s="165" t="b">
        <v>0</v>
      </c>
      <c r="M24" s="165" t="b">
        <v>0</v>
      </c>
      <c r="N24" s="312"/>
      <c r="O24" s="312">
        <v>0.02</v>
      </c>
      <c r="P24" s="165" t="b">
        <v>0</v>
      </c>
      <c r="Q24" s="165" t="b">
        <v>0</v>
      </c>
      <c r="R24" s="165" t="b">
        <v>0</v>
      </c>
      <c r="S24" s="165" t="b">
        <v>0</v>
      </c>
      <c r="T24" s="545" t="b">
        <f t="shared" si="0"/>
        <v>0</v>
      </c>
      <c r="U24" s="312" t="s">
        <v>997</v>
      </c>
      <c r="V24" s="29" t="s">
        <v>129</v>
      </c>
      <c r="W24" s="313">
        <v>2</v>
      </c>
      <c r="X24" s="29" t="s">
        <v>1040</v>
      </c>
      <c r="Y24" s="165" t="s">
        <v>1041</v>
      </c>
      <c r="Z24" s="452" t="s">
        <v>1042</v>
      </c>
      <c r="AA24" s="557" t="e">
        <f t="shared" ref="AA24:AC24" si="102">AVERAGE(AJ24,AM24,AP24,AV24,AY24,AS24,BZ24,BB24,BE24,BH24,BK24,BN24,BQ24,BT24)</f>
        <v>#DIV/0!</v>
      </c>
      <c r="AB24" s="558" t="e">
        <f t="shared" si="102"/>
        <v>#DIV/0!</v>
      </c>
      <c r="AC24" s="559" t="e">
        <f t="shared" si="102"/>
        <v>#DIV/0!</v>
      </c>
      <c r="AD24" s="165" t="b">
        <v>1</v>
      </c>
      <c r="AE24" s="165" t="b">
        <v>0</v>
      </c>
      <c r="AF24" s="165" t="b">
        <v>0</v>
      </c>
      <c r="AG24" s="522" t="s">
        <v>13</v>
      </c>
      <c r="AH24" s="326" t="s">
        <v>13</v>
      </c>
      <c r="AI24" s="573" t="s">
        <v>13</v>
      </c>
      <c r="AJ24" s="326"/>
      <c r="AK24" s="326"/>
      <c r="AL24" s="573"/>
      <c r="AM24" s="326"/>
      <c r="AN24" s="326"/>
      <c r="AO24" s="573"/>
      <c r="AP24" s="567"/>
      <c r="AQ24" s="567"/>
      <c r="AR24" s="568"/>
      <c r="AS24" s="567"/>
      <c r="AT24" s="567"/>
      <c r="AU24" s="568"/>
      <c r="AV24" s="567"/>
      <c r="AW24" s="567"/>
      <c r="AX24" s="568"/>
      <c r="AY24" s="567"/>
      <c r="AZ24" s="567"/>
      <c r="BA24" s="568"/>
      <c r="BB24" s="567"/>
      <c r="BC24" s="567"/>
      <c r="BD24" s="568"/>
      <c r="BE24" s="567"/>
      <c r="BF24" s="567"/>
      <c r="BG24" s="568"/>
      <c r="BH24" s="567"/>
      <c r="BI24" s="567"/>
      <c r="BJ24" s="568"/>
      <c r="BK24" s="567"/>
      <c r="BL24" s="567"/>
      <c r="BM24" s="568"/>
      <c r="BN24" s="567"/>
      <c r="BO24" s="567"/>
      <c r="BP24" s="568"/>
      <c r="BQ24" s="567"/>
      <c r="BR24" s="567"/>
      <c r="BS24" s="568"/>
      <c r="BT24" s="567"/>
      <c r="BU24" s="567"/>
      <c r="BV24" s="568"/>
      <c r="BW24" s="326"/>
      <c r="BX24" s="326"/>
      <c r="BY24" s="573"/>
      <c r="BZ24" s="326"/>
      <c r="CA24" s="326"/>
      <c r="CB24" s="326"/>
      <c r="CC24" s="584"/>
      <c r="CD24" s="555" t="e">
        <f t="shared" ref="CD24:CF24" si="103">MEDIAN(AM24,AP24,AS24,AY24,BB24,AV24,AA24,BE24,BK24,BZ24,BH24,BN24,BQ24,BT24,BW24)</f>
        <v>#DIV/0!</v>
      </c>
      <c r="CE24" s="555" t="e">
        <f t="shared" si="103"/>
        <v>#DIV/0!</v>
      </c>
      <c r="CF24" s="556" t="e">
        <f t="shared" si="103"/>
        <v>#DIV/0!</v>
      </c>
      <c r="CG24" s="558" t="e">
        <f t="shared" ref="CG24:CI24" si="104">MAX(AP24,AS24,AV24,BB24,BE24,AY24,CD24,BK24,BZ24,AA24)-MIN(AP24,AS24,AV24,BB24,BE24,AY24,CD24,BK24,BZ24,AA24)</f>
        <v>#DIV/0!</v>
      </c>
      <c r="CH24" s="558" t="e">
        <f t="shared" si="104"/>
        <v>#DIV/0!</v>
      </c>
      <c r="CI24" s="559" t="e">
        <f t="shared" si="104"/>
        <v>#DIV/0!</v>
      </c>
      <c r="CJ24" s="558" t="e">
        <f t="shared" ref="CJ24:CL24" si="105">STDEV(AS24,AV24,AY24,BE24,BK24,BB24,CG24,BZ24,AA24,CD24)</f>
        <v>#DIV/0!</v>
      </c>
      <c r="CK24" s="558" t="e">
        <f t="shared" si="105"/>
        <v>#DIV/0!</v>
      </c>
      <c r="CL24" s="559" t="e">
        <f t="shared" si="105"/>
        <v>#DIV/0!</v>
      </c>
      <c r="CM24" s="558" t="e">
        <f t="shared" ref="CM24:CO24" si="106">CJ24/AA24</f>
        <v>#DIV/0!</v>
      </c>
      <c r="CN24" s="558" t="e">
        <f t="shared" si="106"/>
        <v>#DIV/0!</v>
      </c>
      <c r="CO24" s="559" t="e">
        <f t="shared" si="106"/>
        <v>#DIV/0!</v>
      </c>
      <c r="CP24" s="312" t="s">
        <v>120</v>
      </c>
      <c r="CQ24" s="313">
        <f t="shared" si="31"/>
        <v>2</v>
      </c>
      <c r="CR24" s="312" t="s">
        <v>120</v>
      </c>
      <c r="CS24" s="312" t="s">
        <v>120</v>
      </c>
      <c r="CT24" s="312" t="s">
        <v>120</v>
      </c>
      <c r="CU24" s="312" t="s">
        <v>120</v>
      </c>
      <c r="CV24" s="312" t="s">
        <v>120</v>
      </c>
    </row>
    <row r="25" customHeight="1" spans="1:100">
      <c r="A25" s="29" t="s">
        <v>1057</v>
      </c>
      <c r="B25" s="541" t="s">
        <v>1050</v>
      </c>
      <c r="C25" s="312" t="s">
        <v>1051</v>
      </c>
      <c r="D25" s="29" t="s">
        <v>1058</v>
      </c>
      <c r="E25" s="29"/>
      <c r="F25" s="29" t="s">
        <v>1044</v>
      </c>
      <c r="G25" s="29" t="s">
        <v>1039</v>
      </c>
      <c r="H25" s="29" t="b">
        <v>1</v>
      </c>
      <c r="I25" s="29" t="b">
        <v>1</v>
      </c>
      <c r="J25" s="29" t="b">
        <v>0</v>
      </c>
      <c r="K25" s="29" t="b">
        <v>0</v>
      </c>
      <c r="L25" s="29" t="b">
        <v>0</v>
      </c>
      <c r="M25" s="29" t="b">
        <v>0</v>
      </c>
      <c r="O25" s="29">
        <v>0.05</v>
      </c>
      <c r="P25" s="29" t="b">
        <v>0</v>
      </c>
      <c r="Q25" s="29" t="b">
        <v>0</v>
      </c>
      <c r="R25" s="29" t="b">
        <v>0</v>
      </c>
      <c r="S25" s="29" t="b">
        <v>0</v>
      </c>
      <c r="T25" s="29" t="b">
        <f t="shared" si="0"/>
        <v>0</v>
      </c>
      <c r="U25" s="29" t="s">
        <v>997</v>
      </c>
      <c r="V25" s="29" t="s">
        <v>129</v>
      </c>
      <c r="W25" s="29">
        <v>2</v>
      </c>
      <c r="X25" s="29" t="s">
        <v>1045</v>
      </c>
      <c r="Y25" s="16" t="s">
        <v>1041</v>
      </c>
      <c r="Z25" s="29" t="s">
        <v>1052</v>
      </c>
      <c r="AA25" s="554" t="e">
        <f t="shared" ref="AA25:AC25" si="107">AVERAGE(AJ25,AM25,AP25,AV25,AY25,AS25,BZ25,BB25,BE25,BH25,BK25,BN25,BQ25,BT25)</f>
        <v>#DIV/0!</v>
      </c>
      <c r="AB25" s="555" t="e">
        <f t="shared" si="107"/>
        <v>#DIV/0!</v>
      </c>
      <c r="AC25" s="556" t="e">
        <f t="shared" si="107"/>
        <v>#DIV/0!</v>
      </c>
      <c r="AD25" s="165" t="b">
        <v>1</v>
      </c>
      <c r="AE25" s="29" t="b">
        <v>0</v>
      </c>
      <c r="AF25" s="29" t="b">
        <v>0</v>
      </c>
      <c r="AG25" s="522">
        <v>125</v>
      </c>
      <c r="AH25" s="569" t="s">
        <v>13</v>
      </c>
      <c r="AI25" s="570" t="s">
        <v>13</v>
      </c>
      <c r="AJ25" s="567"/>
      <c r="AK25" s="567"/>
      <c r="AL25" s="568"/>
      <c r="AM25" s="567"/>
      <c r="AN25" s="567"/>
      <c r="AO25" s="568"/>
      <c r="AP25" s="567"/>
      <c r="AQ25" s="567"/>
      <c r="AR25" s="568"/>
      <c r="AS25" s="567"/>
      <c r="AT25" s="567"/>
      <c r="AU25" s="568"/>
      <c r="AV25" s="567"/>
      <c r="AW25" s="567"/>
      <c r="AX25" s="568"/>
      <c r="AY25" s="567"/>
      <c r="AZ25" s="567"/>
      <c r="BA25" s="568"/>
      <c r="BB25" s="567"/>
      <c r="BC25" s="567"/>
      <c r="BD25" s="568"/>
      <c r="BE25" s="567"/>
      <c r="BF25" s="567"/>
      <c r="BG25" s="568"/>
      <c r="BH25" s="567"/>
      <c r="BI25" s="567"/>
      <c r="BJ25" s="568"/>
      <c r="BK25" s="567"/>
      <c r="BL25" s="567"/>
      <c r="BM25" s="568"/>
      <c r="BN25" s="567"/>
      <c r="BO25" s="567"/>
      <c r="BP25" s="568"/>
      <c r="BQ25" s="567"/>
      <c r="BR25" s="567"/>
      <c r="BS25" s="568"/>
      <c r="BT25" s="567"/>
      <c r="BU25" s="567"/>
      <c r="BV25" s="568"/>
      <c r="BW25" s="567"/>
      <c r="BX25" s="567"/>
      <c r="BY25" s="568"/>
      <c r="BZ25" s="567"/>
      <c r="CA25" s="567"/>
      <c r="CB25" s="567"/>
      <c r="CC25" s="583"/>
      <c r="CD25" s="555" t="e">
        <f t="shared" ref="CD25:CF25" si="108">MEDIAN(AM25,AP25,AS25,AY25,BB25,AV25,AA25,BE25,BK25,BZ25,BH25,BN25,BQ25,BT25,BW25)</f>
        <v>#DIV/0!</v>
      </c>
      <c r="CE25" s="555" t="e">
        <f t="shared" si="108"/>
        <v>#DIV/0!</v>
      </c>
      <c r="CF25" s="556" t="e">
        <f t="shared" si="108"/>
        <v>#DIV/0!</v>
      </c>
      <c r="CG25" s="555" t="e">
        <f t="shared" ref="CG25:CI25" si="109">MAX(AP25,AS25,AV25,BB25,BE25,AY25,CD25,BK25,BZ25,AA25)-MIN(AP25,AS25,AV25,BB25,BE25,AY25,CD25,BK25,BZ25,AA25)</f>
        <v>#DIV/0!</v>
      </c>
      <c r="CH25" s="555" t="e">
        <f t="shared" si="109"/>
        <v>#DIV/0!</v>
      </c>
      <c r="CI25" s="556" t="e">
        <f t="shared" si="109"/>
        <v>#DIV/0!</v>
      </c>
      <c r="CJ25" s="555" t="e">
        <f t="shared" ref="CJ25:CL25" si="110">STDEV(AS25,AV25,AY25,BE25,BK25,BB25,CG25,BZ25,AA25,CD25)</f>
        <v>#DIV/0!</v>
      </c>
      <c r="CK25" s="555" t="e">
        <f t="shared" si="110"/>
        <v>#DIV/0!</v>
      </c>
      <c r="CL25" s="556" t="e">
        <f t="shared" si="110"/>
        <v>#DIV/0!</v>
      </c>
      <c r="CM25" s="555" t="e">
        <f t="shared" ref="CM25:CO25" si="111">CJ25/AA25</f>
        <v>#DIV/0!</v>
      </c>
      <c r="CN25" s="555" t="e">
        <f t="shared" si="111"/>
        <v>#DIV/0!</v>
      </c>
      <c r="CO25" s="556" t="e">
        <f t="shared" si="111"/>
        <v>#DIV/0!</v>
      </c>
      <c r="CP25" s="29" t="s">
        <v>120</v>
      </c>
      <c r="CQ25" s="535">
        <f t="shared" si="31"/>
        <v>2</v>
      </c>
      <c r="CR25" s="29" t="s">
        <v>120</v>
      </c>
      <c r="CS25" s="29" t="s">
        <v>120</v>
      </c>
      <c r="CT25" s="29" t="s">
        <v>120</v>
      </c>
      <c r="CU25" s="29" t="s">
        <v>120</v>
      </c>
      <c r="CV25" s="29" t="s">
        <v>120</v>
      </c>
    </row>
    <row r="26" customHeight="1" spans="1:100">
      <c r="A26" s="29" t="s">
        <v>1059</v>
      </c>
      <c r="B26" s="541" t="s">
        <v>1050</v>
      </c>
      <c r="C26" s="312" t="s">
        <v>1051</v>
      </c>
      <c r="D26" s="29" t="s">
        <v>1060</v>
      </c>
      <c r="E26" s="29"/>
      <c r="F26" s="29" t="s">
        <v>1044</v>
      </c>
      <c r="G26" s="29" t="s">
        <v>1039</v>
      </c>
      <c r="H26" s="29" t="b">
        <v>1</v>
      </c>
      <c r="I26" s="29" t="b">
        <v>1</v>
      </c>
      <c r="J26" s="29" t="b">
        <v>0</v>
      </c>
      <c r="K26" s="29" t="b">
        <v>0</v>
      </c>
      <c r="L26" s="29" t="b">
        <v>0</v>
      </c>
      <c r="M26" s="29" t="b">
        <v>0</v>
      </c>
      <c r="O26" s="29">
        <v>0.04</v>
      </c>
      <c r="P26" s="29" t="b">
        <v>0</v>
      </c>
      <c r="Q26" s="29" t="b">
        <v>0</v>
      </c>
      <c r="R26" s="29" t="b">
        <v>0</v>
      </c>
      <c r="S26" s="29" t="b">
        <v>0</v>
      </c>
      <c r="T26" s="29" t="b">
        <f t="shared" si="0"/>
        <v>0</v>
      </c>
      <c r="U26" s="29" t="s">
        <v>997</v>
      </c>
      <c r="V26" s="29" t="s">
        <v>129</v>
      </c>
      <c r="W26" s="29">
        <v>2</v>
      </c>
      <c r="X26" s="29" t="s">
        <v>1045</v>
      </c>
      <c r="Y26" s="16" t="s">
        <v>1041</v>
      </c>
      <c r="Z26" s="29" t="s">
        <v>1052</v>
      </c>
      <c r="AA26" s="554" t="e">
        <f t="shared" ref="AA26:AC26" si="112">AVERAGE(AJ26,AM26,AP26,AV26,AY26,AS26,BZ26,BB26,BE26,BH26,BK26,BN26,BQ26,BT26)</f>
        <v>#DIV/0!</v>
      </c>
      <c r="AB26" s="555" t="e">
        <f t="shared" si="112"/>
        <v>#DIV/0!</v>
      </c>
      <c r="AC26" s="556" t="e">
        <f t="shared" si="112"/>
        <v>#DIV/0!</v>
      </c>
      <c r="AD26" s="165" t="b">
        <v>1</v>
      </c>
      <c r="AE26" s="29" t="b">
        <v>0</v>
      </c>
      <c r="AF26" s="29" t="b">
        <v>0</v>
      </c>
      <c r="AG26" s="522">
        <v>75</v>
      </c>
      <c r="AH26" s="569" t="s">
        <v>13</v>
      </c>
      <c r="AI26" s="570" t="s">
        <v>13</v>
      </c>
      <c r="AJ26" s="567"/>
      <c r="AK26" s="567"/>
      <c r="AL26" s="568"/>
      <c r="AM26" s="567"/>
      <c r="AN26" s="567"/>
      <c r="AO26" s="568"/>
      <c r="AP26" s="567"/>
      <c r="AQ26" s="567"/>
      <c r="AR26" s="568"/>
      <c r="AS26" s="567"/>
      <c r="AT26" s="567"/>
      <c r="AU26" s="568"/>
      <c r="AV26" s="567"/>
      <c r="AW26" s="567"/>
      <c r="AX26" s="568"/>
      <c r="AY26" s="567"/>
      <c r="AZ26" s="567"/>
      <c r="BA26" s="568"/>
      <c r="BB26" s="567"/>
      <c r="BC26" s="567"/>
      <c r="BD26" s="568"/>
      <c r="BE26" s="567"/>
      <c r="BF26" s="567"/>
      <c r="BG26" s="568"/>
      <c r="BH26" s="567"/>
      <c r="BI26" s="567"/>
      <c r="BJ26" s="568"/>
      <c r="BK26" s="567"/>
      <c r="BL26" s="567"/>
      <c r="BM26" s="568"/>
      <c r="BN26" s="567"/>
      <c r="BO26" s="567"/>
      <c r="BP26" s="568"/>
      <c r="BQ26" s="567"/>
      <c r="BR26" s="567"/>
      <c r="BS26" s="568"/>
      <c r="BT26" s="567"/>
      <c r="BU26" s="567"/>
      <c r="BV26" s="568"/>
      <c r="BW26" s="567"/>
      <c r="BX26" s="567"/>
      <c r="BY26" s="568"/>
      <c r="BZ26" s="567"/>
      <c r="CA26" s="567"/>
      <c r="CB26" s="567"/>
      <c r="CC26" s="583"/>
      <c r="CD26" s="555" t="e">
        <f t="shared" ref="CD26:CF26" si="113">MEDIAN(AM26,AP26,AS26,AY26,BB26,AV26,AA26,BE26,BK26,BZ26,BH26,BN26,BQ26,BT26,BW26)</f>
        <v>#DIV/0!</v>
      </c>
      <c r="CE26" s="555" t="e">
        <f t="shared" si="113"/>
        <v>#DIV/0!</v>
      </c>
      <c r="CF26" s="556" t="e">
        <f t="shared" si="113"/>
        <v>#DIV/0!</v>
      </c>
      <c r="CG26" s="555" t="e">
        <f t="shared" ref="CG26:CI26" si="114">MAX(AP26,AS26,AV26,BB26,BE26,AY26,CD26,BK26,BZ26,AA26)-MIN(AP26,AS26,AV26,BB26,BE26,AY26,CD26,BK26,BZ26,AA26)</f>
        <v>#DIV/0!</v>
      </c>
      <c r="CH26" s="555" t="e">
        <f t="shared" si="114"/>
        <v>#DIV/0!</v>
      </c>
      <c r="CI26" s="556" t="e">
        <f t="shared" si="114"/>
        <v>#DIV/0!</v>
      </c>
      <c r="CJ26" s="555" t="e">
        <f t="shared" ref="CJ26:CL26" si="115">STDEV(AS26,AV26,AY26,BE26,BK26,BB26,CG26,BZ26,AA26,CD26)</f>
        <v>#DIV/0!</v>
      </c>
      <c r="CK26" s="555" t="e">
        <f t="shared" si="115"/>
        <v>#DIV/0!</v>
      </c>
      <c r="CL26" s="556" t="e">
        <f t="shared" si="115"/>
        <v>#DIV/0!</v>
      </c>
      <c r="CM26" s="555" t="e">
        <f t="shared" ref="CM26:CO26" si="116">CJ26/AA26</f>
        <v>#DIV/0!</v>
      </c>
      <c r="CN26" s="555" t="e">
        <f t="shared" si="116"/>
        <v>#DIV/0!</v>
      </c>
      <c r="CO26" s="556" t="e">
        <f t="shared" si="116"/>
        <v>#DIV/0!</v>
      </c>
      <c r="CP26" s="29" t="s">
        <v>120</v>
      </c>
      <c r="CQ26" s="535">
        <f t="shared" si="31"/>
        <v>2</v>
      </c>
      <c r="CR26" s="29" t="s">
        <v>120</v>
      </c>
      <c r="CS26" s="29" t="s">
        <v>120</v>
      </c>
      <c r="CT26" s="29" t="s">
        <v>120</v>
      </c>
      <c r="CU26" s="29" t="s">
        <v>120</v>
      </c>
      <c r="CV26" s="29" t="s">
        <v>120</v>
      </c>
    </row>
    <row r="27" customHeight="1" spans="1:100">
      <c r="A27" s="29" t="s">
        <v>1061</v>
      </c>
      <c r="B27" s="541" t="s">
        <v>1050</v>
      </c>
      <c r="C27" s="312" t="s">
        <v>1051</v>
      </c>
      <c r="D27" s="29" t="s">
        <v>1062</v>
      </c>
      <c r="E27" s="29"/>
      <c r="F27" s="29" t="s">
        <v>1044</v>
      </c>
      <c r="G27" s="29" t="s">
        <v>1039</v>
      </c>
      <c r="H27" s="29" t="b">
        <v>1</v>
      </c>
      <c r="I27" s="29" t="b">
        <v>1</v>
      </c>
      <c r="J27" s="29" t="b">
        <v>0</v>
      </c>
      <c r="K27" s="29" t="b">
        <v>0</v>
      </c>
      <c r="L27" s="29" t="b">
        <v>0</v>
      </c>
      <c r="M27" s="29" t="b">
        <v>0</v>
      </c>
      <c r="O27" s="29">
        <v>300</v>
      </c>
      <c r="P27" s="29" t="b">
        <v>0</v>
      </c>
      <c r="Q27" s="29" t="b">
        <v>0</v>
      </c>
      <c r="R27" s="29" t="b">
        <v>0</v>
      </c>
      <c r="S27" s="29" t="b">
        <v>0</v>
      </c>
      <c r="T27" s="29" t="b">
        <f t="shared" si="0"/>
        <v>0</v>
      </c>
      <c r="U27" s="29" t="s">
        <v>997</v>
      </c>
      <c r="V27" s="29" t="s">
        <v>129</v>
      </c>
      <c r="W27" s="29">
        <v>2</v>
      </c>
      <c r="X27" s="29" t="s">
        <v>1049</v>
      </c>
      <c r="Y27" s="165" t="s">
        <v>1041</v>
      </c>
      <c r="Z27" s="312" t="s">
        <v>1042</v>
      </c>
      <c r="AA27" s="554" t="e">
        <f t="shared" ref="AA27:AC27" si="117">AVERAGE(AJ27,AM27,AP27,AV27,AY27,AS27,BZ27,BB27,BE27,BH27,BK27,BN27,BQ27,BT27)</f>
        <v>#DIV/0!</v>
      </c>
      <c r="AB27" s="555" t="e">
        <f t="shared" si="117"/>
        <v>#DIV/0!</v>
      </c>
      <c r="AC27" s="556" t="e">
        <f t="shared" si="117"/>
        <v>#DIV/0!</v>
      </c>
      <c r="AD27" s="165" t="b">
        <v>1</v>
      </c>
      <c r="AE27" s="29" t="b">
        <v>0</v>
      </c>
      <c r="AF27" s="29" t="b">
        <v>0</v>
      </c>
      <c r="AG27" s="574">
        <v>35</v>
      </c>
      <c r="AH27" s="569">
        <v>28</v>
      </c>
      <c r="AI27" s="570" t="s">
        <v>13</v>
      </c>
      <c r="AJ27" s="567"/>
      <c r="AK27" s="567"/>
      <c r="AL27" s="568"/>
      <c r="AM27" s="567"/>
      <c r="AN27" s="567"/>
      <c r="AO27" s="568"/>
      <c r="AP27" s="567"/>
      <c r="AQ27" s="567"/>
      <c r="AR27" s="568"/>
      <c r="AS27" s="567"/>
      <c r="AT27" s="567"/>
      <c r="AU27" s="568"/>
      <c r="AV27" s="567"/>
      <c r="AW27" s="567"/>
      <c r="AX27" s="568"/>
      <c r="AY27" s="567"/>
      <c r="AZ27" s="567"/>
      <c r="BA27" s="568"/>
      <c r="BB27" s="567"/>
      <c r="BC27" s="567"/>
      <c r="BD27" s="568"/>
      <c r="BE27" s="567"/>
      <c r="BF27" s="567"/>
      <c r="BG27" s="568"/>
      <c r="BH27" s="567"/>
      <c r="BI27" s="567"/>
      <c r="BJ27" s="568"/>
      <c r="BK27" s="567"/>
      <c r="BL27" s="567"/>
      <c r="BM27" s="568"/>
      <c r="BN27" s="567"/>
      <c r="BO27" s="567"/>
      <c r="BP27" s="568"/>
      <c r="BQ27" s="567"/>
      <c r="BR27" s="567"/>
      <c r="BS27" s="568"/>
      <c r="BT27" s="567"/>
      <c r="BU27" s="567"/>
      <c r="BV27" s="568"/>
      <c r="BW27" s="567"/>
      <c r="BX27" s="567"/>
      <c r="BY27" s="568"/>
      <c r="BZ27" s="567"/>
      <c r="CA27" s="567"/>
      <c r="CB27" s="567"/>
      <c r="CC27" s="583"/>
      <c r="CD27" s="555" t="e">
        <f t="shared" ref="CD27:CF27" si="118">MEDIAN(AM27,AP27,AS27,AY27,BB27,AV27,AA27,BE27,BK27,BZ27,BH27,BN27,BQ27,BT27,BW27)</f>
        <v>#DIV/0!</v>
      </c>
      <c r="CE27" s="555" t="e">
        <f t="shared" si="118"/>
        <v>#DIV/0!</v>
      </c>
      <c r="CF27" s="556" t="e">
        <f t="shared" si="118"/>
        <v>#DIV/0!</v>
      </c>
      <c r="CG27" s="555" t="e">
        <f t="shared" ref="CG27:CI27" si="119">MAX(AP27,AS27,AV27,BB27,BE27,AY27,CD27,BK27,BZ27,AA27)-MIN(AP27,AS27,AV27,BB27,BE27,AY27,CD27,BK27,BZ27,AA27)</f>
        <v>#DIV/0!</v>
      </c>
      <c r="CH27" s="555" t="e">
        <f t="shared" si="119"/>
        <v>#DIV/0!</v>
      </c>
      <c r="CI27" s="556" t="e">
        <f t="shared" si="119"/>
        <v>#DIV/0!</v>
      </c>
      <c r="CJ27" s="555" t="e">
        <f t="shared" ref="CJ27:CL27" si="120">STDEV(AS27,AV27,AY27,BE27,BK27,BB27,CG27,BZ27,AA27,CD27)</f>
        <v>#DIV/0!</v>
      </c>
      <c r="CK27" s="555" t="e">
        <f t="shared" si="120"/>
        <v>#DIV/0!</v>
      </c>
      <c r="CL27" s="556" t="e">
        <f t="shared" si="120"/>
        <v>#DIV/0!</v>
      </c>
      <c r="CM27" s="555" t="e">
        <f t="shared" ref="CM27:CO27" si="121">CJ27/AA27</f>
        <v>#DIV/0!</v>
      </c>
      <c r="CN27" s="555" t="e">
        <f t="shared" si="121"/>
        <v>#DIV/0!</v>
      </c>
      <c r="CO27" s="556" t="e">
        <f t="shared" si="121"/>
        <v>#DIV/0!</v>
      </c>
      <c r="CP27" s="29" t="s">
        <v>120</v>
      </c>
      <c r="CQ27" s="535">
        <f t="shared" si="31"/>
        <v>2</v>
      </c>
      <c r="CR27" s="29" t="s">
        <v>120</v>
      </c>
      <c r="CS27" s="29" t="s">
        <v>120</v>
      </c>
      <c r="CT27" s="29" t="s">
        <v>120</v>
      </c>
      <c r="CU27" s="29" t="s">
        <v>120</v>
      </c>
      <c r="CV27" s="29" t="s">
        <v>120</v>
      </c>
    </row>
    <row r="28" customHeight="1" spans="1:100">
      <c r="A28" s="29" t="s">
        <v>1063</v>
      </c>
      <c r="B28" s="541" t="s">
        <v>1050</v>
      </c>
      <c r="C28" s="312" t="s">
        <v>1051</v>
      </c>
      <c r="D28" s="29" t="s">
        <v>169</v>
      </c>
      <c r="E28" s="29"/>
      <c r="F28" s="29" t="s">
        <v>1044</v>
      </c>
      <c r="G28" s="29" t="s">
        <v>1039</v>
      </c>
      <c r="H28" s="29" t="b">
        <v>1</v>
      </c>
      <c r="I28" s="29" t="b">
        <v>1</v>
      </c>
      <c r="J28" s="29" t="b">
        <v>0</v>
      </c>
      <c r="K28" s="29" t="b">
        <v>0</v>
      </c>
      <c r="L28" s="29" t="b">
        <v>0</v>
      </c>
      <c r="M28" s="29" t="b">
        <v>0</v>
      </c>
      <c r="O28" s="29">
        <v>300</v>
      </c>
      <c r="P28" s="29" t="b">
        <v>0</v>
      </c>
      <c r="Q28" s="29" t="b">
        <v>0</v>
      </c>
      <c r="R28" s="29" t="b">
        <v>0</v>
      </c>
      <c r="S28" s="29" t="b">
        <v>0</v>
      </c>
      <c r="T28" s="29" t="b">
        <f t="shared" si="0"/>
        <v>0</v>
      </c>
      <c r="U28" s="29" t="s">
        <v>997</v>
      </c>
      <c r="V28" s="29" t="s">
        <v>129</v>
      </c>
      <c r="W28" s="29">
        <v>2</v>
      </c>
      <c r="X28" s="29" t="s">
        <v>1040</v>
      </c>
      <c r="Y28" s="165" t="s">
        <v>1041</v>
      </c>
      <c r="Z28" s="312" t="s">
        <v>1042</v>
      </c>
      <c r="AA28" s="554" t="e">
        <f t="shared" ref="AA28:AC28" si="122">AVERAGE(AJ28,AM28,AP28,AV28,AY28,AS28,BZ28,BB28,BE28,BH28,BK28,BN28,BQ28,BT28)</f>
        <v>#DIV/0!</v>
      </c>
      <c r="AB28" s="555" t="e">
        <f t="shared" si="122"/>
        <v>#DIV/0!</v>
      </c>
      <c r="AC28" s="556" t="e">
        <f t="shared" si="122"/>
        <v>#DIV/0!</v>
      </c>
      <c r="AD28" s="165" t="b">
        <v>1</v>
      </c>
      <c r="AE28" s="29" t="b">
        <v>0</v>
      </c>
      <c r="AF28" s="29" t="b">
        <v>0</v>
      </c>
      <c r="AG28" s="574">
        <v>60</v>
      </c>
      <c r="AH28" s="569">
        <v>45</v>
      </c>
      <c r="AI28" s="570" t="s">
        <v>13</v>
      </c>
      <c r="AJ28" s="567"/>
      <c r="AK28" s="567"/>
      <c r="AL28" s="568"/>
      <c r="AM28" s="567"/>
      <c r="AN28" s="567"/>
      <c r="AO28" s="568"/>
      <c r="AP28" s="567"/>
      <c r="AQ28" s="567"/>
      <c r="AR28" s="568"/>
      <c r="AS28" s="567"/>
      <c r="AT28" s="567"/>
      <c r="AU28" s="568"/>
      <c r="AV28" s="567"/>
      <c r="AW28" s="567"/>
      <c r="AX28" s="568"/>
      <c r="AY28" s="567"/>
      <c r="AZ28" s="567"/>
      <c r="BA28" s="568"/>
      <c r="BB28" s="567"/>
      <c r="BC28" s="567"/>
      <c r="BD28" s="568"/>
      <c r="BE28" s="567"/>
      <c r="BF28" s="567"/>
      <c r="BG28" s="568"/>
      <c r="BH28" s="567"/>
      <c r="BI28" s="567"/>
      <c r="BJ28" s="568"/>
      <c r="BK28" s="567"/>
      <c r="BL28" s="567"/>
      <c r="BM28" s="568"/>
      <c r="BN28" s="567"/>
      <c r="BO28" s="567"/>
      <c r="BP28" s="568"/>
      <c r="BQ28" s="567"/>
      <c r="BR28" s="567"/>
      <c r="BS28" s="568"/>
      <c r="BT28" s="567"/>
      <c r="BU28" s="567"/>
      <c r="BV28" s="568"/>
      <c r="BW28" s="567"/>
      <c r="BX28" s="567"/>
      <c r="BY28" s="568"/>
      <c r="BZ28" s="567"/>
      <c r="CA28" s="567"/>
      <c r="CB28" s="567"/>
      <c r="CC28" s="583"/>
      <c r="CD28" s="555" t="e">
        <f t="shared" ref="CD28:CF28" si="123">MEDIAN(AM28,AP28,AS28,AY28,BB28,AV28,AA28,BE28,BK28,BZ28,BH28,BN28,BQ28,BT28,BW28)</f>
        <v>#DIV/0!</v>
      </c>
      <c r="CE28" s="555" t="e">
        <f t="shared" si="123"/>
        <v>#DIV/0!</v>
      </c>
      <c r="CF28" s="556" t="e">
        <f t="shared" si="123"/>
        <v>#DIV/0!</v>
      </c>
      <c r="CG28" s="555" t="e">
        <f t="shared" ref="CG28:CI28" si="124">MAX(AP28,AS28,AV28,BB28,BE28,AY28,CD28,BK28,BZ28,AA28)-MIN(AP28,AS28,AV28,BB28,BE28,AY28,CD28,BK28,BZ28,AA28)</f>
        <v>#DIV/0!</v>
      </c>
      <c r="CH28" s="555" t="e">
        <f t="shared" si="124"/>
        <v>#DIV/0!</v>
      </c>
      <c r="CI28" s="556" t="e">
        <f t="shared" si="124"/>
        <v>#DIV/0!</v>
      </c>
      <c r="CJ28" s="555" t="e">
        <f t="shared" ref="CJ28:CL28" si="125">STDEV(AS28,AV28,AY28,BE28,BK28,BB28,CG28,BZ28,AA28,CD28)</f>
        <v>#DIV/0!</v>
      </c>
      <c r="CK28" s="555" t="e">
        <f t="shared" si="125"/>
        <v>#DIV/0!</v>
      </c>
      <c r="CL28" s="556" t="e">
        <f t="shared" si="125"/>
        <v>#DIV/0!</v>
      </c>
      <c r="CM28" s="555" t="e">
        <f t="shared" ref="CM28:CO28" si="126">CJ28/AA28</f>
        <v>#DIV/0!</v>
      </c>
      <c r="CN28" s="555" t="e">
        <f t="shared" si="126"/>
        <v>#DIV/0!</v>
      </c>
      <c r="CO28" s="556" t="e">
        <f t="shared" si="126"/>
        <v>#DIV/0!</v>
      </c>
      <c r="CP28" s="29" t="s">
        <v>120</v>
      </c>
      <c r="CQ28" s="535">
        <f t="shared" si="31"/>
        <v>2</v>
      </c>
      <c r="CR28" s="29" t="s">
        <v>120</v>
      </c>
      <c r="CS28" s="29" t="s">
        <v>120</v>
      </c>
      <c r="CT28" s="29" t="s">
        <v>120</v>
      </c>
      <c r="CU28" s="29" t="s">
        <v>120</v>
      </c>
      <c r="CV28" s="29" t="s">
        <v>120</v>
      </c>
    </row>
    <row r="29" customHeight="1" spans="1:100">
      <c r="A29" s="29" t="s">
        <v>225</v>
      </c>
      <c r="B29" s="541" t="s">
        <v>1050</v>
      </c>
      <c r="C29" s="312" t="s">
        <v>1051</v>
      </c>
      <c r="D29" s="29" t="s">
        <v>161</v>
      </c>
      <c r="E29" s="29"/>
      <c r="F29" s="29" t="s">
        <v>1044</v>
      </c>
      <c r="G29" s="29" t="s">
        <v>1039</v>
      </c>
      <c r="H29" s="29" t="b">
        <v>0</v>
      </c>
      <c r="I29" s="29" t="b">
        <v>0</v>
      </c>
      <c r="J29" s="165" t="b">
        <v>1</v>
      </c>
      <c r="K29" s="165" t="b">
        <v>1</v>
      </c>
      <c r="L29" s="29" t="b">
        <v>0</v>
      </c>
      <c r="M29" s="29" t="b">
        <v>0</v>
      </c>
      <c r="P29" s="29" t="b">
        <v>0</v>
      </c>
      <c r="Q29" s="29" t="b">
        <v>0</v>
      </c>
      <c r="R29" s="29" t="b">
        <v>0</v>
      </c>
      <c r="S29" s="29" t="b">
        <v>0</v>
      </c>
      <c r="T29" s="29" t="b">
        <f t="shared" si="0"/>
        <v>0</v>
      </c>
      <c r="U29" s="29" t="s">
        <v>997</v>
      </c>
      <c r="V29" s="29" t="s">
        <v>226</v>
      </c>
      <c r="W29" s="29">
        <v>2</v>
      </c>
      <c r="X29" s="29" t="s">
        <v>1045</v>
      </c>
      <c r="Y29" s="16" t="s">
        <v>1041</v>
      </c>
      <c r="Z29" s="29" t="s">
        <v>1052</v>
      </c>
      <c r="AA29" s="554" t="e">
        <f t="shared" ref="AA29:AC29" si="127">AVERAGE(AJ29,AM29,AP29,AV29,AY29,AS29,BZ29,BB29,BE29,BH29,BK29,BN29,BQ29,BT29)</f>
        <v>#DIV/0!</v>
      </c>
      <c r="AB29" s="555" t="e">
        <f t="shared" si="127"/>
        <v>#DIV/0!</v>
      </c>
      <c r="AC29" s="556" t="e">
        <f t="shared" si="127"/>
        <v>#DIV/0!</v>
      </c>
      <c r="AD29" s="29" t="b">
        <v>0</v>
      </c>
      <c r="AE29" s="29" t="b">
        <v>1</v>
      </c>
      <c r="AF29" s="29" t="b">
        <v>0</v>
      </c>
      <c r="AG29" s="522"/>
      <c r="AH29" s="567"/>
      <c r="AI29" s="568"/>
      <c r="AJ29" s="567"/>
      <c r="AK29" s="567"/>
      <c r="AL29" s="568"/>
      <c r="AM29" s="567"/>
      <c r="AN29" s="567"/>
      <c r="AO29" s="568"/>
      <c r="AP29" s="567"/>
      <c r="AQ29" s="567"/>
      <c r="AR29" s="568"/>
      <c r="AS29" s="567"/>
      <c r="AT29" s="567"/>
      <c r="AU29" s="568"/>
      <c r="AV29" s="567"/>
      <c r="AW29" s="567"/>
      <c r="AX29" s="568"/>
      <c r="AY29" s="567"/>
      <c r="AZ29" s="567"/>
      <c r="BA29" s="568"/>
      <c r="BB29" s="567"/>
      <c r="BC29" s="567"/>
      <c r="BD29" s="568"/>
      <c r="BE29" s="567"/>
      <c r="BF29" s="567"/>
      <c r="BG29" s="568"/>
      <c r="BH29" s="567"/>
      <c r="BI29" s="567"/>
      <c r="BJ29" s="568"/>
      <c r="BK29" s="567"/>
      <c r="BL29" s="567"/>
      <c r="BM29" s="568"/>
      <c r="BN29" s="567"/>
      <c r="BO29" s="567"/>
      <c r="BP29" s="568"/>
      <c r="BQ29" s="567"/>
      <c r="BR29" s="567"/>
      <c r="BS29" s="568"/>
      <c r="BT29" s="567"/>
      <c r="BU29" s="567"/>
      <c r="BV29" s="568"/>
      <c r="BW29" s="567"/>
      <c r="BX29" s="567"/>
      <c r="BY29" s="568"/>
      <c r="BZ29" s="567"/>
      <c r="CA29" s="567"/>
      <c r="CB29" s="567"/>
      <c r="CC29" s="583"/>
      <c r="CD29" s="555" t="e">
        <f t="shared" ref="CD29:CF29" si="128">MEDIAN(AM29,AP29,AS29,AY29,BB29,AV29,AA29,BE29,BK29,BZ29,BH29,BN29,BQ29,BT29,BW29)</f>
        <v>#DIV/0!</v>
      </c>
      <c r="CE29" s="555" t="e">
        <f t="shared" si="128"/>
        <v>#DIV/0!</v>
      </c>
      <c r="CF29" s="556" t="e">
        <f t="shared" si="128"/>
        <v>#DIV/0!</v>
      </c>
      <c r="CG29" s="555" t="e">
        <f t="shared" ref="CG29:CI29" si="129">MAX(AP29,AS29,AV29,BB29,BE29,AY29,CD29,BK29,BZ29,AA29)-MIN(AP29,AS29,AV29,BB29,BE29,AY29,CD29,BK29,BZ29,AA29)</f>
        <v>#DIV/0!</v>
      </c>
      <c r="CH29" s="555" t="e">
        <f t="shared" si="129"/>
        <v>#DIV/0!</v>
      </c>
      <c r="CI29" s="556" t="e">
        <f t="shared" si="129"/>
        <v>#DIV/0!</v>
      </c>
      <c r="CJ29" s="555" t="e">
        <f t="shared" ref="CJ29:CL29" si="130">STDEV(AS29,AV29,AY29,BE29,BK29,BB29,CG29,BZ29,AA29,CD29)</f>
        <v>#DIV/0!</v>
      </c>
      <c r="CK29" s="555" t="e">
        <f t="shared" si="130"/>
        <v>#DIV/0!</v>
      </c>
      <c r="CL29" s="556" t="e">
        <f t="shared" si="130"/>
        <v>#DIV/0!</v>
      </c>
      <c r="CM29" s="555" t="e">
        <f t="shared" ref="CM29:CO29" si="131">CJ29/AA29</f>
        <v>#DIV/0!</v>
      </c>
      <c r="CN29" s="555" t="e">
        <f t="shared" si="131"/>
        <v>#DIV/0!</v>
      </c>
      <c r="CO29" s="556" t="e">
        <f t="shared" si="131"/>
        <v>#DIV/0!</v>
      </c>
      <c r="CP29" s="29" t="s">
        <v>120</v>
      </c>
      <c r="CQ29" s="535">
        <f t="shared" si="31"/>
        <v>2</v>
      </c>
      <c r="CR29" s="29" t="s">
        <v>120</v>
      </c>
      <c r="CS29" s="29" t="s">
        <v>120</v>
      </c>
      <c r="CT29" s="29" t="s">
        <v>120</v>
      </c>
      <c r="CU29" s="29" t="s">
        <v>120</v>
      </c>
      <c r="CV29" s="29" t="s">
        <v>120</v>
      </c>
    </row>
    <row r="30" customHeight="1" spans="1:100">
      <c r="A30" s="29" t="s">
        <v>228</v>
      </c>
      <c r="B30" s="541" t="s">
        <v>1050</v>
      </c>
      <c r="C30" s="312" t="s">
        <v>1051</v>
      </c>
      <c r="D30" s="29" t="s">
        <v>163</v>
      </c>
      <c r="E30" s="29"/>
      <c r="F30" s="29" t="s">
        <v>1044</v>
      </c>
      <c r="G30" s="29" t="s">
        <v>1039</v>
      </c>
      <c r="H30" s="29" t="b">
        <v>0</v>
      </c>
      <c r="I30" s="29" t="b">
        <v>0</v>
      </c>
      <c r="J30" s="165" t="b">
        <v>1</v>
      </c>
      <c r="K30" s="165" t="b">
        <v>1</v>
      </c>
      <c r="L30" s="29" t="b">
        <v>0</v>
      </c>
      <c r="M30" s="29" t="b">
        <v>0</v>
      </c>
      <c r="P30" s="29" t="b">
        <v>0</v>
      </c>
      <c r="Q30" s="29" t="b">
        <v>0</v>
      </c>
      <c r="R30" s="29" t="b">
        <v>0</v>
      </c>
      <c r="S30" s="29" t="b">
        <v>0</v>
      </c>
      <c r="T30" s="29" t="b">
        <f t="shared" si="0"/>
        <v>0</v>
      </c>
      <c r="U30" s="29" t="s">
        <v>997</v>
      </c>
      <c r="V30" s="29" t="s">
        <v>226</v>
      </c>
      <c r="W30" s="29">
        <v>2</v>
      </c>
      <c r="X30" s="29" t="s">
        <v>1045</v>
      </c>
      <c r="Y30" s="16" t="s">
        <v>1041</v>
      </c>
      <c r="Z30" s="29" t="s">
        <v>1052</v>
      </c>
      <c r="AA30" s="554" t="e">
        <f t="shared" ref="AA30:AC30" si="132">AVERAGE(AJ30,AM30,AP30,AV30,AY30,AS30,BZ30,BB30,BE30,BH30,BK30,BN30,BQ30,BT30)</f>
        <v>#DIV/0!</v>
      </c>
      <c r="AB30" s="555" t="e">
        <f t="shared" si="132"/>
        <v>#DIV/0!</v>
      </c>
      <c r="AC30" s="556" t="e">
        <f t="shared" si="132"/>
        <v>#DIV/0!</v>
      </c>
      <c r="AD30" s="29" t="b">
        <v>0</v>
      </c>
      <c r="AE30" s="29" t="b">
        <v>1</v>
      </c>
      <c r="AF30" s="29" t="b">
        <v>0</v>
      </c>
      <c r="AG30" s="566"/>
      <c r="AH30" s="567"/>
      <c r="AI30" s="568"/>
      <c r="AJ30" s="567"/>
      <c r="AK30" s="567"/>
      <c r="AL30" s="568"/>
      <c r="AM30" s="567"/>
      <c r="AN30" s="567"/>
      <c r="AO30" s="568"/>
      <c r="AP30" s="567"/>
      <c r="AQ30" s="567"/>
      <c r="AR30" s="568"/>
      <c r="AS30" s="567"/>
      <c r="AT30" s="567"/>
      <c r="AU30" s="568"/>
      <c r="AV30" s="567"/>
      <c r="AW30" s="567"/>
      <c r="AX30" s="568"/>
      <c r="AY30" s="567"/>
      <c r="AZ30" s="567"/>
      <c r="BA30" s="568"/>
      <c r="BB30" s="567"/>
      <c r="BC30" s="567"/>
      <c r="BD30" s="568"/>
      <c r="BE30" s="567"/>
      <c r="BF30" s="567"/>
      <c r="BG30" s="568"/>
      <c r="BH30" s="567"/>
      <c r="BI30" s="567"/>
      <c r="BJ30" s="568"/>
      <c r="BK30" s="567"/>
      <c r="BL30" s="567"/>
      <c r="BM30" s="568"/>
      <c r="BN30" s="567"/>
      <c r="BO30" s="567"/>
      <c r="BP30" s="568"/>
      <c r="BQ30" s="567"/>
      <c r="BR30" s="567"/>
      <c r="BS30" s="568"/>
      <c r="BT30" s="567"/>
      <c r="BU30" s="567"/>
      <c r="BV30" s="568"/>
      <c r="BW30" s="567"/>
      <c r="BX30" s="567"/>
      <c r="BY30" s="568"/>
      <c r="BZ30" s="567"/>
      <c r="CA30" s="567"/>
      <c r="CB30" s="567"/>
      <c r="CC30" s="583"/>
      <c r="CD30" s="555" t="e">
        <f t="shared" ref="CD30:CF30" si="133">MEDIAN(AM30,AP30,AS30,AY30,BB30,AV30,AA30,BE30,BK30,BZ30,BH30,BN30,BQ30,BT30,BW30)</f>
        <v>#DIV/0!</v>
      </c>
      <c r="CE30" s="555" t="e">
        <f t="shared" si="133"/>
        <v>#DIV/0!</v>
      </c>
      <c r="CF30" s="556" t="e">
        <f t="shared" si="133"/>
        <v>#DIV/0!</v>
      </c>
      <c r="CG30" s="555" t="e">
        <f t="shared" ref="CG30:CI30" si="134">MAX(AP30,AS30,AV30,BB30,BE30,AY30,CD30,BK30,BZ30,AA30)-MIN(AP30,AS30,AV30,BB30,BE30,AY30,CD30,BK30,BZ30,AA30)</f>
        <v>#DIV/0!</v>
      </c>
      <c r="CH30" s="555" t="e">
        <f t="shared" si="134"/>
        <v>#DIV/0!</v>
      </c>
      <c r="CI30" s="556" t="e">
        <f t="shared" si="134"/>
        <v>#DIV/0!</v>
      </c>
      <c r="CJ30" s="555" t="e">
        <f t="shared" ref="CJ30:CL30" si="135">STDEV(AS30,AV30,AY30,BE30,BK30,BB30,CG30,BZ30,AA30,CD30)</f>
        <v>#DIV/0!</v>
      </c>
      <c r="CK30" s="555" t="e">
        <f t="shared" si="135"/>
        <v>#DIV/0!</v>
      </c>
      <c r="CL30" s="556" t="e">
        <f t="shared" si="135"/>
        <v>#DIV/0!</v>
      </c>
      <c r="CM30" s="555" t="e">
        <f t="shared" ref="CM30:CO30" si="136">CJ30/AA30</f>
        <v>#DIV/0!</v>
      </c>
      <c r="CN30" s="555" t="e">
        <f t="shared" si="136"/>
        <v>#DIV/0!</v>
      </c>
      <c r="CO30" s="556" t="e">
        <f t="shared" si="136"/>
        <v>#DIV/0!</v>
      </c>
      <c r="CP30" s="29" t="s">
        <v>120</v>
      </c>
      <c r="CQ30" s="535">
        <f t="shared" si="31"/>
        <v>2</v>
      </c>
      <c r="CR30" s="29" t="s">
        <v>120</v>
      </c>
      <c r="CS30" s="29" t="s">
        <v>120</v>
      </c>
      <c r="CT30" s="29" t="s">
        <v>120</v>
      </c>
      <c r="CU30" s="29" t="s">
        <v>120</v>
      </c>
      <c r="CV30" s="29" t="s">
        <v>120</v>
      </c>
    </row>
    <row r="31" customHeight="1" spans="1:100">
      <c r="A31" s="29" t="s">
        <v>229</v>
      </c>
      <c r="B31" s="541" t="s">
        <v>1050</v>
      </c>
      <c r="C31" s="312" t="s">
        <v>1051</v>
      </c>
      <c r="D31" s="29" t="s">
        <v>161</v>
      </c>
      <c r="E31" s="29"/>
      <c r="F31" s="29" t="s">
        <v>1044</v>
      </c>
      <c r="G31" s="29" t="s">
        <v>1039</v>
      </c>
      <c r="H31" s="29" t="b">
        <v>0</v>
      </c>
      <c r="I31" s="29" t="b">
        <v>0</v>
      </c>
      <c r="J31" s="165" t="b">
        <v>1</v>
      </c>
      <c r="K31" s="165" t="b">
        <v>1</v>
      </c>
      <c r="L31" s="29" t="b">
        <v>0</v>
      </c>
      <c r="M31" s="29" t="b">
        <v>0</v>
      </c>
      <c r="P31" s="29" t="b">
        <v>0</v>
      </c>
      <c r="Q31" s="29" t="b">
        <v>0</v>
      </c>
      <c r="R31" s="29" t="b">
        <v>0</v>
      </c>
      <c r="S31" s="29" t="b">
        <v>0</v>
      </c>
      <c r="T31" s="29" t="b">
        <f t="shared" si="0"/>
        <v>0</v>
      </c>
      <c r="U31" s="29" t="s">
        <v>997</v>
      </c>
      <c r="V31" s="29" t="s">
        <v>226</v>
      </c>
      <c r="W31" s="29">
        <v>2</v>
      </c>
      <c r="X31" s="29" t="s">
        <v>1064</v>
      </c>
      <c r="Y31" s="16" t="s">
        <v>1041</v>
      </c>
      <c r="Z31" s="29" t="s">
        <v>1052</v>
      </c>
      <c r="AA31" s="554" t="e">
        <f t="shared" ref="AA31:AC31" si="137">AVERAGE(AJ31,AM31,AP31,AV31,AY31,AS31,BZ31,BB31,BE31,BH31,BK31,BN31,BQ31,BT31)</f>
        <v>#DIV/0!</v>
      </c>
      <c r="AB31" s="555" t="e">
        <f t="shared" si="137"/>
        <v>#DIV/0!</v>
      </c>
      <c r="AC31" s="556" t="e">
        <f t="shared" si="137"/>
        <v>#DIV/0!</v>
      </c>
      <c r="AD31" s="29" t="b">
        <v>0</v>
      </c>
      <c r="AE31" s="29" t="b">
        <v>1</v>
      </c>
      <c r="AF31" s="29" t="b">
        <v>0</v>
      </c>
      <c r="AG31" s="566"/>
      <c r="AH31" s="567"/>
      <c r="AI31" s="568"/>
      <c r="AJ31" s="567"/>
      <c r="AK31" s="567"/>
      <c r="AL31" s="568"/>
      <c r="AM31" s="567"/>
      <c r="AN31" s="567"/>
      <c r="AO31" s="568"/>
      <c r="AP31" s="567"/>
      <c r="AQ31" s="567"/>
      <c r="AR31" s="568"/>
      <c r="AS31" s="567"/>
      <c r="AT31" s="567"/>
      <c r="AU31" s="568"/>
      <c r="AV31" s="567"/>
      <c r="AW31" s="567"/>
      <c r="AX31" s="568"/>
      <c r="AY31" s="567"/>
      <c r="AZ31" s="567"/>
      <c r="BA31" s="568"/>
      <c r="BB31" s="567"/>
      <c r="BC31" s="567"/>
      <c r="BD31" s="568"/>
      <c r="BE31" s="567"/>
      <c r="BF31" s="567"/>
      <c r="BG31" s="568"/>
      <c r="BH31" s="567"/>
      <c r="BI31" s="567"/>
      <c r="BJ31" s="568"/>
      <c r="BK31" s="567"/>
      <c r="BL31" s="567"/>
      <c r="BM31" s="568"/>
      <c r="BN31" s="567"/>
      <c r="BO31" s="567"/>
      <c r="BP31" s="568"/>
      <c r="BQ31" s="567"/>
      <c r="BR31" s="567"/>
      <c r="BS31" s="568"/>
      <c r="BT31" s="567"/>
      <c r="BU31" s="567"/>
      <c r="BV31" s="568"/>
      <c r="BW31" s="567"/>
      <c r="BX31" s="567"/>
      <c r="BY31" s="568"/>
      <c r="BZ31" s="567"/>
      <c r="CA31" s="567"/>
      <c r="CB31" s="567"/>
      <c r="CC31" s="583"/>
      <c r="CD31" s="555" t="e">
        <f t="shared" ref="CD31:CF31" si="138">MEDIAN(AM31,AP31,AS31,AY31,BB31,AV31,AA31,BE31,BK31,BZ31,BH31,BN31,BQ31,BT31,BW31)</f>
        <v>#DIV/0!</v>
      </c>
      <c r="CE31" s="555" t="e">
        <f t="shared" si="138"/>
        <v>#DIV/0!</v>
      </c>
      <c r="CF31" s="556" t="e">
        <f t="shared" si="138"/>
        <v>#DIV/0!</v>
      </c>
      <c r="CG31" s="555" t="e">
        <f t="shared" ref="CG31:CI31" si="139">MAX(AP31,AS31,AV31,BB31,BE31,AY31,CD31,BK31,BZ31,AA31)-MIN(AP31,AS31,AV31,BB31,BE31,AY31,CD31,BK31,BZ31,AA31)</f>
        <v>#DIV/0!</v>
      </c>
      <c r="CH31" s="555" t="e">
        <f t="shared" si="139"/>
        <v>#DIV/0!</v>
      </c>
      <c r="CI31" s="556" t="e">
        <f t="shared" si="139"/>
        <v>#DIV/0!</v>
      </c>
      <c r="CJ31" s="555" t="e">
        <f t="shared" ref="CJ31:CL31" si="140">STDEV(AS31,AV31,AY31,BE31,BK31,BB31,CG31,BZ31,AA31,CD31)</f>
        <v>#DIV/0!</v>
      </c>
      <c r="CK31" s="555" t="e">
        <f t="shared" si="140"/>
        <v>#DIV/0!</v>
      </c>
      <c r="CL31" s="556" t="e">
        <f t="shared" si="140"/>
        <v>#DIV/0!</v>
      </c>
      <c r="CM31" s="555" t="e">
        <f t="shared" ref="CM31:CO31" si="141">CJ31/AA31</f>
        <v>#DIV/0!</v>
      </c>
      <c r="CN31" s="555" t="e">
        <f t="shared" si="141"/>
        <v>#DIV/0!</v>
      </c>
      <c r="CO31" s="556" t="e">
        <f t="shared" si="141"/>
        <v>#DIV/0!</v>
      </c>
      <c r="CP31" s="29" t="s">
        <v>120</v>
      </c>
      <c r="CQ31" s="535">
        <f t="shared" si="31"/>
        <v>2</v>
      </c>
      <c r="CR31" s="29" t="s">
        <v>120</v>
      </c>
      <c r="CS31" s="29" t="s">
        <v>120</v>
      </c>
      <c r="CT31" s="29" t="s">
        <v>120</v>
      </c>
      <c r="CU31" s="29" t="s">
        <v>120</v>
      </c>
      <c r="CV31" s="29" t="s">
        <v>120</v>
      </c>
    </row>
    <row r="32" customHeight="1" spans="1:100">
      <c r="A32" s="29" t="s">
        <v>230</v>
      </c>
      <c r="B32" s="541" t="s">
        <v>1050</v>
      </c>
      <c r="C32" s="312" t="s">
        <v>1051</v>
      </c>
      <c r="D32" s="29" t="s">
        <v>163</v>
      </c>
      <c r="E32" s="29"/>
      <c r="F32" s="29" t="s">
        <v>1044</v>
      </c>
      <c r="G32" s="29" t="s">
        <v>1039</v>
      </c>
      <c r="H32" s="29" t="b">
        <v>0</v>
      </c>
      <c r="I32" s="29" t="b">
        <v>0</v>
      </c>
      <c r="J32" s="165" t="b">
        <v>1</v>
      </c>
      <c r="K32" s="165" t="b">
        <v>1</v>
      </c>
      <c r="L32" s="29" t="b">
        <v>0</v>
      </c>
      <c r="M32" s="29" t="b">
        <v>0</v>
      </c>
      <c r="P32" s="29" t="b">
        <v>0</v>
      </c>
      <c r="Q32" s="29" t="b">
        <v>0</v>
      </c>
      <c r="R32" s="29" t="b">
        <v>0</v>
      </c>
      <c r="S32" s="29" t="b">
        <v>0</v>
      </c>
      <c r="T32" s="29" t="b">
        <f t="shared" si="0"/>
        <v>0</v>
      </c>
      <c r="U32" s="29" t="s">
        <v>997</v>
      </c>
      <c r="V32" s="29" t="s">
        <v>226</v>
      </c>
      <c r="W32" s="29">
        <v>2</v>
      </c>
      <c r="X32" s="29" t="s">
        <v>1064</v>
      </c>
      <c r="Y32" s="16" t="s">
        <v>1041</v>
      </c>
      <c r="Z32" s="29" t="s">
        <v>1052</v>
      </c>
      <c r="AA32" s="554" t="e">
        <f t="shared" ref="AA32:AC32" si="142">AVERAGE(AJ32,AM32,AP32,AV32,AY32,AS32,BZ32,BB32,BE32,BH32,BK32,BN32,BQ32,BT32)</f>
        <v>#DIV/0!</v>
      </c>
      <c r="AB32" s="555" t="e">
        <f t="shared" si="142"/>
        <v>#DIV/0!</v>
      </c>
      <c r="AC32" s="556" t="e">
        <f t="shared" si="142"/>
        <v>#DIV/0!</v>
      </c>
      <c r="AD32" s="29" t="b">
        <v>0</v>
      </c>
      <c r="AE32" s="29" t="b">
        <v>1</v>
      </c>
      <c r="AF32" s="29" t="b">
        <v>0</v>
      </c>
      <c r="AG32" s="566"/>
      <c r="AH32" s="567"/>
      <c r="AI32" s="568"/>
      <c r="AJ32" s="567"/>
      <c r="AK32" s="567"/>
      <c r="AL32" s="568"/>
      <c r="AM32" s="567"/>
      <c r="AN32" s="567"/>
      <c r="AO32" s="568"/>
      <c r="AP32" s="567"/>
      <c r="AQ32" s="567"/>
      <c r="AR32" s="568"/>
      <c r="AS32" s="567"/>
      <c r="AT32" s="567"/>
      <c r="AU32" s="568"/>
      <c r="AV32" s="567"/>
      <c r="AW32" s="567"/>
      <c r="AX32" s="568"/>
      <c r="AY32" s="567"/>
      <c r="AZ32" s="567"/>
      <c r="BA32" s="568"/>
      <c r="BB32" s="567"/>
      <c r="BC32" s="567"/>
      <c r="BD32" s="568"/>
      <c r="BE32" s="567"/>
      <c r="BF32" s="567"/>
      <c r="BG32" s="568"/>
      <c r="BH32" s="567"/>
      <c r="BI32" s="567"/>
      <c r="BJ32" s="568"/>
      <c r="BK32" s="567"/>
      <c r="BL32" s="567"/>
      <c r="BM32" s="568"/>
      <c r="BN32" s="567"/>
      <c r="BO32" s="567"/>
      <c r="BP32" s="568"/>
      <c r="BQ32" s="567"/>
      <c r="BR32" s="567"/>
      <c r="BS32" s="568"/>
      <c r="BT32" s="567"/>
      <c r="BU32" s="567"/>
      <c r="BV32" s="568"/>
      <c r="BW32" s="567"/>
      <c r="BX32" s="567"/>
      <c r="BY32" s="568"/>
      <c r="BZ32" s="567"/>
      <c r="CA32" s="567"/>
      <c r="CB32" s="567"/>
      <c r="CC32" s="583"/>
      <c r="CD32" s="555" t="e">
        <f t="shared" ref="CD32:CF32" si="143">MEDIAN(AM32,AP32,AS32,AY32,BB32,AV32,AA32,BE32,BK32,BZ32,BH32,BN32,BQ32,BT32,BW32)</f>
        <v>#DIV/0!</v>
      </c>
      <c r="CE32" s="555" t="e">
        <f t="shared" si="143"/>
        <v>#DIV/0!</v>
      </c>
      <c r="CF32" s="556" t="e">
        <f t="shared" si="143"/>
        <v>#DIV/0!</v>
      </c>
      <c r="CG32" s="555" t="e">
        <f t="shared" ref="CG32:CI32" si="144">MAX(AP32,AS32,AV32,BB32,BE32,AY32,CD32,BK32,BZ32,AA32)-MIN(AP32,AS32,AV32,BB32,BE32,AY32,CD32,BK32,BZ32,AA32)</f>
        <v>#DIV/0!</v>
      </c>
      <c r="CH32" s="555" t="e">
        <f t="shared" si="144"/>
        <v>#DIV/0!</v>
      </c>
      <c r="CI32" s="556" t="e">
        <f t="shared" si="144"/>
        <v>#DIV/0!</v>
      </c>
      <c r="CJ32" s="555" t="e">
        <f t="shared" ref="CJ32:CL32" si="145">STDEV(AS32,AV32,AY32,BE32,BK32,BB32,CG32,BZ32,AA32,CD32)</f>
        <v>#DIV/0!</v>
      </c>
      <c r="CK32" s="555" t="e">
        <f t="shared" si="145"/>
        <v>#DIV/0!</v>
      </c>
      <c r="CL32" s="556" t="e">
        <f t="shared" si="145"/>
        <v>#DIV/0!</v>
      </c>
      <c r="CM32" s="555" t="e">
        <f t="shared" ref="CM32:CO32" si="146">CJ32/AA32</f>
        <v>#DIV/0!</v>
      </c>
      <c r="CN32" s="555" t="e">
        <f t="shared" si="146"/>
        <v>#DIV/0!</v>
      </c>
      <c r="CO32" s="556" t="e">
        <f t="shared" si="146"/>
        <v>#DIV/0!</v>
      </c>
      <c r="CP32" s="29" t="s">
        <v>120</v>
      </c>
      <c r="CQ32" s="535">
        <f t="shared" si="31"/>
        <v>2</v>
      </c>
      <c r="CR32" s="29" t="s">
        <v>120</v>
      </c>
      <c r="CS32" s="29" t="s">
        <v>120</v>
      </c>
      <c r="CT32" s="29" t="s">
        <v>120</v>
      </c>
      <c r="CU32" s="29" t="s">
        <v>120</v>
      </c>
      <c r="CV32" s="29" t="s">
        <v>120</v>
      </c>
    </row>
    <row r="33" customHeight="1" spans="1:100">
      <c r="A33" s="29" t="s">
        <v>231</v>
      </c>
      <c r="B33" s="541" t="s">
        <v>1050</v>
      </c>
      <c r="C33" s="312" t="s">
        <v>1051</v>
      </c>
      <c r="D33" s="29" t="s">
        <v>161</v>
      </c>
      <c r="E33" s="29"/>
      <c r="F33" s="29" t="s">
        <v>1044</v>
      </c>
      <c r="G33" s="29" t="s">
        <v>1039</v>
      </c>
      <c r="H33" s="29" t="b">
        <v>0</v>
      </c>
      <c r="I33" s="29" t="b">
        <v>0</v>
      </c>
      <c r="J33" s="165" t="b">
        <v>1</v>
      </c>
      <c r="K33" s="165" t="b">
        <v>1</v>
      </c>
      <c r="L33" s="29" t="b">
        <v>0</v>
      </c>
      <c r="M33" s="29" t="b">
        <v>0</v>
      </c>
      <c r="P33" s="29" t="b">
        <v>0</v>
      </c>
      <c r="Q33" s="29" t="b">
        <v>0</v>
      </c>
      <c r="R33" s="29" t="b">
        <v>0</v>
      </c>
      <c r="S33" s="29" t="b">
        <v>0</v>
      </c>
      <c r="T33" s="29" t="b">
        <f t="shared" si="0"/>
        <v>0</v>
      </c>
      <c r="U33" s="29" t="s">
        <v>997</v>
      </c>
      <c r="V33" s="29" t="s">
        <v>226</v>
      </c>
      <c r="W33" s="29">
        <v>2</v>
      </c>
      <c r="X33" s="29" t="s">
        <v>1045</v>
      </c>
      <c r="Y33" s="16" t="s">
        <v>1041</v>
      </c>
      <c r="Z33" s="29" t="s">
        <v>1052</v>
      </c>
      <c r="AA33" s="554" t="e">
        <f t="shared" ref="AA33:AC33" si="147">AVERAGE(AJ33,AM33,AP33,AV33,AY33,AS33,BZ33,BB33,BE33,BH33,BK33,BN33,BQ33,BT33)</f>
        <v>#DIV/0!</v>
      </c>
      <c r="AB33" s="555" t="e">
        <f t="shared" si="147"/>
        <v>#DIV/0!</v>
      </c>
      <c r="AC33" s="556" t="e">
        <f t="shared" si="147"/>
        <v>#DIV/0!</v>
      </c>
      <c r="AD33" s="29" t="b">
        <v>0</v>
      </c>
      <c r="AE33" s="29" t="b">
        <v>1</v>
      </c>
      <c r="AF33" s="29" t="b">
        <v>0</v>
      </c>
      <c r="AG33" s="566"/>
      <c r="AH33" s="567"/>
      <c r="AI33" s="568"/>
      <c r="AJ33" s="567"/>
      <c r="AK33" s="567"/>
      <c r="AL33" s="568"/>
      <c r="AM33" s="567"/>
      <c r="AN33" s="567"/>
      <c r="AO33" s="568"/>
      <c r="AP33" s="567"/>
      <c r="AQ33" s="567"/>
      <c r="AR33" s="568"/>
      <c r="AS33" s="567"/>
      <c r="AT33" s="567"/>
      <c r="AU33" s="568"/>
      <c r="AV33" s="567"/>
      <c r="AW33" s="567"/>
      <c r="AX33" s="568"/>
      <c r="AY33" s="567"/>
      <c r="AZ33" s="567"/>
      <c r="BA33" s="568"/>
      <c r="BB33" s="567"/>
      <c r="BC33" s="567"/>
      <c r="BD33" s="568"/>
      <c r="BE33" s="567"/>
      <c r="BF33" s="567"/>
      <c r="BG33" s="568"/>
      <c r="BH33" s="567"/>
      <c r="BI33" s="567"/>
      <c r="BJ33" s="568"/>
      <c r="BK33" s="567"/>
      <c r="BL33" s="567"/>
      <c r="BM33" s="568"/>
      <c r="BN33" s="567"/>
      <c r="BO33" s="567"/>
      <c r="BP33" s="568"/>
      <c r="BQ33" s="567"/>
      <c r="BR33" s="567"/>
      <c r="BS33" s="568"/>
      <c r="BT33" s="567"/>
      <c r="BU33" s="567"/>
      <c r="BV33" s="568"/>
      <c r="BW33" s="567"/>
      <c r="BX33" s="567"/>
      <c r="BY33" s="568"/>
      <c r="BZ33" s="567"/>
      <c r="CA33" s="567"/>
      <c r="CB33" s="567"/>
      <c r="CC33" s="583"/>
      <c r="CD33" s="555" t="e">
        <f t="shared" ref="CD33:CF33" si="148">MEDIAN(AM33,AP33,AS33,AY33,BB33,AV33,AA33,BE33,BK33,BZ33,BH33,BN33,BQ33,BT33,BW33)</f>
        <v>#DIV/0!</v>
      </c>
      <c r="CE33" s="555" t="e">
        <f t="shared" si="148"/>
        <v>#DIV/0!</v>
      </c>
      <c r="CF33" s="556" t="e">
        <f t="shared" si="148"/>
        <v>#DIV/0!</v>
      </c>
      <c r="CG33" s="555" t="e">
        <f t="shared" ref="CG33:CI33" si="149">MAX(AP33,AS33,AV33,BB33,BE33,AY33,CD33,BK33,BZ33,AA33)-MIN(AP33,AS33,AV33,BB33,BE33,AY33,CD33,BK33,BZ33,AA33)</f>
        <v>#DIV/0!</v>
      </c>
      <c r="CH33" s="555" t="e">
        <f t="shared" si="149"/>
        <v>#DIV/0!</v>
      </c>
      <c r="CI33" s="556" t="e">
        <f t="shared" si="149"/>
        <v>#DIV/0!</v>
      </c>
      <c r="CJ33" s="555" t="e">
        <f t="shared" ref="CJ33:CL33" si="150">STDEV(AS33,AV33,AY33,BE33,BK33,BB33,CG33,BZ33,AA33,CD33)</f>
        <v>#DIV/0!</v>
      </c>
      <c r="CK33" s="555" t="e">
        <f t="shared" si="150"/>
        <v>#DIV/0!</v>
      </c>
      <c r="CL33" s="556" t="e">
        <f t="shared" si="150"/>
        <v>#DIV/0!</v>
      </c>
      <c r="CM33" s="555" t="e">
        <f t="shared" ref="CM33:CO33" si="151">CJ33/AA33</f>
        <v>#DIV/0!</v>
      </c>
      <c r="CN33" s="555" t="e">
        <f t="shared" si="151"/>
        <v>#DIV/0!</v>
      </c>
      <c r="CO33" s="556" t="e">
        <f t="shared" si="151"/>
        <v>#DIV/0!</v>
      </c>
      <c r="CP33" s="29" t="s">
        <v>120</v>
      </c>
      <c r="CQ33" s="535">
        <f t="shared" si="31"/>
        <v>2</v>
      </c>
      <c r="CR33" s="29" t="s">
        <v>120</v>
      </c>
      <c r="CS33" s="29" t="s">
        <v>120</v>
      </c>
      <c r="CT33" s="29" t="s">
        <v>120</v>
      </c>
      <c r="CU33" s="29" t="s">
        <v>120</v>
      </c>
      <c r="CV33" s="29" t="s">
        <v>120</v>
      </c>
    </row>
    <row r="34" customHeight="1" spans="1:100">
      <c r="A34" s="29" t="s">
        <v>232</v>
      </c>
      <c r="B34" s="541" t="s">
        <v>1050</v>
      </c>
      <c r="C34" s="312" t="s">
        <v>1051</v>
      </c>
      <c r="D34" s="29" t="s">
        <v>163</v>
      </c>
      <c r="E34" s="29"/>
      <c r="F34" s="29" t="s">
        <v>1044</v>
      </c>
      <c r="G34" s="29" t="s">
        <v>1039</v>
      </c>
      <c r="H34" s="29" t="b">
        <v>0</v>
      </c>
      <c r="I34" s="29" t="b">
        <v>0</v>
      </c>
      <c r="J34" s="165" t="b">
        <v>1</v>
      </c>
      <c r="K34" s="165" t="b">
        <v>1</v>
      </c>
      <c r="L34" s="29" t="b">
        <v>0</v>
      </c>
      <c r="M34" s="29" t="b">
        <v>0</v>
      </c>
      <c r="P34" s="29" t="b">
        <v>0</v>
      </c>
      <c r="Q34" s="29" t="b">
        <v>0</v>
      </c>
      <c r="R34" s="29" t="b">
        <v>0</v>
      </c>
      <c r="S34" s="29" t="b">
        <v>0</v>
      </c>
      <c r="T34" s="29" t="b">
        <f t="shared" si="0"/>
        <v>0</v>
      </c>
      <c r="U34" s="29" t="s">
        <v>997</v>
      </c>
      <c r="V34" s="29" t="s">
        <v>226</v>
      </c>
      <c r="W34" s="29">
        <v>2</v>
      </c>
      <c r="X34" s="29" t="s">
        <v>1045</v>
      </c>
      <c r="Y34" s="16" t="s">
        <v>1041</v>
      </c>
      <c r="Z34" s="29" t="s">
        <v>1052</v>
      </c>
      <c r="AA34" s="554" t="e">
        <f t="shared" ref="AA34:AC34" si="152">AVERAGE(AJ34,AM34,AP34,AV34,AY34,AS34,BZ34,BB34,BE34,BH34,BK34,BN34,BQ34,BT34)</f>
        <v>#DIV/0!</v>
      </c>
      <c r="AB34" s="555" t="e">
        <f t="shared" si="152"/>
        <v>#DIV/0!</v>
      </c>
      <c r="AC34" s="556" t="e">
        <f t="shared" si="152"/>
        <v>#DIV/0!</v>
      </c>
      <c r="AD34" s="29" t="b">
        <v>0</v>
      </c>
      <c r="AE34" s="29" t="b">
        <v>1</v>
      </c>
      <c r="AF34" s="29" t="b">
        <v>0</v>
      </c>
      <c r="AG34" s="566"/>
      <c r="AH34" s="567"/>
      <c r="AI34" s="568"/>
      <c r="AJ34" s="567"/>
      <c r="AK34" s="567"/>
      <c r="AL34" s="568"/>
      <c r="AM34" s="567"/>
      <c r="AN34" s="567"/>
      <c r="AO34" s="568"/>
      <c r="AP34" s="567"/>
      <c r="AQ34" s="567"/>
      <c r="AR34" s="568"/>
      <c r="AS34" s="567"/>
      <c r="AT34" s="567"/>
      <c r="AU34" s="568"/>
      <c r="AV34" s="567"/>
      <c r="AW34" s="567"/>
      <c r="AX34" s="568"/>
      <c r="AY34" s="567"/>
      <c r="AZ34" s="567"/>
      <c r="BA34" s="568"/>
      <c r="BB34" s="567"/>
      <c r="BC34" s="567"/>
      <c r="BD34" s="568"/>
      <c r="BE34" s="567"/>
      <c r="BF34" s="567"/>
      <c r="BG34" s="568"/>
      <c r="BH34" s="567"/>
      <c r="BI34" s="567"/>
      <c r="BJ34" s="568"/>
      <c r="BK34" s="567"/>
      <c r="BL34" s="567"/>
      <c r="BM34" s="568"/>
      <c r="BN34" s="567"/>
      <c r="BO34" s="567"/>
      <c r="BP34" s="568"/>
      <c r="BQ34" s="567"/>
      <c r="BR34" s="567"/>
      <c r="BS34" s="568"/>
      <c r="BT34" s="567"/>
      <c r="BU34" s="567"/>
      <c r="BV34" s="568"/>
      <c r="BW34" s="567"/>
      <c r="BX34" s="567"/>
      <c r="BY34" s="568"/>
      <c r="BZ34" s="567"/>
      <c r="CA34" s="567"/>
      <c r="CB34" s="567"/>
      <c r="CC34" s="583"/>
      <c r="CD34" s="555" t="e">
        <f t="shared" ref="CD34:CF34" si="153">MEDIAN(AM34,AP34,AS34,AY34,BB34,AV34,AA34,BE34,BK34,BZ34,BH34,BN34,BQ34,BT34,BW34)</f>
        <v>#DIV/0!</v>
      </c>
      <c r="CE34" s="555" t="e">
        <f t="shared" si="153"/>
        <v>#DIV/0!</v>
      </c>
      <c r="CF34" s="556" t="e">
        <f t="shared" si="153"/>
        <v>#DIV/0!</v>
      </c>
      <c r="CG34" s="555" t="e">
        <f t="shared" ref="CG34:CI34" si="154">MAX(AP34,AS34,AV34,BB34,BE34,AY34,CD34,BK34,BZ34,AA34)-MIN(AP34,AS34,AV34,BB34,BE34,AY34,CD34,BK34,BZ34,AA34)</f>
        <v>#DIV/0!</v>
      </c>
      <c r="CH34" s="555" t="e">
        <f t="shared" si="154"/>
        <v>#DIV/0!</v>
      </c>
      <c r="CI34" s="556" t="e">
        <f t="shared" si="154"/>
        <v>#DIV/0!</v>
      </c>
      <c r="CJ34" s="555" t="e">
        <f t="shared" ref="CJ34:CL34" si="155">STDEV(AS34,AV34,AY34,BE34,BK34,BB34,CG34,BZ34,AA34,CD34)</f>
        <v>#DIV/0!</v>
      </c>
      <c r="CK34" s="555" t="e">
        <f t="shared" si="155"/>
        <v>#DIV/0!</v>
      </c>
      <c r="CL34" s="556" t="e">
        <f t="shared" si="155"/>
        <v>#DIV/0!</v>
      </c>
      <c r="CM34" s="555" t="e">
        <f t="shared" ref="CM34:CO34" si="156">CJ34/AA34</f>
        <v>#DIV/0!</v>
      </c>
      <c r="CN34" s="555" t="e">
        <f t="shared" si="156"/>
        <v>#DIV/0!</v>
      </c>
      <c r="CO34" s="556" t="e">
        <f t="shared" si="156"/>
        <v>#DIV/0!</v>
      </c>
      <c r="CP34" s="29" t="s">
        <v>120</v>
      </c>
      <c r="CQ34" s="535">
        <f t="shared" si="31"/>
        <v>2</v>
      </c>
      <c r="CR34" s="29" t="s">
        <v>120</v>
      </c>
      <c r="CS34" s="29" t="s">
        <v>120</v>
      </c>
      <c r="CT34" s="29" t="s">
        <v>120</v>
      </c>
      <c r="CU34" s="29" t="s">
        <v>120</v>
      </c>
      <c r="CV34" s="29" t="s">
        <v>120</v>
      </c>
    </row>
    <row r="35" customHeight="1" spans="1:100">
      <c r="A35" s="29" t="s">
        <v>233</v>
      </c>
      <c r="B35" s="541" t="s">
        <v>1050</v>
      </c>
      <c r="C35" s="312" t="s">
        <v>1051</v>
      </c>
      <c r="D35" s="29" t="s">
        <v>161</v>
      </c>
      <c r="E35" s="29"/>
      <c r="F35" s="29" t="s">
        <v>1044</v>
      </c>
      <c r="G35" s="29" t="s">
        <v>1039</v>
      </c>
      <c r="H35" s="29" t="b">
        <v>0</v>
      </c>
      <c r="I35" s="29" t="b">
        <v>0</v>
      </c>
      <c r="J35" s="165" t="b">
        <v>1</v>
      </c>
      <c r="K35" s="165" t="b">
        <v>1</v>
      </c>
      <c r="L35" s="29" t="b">
        <v>0</v>
      </c>
      <c r="M35" s="29" t="b">
        <v>0</v>
      </c>
      <c r="P35" s="29" t="b">
        <v>0</v>
      </c>
      <c r="Q35" s="29" t="b">
        <v>0</v>
      </c>
      <c r="R35" s="29" t="b">
        <v>0</v>
      </c>
      <c r="S35" s="29" t="b">
        <v>0</v>
      </c>
      <c r="T35" s="29" t="b">
        <f t="shared" si="0"/>
        <v>0</v>
      </c>
      <c r="U35" s="29" t="s">
        <v>997</v>
      </c>
      <c r="V35" s="29" t="s">
        <v>226</v>
      </c>
      <c r="W35" s="29">
        <v>2</v>
      </c>
      <c r="X35" s="29" t="s">
        <v>1064</v>
      </c>
      <c r="Y35" s="16" t="s">
        <v>1041</v>
      </c>
      <c r="Z35" s="29" t="s">
        <v>1052</v>
      </c>
      <c r="AA35" s="554" t="e">
        <f t="shared" ref="AA35:AC35" si="157">AVERAGE(AJ35,AM35,AP35,AV35,AY35,AS35,BZ35,BB35,BE35,BH35,BK35,BN35,BQ35,BT35)</f>
        <v>#DIV/0!</v>
      </c>
      <c r="AB35" s="555" t="e">
        <f t="shared" si="157"/>
        <v>#DIV/0!</v>
      </c>
      <c r="AC35" s="556" t="e">
        <f t="shared" si="157"/>
        <v>#DIV/0!</v>
      </c>
      <c r="AD35" s="29" t="b">
        <v>0</v>
      </c>
      <c r="AE35" s="29" t="b">
        <v>1</v>
      </c>
      <c r="AF35" s="29" t="b">
        <v>0</v>
      </c>
      <c r="AG35" s="566"/>
      <c r="AH35" s="567"/>
      <c r="AI35" s="568"/>
      <c r="AJ35" s="567"/>
      <c r="AK35" s="567"/>
      <c r="AL35" s="568"/>
      <c r="AM35" s="567"/>
      <c r="AN35" s="567"/>
      <c r="AO35" s="568"/>
      <c r="AP35" s="567"/>
      <c r="AQ35" s="567"/>
      <c r="AR35" s="568"/>
      <c r="AS35" s="567"/>
      <c r="AT35" s="567"/>
      <c r="AU35" s="568"/>
      <c r="AV35" s="567"/>
      <c r="AW35" s="567"/>
      <c r="AX35" s="568"/>
      <c r="AY35" s="567"/>
      <c r="AZ35" s="567"/>
      <c r="BA35" s="568"/>
      <c r="BB35" s="567"/>
      <c r="BC35" s="567"/>
      <c r="BD35" s="568"/>
      <c r="BE35" s="567"/>
      <c r="BF35" s="567"/>
      <c r="BG35" s="568"/>
      <c r="BH35" s="567"/>
      <c r="BI35" s="567"/>
      <c r="BJ35" s="568"/>
      <c r="BK35" s="567"/>
      <c r="BL35" s="567"/>
      <c r="BM35" s="568"/>
      <c r="BN35" s="567"/>
      <c r="BO35" s="567"/>
      <c r="BP35" s="568"/>
      <c r="BQ35" s="567"/>
      <c r="BR35" s="567"/>
      <c r="BS35" s="568"/>
      <c r="BT35" s="567"/>
      <c r="BU35" s="567"/>
      <c r="BV35" s="568"/>
      <c r="BW35" s="567"/>
      <c r="BX35" s="567"/>
      <c r="BY35" s="568"/>
      <c r="BZ35" s="567"/>
      <c r="CA35" s="567"/>
      <c r="CB35" s="567"/>
      <c r="CC35" s="583"/>
      <c r="CD35" s="555" t="e">
        <f t="shared" ref="CD35:CF35" si="158">MEDIAN(AM35,AP35,AS35,AY35,BB35,AV35,AA35,BE35,BK35,BZ35,BH35,BN35,BQ35,BT35,BW35)</f>
        <v>#DIV/0!</v>
      </c>
      <c r="CE35" s="555" t="e">
        <f t="shared" si="158"/>
        <v>#DIV/0!</v>
      </c>
      <c r="CF35" s="556" t="e">
        <f t="shared" si="158"/>
        <v>#DIV/0!</v>
      </c>
      <c r="CG35" s="555" t="e">
        <f t="shared" ref="CG35:CI35" si="159">MAX(AP35,AS35,AV35,BB35,BE35,AY35,CD35,BK35,BZ35,AA35)-MIN(AP35,AS35,AV35,BB35,BE35,AY35,CD35,BK35,BZ35,AA35)</f>
        <v>#DIV/0!</v>
      </c>
      <c r="CH35" s="555" t="e">
        <f t="shared" si="159"/>
        <v>#DIV/0!</v>
      </c>
      <c r="CI35" s="556" t="e">
        <f t="shared" si="159"/>
        <v>#DIV/0!</v>
      </c>
      <c r="CJ35" s="555" t="e">
        <f t="shared" ref="CJ35:CL35" si="160">STDEV(AS35,AV35,AY35,BE35,BK35,BB35,CG35,BZ35,AA35,CD35)</f>
        <v>#DIV/0!</v>
      </c>
      <c r="CK35" s="555" t="e">
        <f t="shared" si="160"/>
        <v>#DIV/0!</v>
      </c>
      <c r="CL35" s="556" t="e">
        <f t="shared" si="160"/>
        <v>#DIV/0!</v>
      </c>
      <c r="CM35" s="555" t="e">
        <f t="shared" ref="CM35:CO35" si="161">CJ35/AA35</f>
        <v>#DIV/0!</v>
      </c>
      <c r="CN35" s="555" t="e">
        <f t="shared" si="161"/>
        <v>#DIV/0!</v>
      </c>
      <c r="CO35" s="556" t="e">
        <f t="shared" si="161"/>
        <v>#DIV/0!</v>
      </c>
      <c r="CP35" s="29" t="s">
        <v>120</v>
      </c>
      <c r="CQ35" s="535">
        <f t="shared" si="31"/>
        <v>2</v>
      </c>
      <c r="CR35" s="29" t="s">
        <v>120</v>
      </c>
      <c r="CS35" s="29" t="s">
        <v>120</v>
      </c>
      <c r="CT35" s="29" t="s">
        <v>120</v>
      </c>
      <c r="CU35" s="29" t="s">
        <v>120</v>
      </c>
      <c r="CV35" s="29" t="s">
        <v>120</v>
      </c>
    </row>
    <row r="36" customHeight="1" spans="1:100">
      <c r="A36" s="29" t="s">
        <v>234</v>
      </c>
      <c r="B36" s="541" t="s">
        <v>1050</v>
      </c>
      <c r="C36" s="312" t="s">
        <v>1051</v>
      </c>
      <c r="D36" s="29" t="s">
        <v>163</v>
      </c>
      <c r="E36" s="29"/>
      <c r="F36" s="29" t="s">
        <v>1044</v>
      </c>
      <c r="G36" s="29" t="s">
        <v>1039</v>
      </c>
      <c r="H36" s="29" t="b">
        <v>0</v>
      </c>
      <c r="I36" s="29" t="b">
        <v>0</v>
      </c>
      <c r="J36" s="165" t="b">
        <v>1</v>
      </c>
      <c r="K36" s="165" t="b">
        <v>1</v>
      </c>
      <c r="L36" s="29" t="b">
        <v>0</v>
      </c>
      <c r="M36" s="29" t="b">
        <v>0</v>
      </c>
      <c r="P36" s="29" t="b">
        <v>0</v>
      </c>
      <c r="Q36" s="29" t="b">
        <v>0</v>
      </c>
      <c r="R36" s="29" t="b">
        <v>0</v>
      </c>
      <c r="S36" s="29" t="b">
        <v>0</v>
      </c>
      <c r="T36" s="29" t="b">
        <f t="shared" si="0"/>
        <v>0</v>
      </c>
      <c r="U36" s="29" t="s">
        <v>997</v>
      </c>
      <c r="V36" s="29" t="s">
        <v>226</v>
      </c>
      <c r="W36" s="29">
        <v>2</v>
      </c>
      <c r="X36" s="29" t="s">
        <v>1064</v>
      </c>
      <c r="Y36" s="16" t="s">
        <v>1041</v>
      </c>
      <c r="Z36" s="29" t="s">
        <v>1052</v>
      </c>
      <c r="AA36" s="554" t="e">
        <f t="shared" ref="AA36:AC36" si="162">AVERAGE(AJ36,AM36,AP36,AV36,AY36,AS36,BZ36,BB36,BE36,BH36,BK36,BN36,BQ36,BT36)</f>
        <v>#DIV/0!</v>
      </c>
      <c r="AB36" s="555" t="e">
        <f t="shared" si="162"/>
        <v>#DIV/0!</v>
      </c>
      <c r="AC36" s="556" t="e">
        <f t="shared" si="162"/>
        <v>#DIV/0!</v>
      </c>
      <c r="AD36" s="29" t="b">
        <v>0</v>
      </c>
      <c r="AE36" s="29" t="b">
        <v>1</v>
      </c>
      <c r="AF36" s="29" t="b">
        <v>0</v>
      </c>
      <c r="AG36" s="566"/>
      <c r="AH36" s="567"/>
      <c r="AI36" s="568"/>
      <c r="AJ36" s="567"/>
      <c r="AK36" s="567"/>
      <c r="AL36" s="568"/>
      <c r="AM36" s="567"/>
      <c r="AN36" s="567"/>
      <c r="AO36" s="568"/>
      <c r="AP36" s="567"/>
      <c r="AQ36" s="567"/>
      <c r="AR36" s="568"/>
      <c r="AS36" s="567"/>
      <c r="AT36" s="567"/>
      <c r="AU36" s="568"/>
      <c r="AV36" s="567"/>
      <c r="AW36" s="567"/>
      <c r="AX36" s="568"/>
      <c r="AY36" s="567"/>
      <c r="AZ36" s="567"/>
      <c r="BA36" s="568"/>
      <c r="BB36" s="567"/>
      <c r="BC36" s="567"/>
      <c r="BD36" s="568"/>
      <c r="BE36" s="567"/>
      <c r="BF36" s="567"/>
      <c r="BG36" s="568"/>
      <c r="BH36" s="567"/>
      <c r="BI36" s="567"/>
      <c r="BJ36" s="568"/>
      <c r="BK36" s="567"/>
      <c r="BL36" s="567"/>
      <c r="BM36" s="568"/>
      <c r="BN36" s="567"/>
      <c r="BO36" s="567"/>
      <c r="BP36" s="568"/>
      <c r="BQ36" s="567"/>
      <c r="BR36" s="567"/>
      <c r="BS36" s="568"/>
      <c r="BT36" s="567"/>
      <c r="BU36" s="567"/>
      <c r="BV36" s="568"/>
      <c r="BW36" s="567"/>
      <c r="BX36" s="567"/>
      <c r="BY36" s="568"/>
      <c r="BZ36" s="567"/>
      <c r="CA36" s="567"/>
      <c r="CB36" s="567"/>
      <c r="CC36" s="583"/>
      <c r="CD36" s="555" t="e">
        <f t="shared" ref="CD36:CF36" si="163">MEDIAN(AM36,AP36,AS36,AY36,BB36,AV36,AA36,BE36,BK36,BZ36,BH36,BN36,BQ36,BT36,BW36)</f>
        <v>#DIV/0!</v>
      </c>
      <c r="CE36" s="555" t="e">
        <f t="shared" si="163"/>
        <v>#DIV/0!</v>
      </c>
      <c r="CF36" s="556" t="e">
        <f t="shared" si="163"/>
        <v>#DIV/0!</v>
      </c>
      <c r="CG36" s="555" t="e">
        <f t="shared" ref="CG36:CI36" si="164">MAX(AP36,AS36,AV36,BB36,BE36,AY36,CD36,BK36,BZ36,AA36)-MIN(AP36,AS36,AV36,BB36,BE36,AY36,CD36,BK36,BZ36,AA36)</f>
        <v>#DIV/0!</v>
      </c>
      <c r="CH36" s="555" t="e">
        <f t="shared" si="164"/>
        <v>#DIV/0!</v>
      </c>
      <c r="CI36" s="556" t="e">
        <f t="shared" si="164"/>
        <v>#DIV/0!</v>
      </c>
      <c r="CJ36" s="555" t="e">
        <f t="shared" ref="CJ36:CL36" si="165">STDEV(AS36,AV36,AY36,BE36,BK36,BB36,CG36,BZ36,AA36,CD36)</f>
        <v>#DIV/0!</v>
      </c>
      <c r="CK36" s="555" t="e">
        <f t="shared" si="165"/>
        <v>#DIV/0!</v>
      </c>
      <c r="CL36" s="556" t="e">
        <f t="shared" si="165"/>
        <v>#DIV/0!</v>
      </c>
      <c r="CM36" s="555" t="e">
        <f t="shared" ref="CM36:CO36" si="166">CJ36/AA36</f>
        <v>#DIV/0!</v>
      </c>
      <c r="CN36" s="555" t="e">
        <f t="shared" si="166"/>
        <v>#DIV/0!</v>
      </c>
      <c r="CO36" s="556" t="e">
        <f t="shared" si="166"/>
        <v>#DIV/0!</v>
      </c>
      <c r="CP36" s="29" t="s">
        <v>120</v>
      </c>
      <c r="CQ36" s="535">
        <f t="shared" si="31"/>
        <v>2</v>
      </c>
      <c r="CR36" s="29" t="s">
        <v>120</v>
      </c>
      <c r="CS36" s="29" t="s">
        <v>120</v>
      </c>
      <c r="CT36" s="29" t="s">
        <v>120</v>
      </c>
      <c r="CU36" s="29" t="s">
        <v>120</v>
      </c>
      <c r="CV36" s="29" t="s">
        <v>120</v>
      </c>
    </row>
    <row r="37" customHeight="1" spans="1:100">
      <c r="A37" s="29" t="s">
        <v>216</v>
      </c>
      <c r="B37" s="541" t="s">
        <v>1065</v>
      </c>
      <c r="C37" s="29" t="s">
        <v>1066</v>
      </c>
      <c r="F37" s="308"/>
      <c r="G37" s="308"/>
      <c r="H37" s="29" t="b">
        <v>0</v>
      </c>
      <c r="I37" s="29" t="b">
        <v>0</v>
      </c>
      <c r="J37" s="29" t="b">
        <v>0</v>
      </c>
      <c r="K37" s="29" t="b">
        <v>0</v>
      </c>
      <c r="L37" s="29" t="b">
        <v>0</v>
      </c>
      <c r="M37" s="29" t="b">
        <v>0</v>
      </c>
      <c r="P37" s="29" t="b">
        <v>0</v>
      </c>
      <c r="Q37" s="29" t="b">
        <v>0</v>
      </c>
      <c r="R37" s="29" t="b">
        <v>0</v>
      </c>
      <c r="S37" s="29" t="b">
        <v>0</v>
      </c>
      <c r="T37" s="29" t="b">
        <f t="shared" si="0"/>
        <v>0</v>
      </c>
      <c r="U37" s="29"/>
      <c r="W37" s="29"/>
      <c r="X37" s="308"/>
      <c r="Y37" s="16" t="s">
        <v>1041</v>
      </c>
      <c r="Z37" s="308"/>
      <c r="AA37" s="554" t="e">
        <f t="shared" ref="AA37:AC37" si="167">AVERAGE(AJ37,AM37,AP37,AV37,AY37,AS37,BZ37,BB37,BE37,BH37,BK37,BN37,BQ37,BT37)</f>
        <v>#DIV/0!</v>
      </c>
      <c r="AB37" s="555" t="e">
        <f t="shared" si="167"/>
        <v>#DIV/0!</v>
      </c>
      <c r="AC37" s="556" t="e">
        <f t="shared" si="167"/>
        <v>#DIV/0!</v>
      </c>
      <c r="AD37" s="29" t="b">
        <v>0</v>
      </c>
      <c r="AE37" s="29" t="b">
        <v>1</v>
      </c>
      <c r="AF37" s="29" t="b">
        <v>0</v>
      </c>
      <c r="AG37" s="566"/>
      <c r="AH37" s="567"/>
      <c r="AI37" s="568"/>
      <c r="AJ37" s="567"/>
      <c r="AK37" s="567"/>
      <c r="AL37" s="568"/>
      <c r="AM37" s="569"/>
      <c r="AN37" s="569"/>
      <c r="AO37" s="568"/>
      <c r="AP37" s="569"/>
      <c r="AQ37" s="569"/>
      <c r="AR37" s="570"/>
      <c r="AS37" s="567"/>
      <c r="AT37" s="567"/>
      <c r="AU37" s="568"/>
      <c r="AV37" s="567"/>
      <c r="AW37" s="567"/>
      <c r="AX37" s="568"/>
      <c r="AY37" s="567"/>
      <c r="AZ37" s="567"/>
      <c r="BA37" s="568"/>
      <c r="BB37" s="567"/>
      <c r="BC37" s="567"/>
      <c r="BD37" s="568"/>
      <c r="BE37" s="567"/>
      <c r="BF37" s="567"/>
      <c r="BG37" s="568"/>
      <c r="BH37" s="567"/>
      <c r="BI37" s="567"/>
      <c r="BJ37" s="568"/>
      <c r="BK37" s="567"/>
      <c r="BL37" s="567"/>
      <c r="BM37" s="568"/>
      <c r="BN37" s="567"/>
      <c r="BO37" s="567"/>
      <c r="BP37" s="568"/>
      <c r="BQ37" s="567"/>
      <c r="BR37" s="567"/>
      <c r="BS37" s="568"/>
      <c r="BT37" s="567"/>
      <c r="BU37" s="567"/>
      <c r="BV37" s="568"/>
      <c r="BW37" s="567"/>
      <c r="BX37" s="567"/>
      <c r="BY37" s="568"/>
      <c r="BZ37" s="567"/>
      <c r="CA37" s="567"/>
      <c r="CB37" s="567"/>
      <c r="CC37" s="583"/>
      <c r="CD37" s="555" t="e">
        <f t="shared" ref="CD37:CF37" si="168">MEDIAN(AM37,AP37,AS37,AY37,BB37,AV37,AA37,BE37,BK37,BZ37,BH37,BN37,BQ37,BT37,BW37)</f>
        <v>#DIV/0!</v>
      </c>
      <c r="CE37" s="555" t="e">
        <f t="shared" si="168"/>
        <v>#DIV/0!</v>
      </c>
      <c r="CF37" s="556" t="e">
        <f t="shared" si="168"/>
        <v>#DIV/0!</v>
      </c>
      <c r="CG37" s="555" t="e">
        <f t="shared" ref="CG37:CI37" si="169">MAX(AP37,AS37,AV37,BB37,BE37,AY37,CD37,BK37,BZ37,AA37)-MIN(AP37,AS37,AV37,BB37,BE37,AY37,CD37,BK37,BZ37,AA37)</f>
        <v>#DIV/0!</v>
      </c>
      <c r="CH37" s="555" t="e">
        <f t="shared" si="169"/>
        <v>#DIV/0!</v>
      </c>
      <c r="CI37" s="556" t="e">
        <f t="shared" si="169"/>
        <v>#DIV/0!</v>
      </c>
      <c r="CJ37" s="555" t="e">
        <f t="shared" ref="CJ37:CL37" si="170">STDEV(AS37,AV37,AY37,BE37,BK37,BB37,CG37,BZ37,AA37,CD37)</f>
        <v>#DIV/0!</v>
      </c>
      <c r="CK37" s="555" t="e">
        <f t="shared" si="170"/>
        <v>#DIV/0!</v>
      </c>
      <c r="CL37" s="556" t="e">
        <f t="shared" si="170"/>
        <v>#DIV/0!</v>
      </c>
      <c r="CM37" s="555" t="e">
        <f t="shared" ref="CM37:CO37" si="171">CJ37/AA37</f>
        <v>#DIV/0!</v>
      </c>
      <c r="CN37" s="555" t="e">
        <f t="shared" si="171"/>
        <v>#DIV/0!</v>
      </c>
      <c r="CO37" s="556" t="e">
        <f t="shared" si="171"/>
        <v>#DIV/0!</v>
      </c>
      <c r="CP37" s="29"/>
      <c r="CQ37" s="535"/>
      <c r="CR37" s="29"/>
      <c r="CS37" s="29"/>
      <c r="CT37" s="29"/>
      <c r="CU37" s="29"/>
      <c r="CV37" s="29"/>
    </row>
    <row r="38" customHeight="1" spans="1:100">
      <c r="A38" s="29" t="s">
        <v>235</v>
      </c>
      <c r="B38" s="541" t="s">
        <v>1065</v>
      </c>
      <c r="C38" s="29" t="s">
        <v>1066</v>
      </c>
      <c r="F38" s="308"/>
      <c r="G38" s="308"/>
      <c r="H38" s="29" t="b">
        <v>0</v>
      </c>
      <c r="I38" s="29" t="b">
        <v>0</v>
      </c>
      <c r="J38" s="29" t="b">
        <v>0</v>
      </c>
      <c r="K38" s="29" t="b">
        <v>0</v>
      </c>
      <c r="L38" s="29" t="b">
        <v>0</v>
      </c>
      <c r="M38" s="29" t="b">
        <v>0</v>
      </c>
      <c r="P38" s="29" t="b">
        <v>0</v>
      </c>
      <c r="Q38" s="29" t="b">
        <v>0</v>
      </c>
      <c r="R38" s="29" t="b">
        <v>0</v>
      </c>
      <c r="S38" s="29" t="b">
        <v>0</v>
      </c>
      <c r="T38" s="29" t="b">
        <f t="shared" si="0"/>
        <v>0</v>
      </c>
      <c r="U38" s="29"/>
      <c r="W38" s="29"/>
      <c r="X38" s="308"/>
      <c r="Y38" s="16" t="s">
        <v>1041</v>
      </c>
      <c r="Z38" s="308"/>
      <c r="AA38" s="554" t="e">
        <f t="shared" ref="AA38:AC38" si="172">AVERAGE(AJ38,AM38,AP38,AV38,AY38,AS38,BZ38,BB38,BE38,BH38,BK38,BN38,BQ38,BT38)</f>
        <v>#DIV/0!</v>
      </c>
      <c r="AB38" s="555" t="e">
        <f t="shared" si="172"/>
        <v>#DIV/0!</v>
      </c>
      <c r="AC38" s="556" t="e">
        <f t="shared" si="172"/>
        <v>#DIV/0!</v>
      </c>
      <c r="AD38" s="29" t="b">
        <v>0</v>
      </c>
      <c r="AE38" s="29" t="b">
        <v>1</v>
      </c>
      <c r="AF38" s="29" t="b">
        <v>0</v>
      </c>
      <c r="AG38" s="566"/>
      <c r="AH38" s="567"/>
      <c r="AI38" s="568"/>
      <c r="AJ38" s="567"/>
      <c r="AK38" s="567"/>
      <c r="AL38" s="568"/>
      <c r="AM38" s="569"/>
      <c r="AN38" s="569"/>
      <c r="AO38" s="568"/>
      <c r="AP38" s="569"/>
      <c r="AQ38" s="569"/>
      <c r="AR38" s="570"/>
      <c r="AS38" s="567"/>
      <c r="AT38" s="567"/>
      <c r="AU38" s="568"/>
      <c r="AV38" s="567"/>
      <c r="AW38" s="567"/>
      <c r="AX38" s="568"/>
      <c r="AY38" s="567"/>
      <c r="AZ38" s="567"/>
      <c r="BA38" s="568"/>
      <c r="BB38" s="567"/>
      <c r="BC38" s="567"/>
      <c r="BD38" s="568"/>
      <c r="BE38" s="567"/>
      <c r="BF38" s="567"/>
      <c r="BG38" s="568"/>
      <c r="BH38" s="567"/>
      <c r="BI38" s="567"/>
      <c r="BJ38" s="568"/>
      <c r="BK38" s="567"/>
      <c r="BL38" s="567"/>
      <c r="BM38" s="568"/>
      <c r="BN38" s="567"/>
      <c r="BO38" s="567"/>
      <c r="BP38" s="568"/>
      <c r="BQ38" s="567"/>
      <c r="BR38" s="567"/>
      <c r="BS38" s="568"/>
      <c r="BT38" s="567"/>
      <c r="BU38" s="567"/>
      <c r="BV38" s="568"/>
      <c r="BW38" s="567"/>
      <c r="BX38" s="567"/>
      <c r="BY38" s="568"/>
      <c r="BZ38" s="567"/>
      <c r="CA38" s="567"/>
      <c r="CB38" s="567"/>
      <c r="CC38" s="583"/>
      <c r="CD38" s="555" t="e">
        <f t="shared" ref="CD38:CF38" si="173">MEDIAN(AM38,AP38,AS38,AY38,BB38,AV38,AA38,BE38,BK38,BZ38,BH38,BN38,BQ38,BT38,BW38)</f>
        <v>#DIV/0!</v>
      </c>
      <c r="CE38" s="555" t="e">
        <f t="shared" si="173"/>
        <v>#DIV/0!</v>
      </c>
      <c r="CF38" s="556" t="e">
        <f t="shared" si="173"/>
        <v>#DIV/0!</v>
      </c>
      <c r="CG38" s="555" t="e">
        <f t="shared" ref="CG38:CI38" si="174">MAX(AP38,AS38,AV38,BB38,BE38,AY38,CD38,BK38,BZ38,AA38)-MIN(AP38,AS38,AV38,BB38,BE38,AY38,CD38,BK38,BZ38,AA38)</f>
        <v>#DIV/0!</v>
      </c>
      <c r="CH38" s="555" t="e">
        <f t="shared" si="174"/>
        <v>#DIV/0!</v>
      </c>
      <c r="CI38" s="556" t="e">
        <f t="shared" si="174"/>
        <v>#DIV/0!</v>
      </c>
      <c r="CJ38" s="555" t="e">
        <f t="shared" ref="CJ38:CL38" si="175">STDEV(AS38,AV38,AY38,BE38,BK38,BB38,CG38,BZ38,AA38,CD38)</f>
        <v>#DIV/0!</v>
      </c>
      <c r="CK38" s="555" t="e">
        <f t="shared" si="175"/>
        <v>#DIV/0!</v>
      </c>
      <c r="CL38" s="556" t="e">
        <f t="shared" si="175"/>
        <v>#DIV/0!</v>
      </c>
      <c r="CM38" s="555" t="e">
        <f t="shared" ref="CM38:CO38" si="176">CJ38/AA38</f>
        <v>#DIV/0!</v>
      </c>
      <c r="CN38" s="555" t="e">
        <f t="shared" si="176"/>
        <v>#DIV/0!</v>
      </c>
      <c r="CO38" s="556" t="e">
        <f t="shared" si="176"/>
        <v>#DIV/0!</v>
      </c>
      <c r="CP38" s="29"/>
      <c r="CQ38" s="535"/>
      <c r="CR38" s="29"/>
      <c r="CS38" s="29"/>
      <c r="CT38" s="29"/>
      <c r="CU38" s="29"/>
      <c r="CV38" s="29"/>
    </row>
    <row r="39" customHeight="1" spans="1:100">
      <c r="A39" s="29" t="s">
        <v>218</v>
      </c>
      <c r="B39" s="541" t="s">
        <v>1065</v>
      </c>
      <c r="C39" s="29" t="s">
        <v>1066</v>
      </c>
      <c r="F39" s="308"/>
      <c r="G39" s="308"/>
      <c r="H39" s="29" t="b">
        <v>0</v>
      </c>
      <c r="I39" s="29" t="b">
        <v>0</v>
      </c>
      <c r="J39" s="29" t="b">
        <v>0</v>
      </c>
      <c r="K39" s="29" t="b">
        <v>0</v>
      </c>
      <c r="L39" s="29" t="b">
        <v>0</v>
      </c>
      <c r="M39" s="29" t="b">
        <v>0</v>
      </c>
      <c r="P39" s="29" t="b">
        <v>0</v>
      </c>
      <c r="Q39" s="29" t="b">
        <v>0</v>
      </c>
      <c r="R39" s="29" t="b">
        <v>0</v>
      </c>
      <c r="S39" s="29" t="b">
        <v>0</v>
      </c>
      <c r="T39" s="29" t="b">
        <f t="shared" si="0"/>
        <v>0</v>
      </c>
      <c r="U39" s="29"/>
      <c r="W39" s="29"/>
      <c r="X39" s="308"/>
      <c r="Y39" s="16" t="s">
        <v>1041</v>
      </c>
      <c r="Z39" s="308"/>
      <c r="AA39" s="554" t="e">
        <f t="shared" ref="AA39:AC39" si="177">AVERAGE(AJ39,AM39,AP39,AV39,AY39,AS39,BZ39,BB39,BE39,BH39,BK39,BN39,BQ39,BT39)</f>
        <v>#DIV/0!</v>
      </c>
      <c r="AB39" s="555" t="e">
        <f t="shared" si="177"/>
        <v>#DIV/0!</v>
      </c>
      <c r="AC39" s="556" t="e">
        <f t="shared" si="177"/>
        <v>#DIV/0!</v>
      </c>
      <c r="AD39" s="29" t="b">
        <v>0</v>
      </c>
      <c r="AE39" s="29" t="b">
        <v>1</v>
      </c>
      <c r="AF39" s="29" t="b">
        <v>0</v>
      </c>
      <c r="AG39" s="566"/>
      <c r="AH39" s="567"/>
      <c r="AI39" s="568"/>
      <c r="AJ39" s="567"/>
      <c r="AK39" s="567"/>
      <c r="AL39" s="568"/>
      <c r="AM39" s="569"/>
      <c r="AN39" s="569"/>
      <c r="AO39" s="568"/>
      <c r="AP39" s="569"/>
      <c r="AQ39" s="569"/>
      <c r="AR39" s="570"/>
      <c r="AS39" s="567"/>
      <c r="AT39" s="567"/>
      <c r="AU39" s="568"/>
      <c r="AV39" s="567"/>
      <c r="AW39" s="567"/>
      <c r="AX39" s="568"/>
      <c r="AY39" s="567"/>
      <c r="AZ39" s="567"/>
      <c r="BA39" s="568"/>
      <c r="BB39" s="567"/>
      <c r="BC39" s="567"/>
      <c r="BD39" s="568"/>
      <c r="BE39" s="567"/>
      <c r="BF39" s="567"/>
      <c r="BG39" s="568"/>
      <c r="BH39" s="567"/>
      <c r="BI39" s="567"/>
      <c r="BJ39" s="568"/>
      <c r="BK39" s="567"/>
      <c r="BL39" s="567"/>
      <c r="BM39" s="568"/>
      <c r="BN39" s="567"/>
      <c r="BO39" s="567"/>
      <c r="BP39" s="568"/>
      <c r="BQ39" s="567"/>
      <c r="BR39" s="567"/>
      <c r="BS39" s="568"/>
      <c r="BT39" s="567"/>
      <c r="BU39" s="567"/>
      <c r="BV39" s="568"/>
      <c r="BW39" s="567"/>
      <c r="BX39" s="567"/>
      <c r="BY39" s="568"/>
      <c r="BZ39" s="567"/>
      <c r="CA39" s="567"/>
      <c r="CB39" s="567"/>
      <c r="CC39" s="583"/>
      <c r="CD39" s="555" t="e">
        <f t="shared" ref="CD39:CF39" si="178">MEDIAN(AM39,AP39,AS39,AY39,BB39,AV39,AA39,BE39,BK39,BZ39,BH39,BN39,BQ39,BT39,BW39)</f>
        <v>#DIV/0!</v>
      </c>
      <c r="CE39" s="555" t="e">
        <f t="shared" si="178"/>
        <v>#DIV/0!</v>
      </c>
      <c r="CF39" s="556" t="e">
        <f t="shared" si="178"/>
        <v>#DIV/0!</v>
      </c>
      <c r="CG39" s="555" t="e">
        <f t="shared" ref="CG39:CI39" si="179">MAX(AP39,AS39,AV39,BB39,BE39,AY39,CD39,BK39,BZ39,AA39)-MIN(AP39,AS39,AV39,BB39,BE39,AY39,CD39,BK39,BZ39,AA39)</f>
        <v>#DIV/0!</v>
      </c>
      <c r="CH39" s="555" t="e">
        <f t="shared" si="179"/>
        <v>#DIV/0!</v>
      </c>
      <c r="CI39" s="556" t="e">
        <f t="shared" si="179"/>
        <v>#DIV/0!</v>
      </c>
      <c r="CJ39" s="555" t="e">
        <f t="shared" ref="CJ39:CL39" si="180">STDEV(AS39,AV39,AY39,BE39,BK39,BB39,CG39,BZ39,AA39,CD39)</f>
        <v>#DIV/0!</v>
      </c>
      <c r="CK39" s="555" t="e">
        <f t="shared" si="180"/>
        <v>#DIV/0!</v>
      </c>
      <c r="CL39" s="556" t="e">
        <f t="shared" si="180"/>
        <v>#DIV/0!</v>
      </c>
      <c r="CM39" s="555" t="e">
        <f t="shared" ref="CM39:CO39" si="181">CJ39/AA39</f>
        <v>#DIV/0!</v>
      </c>
      <c r="CN39" s="555" t="e">
        <f t="shared" si="181"/>
        <v>#DIV/0!</v>
      </c>
      <c r="CO39" s="556" t="e">
        <f t="shared" si="181"/>
        <v>#DIV/0!</v>
      </c>
      <c r="CP39" s="29"/>
      <c r="CQ39" s="535"/>
      <c r="CR39" s="29"/>
      <c r="CS39" s="29"/>
      <c r="CT39" s="29"/>
      <c r="CU39" s="29"/>
      <c r="CV39" s="29"/>
    </row>
    <row r="40" customHeight="1" spans="1:100">
      <c r="A40" s="29" t="s">
        <v>219</v>
      </c>
      <c r="B40" s="541"/>
      <c r="C40" s="29" t="s">
        <v>1067</v>
      </c>
      <c r="F40" s="308"/>
      <c r="G40" s="29" t="s">
        <v>1039</v>
      </c>
      <c r="H40" s="29" t="b">
        <v>0</v>
      </c>
      <c r="I40" s="29" t="b">
        <v>0</v>
      </c>
      <c r="J40" s="29" t="b">
        <v>0</v>
      </c>
      <c r="K40" s="29" t="b">
        <v>0</v>
      </c>
      <c r="L40" s="29" t="b">
        <v>0</v>
      </c>
      <c r="M40" s="29" t="b">
        <v>0</v>
      </c>
      <c r="P40" s="29" t="b">
        <v>0</v>
      </c>
      <c r="Q40" s="29" t="b">
        <v>0</v>
      </c>
      <c r="R40" s="29" t="b">
        <v>0</v>
      </c>
      <c r="S40" s="29" t="b">
        <v>0</v>
      </c>
      <c r="T40" s="29" t="b">
        <f t="shared" si="0"/>
        <v>0</v>
      </c>
      <c r="U40" s="29" t="s">
        <v>999</v>
      </c>
      <c r="V40" s="29" t="s">
        <v>157</v>
      </c>
      <c r="W40" s="29">
        <v>1</v>
      </c>
      <c r="X40" s="29" t="s">
        <v>1040</v>
      </c>
      <c r="Y40" s="16" t="s">
        <v>1041</v>
      </c>
      <c r="Z40" s="29" t="s">
        <v>1042</v>
      </c>
      <c r="AA40" s="554">
        <f t="shared" ref="AA40:AC40" si="182">AVERAGE(AJ40,AM40,AP40,AV40,AY40,AS40,BZ40,BB40,BE40,BH40,BK40,BN40,BQ40,BT40)</f>
        <v>350</v>
      </c>
      <c r="AB40" s="555" t="e">
        <f t="shared" si="182"/>
        <v>#DIV/0!</v>
      </c>
      <c r="AC40" s="556" t="e">
        <f t="shared" si="182"/>
        <v>#DIV/0!</v>
      </c>
      <c r="AD40" s="29" t="b">
        <v>0</v>
      </c>
      <c r="AE40" s="29" t="b">
        <v>1</v>
      </c>
      <c r="AF40" s="29" t="b">
        <v>0</v>
      </c>
      <c r="AG40" s="574">
        <v>350</v>
      </c>
      <c r="AH40" s="569" t="s">
        <v>13</v>
      </c>
      <c r="AI40" s="570" t="s">
        <v>13</v>
      </c>
      <c r="AJ40" s="567"/>
      <c r="AK40" s="567"/>
      <c r="AL40" s="568"/>
      <c r="AM40" s="569">
        <v>350</v>
      </c>
      <c r="AN40" s="569" t="s">
        <v>13</v>
      </c>
      <c r="AO40" s="570" t="s">
        <v>13</v>
      </c>
      <c r="AP40" s="567"/>
      <c r="AQ40" s="567"/>
      <c r="AR40" s="568"/>
      <c r="AS40" s="567"/>
      <c r="AT40" s="567"/>
      <c r="AU40" s="568"/>
      <c r="AV40" s="567"/>
      <c r="AW40" s="567"/>
      <c r="AX40" s="568"/>
      <c r="AY40" s="567"/>
      <c r="AZ40" s="567"/>
      <c r="BA40" s="568"/>
      <c r="BB40" s="567"/>
      <c r="BC40" s="567"/>
      <c r="BD40" s="568"/>
      <c r="BE40" s="567"/>
      <c r="BF40" s="567"/>
      <c r="BG40" s="568"/>
      <c r="BH40" s="567"/>
      <c r="BI40" s="567"/>
      <c r="BJ40" s="568"/>
      <c r="BK40" s="567"/>
      <c r="BL40" s="567"/>
      <c r="BM40" s="568"/>
      <c r="BN40" s="567"/>
      <c r="BO40" s="567"/>
      <c r="BP40" s="568"/>
      <c r="BQ40" s="567"/>
      <c r="BR40" s="567"/>
      <c r="BS40" s="568"/>
      <c r="BT40" s="567"/>
      <c r="BU40" s="567"/>
      <c r="BV40" s="568"/>
      <c r="BW40" s="567"/>
      <c r="BX40" s="567"/>
      <c r="BY40" s="568"/>
      <c r="BZ40" s="567"/>
      <c r="CA40" s="567"/>
      <c r="CB40" s="567"/>
      <c r="CC40" s="583"/>
      <c r="CD40" s="555">
        <f t="shared" ref="CD40:CF40" si="183">MEDIAN(AM40,AP40,AS40,AY40,BB40,AV40,AA40,BE40,BK40,BZ40,BH40,BN40,BQ40,BT40,BW40)</f>
        <v>350</v>
      </c>
      <c r="CE40" s="555" t="e">
        <f t="shared" si="183"/>
        <v>#DIV/0!</v>
      </c>
      <c r="CF40" s="556" t="e">
        <f t="shared" si="183"/>
        <v>#DIV/0!</v>
      </c>
      <c r="CG40" s="555">
        <f t="shared" ref="CG40:CI40" si="184">MAX(AP40,AS40,AV40,BB40,BE40,AY40,CD40,BK40,BZ40,AA40)-MIN(AP40,AS40,AV40,BB40,BE40,AY40,CD40,BK40,BZ40,AA40)</f>
        <v>0</v>
      </c>
      <c r="CH40" s="555" t="e">
        <f t="shared" si="184"/>
        <v>#DIV/0!</v>
      </c>
      <c r="CI40" s="556" t="e">
        <f t="shared" si="184"/>
        <v>#DIV/0!</v>
      </c>
      <c r="CJ40" s="555">
        <f t="shared" ref="CJ40:CL40" si="185">STDEV(AS40,AV40,AY40,BE40,BK40,BB40,CG40,BZ40,AA40,CD40)</f>
        <v>202.072594216369</v>
      </c>
      <c r="CK40" s="555" t="e">
        <f t="shared" si="185"/>
        <v>#DIV/0!</v>
      </c>
      <c r="CL40" s="556" t="e">
        <f t="shared" si="185"/>
        <v>#DIV/0!</v>
      </c>
      <c r="CM40" s="555">
        <f t="shared" ref="CM40:CO40" si="186">CJ40/AA40</f>
        <v>0.577350269189626</v>
      </c>
      <c r="CN40" s="555" t="e">
        <f t="shared" si="186"/>
        <v>#DIV/0!</v>
      </c>
      <c r="CO40" s="556" t="e">
        <f t="shared" si="186"/>
        <v>#DIV/0!</v>
      </c>
      <c r="CP40" s="29" t="s">
        <v>120</v>
      </c>
      <c r="CQ40" s="535">
        <f t="shared" ref="CQ40:CQ45" si="187">W40</f>
        <v>1</v>
      </c>
      <c r="CR40" s="29" t="s">
        <v>120</v>
      </c>
      <c r="CS40" s="29"/>
      <c r="CT40" s="29"/>
      <c r="CU40" s="29"/>
      <c r="CV40" s="29"/>
    </row>
    <row r="41" customHeight="1" spans="1:100">
      <c r="A41" s="29" t="s">
        <v>1068</v>
      </c>
      <c r="B41" s="541"/>
      <c r="C41" s="29" t="s">
        <v>1067</v>
      </c>
      <c r="F41" s="308"/>
      <c r="G41" s="29" t="s">
        <v>1039</v>
      </c>
      <c r="H41" s="29" t="b">
        <v>0</v>
      </c>
      <c r="I41" s="29" t="b">
        <v>0</v>
      </c>
      <c r="J41" s="29" t="b">
        <v>0</v>
      </c>
      <c r="K41" s="29" t="b">
        <v>0</v>
      </c>
      <c r="L41" s="29" t="b">
        <v>0</v>
      </c>
      <c r="M41" s="29" t="b">
        <v>0</v>
      </c>
      <c r="P41" s="29" t="b">
        <v>0</v>
      </c>
      <c r="Q41" s="29" t="b">
        <v>0</v>
      </c>
      <c r="R41" s="29" t="b">
        <v>0</v>
      </c>
      <c r="S41" s="29" t="b">
        <v>0</v>
      </c>
      <c r="T41" s="29" t="b">
        <f t="shared" si="0"/>
        <v>0</v>
      </c>
      <c r="U41" s="29" t="s">
        <v>999</v>
      </c>
      <c r="V41" s="29" t="s">
        <v>157</v>
      </c>
      <c r="W41" s="29">
        <v>1</v>
      </c>
      <c r="X41" s="29" t="s">
        <v>1040</v>
      </c>
      <c r="Y41" s="16" t="s">
        <v>1041</v>
      </c>
      <c r="Z41" s="29" t="s">
        <v>1042</v>
      </c>
      <c r="AA41" s="554">
        <f t="shared" ref="AA41:AC41" si="188">AVERAGE(AJ41,AM41,AP41,AV41,AY41,AS41,BZ41,BB41,BE41,BH41,BK41,BN41,BQ41,BT41)</f>
        <v>350</v>
      </c>
      <c r="AB41" s="555" t="e">
        <f t="shared" si="188"/>
        <v>#DIV/0!</v>
      </c>
      <c r="AC41" s="556" t="e">
        <f t="shared" si="188"/>
        <v>#DIV/0!</v>
      </c>
      <c r="AD41" s="29" t="b">
        <v>0</v>
      </c>
      <c r="AE41" s="29" t="b">
        <v>1</v>
      </c>
      <c r="AF41" s="29" t="b">
        <v>0</v>
      </c>
      <c r="AG41" s="574">
        <v>350</v>
      </c>
      <c r="AH41" s="569" t="s">
        <v>13</v>
      </c>
      <c r="AI41" s="570" t="s">
        <v>13</v>
      </c>
      <c r="AJ41" s="567"/>
      <c r="AK41" s="567"/>
      <c r="AL41" s="568"/>
      <c r="AM41" s="569">
        <v>350</v>
      </c>
      <c r="AN41" s="569" t="s">
        <v>13</v>
      </c>
      <c r="AO41" s="570" t="s">
        <v>13</v>
      </c>
      <c r="AP41" s="567"/>
      <c r="AQ41" s="567"/>
      <c r="AR41" s="568"/>
      <c r="AS41" s="567"/>
      <c r="AT41" s="567"/>
      <c r="AU41" s="568"/>
      <c r="AV41" s="567"/>
      <c r="AW41" s="567"/>
      <c r="AX41" s="568"/>
      <c r="AY41" s="567"/>
      <c r="AZ41" s="567"/>
      <c r="BA41" s="568"/>
      <c r="BB41" s="567"/>
      <c r="BC41" s="567"/>
      <c r="BD41" s="568"/>
      <c r="BE41" s="567"/>
      <c r="BF41" s="567"/>
      <c r="BG41" s="568"/>
      <c r="BH41" s="567"/>
      <c r="BI41" s="567"/>
      <c r="BJ41" s="568"/>
      <c r="BK41" s="567"/>
      <c r="BL41" s="567"/>
      <c r="BM41" s="568"/>
      <c r="BN41" s="567"/>
      <c r="BO41" s="567"/>
      <c r="BP41" s="568"/>
      <c r="BQ41" s="567"/>
      <c r="BR41" s="567"/>
      <c r="BS41" s="568"/>
      <c r="BT41" s="567"/>
      <c r="BU41" s="567"/>
      <c r="BV41" s="568"/>
      <c r="BW41" s="567"/>
      <c r="BX41" s="567"/>
      <c r="BY41" s="568"/>
      <c r="BZ41" s="567"/>
      <c r="CA41" s="567"/>
      <c r="CB41" s="567"/>
      <c r="CC41" s="583"/>
      <c r="CD41" s="555">
        <f t="shared" ref="CD41:CF41" si="189">MEDIAN(AM41,AP41,AS41,AY41,BB41,AV41,AA41,BE41,BK41,BZ41,BH41,BN41,BQ41,BT41,BW41)</f>
        <v>350</v>
      </c>
      <c r="CE41" s="555" t="e">
        <f t="shared" si="189"/>
        <v>#DIV/0!</v>
      </c>
      <c r="CF41" s="556" t="e">
        <f t="shared" si="189"/>
        <v>#DIV/0!</v>
      </c>
      <c r="CG41" s="555">
        <f t="shared" ref="CG41:CI41" si="190">MAX(AP41,AS41,AV41,BB41,BE41,AY41,CD41,BK41,BZ41,AA41)-MIN(AP41,AS41,AV41,BB41,BE41,AY41,CD41,BK41,BZ41,AA41)</f>
        <v>0</v>
      </c>
      <c r="CH41" s="555" t="e">
        <f t="shared" si="190"/>
        <v>#DIV/0!</v>
      </c>
      <c r="CI41" s="556" t="e">
        <f t="shared" si="190"/>
        <v>#DIV/0!</v>
      </c>
      <c r="CJ41" s="555">
        <f t="shared" ref="CJ41:CL41" si="191">STDEV(AS41,AV41,AY41,BE41,BK41,BB41,CG41,BZ41,AA41,CD41)</f>
        <v>202.072594216369</v>
      </c>
      <c r="CK41" s="555" t="e">
        <f t="shared" si="191"/>
        <v>#DIV/0!</v>
      </c>
      <c r="CL41" s="556" t="e">
        <f t="shared" si="191"/>
        <v>#DIV/0!</v>
      </c>
      <c r="CM41" s="555">
        <f t="shared" ref="CM41:CO41" si="192">CJ41/AA41</f>
        <v>0.577350269189626</v>
      </c>
      <c r="CN41" s="555" t="e">
        <f t="shared" si="192"/>
        <v>#DIV/0!</v>
      </c>
      <c r="CO41" s="556" t="e">
        <f t="shared" si="192"/>
        <v>#DIV/0!</v>
      </c>
      <c r="CP41" s="29" t="s">
        <v>120</v>
      </c>
      <c r="CQ41" s="535">
        <f t="shared" si="187"/>
        <v>1</v>
      </c>
      <c r="CR41" s="29" t="s">
        <v>120</v>
      </c>
      <c r="CS41" s="29"/>
      <c r="CT41" s="29"/>
      <c r="CU41" s="29"/>
      <c r="CV41" s="29"/>
    </row>
    <row r="42" customHeight="1" spans="1:100">
      <c r="A42" s="29" t="s">
        <v>1069</v>
      </c>
      <c r="B42" s="541"/>
      <c r="C42" s="29" t="s">
        <v>1067</v>
      </c>
      <c r="F42" s="308"/>
      <c r="G42" s="308"/>
      <c r="H42" s="29" t="b">
        <v>0</v>
      </c>
      <c r="I42" s="29" t="b">
        <v>0</v>
      </c>
      <c r="J42" s="29" t="b">
        <v>0</v>
      </c>
      <c r="K42" s="29" t="b">
        <v>0</v>
      </c>
      <c r="L42" s="29" t="b">
        <v>0</v>
      </c>
      <c r="M42" s="29" t="b">
        <v>0</v>
      </c>
      <c r="P42" s="29" t="b">
        <v>0</v>
      </c>
      <c r="Q42" s="29" t="b">
        <v>0</v>
      </c>
      <c r="R42" s="29" t="b">
        <v>0</v>
      </c>
      <c r="S42" s="29" t="b">
        <v>0</v>
      </c>
      <c r="T42" s="29" t="b">
        <f t="shared" si="0"/>
        <v>0</v>
      </c>
      <c r="U42" s="29" t="s">
        <v>999</v>
      </c>
      <c r="V42" s="29" t="s">
        <v>157</v>
      </c>
      <c r="W42" s="29">
        <v>1</v>
      </c>
      <c r="X42" s="29" t="s">
        <v>1040</v>
      </c>
      <c r="Y42" s="16" t="s">
        <v>1041</v>
      </c>
      <c r="Z42" s="29" t="s">
        <v>1042</v>
      </c>
      <c r="AA42" s="554">
        <f t="shared" ref="AA42:AC42" si="193">AVERAGE(AJ42,AM42,AP42,AV42,AY42,AS42,BZ42,BB42,BE42,BH42,BK42,BN42,BQ42,BT42)</f>
        <v>300</v>
      </c>
      <c r="AB42" s="555" t="e">
        <f t="shared" si="193"/>
        <v>#DIV/0!</v>
      </c>
      <c r="AC42" s="556" t="e">
        <f t="shared" si="193"/>
        <v>#DIV/0!</v>
      </c>
      <c r="AD42" s="29" t="b">
        <v>0</v>
      </c>
      <c r="AE42" s="29" t="b">
        <v>1</v>
      </c>
      <c r="AF42" s="29" t="b">
        <v>0</v>
      </c>
      <c r="AG42" s="574">
        <v>300</v>
      </c>
      <c r="AH42" s="569" t="s">
        <v>13</v>
      </c>
      <c r="AI42" s="570" t="s">
        <v>13</v>
      </c>
      <c r="AJ42" s="567"/>
      <c r="AK42" s="567"/>
      <c r="AL42" s="568"/>
      <c r="AM42" s="569">
        <v>300</v>
      </c>
      <c r="AN42" s="569" t="s">
        <v>13</v>
      </c>
      <c r="AO42" s="570" t="s">
        <v>13</v>
      </c>
      <c r="AP42" s="567"/>
      <c r="AQ42" s="567"/>
      <c r="AR42" s="568"/>
      <c r="AS42" s="567"/>
      <c r="AT42" s="567"/>
      <c r="AU42" s="568"/>
      <c r="AV42" s="567"/>
      <c r="AW42" s="567"/>
      <c r="AX42" s="568"/>
      <c r="AY42" s="567"/>
      <c r="AZ42" s="567"/>
      <c r="BA42" s="568"/>
      <c r="BB42" s="567"/>
      <c r="BC42" s="567"/>
      <c r="BD42" s="568"/>
      <c r="BE42" s="567"/>
      <c r="BF42" s="567"/>
      <c r="BG42" s="568"/>
      <c r="BH42" s="567"/>
      <c r="BI42" s="567"/>
      <c r="BJ42" s="568"/>
      <c r="BK42" s="567"/>
      <c r="BL42" s="567"/>
      <c r="BM42" s="568"/>
      <c r="BN42" s="567"/>
      <c r="BO42" s="567"/>
      <c r="BP42" s="568"/>
      <c r="BQ42" s="567"/>
      <c r="BR42" s="567"/>
      <c r="BS42" s="568"/>
      <c r="BT42" s="567"/>
      <c r="BU42" s="567"/>
      <c r="BV42" s="568"/>
      <c r="BW42" s="567"/>
      <c r="BX42" s="567"/>
      <c r="BY42" s="568"/>
      <c r="BZ42" s="567"/>
      <c r="CA42" s="567"/>
      <c r="CB42" s="567"/>
      <c r="CC42" s="583"/>
      <c r="CD42" s="555">
        <f t="shared" ref="CD42:CF42" si="194">MEDIAN(AM42,AP42,AS42,AY42,BB42,AV42,AA42,BE42,BK42,BZ42,BH42,BN42,BQ42,BT42,BW42)</f>
        <v>300</v>
      </c>
      <c r="CE42" s="555" t="e">
        <f t="shared" si="194"/>
        <v>#DIV/0!</v>
      </c>
      <c r="CF42" s="556" t="e">
        <f t="shared" si="194"/>
        <v>#DIV/0!</v>
      </c>
      <c r="CG42" s="555">
        <f t="shared" ref="CG42:CI42" si="195">MAX(AP42,AS42,AV42,BB42,BE42,AY42,CD42,BK42,BZ42,AA42)-MIN(AP42,AS42,AV42,BB42,BE42,AY42,CD42,BK42,BZ42,AA42)</f>
        <v>0</v>
      </c>
      <c r="CH42" s="555" t="e">
        <f t="shared" si="195"/>
        <v>#DIV/0!</v>
      </c>
      <c r="CI42" s="556" t="e">
        <f t="shared" si="195"/>
        <v>#DIV/0!</v>
      </c>
      <c r="CJ42" s="555">
        <f t="shared" ref="CJ42:CL42" si="196">STDEV(AS42,AV42,AY42,BE42,BK42,BB42,CG42,BZ42,AA42,CD42)</f>
        <v>173.205080756888</v>
      </c>
      <c r="CK42" s="555" t="e">
        <f t="shared" si="196"/>
        <v>#DIV/0!</v>
      </c>
      <c r="CL42" s="556" t="e">
        <f t="shared" si="196"/>
        <v>#DIV/0!</v>
      </c>
      <c r="CM42" s="555">
        <f t="shared" ref="CM42:CO42" si="197">CJ42/AA42</f>
        <v>0.577350269189626</v>
      </c>
      <c r="CN42" s="555" t="e">
        <f t="shared" si="197"/>
        <v>#DIV/0!</v>
      </c>
      <c r="CO42" s="556" t="e">
        <f t="shared" si="197"/>
        <v>#DIV/0!</v>
      </c>
      <c r="CP42" s="29" t="s">
        <v>120</v>
      </c>
      <c r="CQ42" s="535">
        <f t="shared" si="187"/>
        <v>1</v>
      </c>
      <c r="CR42" s="29" t="s">
        <v>120</v>
      </c>
      <c r="CS42" s="29"/>
      <c r="CT42" s="29"/>
      <c r="CU42" s="29"/>
      <c r="CV42" s="29"/>
    </row>
    <row r="43" customHeight="1" spans="1:100">
      <c r="A43" s="29" t="s">
        <v>174</v>
      </c>
      <c r="B43" s="541" t="s">
        <v>1036</v>
      </c>
      <c r="C43" s="29" t="s">
        <v>1070</v>
      </c>
      <c r="D43" s="29" t="s">
        <v>174</v>
      </c>
      <c r="E43" s="29"/>
      <c r="F43" s="29" t="s">
        <v>1038</v>
      </c>
      <c r="G43" s="29" t="s">
        <v>1039</v>
      </c>
      <c r="H43" s="29" t="b">
        <v>1</v>
      </c>
      <c r="I43" s="29" t="b">
        <v>1</v>
      </c>
      <c r="J43" s="29" t="b">
        <v>0</v>
      </c>
      <c r="K43" s="29" t="b">
        <v>0</v>
      </c>
      <c r="L43" s="29" t="b">
        <v>1</v>
      </c>
      <c r="M43" s="29" t="b">
        <v>1</v>
      </c>
      <c r="N43" s="29" t="s">
        <v>119</v>
      </c>
      <c r="P43" s="29" t="b">
        <v>0</v>
      </c>
      <c r="Q43" s="29" t="b">
        <v>0</v>
      </c>
      <c r="R43" s="29" t="b">
        <v>0</v>
      </c>
      <c r="S43" s="29" t="b">
        <v>0</v>
      </c>
      <c r="T43" s="29" t="b">
        <f t="shared" si="0"/>
        <v>0</v>
      </c>
      <c r="U43" s="29" t="s">
        <v>1071</v>
      </c>
      <c r="W43" s="29">
        <v>1</v>
      </c>
      <c r="X43" s="29" t="s">
        <v>1040</v>
      </c>
      <c r="Y43" s="16" t="s">
        <v>1041</v>
      </c>
      <c r="Z43" s="29" t="s">
        <v>1064</v>
      </c>
      <c r="AA43" s="554">
        <f t="shared" ref="AA43:AC43" si="198">AVERAGE(AJ43,AM43,AP43,AV43,AY43,AS43,BZ43,BB43,BE43,BH43,BK43,BN43,BQ43,BT43)</f>
        <v>456</v>
      </c>
      <c r="AB43" s="555" t="e">
        <f t="shared" si="198"/>
        <v>#DIV/0!</v>
      </c>
      <c r="AC43" s="556" t="e">
        <f t="shared" si="198"/>
        <v>#DIV/0!</v>
      </c>
      <c r="AD43" s="29" t="b">
        <v>1</v>
      </c>
      <c r="AE43" s="29" t="b">
        <v>0</v>
      </c>
      <c r="AF43" s="29" t="b">
        <v>0</v>
      </c>
      <c r="AG43" s="574">
        <v>450</v>
      </c>
      <c r="AH43" s="569" t="s">
        <v>13</v>
      </c>
      <c r="AI43" s="570" t="s">
        <v>13</v>
      </c>
      <c r="AJ43" s="567"/>
      <c r="AK43" s="567"/>
      <c r="AL43" s="568"/>
      <c r="AM43" s="569">
        <v>700</v>
      </c>
      <c r="AN43" s="567"/>
      <c r="AO43" s="568"/>
      <c r="AP43" s="569">
        <v>350</v>
      </c>
      <c r="AQ43" s="569" t="s">
        <v>13</v>
      </c>
      <c r="AR43" s="570" t="s">
        <v>13</v>
      </c>
      <c r="AS43" s="567"/>
      <c r="AT43" s="567"/>
      <c r="AU43" s="568"/>
      <c r="AV43" s="569">
        <v>430</v>
      </c>
      <c r="AW43" s="569" t="s">
        <v>13</v>
      </c>
      <c r="AX43" s="570" t="s">
        <v>13</v>
      </c>
      <c r="AY43" s="567"/>
      <c r="AZ43" s="567"/>
      <c r="BA43" s="568"/>
      <c r="BB43" s="567"/>
      <c r="BC43" s="567"/>
      <c r="BD43" s="568"/>
      <c r="BE43" s="567"/>
      <c r="BF43" s="567"/>
      <c r="BG43" s="568"/>
      <c r="BH43" s="569">
        <v>300</v>
      </c>
      <c r="BI43" s="569" t="s">
        <v>13</v>
      </c>
      <c r="BJ43" s="570" t="s">
        <v>13</v>
      </c>
      <c r="BK43" s="569" t="s">
        <v>13</v>
      </c>
      <c r="BL43" s="567"/>
      <c r="BM43" s="568"/>
      <c r="BN43" s="569">
        <v>500</v>
      </c>
      <c r="BO43" s="567"/>
      <c r="BP43" s="568"/>
      <c r="BQ43" s="567"/>
      <c r="BR43" s="567"/>
      <c r="BS43" s="568"/>
      <c r="BT43" s="567"/>
      <c r="BU43" s="567"/>
      <c r="BV43" s="568"/>
      <c r="BW43" s="569">
        <v>390</v>
      </c>
      <c r="BX43" s="567"/>
      <c r="BY43" s="568"/>
      <c r="BZ43" s="567"/>
      <c r="CA43" s="567"/>
      <c r="CB43" s="567"/>
      <c r="CC43" s="583"/>
      <c r="CD43" s="555">
        <f t="shared" ref="CD43:CF43" si="199">MEDIAN(AM43,AP43,AS43,AY43,BB43,AV43,AA43,BE43,BK43,BZ43,BH43,BN43,BQ43,BT43,BW43)</f>
        <v>430</v>
      </c>
      <c r="CE43" s="555" t="e">
        <f t="shared" si="199"/>
        <v>#DIV/0!</v>
      </c>
      <c r="CF43" s="556" t="e">
        <f t="shared" si="199"/>
        <v>#DIV/0!</v>
      </c>
      <c r="CG43" s="555">
        <f t="shared" ref="CG43:CI43" si="200">MAX(AP43,AS43,AV43,BB43,BE43,AY43,CD43,BK43,BZ43,AA43)-MIN(AP43,AS43,AV43,BB43,BE43,AY43,CD43,BK43,BZ43,AA43)</f>
        <v>106</v>
      </c>
      <c r="CH43" s="555" t="e">
        <f t="shared" si="200"/>
        <v>#DIV/0!</v>
      </c>
      <c r="CI43" s="556" t="e">
        <f t="shared" si="200"/>
        <v>#DIV/0!</v>
      </c>
      <c r="CJ43" s="555">
        <f t="shared" ref="CJ43:CL43" si="201">STDEV(AS43,AV43,AY43,BE43,BK43,BB43,CG43,BZ43,AA43,CD43)</f>
        <v>166.784291826299</v>
      </c>
      <c r="CK43" s="555" t="e">
        <f t="shared" si="201"/>
        <v>#DIV/0!</v>
      </c>
      <c r="CL43" s="556" t="e">
        <f t="shared" si="201"/>
        <v>#DIV/0!</v>
      </c>
      <c r="CM43" s="555">
        <f t="shared" ref="CM43:CO43" si="202">CJ43/AA43</f>
        <v>0.365755025934866</v>
      </c>
      <c r="CN43" s="555" t="e">
        <f t="shared" si="202"/>
        <v>#DIV/0!</v>
      </c>
      <c r="CO43" s="556" t="e">
        <f t="shared" si="202"/>
        <v>#DIV/0!</v>
      </c>
      <c r="CP43" s="29" t="s">
        <v>120</v>
      </c>
      <c r="CQ43" s="535">
        <f t="shared" si="187"/>
        <v>1</v>
      </c>
      <c r="CR43" s="29" t="s">
        <v>120</v>
      </c>
      <c r="CS43" s="29" t="s">
        <v>120</v>
      </c>
      <c r="CT43" s="29" t="s">
        <v>120</v>
      </c>
      <c r="CU43" s="29" t="s">
        <v>120</v>
      </c>
      <c r="CV43" s="29" t="s">
        <v>120</v>
      </c>
    </row>
    <row r="44" customHeight="1" spans="1:100">
      <c r="A44" s="29" t="s">
        <v>112</v>
      </c>
      <c r="B44" s="541" t="s">
        <v>1036</v>
      </c>
      <c r="C44" s="29" t="s">
        <v>1070</v>
      </c>
      <c r="D44" s="29" t="s">
        <v>113</v>
      </c>
      <c r="E44" s="29"/>
      <c r="F44" s="29" t="s">
        <v>1038</v>
      </c>
      <c r="G44" s="29" t="s">
        <v>1039</v>
      </c>
      <c r="H44" s="29" t="b">
        <v>1</v>
      </c>
      <c r="I44" s="29" t="b">
        <v>1</v>
      </c>
      <c r="J44" s="29" t="b">
        <v>0</v>
      </c>
      <c r="K44" s="29" t="b">
        <v>0</v>
      </c>
      <c r="L44" s="29" t="b">
        <v>1</v>
      </c>
      <c r="M44" s="29" t="b">
        <v>1</v>
      </c>
      <c r="N44" s="29" t="s">
        <v>119</v>
      </c>
      <c r="P44" s="29" t="b">
        <v>0</v>
      </c>
      <c r="Q44" s="29" t="b">
        <v>0</v>
      </c>
      <c r="R44" s="29" t="b">
        <v>0</v>
      </c>
      <c r="S44" s="29" t="b">
        <v>0</v>
      </c>
      <c r="T44" s="29" t="b">
        <f t="shared" si="0"/>
        <v>0</v>
      </c>
      <c r="U44" s="29" t="s">
        <v>1071</v>
      </c>
      <c r="W44" s="29">
        <v>1</v>
      </c>
      <c r="X44" s="29" t="s">
        <v>1040</v>
      </c>
      <c r="Y44" s="16" t="s">
        <v>1041</v>
      </c>
      <c r="Z44" s="29" t="s">
        <v>1064</v>
      </c>
      <c r="AA44" s="554">
        <f t="shared" ref="AA44:AC44" si="203">AVERAGE(AJ44,AM44,AP44,AV44,AY44,AS44,BZ44,BB44,BE44,BH44,BK44,BN44,BQ44,BT44)</f>
        <v>877.6</v>
      </c>
      <c r="AB44" s="555" t="e">
        <f t="shared" si="203"/>
        <v>#DIV/0!</v>
      </c>
      <c r="AC44" s="556" t="e">
        <f t="shared" si="203"/>
        <v>#DIV/0!</v>
      </c>
      <c r="AD44" s="29" t="b">
        <v>1</v>
      </c>
      <c r="AE44" s="29" t="b">
        <v>0</v>
      </c>
      <c r="AF44" s="29" t="b">
        <v>0</v>
      </c>
      <c r="AG44" s="574">
        <v>900</v>
      </c>
      <c r="AH44" s="569" t="s">
        <v>13</v>
      </c>
      <c r="AI44" s="570" t="s">
        <v>13</v>
      </c>
      <c r="AJ44" s="569"/>
      <c r="AK44" s="567"/>
      <c r="AL44" s="568"/>
      <c r="AM44" s="569">
        <v>1500</v>
      </c>
      <c r="AN44" s="567"/>
      <c r="AO44" s="568"/>
      <c r="AP44" s="569">
        <v>350</v>
      </c>
      <c r="AQ44" s="569" t="s">
        <v>13</v>
      </c>
      <c r="AR44" s="570" t="s">
        <v>13</v>
      </c>
      <c r="AS44" s="569">
        <v>500</v>
      </c>
      <c r="AT44" s="569" t="s">
        <v>13</v>
      </c>
      <c r="AU44" s="570" t="s">
        <v>13</v>
      </c>
      <c r="AV44" s="569">
        <v>538</v>
      </c>
      <c r="AW44" s="569" t="s">
        <v>13</v>
      </c>
      <c r="AX44" s="570" t="s">
        <v>13</v>
      </c>
      <c r="AY44" s="567"/>
      <c r="AZ44" s="567"/>
      <c r="BA44" s="568"/>
      <c r="BB44" s="567"/>
      <c r="BC44" s="567"/>
      <c r="BD44" s="568"/>
      <c r="BE44" s="567"/>
      <c r="BF44" s="567"/>
      <c r="BG44" s="568"/>
      <c r="BH44" s="567"/>
      <c r="BI44" s="567"/>
      <c r="BJ44" s="568"/>
      <c r="BK44" s="567"/>
      <c r="BL44" s="567"/>
      <c r="BM44" s="568"/>
      <c r="BN44" s="567"/>
      <c r="BO44" s="567"/>
      <c r="BP44" s="568"/>
      <c r="BQ44" s="567"/>
      <c r="BR44" s="567"/>
      <c r="BS44" s="568"/>
      <c r="BT44" s="567"/>
      <c r="BU44" s="567"/>
      <c r="BV44" s="568"/>
      <c r="BW44" s="567"/>
      <c r="BX44" s="567"/>
      <c r="BY44" s="568"/>
      <c r="BZ44" s="569">
        <v>1500</v>
      </c>
      <c r="CA44" s="567"/>
      <c r="CB44" s="567"/>
      <c r="CC44" s="583"/>
      <c r="CD44" s="555">
        <f t="shared" ref="CD44:CF44" si="204">MEDIAN(AM44,AP44,AS44,AY44,BB44,AV44,AA44,BE44,BK44,BZ44,BH44,BN44,BQ44,BT44,BW44)</f>
        <v>707.8</v>
      </c>
      <c r="CE44" s="555" t="e">
        <f t="shared" si="204"/>
        <v>#DIV/0!</v>
      </c>
      <c r="CF44" s="556" t="e">
        <f t="shared" si="204"/>
        <v>#DIV/0!</v>
      </c>
      <c r="CG44" s="555">
        <f t="shared" ref="CG44:CI44" si="205">MAX(AP44,AS44,AV44,BB44,BE44,AY44,CD44,BK44,BZ44,AA44)-MIN(AP44,AS44,AV44,BB44,BE44,AY44,CD44,BK44,BZ44,AA44)</f>
        <v>1150</v>
      </c>
      <c r="CH44" s="555" t="e">
        <f t="shared" si="205"/>
        <v>#DIV/0!</v>
      </c>
      <c r="CI44" s="556" t="e">
        <f t="shared" si="205"/>
        <v>#DIV/0!</v>
      </c>
      <c r="CJ44" s="555">
        <f t="shared" ref="CJ44:CL44" si="206">STDEV(AS44,AV44,AY44,BE44,BK44,BB44,CG44,BZ44,AA44,CD44)</f>
        <v>386.863112741445</v>
      </c>
      <c r="CK44" s="555" t="e">
        <f t="shared" si="206"/>
        <v>#DIV/0!</v>
      </c>
      <c r="CL44" s="556" t="e">
        <f t="shared" si="206"/>
        <v>#DIV/0!</v>
      </c>
      <c r="CM44" s="555">
        <f t="shared" ref="CM44:CO44" si="207">CJ44/AA44</f>
        <v>0.440819408319787</v>
      </c>
      <c r="CN44" s="555" t="e">
        <f t="shared" si="207"/>
        <v>#DIV/0!</v>
      </c>
      <c r="CO44" s="556" t="e">
        <f t="shared" si="207"/>
        <v>#DIV/0!</v>
      </c>
      <c r="CP44" s="29" t="s">
        <v>120</v>
      </c>
      <c r="CQ44" s="535">
        <f t="shared" si="187"/>
        <v>1</v>
      </c>
      <c r="CR44" s="29" t="s">
        <v>120</v>
      </c>
      <c r="CS44" s="29" t="s">
        <v>120</v>
      </c>
      <c r="CT44" s="29" t="s">
        <v>120</v>
      </c>
      <c r="CU44" s="29" t="s">
        <v>120</v>
      </c>
      <c r="CV44" s="29" t="s">
        <v>120</v>
      </c>
    </row>
    <row r="45" customHeight="1" spans="1:100">
      <c r="A45" s="29" t="s">
        <v>220</v>
      </c>
      <c r="B45" s="541" t="s">
        <v>1036</v>
      </c>
      <c r="C45" s="29" t="s">
        <v>1070</v>
      </c>
      <c r="D45" s="29" t="s">
        <v>221</v>
      </c>
      <c r="E45" s="29"/>
      <c r="F45" s="29" t="s">
        <v>1038</v>
      </c>
      <c r="G45" s="29" t="s">
        <v>1039</v>
      </c>
      <c r="H45" s="29" t="b">
        <v>1</v>
      </c>
      <c r="I45" s="29" t="b">
        <v>1</v>
      </c>
      <c r="J45" s="29" t="b">
        <v>0</v>
      </c>
      <c r="K45" s="29" t="b">
        <v>0</v>
      </c>
      <c r="L45" s="29" t="b">
        <v>1</v>
      </c>
      <c r="M45" s="29" t="b">
        <v>1</v>
      </c>
      <c r="N45" s="29" t="s">
        <v>119</v>
      </c>
      <c r="P45" s="29" t="b">
        <v>0</v>
      </c>
      <c r="Q45" s="29" t="b">
        <v>0</v>
      </c>
      <c r="R45" s="29" t="b">
        <v>0</v>
      </c>
      <c r="S45" s="29" t="b">
        <v>0</v>
      </c>
      <c r="T45" s="29" t="b">
        <f t="shared" si="0"/>
        <v>0</v>
      </c>
      <c r="U45" s="29" t="s">
        <v>1001</v>
      </c>
      <c r="W45" s="29">
        <v>1</v>
      </c>
      <c r="X45" s="29" t="s">
        <v>1040</v>
      </c>
      <c r="Y45" s="16" t="s">
        <v>1041</v>
      </c>
      <c r="Z45" s="29" t="s">
        <v>1064</v>
      </c>
      <c r="AA45" s="554">
        <f t="shared" ref="AA45:AC45" si="208">AVERAGE(AJ45,AM45,AP45,AV45,AY45,AS45,BZ45,BB45,BE45,BH45,BK45,BN45,BQ45,BT45)</f>
        <v>250</v>
      </c>
      <c r="AB45" s="555" t="e">
        <f t="shared" si="208"/>
        <v>#DIV/0!</v>
      </c>
      <c r="AC45" s="556" t="e">
        <f t="shared" si="208"/>
        <v>#DIV/0!</v>
      </c>
      <c r="AD45" s="29" t="b">
        <v>1</v>
      </c>
      <c r="AE45" s="29" t="b">
        <v>0</v>
      </c>
      <c r="AF45" s="29" t="b">
        <v>0</v>
      </c>
      <c r="AG45" s="574">
        <v>150</v>
      </c>
      <c r="AH45" s="569" t="s">
        <v>13</v>
      </c>
      <c r="AI45" s="570" t="s">
        <v>13</v>
      </c>
      <c r="AJ45" s="567"/>
      <c r="AK45" s="567"/>
      <c r="AL45" s="568"/>
      <c r="AM45" s="567"/>
      <c r="AN45" s="567"/>
      <c r="AO45" s="568"/>
      <c r="AP45" s="567"/>
      <c r="AQ45" s="567"/>
      <c r="AR45" s="568"/>
      <c r="AS45" s="569">
        <v>250</v>
      </c>
      <c r="AT45" s="569" t="s">
        <v>13</v>
      </c>
      <c r="AU45" s="570" t="s">
        <v>13</v>
      </c>
      <c r="AV45" s="569" t="s">
        <v>13</v>
      </c>
      <c r="AW45" s="569" t="s">
        <v>13</v>
      </c>
      <c r="AX45" s="570" t="s">
        <v>13</v>
      </c>
      <c r="AY45" s="567"/>
      <c r="AZ45" s="567"/>
      <c r="BA45" s="568"/>
      <c r="BB45" s="567"/>
      <c r="BC45" s="567"/>
      <c r="BD45" s="568"/>
      <c r="BE45" s="567"/>
      <c r="BF45" s="567"/>
      <c r="BG45" s="568"/>
      <c r="BH45" s="567"/>
      <c r="BI45" s="567"/>
      <c r="BJ45" s="568"/>
      <c r="BK45" s="567"/>
      <c r="BL45" s="567"/>
      <c r="BM45" s="568"/>
      <c r="BN45" s="567"/>
      <c r="BO45" s="567"/>
      <c r="BP45" s="568"/>
      <c r="BQ45" s="567"/>
      <c r="BR45" s="567"/>
      <c r="BS45" s="568"/>
      <c r="BT45" s="567"/>
      <c r="BU45" s="567"/>
      <c r="BV45" s="568"/>
      <c r="BW45" s="567"/>
      <c r="BX45" s="567"/>
      <c r="BY45" s="568"/>
      <c r="BZ45" s="567"/>
      <c r="CA45" s="567"/>
      <c r="CB45" s="567"/>
      <c r="CC45" s="583"/>
      <c r="CD45" s="555">
        <f t="shared" ref="CD45:CF45" si="209">MEDIAN(AM45,AP45,AS45,AY45,BB45,AV45,AA45,BE45,BK45,BZ45,BH45,BN45,BQ45,BT45,BW45)</f>
        <v>250</v>
      </c>
      <c r="CE45" s="555" t="e">
        <f t="shared" si="209"/>
        <v>#DIV/0!</v>
      </c>
      <c r="CF45" s="556" t="e">
        <f t="shared" si="209"/>
        <v>#DIV/0!</v>
      </c>
      <c r="CG45" s="555">
        <f t="shared" ref="CG45:CI45" si="210">MAX(AP45,AS45,AV45,BB45,BE45,AY45,CD45,BK45,BZ45,AA45)-MIN(AP45,AS45,AV45,BB45,BE45,AY45,CD45,BK45,BZ45,AA45)</f>
        <v>0</v>
      </c>
      <c r="CH45" s="555" t="e">
        <f t="shared" si="210"/>
        <v>#DIV/0!</v>
      </c>
      <c r="CI45" s="556" t="e">
        <f t="shared" si="210"/>
        <v>#DIV/0!</v>
      </c>
      <c r="CJ45" s="555">
        <f t="shared" ref="CJ45:CL45" si="211">STDEV(AS45,AV45,AY45,BE45,BK45,BB45,CG45,BZ45,AA45,CD45)</f>
        <v>125</v>
      </c>
      <c r="CK45" s="555" t="e">
        <f t="shared" si="211"/>
        <v>#DIV/0!</v>
      </c>
      <c r="CL45" s="556" t="e">
        <f t="shared" si="211"/>
        <v>#DIV/0!</v>
      </c>
      <c r="CM45" s="555">
        <f t="shared" ref="CM45:CO45" si="212">CJ45/AA45</f>
        <v>0.5</v>
      </c>
      <c r="CN45" s="555" t="e">
        <f t="shared" si="212"/>
        <v>#DIV/0!</v>
      </c>
      <c r="CO45" s="556" t="e">
        <f t="shared" si="212"/>
        <v>#DIV/0!</v>
      </c>
      <c r="CP45" s="29" t="s">
        <v>120</v>
      </c>
      <c r="CQ45" s="535">
        <f t="shared" si="187"/>
        <v>1</v>
      </c>
      <c r="CR45" s="29" t="s">
        <v>120</v>
      </c>
      <c r="CS45" s="29" t="s">
        <v>120</v>
      </c>
      <c r="CT45" s="29" t="s">
        <v>120</v>
      </c>
      <c r="CU45" s="29" t="s">
        <v>120</v>
      </c>
      <c r="CV45" s="29" t="s">
        <v>120</v>
      </c>
    </row>
    <row r="46" customHeight="1" spans="1:100">
      <c r="A46" s="29" t="s">
        <v>175</v>
      </c>
      <c r="B46" s="541" t="s">
        <v>1036</v>
      </c>
      <c r="C46" s="29" t="s">
        <v>1070</v>
      </c>
      <c r="D46" s="29" t="s">
        <v>176</v>
      </c>
      <c r="E46" s="29"/>
      <c r="F46" s="29" t="s">
        <v>1038</v>
      </c>
      <c r="G46" s="29" t="s">
        <v>1039</v>
      </c>
      <c r="H46" s="29" t="b">
        <v>1</v>
      </c>
      <c r="I46" s="29" t="b">
        <v>1</v>
      </c>
      <c r="J46" s="29" t="b">
        <v>0</v>
      </c>
      <c r="K46" s="29" t="b">
        <v>0</v>
      </c>
      <c r="L46" s="29" t="b">
        <v>1</v>
      </c>
      <c r="M46" s="29" t="b">
        <v>1</v>
      </c>
      <c r="N46" s="29" t="s">
        <v>119</v>
      </c>
      <c r="P46" s="29" t="b">
        <v>0</v>
      </c>
      <c r="Q46" s="29" t="b">
        <v>0</v>
      </c>
      <c r="R46" s="29" t="b">
        <v>0</v>
      </c>
      <c r="S46" s="29" t="b">
        <v>0</v>
      </c>
      <c r="T46" s="29" t="b">
        <f t="shared" si="0"/>
        <v>0</v>
      </c>
      <c r="U46" s="29" t="s">
        <v>1002</v>
      </c>
      <c r="W46" s="29">
        <v>1</v>
      </c>
      <c r="X46" s="29" t="s">
        <v>1040</v>
      </c>
      <c r="Y46" s="16" t="s">
        <v>1041</v>
      </c>
      <c r="Z46" s="29" t="s">
        <v>1064</v>
      </c>
      <c r="AA46" s="554">
        <f t="shared" ref="AA46:AC46" si="213">AVERAGE(AJ46,AM46,AP46,AV46,AY46,AS46,BZ46,BB46,BE46,BH46,BK46,BN46,BQ46,BT46)</f>
        <v>180.5</v>
      </c>
      <c r="AB46" s="555">
        <f t="shared" si="213"/>
        <v>125</v>
      </c>
      <c r="AC46" s="556">
        <f t="shared" si="213"/>
        <v>83.33</v>
      </c>
      <c r="AD46" s="29" t="b">
        <v>1</v>
      </c>
      <c r="AE46" s="29" t="b">
        <v>0</v>
      </c>
      <c r="AF46" s="29" t="b">
        <v>0</v>
      </c>
      <c r="AG46" s="574">
        <v>200</v>
      </c>
      <c r="AH46" s="567"/>
      <c r="AI46" s="568"/>
      <c r="AJ46" s="567"/>
      <c r="AK46" s="567"/>
      <c r="AL46" s="568"/>
      <c r="AM46" s="569"/>
      <c r="AN46" s="569"/>
      <c r="AO46" s="568"/>
      <c r="AP46" s="569">
        <v>200</v>
      </c>
      <c r="AQ46" s="569">
        <v>125</v>
      </c>
      <c r="AR46" s="570">
        <v>83.33</v>
      </c>
      <c r="AS46" s="567"/>
      <c r="AT46" s="567"/>
      <c r="AU46" s="568"/>
      <c r="AV46" s="569">
        <v>161</v>
      </c>
      <c r="AW46" s="569" t="s">
        <v>13</v>
      </c>
      <c r="AX46" s="570" t="s">
        <v>13</v>
      </c>
      <c r="AY46" s="567"/>
      <c r="AZ46" s="567"/>
      <c r="BA46" s="568"/>
      <c r="BB46" s="567"/>
      <c r="BC46" s="567"/>
      <c r="BD46" s="568"/>
      <c r="BE46" s="567"/>
      <c r="BF46" s="567"/>
      <c r="BG46" s="568"/>
      <c r="BH46" s="567"/>
      <c r="BI46" s="567"/>
      <c r="BJ46" s="568"/>
      <c r="BK46" s="567"/>
      <c r="BL46" s="567"/>
      <c r="BM46" s="568"/>
      <c r="BN46" s="567"/>
      <c r="BO46" s="567"/>
      <c r="BP46" s="568"/>
      <c r="BQ46" s="567"/>
      <c r="BR46" s="567"/>
      <c r="BS46" s="568"/>
      <c r="BT46" s="567"/>
      <c r="BU46" s="567"/>
      <c r="BV46" s="568"/>
      <c r="BW46" s="567"/>
      <c r="BX46" s="567"/>
      <c r="BY46" s="568"/>
      <c r="BZ46" s="567"/>
      <c r="CA46" s="567"/>
      <c r="CB46" s="567"/>
      <c r="CC46" s="583"/>
      <c r="CD46" s="555">
        <f t="shared" ref="CD46:CF46" si="214">MEDIAN(AM46,AP46,AS46,AY46,BB46,AV46,AA46,BE46,BK46,BZ46,BH46,BN46,BQ46,BT46,BW46)</f>
        <v>180.5</v>
      </c>
      <c r="CE46" s="555">
        <f t="shared" si="214"/>
        <v>125</v>
      </c>
      <c r="CF46" s="556">
        <f t="shared" si="214"/>
        <v>83.33</v>
      </c>
      <c r="CG46" s="555">
        <f t="shared" ref="CG46:CI46" si="215">MAX(AP46,AS46,AV46,BB46,BE46,AY46,CD46,BK46,BZ46,AA46)-MIN(AP46,AS46,AV46,BB46,BE46,AY46,CD46,BK46,BZ46,AA46)</f>
        <v>39</v>
      </c>
      <c r="CH46" s="555">
        <f t="shared" si="215"/>
        <v>0</v>
      </c>
      <c r="CI46" s="556">
        <f t="shared" si="215"/>
        <v>0</v>
      </c>
      <c r="CJ46" s="555">
        <f t="shared" ref="CJ46:CL46" si="216">STDEV(AS46,AV46,AY46,BE46,BK46,BB46,CG46,BZ46,AA46,CD46)</f>
        <v>68.1230504308197</v>
      </c>
      <c r="CK46" s="555">
        <f t="shared" si="216"/>
        <v>72.1687836487032</v>
      </c>
      <c r="CL46" s="556">
        <f t="shared" si="216"/>
        <v>48.1105979315715</v>
      </c>
      <c r="CM46" s="555">
        <f t="shared" ref="CM46:CO46" si="217">CJ46/AA46</f>
        <v>0.377413021777394</v>
      </c>
      <c r="CN46" s="555">
        <f t="shared" si="217"/>
        <v>0.577350269189626</v>
      </c>
      <c r="CO46" s="556">
        <f t="shared" si="217"/>
        <v>0.577350269189626</v>
      </c>
      <c r="CP46" s="29"/>
      <c r="CQ46" s="535"/>
      <c r="CR46" s="29"/>
      <c r="CS46" s="29"/>
      <c r="CT46" s="29"/>
      <c r="CU46" s="29"/>
      <c r="CV46" s="29"/>
    </row>
    <row r="47" customHeight="1" spans="1:100">
      <c r="A47" s="29" t="s">
        <v>178</v>
      </c>
      <c r="B47" s="541" t="s">
        <v>1036</v>
      </c>
      <c r="C47" s="29" t="s">
        <v>1070</v>
      </c>
      <c r="D47" s="29" t="s">
        <v>178</v>
      </c>
      <c r="E47" s="29"/>
      <c r="F47" s="29" t="s">
        <v>1038</v>
      </c>
      <c r="G47" s="29" t="s">
        <v>1039</v>
      </c>
      <c r="H47" s="29" t="b">
        <v>1</v>
      </c>
      <c r="I47" s="29" t="b">
        <v>1</v>
      </c>
      <c r="J47" s="29" t="b">
        <v>0</v>
      </c>
      <c r="K47" s="29" t="b">
        <v>0</v>
      </c>
      <c r="L47" s="29" t="b">
        <v>1</v>
      </c>
      <c r="M47" s="29" t="b">
        <v>1</v>
      </c>
      <c r="N47" s="29" t="s">
        <v>119</v>
      </c>
      <c r="P47" s="29" t="b">
        <v>0</v>
      </c>
      <c r="Q47" s="29" t="b">
        <v>0</v>
      </c>
      <c r="R47" s="29" t="b">
        <v>0</v>
      </c>
      <c r="S47" s="29" t="b">
        <v>0</v>
      </c>
      <c r="T47" s="29" t="b">
        <f t="shared" si="0"/>
        <v>0</v>
      </c>
      <c r="U47" s="29" t="s">
        <v>1002</v>
      </c>
      <c r="W47" s="29">
        <v>1</v>
      </c>
      <c r="X47" s="29" t="s">
        <v>1072</v>
      </c>
      <c r="Y47" s="16" t="s">
        <v>1041</v>
      </c>
      <c r="Z47" s="29" t="s">
        <v>1064</v>
      </c>
      <c r="AA47" s="554">
        <f t="shared" ref="AA47:AC47" si="218">AVERAGE(AJ47,AM47,AP47,AV47,AY47,AS47,BZ47,BB47,BE47,BH47,BK47,BN47,BQ47,BT47)</f>
        <v>215</v>
      </c>
      <c r="AB47" s="555" t="e">
        <f t="shared" si="218"/>
        <v>#DIV/0!</v>
      </c>
      <c r="AC47" s="556" t="e">
        <f t="shared" si="218"/>
        <v>#DIV/0!</v>
      </c>
      <c r="AD47" s="29" t="b">
        <v>1</v>
      </c>
      <c r="AE47" s="29" t="b">
        <v>0</v>
      </c>
      <c r="AF47" s="29" t="b">
        <v>0</v>
      </c>
      <c r="AG47" s="574">
        <v>225</v>
      </c>
      <c r="AH47" s="567"/>
      <c r="AI47" s="568"/>
      <c r="AJ47" s="567"/>
      <c r="AK47" s="567"/>
      <c r="AL47" s="568"/>
      <c r="AM47" s="569"/>
      <c r="AN47" s="569"/>
      <c r="AO47" s="568"/>
      <c r="AP47" s="569"/>
      <c r="AQ47" s="569"/>
      <c r="AR47" s="570"/>
      <c r="AS47" s="567"/>
      <c r="AT47" s="567"/>
      <c r="AU47" s="568"/>
      <c r="AV47" s="569">
        <v>215</v>
      </c>
      <c r="AW47" s="569" t="s">
        <v>13</v>
      </c>
      <c r="AX47" s="570" t="s">
        <v>13</v>
      </c>
      <c r="AY47" s="567"/>
      <c r="AZ47" s="567"/>
      <c r="BA47" s="568"/>
      <c r="BB47" s="567"/>
      <c r="BC47" s="567"/>
      <c r="BD47" s="568"/>
      <c r="BE47" s="567"/>
      <c r="BF47" s="567"/>
      <c r="BG47" s="568"/>
      <c r="BH47" s="567"/>
      <c r="BI47" s="567"/>
      <c r="BJ47" s="568"/>
      <c r="BK47" s="567"/>
      <c r="BL47" s="567"/>
      <c r="BM47" s="568"/>
      <c r="BN47" s="567"/>
      <c r="BO47" s="567"/>
      <c r="BP47" s="568"/>
      <c r="BQ47" s="567"/>
      <c r="BR47" s="567"/>
      <c r="BS47" s="568"/>
      <c r="BT47" s="567"/>
      <c r="BU47" s="567"/>
      <c r="BV47" s="568"/>
      <c r="BW47" s="567"/>
      <c r="BX47" s="567"/>
      <c r="BY47" s="568"/>
      <c r="BZ47" s="567"/>
      <c r="CA47" s="567"/>
      <c r="CB47" s="567"/>
      <c r="CC47" s="583"/>
      <c r="CD47" s="555">
        <f t="shared" ref="CD47:CF47" si="219">MEDIAN(AM47,AP47,AS47,AY47,BB47,AV47,AA47,BE47,BK47,BZ47,BH47,BN47,BQ47,BT47,BW47)</f>
        <v>215</v>
      </c>
      <c r="CE47" s="555" t="e">
        <f t="shared" si="219"/>
        <v>#DIV/0!</v>
      </c>
      <c r="CF47" s="556" t="e">
        <f t="shared" si="219"/>
        <v>#DIV/0!</v>
      </c>
      <c r="CG47" s="555">
        <f t="shared" ref="CG47:CI47" si="220">MAX(AP47,AS47,AV47,BB47,BE47,AY47,CD47,BK47,BZ47,AA47)-MIN(AP47,AS47,AV47,BB47,BE47,AY47,CD47,BK47,BZ47,AA47)</f>
        <v>0</v>
      </c>
      <c r="CH47" s="555" t="e">
        <f t="shared" si="220"/>
        <v>#DIV/0!</v>
      </c>
      <c r="CI47" s="556" t="e">
        <f t="shared" si="220"/>
        <v>#DIV/0!</v>
      </c>
      <c r="CJ47" s="555">
        <f t="shared" ref="CJ47:CL47" si="221">STDEV(AS47,AV47,AY47,BE47,BK47,BB47,CG47,BZ47,AA47,CD47)</f>
        <v>107.5</v>
      </c>
      <c r="CK47" s="555" t="e">
        <f t="shared" si="221"/>
        <v>#DIV/0!</v>
      </c>
      <c r="CL47" s="556" t="e">
        <f t="shared" si="221"/>
        <v>#DIV/0!</v>
      </c>
      <c r="CM47" s="555">
        <f t="shared" ref="CM47:CO47" si="222">CJ47/AA47</f>
        <v>0.5</v>
      </c>
      <c r="CN47" s="555" t="e">
        <f t="shared" si="222"/>
        <v>#DIV/0!</v>
      </c>
      <c r="CO47" s="556" t="e">
        <f t="shared" si="222"/>
        <v>#DIV/0!</v>
      </c>
      <c r="CP47" s="29"/>
      <c r="CQ47" s="535"/>
      <c r="CR47" s="29"/>
      <c r="CS47" s="29"/>
      <c r="CT47" s="29"/>
      <c r="CU47" s="29"/>
      <c r="CV47" s="29"/>
    </row>
    <row r="48" customHeight="1" spans="1:100">
      <c r="A48" s="29" t="s">
        <v>222</v>
      </c>
      <c r="B48" s="541" t="s">
        <v>1036</v>
      </c>
      <c r="C48" s="29" t="s">
        <v>1070</v>
      </c>
      <c r="D48" s="29" t="s">
        <v>222</v>
      </c>
      <c r="F48" s="29" t="s">
        <v>1038</v>
      </c>
      <c r="G48" s="29" t="s">
        <v>1039</v>
      </c>
      <c r="H48" s="29" t="b">
        <v>1</v>
      </c>
      <c r="I48" s="29" t="b">
        <v>1</v>
      </c>
      <c r="J48" s="29" t="b">
        <v>0</v>
      </c>
      <c r="K48" s="29" t="b">
        <v>0</v>
      </c>
      <c r="L48" s="29" t="b">
        <v>1</v>
      </c>
      <c r="M48" s="29" t="b">
        <v>1</v>
      </c>
      <c r="N48" s="29" t="s">
        <v>119</v>
      </c>
      <c r="P48" s="29" t="b">
        <v>0</v>
      </c>
      <c r="Q48" s="29" t="b">
        <v>0</v>
      </c>
      <c r="R48" s="29" t="b">
        <v>0</v>
      </c>
      <c r="S48" s="29" t="b">
        <v>0</v>
      </c>
      <c r="T48" s="29" t="b">
        <f t="shared" si="0"/>
        <v>0</v>
      </c>
      <c r="U48" s="29" t="s">
        <v>999</v>
      </c>
      <c r="W48" s="29" t="s">
        <v>119</v>
      </c>
      <c r="X48" s="29" t="s">
        <v>1040</v>
      </c>
      <c r="Y48" s="16" t="s">
        <v>1041</v>
      </c>
      <c r="Z48" s="29" t="s">
        <v>1042</v>
      </c>
      <c r="AA48" s="554">
        <f t="shared" ref="AA48:AC48" si="223">AVERAGE(AJ48,AM48,AP48,AV48,AY48,AS48,BZ48,BB48,BE48,BH48,BK48,BN48,BQ48,BT48)</f>
        <v>175</v>
      </c>
      <c r="AB48" s="555" t="e">
        <f t="shared" si="223"/>
        <v>#DIV/0!</v>
      </c>
      <c r="AC48" s="556" t="e">
        <f t="shared" si="223"/>
        <v>#DIV/0!</v>
      </c>
      <c r="AD48" s="29" t="b">
        <v>1</v>
      </c>
      <c r="AE48" s="29" t="b">
        <v>0</v>
      </c>
      <c r="AF48" s="29" t="b">
        <v>0</v>
      </c>
      <c r="AG48" s="566">
        <f t="shared" ref="AG48:AG52" si="224">AM48</f>
        <v>175</v>
      </c>
      <c r="AH48" s="567"/>
      <c r="AI48" s="568"/>
      <c r="AJ48" s="567"/>
      <c r="AK48" s="567"/>
      <c r="AL48" s="568"/>
      <c r="AM48" s="569">
        <v>175</v>
      </c>
      <c r="AN48" s="569" t="s">
        <v>13</v>
      </c>
      <c r="AO48" s="569" t="s">
        <v>13</v>
      </c>
      <c r="AP48" s="567"/>
      <c r="AQ48" s="567"/>
      <c r="AR48" s="568"/>
      <c r="AS48" s="567"/>
      <c r="AT48" s="567"/>
      <c r="AU48" s="568"/>
      <c r="AV48" s="567"/>
      <c r="AW48" s="567"/>
      <c r="AX48" s="568"/>
      <c r="AY48" s="567"/>
      <c r="AZ48" s="567"/>
      <c r="BA48" s="568"/>
      <c r="BB48" s="567"/>
      <c r="BC48" s="567"/>
      <c r="BD48" s="568"/>
      <c r="BE48" s="567"/>
      <c r="BF48" s="567"/>
      <c r="BG48" s="568"/>
      <c r="BH48" s="567"/>
      <c r="BI48" s="567"/>
      <c r="BJ48" s="568"/>
      <c r="BK48" s="567"/>
      <c r="BL48" s="567"/>
      <c r="BM48" s="568"/>
      <c r="BN48" s="567"/>
      <c r="BO48" s="567"/>
      <c r="BP48" s="568"/>
      <c r="BQ48" s="567"/>
      <c r="BR48" s="567"/>
      <c r="BS48" s="568"/>
      <c r="BT48" s="567"/>
      <c r="BU48" s="567"/>
      <c r="BV48" s="568"/>
      <c r="BW48" s="567"/>
      <c r="BX48" s="567"/>
      <c r="BY48" s="568"/>
      <c r="BZ48" s="567"/>
      <c r="CA48" s="567"/>
      <c r="CB48" s="567"/>
      <c r="CC48" s="583"/>
      <c r="CD48" s="555">
        <f t="shared" ref="CD48:CF48" si="225">MEDIAN(AM48,AP48,AS48,AY48,BB48,AV48,AA48,BE48,BK48,BZ48,BH48,BN48,BQ48,BT48,BW48)</f>
        <v>175</v>
      </c>
      <c r="CE48" s="555" t="e">
        <f t="shared" si="225"/>
        <v>#DIV/0!</v>
      </c>
      <c r="CF48" s="556" t="e">
        <f t="shared" si="225"/>
        <v>#DIV/0!</v>
      </c>
      <c r="CG48" s="555">
        <f t="shared" ref="CG48:CI48" si="226">MAX(AP48,AS48,AV48,BB48,BE48,AY48,CD48,BK48,BZ48,AA48)-MIN(AP48,AS48,AV48,BB48,BE48,AY48,CD48,BK48,BZ48,AA48)</f>
        <v>0</v>
      </c>
      <c r="CH48" s="555" t="e">
        <f t="shared" si="226"/>
        <v>#DIV/0!</v>
      </c>
      <c r="CI48" s="556" t="e">
        <f t="shared" si="226"/>
        <v>#DIV/0!</v>
      </c>
      <c r="CJ48" s="555">
        <f t="shared" ref="CJ48:CL48" si="227">STDEV(AS48,AV48,AY48,BE48,BK48,BB48,CG48,BZ48,AA48,CD48)</f>
        <v>101.036297108185</v>
      </c>
      <c r="CK48" s="555" t="e">
        <f t="shared" si="227"/>
        <v>#DIV/0!</v>
      </c>
      <c r="CL48" s="556" t="e">
        <f t="shared" si="227"/>
        <v>#DIV/0!</v>
      </c>
      <c r="CM48" s="555">
        <f t="shared" ref="CM48:CO48" si="228">CJ48/AA48</f>
        <v>0.577350269189626</v>
      </c>
      <c r="CN48" s="555" t="e">
        <f t="shared" si="228"/>
        <v>#DIV/0!</v>
      </c>
      <c r="CO48" s="556" t="e">
        <f t="shared" si="228"/>
        <v>#DIV/0!</v>
      </c>
      <c r="CP48" s="29" t="s">
        <v>120</v>
      </c>
      <c r="CQ48" s="535" t="str">
        <f t="shared" ref="CQ48:CQ98" si="229">W48</f>
        <v>n/a</v>
      </c>
      <c r="CR48" s="29" t="s">
        <v>120</v>
      </c>
      <c r="CS48" s="29"/>
      <c r="CT48" s="29"/>
      <c r="CU48" s="29"/>
      <c r="CV48" s="29"/>
    </row>
    <row r="49" customHeight="1" spans="1:100">
      <c r="A49" s="29" t="s">
        <v>223</v>
      </c>
      <c r="B49" s="541" t="s">
        <v>1036</v>
      </c>
      <c r="C49" s="29" t="s">
        <v>1070</v>
      </c>
      <c r="D49" s="29" t="s">
        <v>223</v>
      </c>
      <c r="F49" s="29" t="s">
        <v>1038</v>
      </c>
      <c r="G49" s="29" t="s">
        <v>1039</v>
      </c>
      <c r="H49" s="29" t="b">
        <v>1</v>
      </c>
      <c r="I49" s="29" t="b">
        <v>1</v>
      </c>
      <c r="J49" s="29" t="b">
        <v>0</v>
      </c>
      <c r="K49" s="29" t="b">
        <v>0</v>
      </c>
      <c r="L49" s="29" t="b">
        <v>1</v>
      </c>
      <c r="M49" s="29" t="b">
        <v>1</v>
      </c>
      <c r="N49" s="29" t="s">
        <v>119</v>
      </c>
      <c r="P49" s="29" t="b">
        <v>0</v>
      </c>
      <c r="Q49" s="29" t="b">
        <v>0</v>
      </c>
      <c r="R49" s="29" t="b">
        <v>0</v>
      </c>
      <c r="S49" s="29" t="b">
        <v>0</v>
      </c>
      <c r="T49" s="29" t="b">
        <f t="shared" si="0"/>
        <v>0</v>
      </c>
      <c r="U49" s="29" t="s">
        <v>999</v>
      </c>
      <c r="W49" s="29" t="s">
        <v>119</v>
      </c>
      <c r="X49" s="29" t="s">
        <v>1040</v>
      </c>
      <c r="Y49" s="16" t="s">
        <v>1041</v>
      </c>
      <c r="Z49" s="29" t="s">
        <v>1042</v>
      </c>
      <c r="AA49" s="554">
        <f t="shared" ref="AA49:AC49" si="230">AVERAGE(AJ49,AM49,AP49,AV49,AY49,AS49,BZ49,BB49,BE49,BH49,BK49,BN49,BQ49,BT49)</f>
        <v>75</v>
      </c>
      <c r="AB49" s="555" t="e">
        <f t="shared" si="230"/>
        <v>#DIV/0!</v>
      </c>
      <c r="AC49" s="556" t="e">
        <f t="shared" si="230"/>
        <v>#DIV/0!</v>
      </c>
      <c r="AD49" s="29" t="b">
        <v>1</v>
      </c>
      <c r="AE49" s="29" t="b">
        <v>0</v>
      </c>
      <c r="AF49" s="29" t="b">
        <v>0</v>
      </c>
      <c r="AG49" s="566">
        <f t="shared" si="224"/>
        <v>75</v>
      </c>
      <c r="AH49" s="567"/>
      <c r="AI49" s="568"/>
      <c r="AJ49" s="567"/>
      <c r="AK49" s="567"/>
      <c r="AL49" s="568"/>
      <c r="AM49" s="569">
        <v>75</v>
      </c>
      <c r="AN49" s="569" t="s">
        <v>13</v>
      </c>
      <c r="AO49" s="570" t="s">
        <v>13</v>
      </c>
      <c r="AP49" s="567"/>
      <c r="AQ49" s="567"/>
      <c r="AR49" s="568"/>
      <c r="AS49" s="567"/>
      <c r="AT49" s="567"/>
      <c r="AU49" s="568"/>
      <c r="AV49" s="567"/>
      <c r="AW49" s="567"/>
      <c r="AX49" s="568"/>
      <c r="AY49" s="567"/>
      <c r="AZ49" s="567"/>
      <c r="BA49" s="568"/>
      <c r="BB49" s="567"/>
      <c r="BC49" s="567"/>
      <c r="BD49" s="568"/>
      <c r="BE49" s="567"/>
      <c r="BF49" s="567"/>
      <c r="BG49" s="568"/>
      <c r="BH49" s="567"/>
      <c r="BI49" s="567"/>
      <c r="BJ49" s="568"/>
      <c r="BK49" s="567"/>
      <c r="BL49" s="567"/>
      <c r="BM49" s="568"/>
      <c r="BN49" s="567"/>
      <c r="BO49" s="567"/>
      <c r="BP49" s="568"/>
      <c r="BQ49" s="567"/>
      <c r="BR49" s="567"/>
      <c r="BS49" s="568"/>
      <c r="BT49" s="567"/>
      <c r="BU49" s="567"/>
      <c r="BV49" s="568"/>
      <c r="BW49" s="567"/>
      <c r="BX49" s="567"/>
      <c r="BY49" s="568"/>
      <c r="BZ49" s="567"/>
      <c r="CA49" s="567"/>
      <c r="CB49" s="567"/>
      <c r="CC49" s="583"/>
      <c r="CD49" s="555">
        <f t="shared" ref="CD49:CF49" si="231">MEDIAN(AM49,AP49,AS49,AY49,BB49,AV49,AA49,BE49,BK49,BZ49,BH49,BN49,BQ49,BT49,BW49)</f>
        <v>75</v>
      </c>
      <c r="CE49" s="555" t="e">
        <f t="shared" si="231"/>
        <v>#DIV/0!</v>
      </c>
      <c r="CF49" s="556" t="e">
        <f t="shared" si="231"/>
        <v>#DIV/0!</v>
      </c>
      <c r="CG49" s="555">
        <f t="shared" ref="CG49:CI49" si="232">MAX(AP49,AS49,AV49,BB49,BE49,AY49,CD49,BK49,BZ49,AA49)-MIN(AP49,AS49,AV49,BB49,BE49,AY49,CD49,BK49,BZ49,AA49)</f>
        <v>0</v>
      </c>
      <c r="CH49" s="555" t="e">
        <f t="shared" si="232"/>
        <v>#DIV/0!</v>
      </c>
      <c r="CI49" s="556" t="e">
        <f t="shared" si="232"/>
        <v>#DIV/0!</v>
      </c>
      <c r="CJ49" s="555">
        <f t="shared" ref="CJ49:CL49" si="233">STDEV(AS49,AV49,AY49,BE49,BK49,BB49,CG49,BZ49,AA49,CD49)</f>
        <v>43.3012701892219</v>
      </c>
      <c r="CK49" s="555" t="e">
        <f t="shared" si="233"/>
        <v>#DIV/0!</v>
      </c>
      <c r="CL49" s="556" t="e">
        <f t="shared" si="233"/>
        <v>#DIV/0!</v>
      </c>
      <c r="CM49" s="555">
        <f t="shared" ref="CM49:CO49" si="234">CJ49/AA49</f>
        <v>0.577350269189626</v>
      </c>
      <c r="CN49" s="555" t="e">
        <f t="shared" si="234"/>
        <v>#DIV/0!</v>
      </c>
      <c r="CO49" s="556" t="e">
        <f t="shared" si="234"/>
        <v>#DIV/0!</v>
      </c>
      <c r="CP49" s="29" t="s">
        <v>120</v>
      </c>
      <c r="CQ49" s="535" t="str">
        <f t="shared" si="229"/>
        <v>n/a</v>
      </c>
      <c r="CR49" s="29" t="s">
        <v>120</v>
      </c>
      <c r="CS49" s="29"/>
      <c r="CT49" s="29"/>
      <c r="CU49" s="29"/>
      <c r="CV49" s="29"/>
    </row>
    <row r="50" customHeight="1" spans="1:100">
      <c r="A50" s="29" t="s">
        <v>236</v>
      </c>
      <c r="B50" s="541" t="s">
        <v>1036</v>
      </c>
      <c r="C50" s="29" t="s">
        <v>1070</v>
      </c>
      <c r="D50" s="29" t="s">
        <v>236</v>
      </c>
      <c r="F50" s="29" t="s">
        <v>1038</v>
      </c>
      <c r="G50" s="29" t="s">
        <v>1039</v>
      </c>
      <c r="H50" s="29" t="b">
        <v>1</v>
      </c>
      <c r="I50" s="29" t="b">
        <v>1</v>
      </c>
      <c r="J50" s="29" t="b">
        <v>0</v>
      </c>
      <c r="K50" s="29" t="b">
        <v>0</v>
      </c>
      <c r="L50" s="29" t="b">
        <v>1</v>
      </c>
      <c r="M50" s="29" t="b">
        <v>1</v>
      </c>
      <c r="N50" s="29" t="s">
        <v>119</v>
      </c>
      <c r="P50" s="29" t="b">
        <v>0</v>
      </c>
      <c r="Q50" s="29" t="b">
        <v>0</v>
      </c>
      <c r="R50" s="29" t="b">
        <v>0</v>
      </c>
      <c r="S50" s="29" t="b">
        <v>0</v>
      </c>
      <c r="T50" s="29" t="b">
        <f t="shared" si="0"/>
        <v>0</v>
      </c>
      <c r="U50" s="29" t="s">
        <v>999</v>
      </c>
      <c r="W50" s="29" t="s">
        <v>119</v>
      </c>
      <c r="X50" s="29" t="s">
        <v>1040</v>
      </c>
      <c r="Y50" s="16" t="s">
        <v>1041</v>
      </c>
      <c r="Z50" s="29" t="s">
        <v>1042</v>
      </c>
      <c r="AA50" s="554">
        <f t="shared" ref="AA50:AC50" si="235">AVERAGE(AJ50,AM50,AP50,AV50,AY50,AS50,BZ50,BB50,BE50,BH50,BK50,BN50,BQ50,BT50)</f>
        <v>140</v>
      </c>
      <c r="AB50" s="555" t="e">
        <f t="shared" si="235"/>
        <v>#DIV/0!</v>
      </c>
      <c r="AC50" s="556" t="e">
        <f t="shared" si="235"/>
        <v>#DIV/0!</v>
      </c>
      <c r="AD50" s="29" t="b">
        <v>1</v>
      </c>
      <c r="AE50" s="29" t="b">
        <v>0</v>
      </c>
      <c r="AF50" s="29" t="b">
        <v>0</v>
      </c>
      <c r="AG50" s="566">
        <f t="shared" si="224"/>
        <v>140</v>
      </c>
      <c r="AH50" s="567"/>
      <c r="AI50" s="568"/>
      <c r="AJ50" s="567"/>
      <c r="AK50" s="567"/>
      <c r="AL50" s="568"/>
      <c r="AM50" s="569">
        <v>140</v>
      </c>
      <c r="AN50" s="569" t="s">
        <v>13</v>
      </c>
      <c r="AO50" s="570" t="s">
        <v>13</v>
      </c>
      <c r="AP50" s="567"/>
      <c r="AQ50" s="567"/>
      <c r="AR50" s="568"/>
      <c r="AS50" s="567"/>
      <c r="AT50" s="567"/>
      <c r="AU50" s="568"/>
      <c r="AV50" s="567"/>
      <c r="AW50" s="567"/>
      <c r="AX50" s="568"/>
      <c r="AY50" s="567"/>
      <c r="AZ50" s="567"/>
      <c r="BA50" s="568"/>
      <c r="BB50" s="567"/>
      <c r="BC50" s="567"/>
      <c r="BD50" s="568"/>
      <c r="BE50" s="567"/>
      <c r="BF50" s="567"/>
      <c r="BG50" s="568"/>
      <c r="BH50" s="567"/>
      <c r="BI50" s="567"/>
      <c r="BJ50" s="568"/>
      <c r="BK50" s="567"/>
      <c r="BL50" s="567"/>
      <c r="BM50" s="568"/>
      <c r="BN50" s="567"/>
      <c r="BO50" s="567"/>
      <c r="BP50" s="568"/>
      <c r="BQ50" s="567"/>
      <c r="BR50" s="567"/>
      <c r="BS50" s="568"/>
      <c r="BT50" s="567"/>
      <c r="BU50" s="567"/>
      <c r="BV50" s="568"/>
      <c r="BW50" s="567"/>
      <c r="BX50" s="567"/>
      <c r="BY50" s="568"/>
      <c r="BZ50" s="567"/>
      <c r="CA50" s="567"/>
      <c r="CB50" s="567"/>
      <c r="CC50" s="583"/>
      <c r="CD50" s="555">
        <f t="shared" ref="CD50:CF50" si="236">MEDIAN(AM50,AP50,AS50,AY50,BB50,AV50,AA50,BE50,BK50,BZ50,BH50,BN50,BQ50,BT50,BW50)</f>
        <v>140</v>
      </c>
      <c r="CE50" s="555" t="e">
        <f t="shared" si="236"/>
        <v>#DIV/0!</v>
      </c>
      <c r="CF50" s="556" t="e">
        <f t="shared" si="236"/>
        <v>#DIV/0!</v>
      </c>
      <c r="CG50" s="555">
        <f t="shared" ref="CG50:CI50" si="237">MAX(AP50,AS50,AV50,BB50,BE50,AY50,CD50,BK50,BZ50,AA50)-MIN(AP50,AS50,AV50,BB50,BE50,AY50,CD50,BK50,BZ50,AA50)</f>
        <v>0</v>
      </c>
      <c r="CH50" s="555" t="e">
        <f t="shared" si="237"/>
        <v>#DIV/0!</v>
      </c>
      <c r="CI50" s="556" t="e">
        <f t="shared" si="237"/>
        <v>#DIV/0!</v>
      </c>
      <c r="CJ50" s="555">
        <f t="shared" ref="CJ50:CL50" si="238">STDEV(AS50,AV50,AY50,BE50,BK50,BB50,CG50,BZ50,AA50,CD50)</f>
        <v>80.8290376865476</v>
      </c>
      <c r="CK50" s="555" t="e">
        <f t="shared" si="238"/>
        <v>#DIV/0!</v>
      </c>
      <c r="CL50" s="556" t="e">
        <f t="shared" si="238"/>
        <v>#DIV/0!</v>
      </c>
      <c r="CM50" s="555">
        <f t="shared" ref="CM50:CO50" si="239">CJ50/AA50</f>
        <v>0.577350269189626</v>
      </c>
      <c r="CN50" s="555" t="e">
        <f t="shared" si="239"/>
        <v>#DIV/0!</v>
      </c>
      <c r="CO50" s="556" t="e">
        <f t="shared" si="239"/>
        <v>#DIV/0!</v>
      </c>
      <c r="CP50" s="29" t="s">
        <v>120</v>
      </c>
      <c r="CQ50" s="535" t="str">
        <f t="shared" si="229"/>
        <v>n/a</v>
      </c>
      <c r="CR50" s="29" t="s">
        <v>120</v>
      </c>
      <c r="CS50" s="29"/>
      <c r="CT50" s="29"/>
      <c r="CU50" s="29"/>
      <c r="CV50" s="29"/>
    </row>
    <row r="51" customHeight="1" spans="1:100">
      <c r="A51" s="29" t="s">
        <v>237</v>
      </c>
      <c r="B51" s="541" t="s">
        <v>1036</v>
      </c>
      <c r="C51" s="29" t="s">
        <v>1070</v>
      </c>
      <c r="D51" s="29" t="s">
        <v>237</v>
      </c>
      <c r="F51" s="29" t="s">
        <v>1038</v>
      </c>
      <c r="G51" s="29" t="s">
        <v>1039</v>
      </c>
      <c r="H51" s="29" t="b">
        <v>1</v>
      </c>
      <c r="I51" s="29" t="b">
        <v>1</v>
      </c>
      <c r="J51" s="29" t="b">
        <v>0</v>
      </c>
      <c r="K51" s="29" t="b">
        <v>0</v>
      </c>
      <c r="L51" s="29" t="b">
        <v>1</v>
      </c>
      <c r="M51" s="29" t="b">
        <v>1</v>
      </c>
      <c r="N51" s="29" t="s">
        <v>119</v>
      </c>
      <c r="P51" s="29" t="b">
        <v>0</v>
      </c>
      <c r="Q51" s="29" t="b">
        <v>0</v>
      </c>
      <c r="R51" s="29" t="b">
        <v>0</v>
      </c>
      <c r="S51" s="29" t="b">
        <v>0</v>
      </c>
      <c r="T51" s="29" t="b">
        <f t="shared" si="0"/>
        <v>0</v>
      </c>
      <c r="U51" s="29" t="s">
        <v>999</v>
      </c>
      <c r="W51" s="29" t="s">
        <v>119</v>
      </c>
      <c r="X51" s="29" t="s">
        <v>1040</v>
      </c>
      <c r="Y51" s="16" t="s">
        <v>1041</v>
      </c>
      <c r="Z51" s="29" t="s">
        <v>1042</v>
      </c>
      <c r="AA51" s="554">
        <f t="shared" ref="AA51:AC51" si="240">AVERAGE(AJ51,AM51,AP51,AV51,AY51,AS51,BZ51,BB51,BE51,BH51,BK51,BN51,BQ51,BT51)</f>
        <v>70</v>
      </c>
      <c r="AB51" s="555" t="e">
        <f t="shared" si="240"/>
        <v>#DIV/0!</v>
      </c>
      <c r="AC51" s="556" t="e">
        <f t="shared" si="240"/>
        <v>#DIV/0!</v>
      </c>
      <c r="AD51" s="29" t="b">
        <v>1</v>
      </c>
      <c r="AE51" s="29" t="b">
        <v>0</v>
      </c>
      <c r="AF51" s="29" t="b">
        <v>0</v>
      </c>
      <c r="AG51" s="566">
        <f t="shared" si="224"/>
        <v>70</v>
      </c>
      <c r="AH51" s="567"/>
      <c r="AI51" s="568"/>
      <c r="AJ51" s="567"/>
      <c r="AK51" s="567"/>
      <c r="AL51" s="568"/>
      <c r="AM51" s="569">
        <v>70</v>
      </c>
      <c r="AN51" s="569" t="s">
        <v>13</v>
      </c>
      <c r="AO51" s="570" t="s">
        <v>13</v>
      </c>
      <c r="AP51" s="567"/>
      <c r="AQ51" s="567"/>
      <c r="AR51" s="568"/>
      <c r="AS51" s="567"/>
      <c r="AT51" s="567"/>
      <c r="AU51" s="568"/>
      <c r="AV51" s="567"/>
      <c r="AW51" s="567"/>
      <c r="AX51" s="568"/>
      <c r="AY51" s="567"/>
      <c r="AZ51" s="567"/>
      <c r="BA51" s="568"/>
      <c r="BB51" s="567"/>
      <c r="BC51" s="567"/>
      <c r="BD51" s="568"/>
      <c r="BE51" s="567"/>
      <c r="BF51" s="567"/>
      <c r="BG51" s="568"/>
      <c r="BH51" s="567"/>
      <c r="BI51" s="567"/>
      <c r="BJ51" s="568"/>
      <c r="BK51" s="567"/>
      <c r="BL51" s="567"/>
      <c r="BM51" s="568"/>
      <c r="BN51" s="567"/>
      <c r="BO51" s="567"/>
      <c r="BP51" s="568"/>
      <c r="BQ51" s="567"/>
      <c r="BR51" s="567"/>
      <c r="BS51" s="568"/>
      <c r="BT51" s="567"/>
      <c r="BU51" s="567"/>
      <c r="BV51" s="568"/>
      <c r="BW51" s="567"/>
      <c r="BX51" s="567"/>
      <c r="BY51" s="568"/>
      <c r="BZ51" s="567"/>
      <c r="CA51" s="567"/>
      <c r="CB51" s="567"/>
      <c r="CC51" s="583"/>
      <c r="CD51" s="555">
        <f t="shared" ref="CD51:CF51" si="241">MEDIAN(AM51,AP51,AS51,AY51,BB51,AV51,AA51,BE51,BK51,BZ51,BH51,BN51,BQ51,BT51,BW51)</f>
        <v>70</v>
      </c>
      <c r="CE51" s="555" t="e">
        <f t="shared" si="241"/>
        <v>#DIV/0!</v>
      </c>
      <c r="CF51" s="556" t="e">
        <f t="shared" si="241"/>
        <v>#DIV/0!</v>
      </c>
      <c r="CG51" s="555">
        <f t="shared" ref="CG51:CI51" si="242">MAX(AP51,AS51,AV51,BB51,BE51,AY51,CD51,BK51,BZ51,AA51)-MIN(AP51,AS51,AV51,BB51,BE51,AY51,CD51,BK51,BZ51,AA51)</f>
        <v>0</v>
      </c>
      <c r="CH51" s="555" t="e">
        <f t="shared" si="242"/>
        <v>#DIV/0!</v>
      </c>
      <c r="CI51" s="556" t="e">
        <f t="shared" si="242"/>
        <v>#DIV/0!</v>
      </c>
      <c r="CJ51" s="555">
        <f t="shared" ref="CJ51:CL51" si="243">STDEV(AS51,AV51,AY51,BE51,BK51,BB51,CG51,BZ51,AA51,CD51)</f>
        <v>40.4145188432738</v>
      </c>
      <c r="CK51" s="555" t="e">
        <f t="shared" si="243"/>
        <v>#DIV/0!</v>
      </c>
      <c r="CL51" s="556" t="e">
        <f t="shared" si="243"/>
        <v>#DIV/0!</v>
      </c>
      <c r="CM51" s="555">
        <f t="shared" ref="CM51:CO51" si="244">CJ51/AA51</f>
        <v>0.577350269189626</v>
      </c>
      <c r="CN51" s="555" t="e">
        <f t="shared" si="244"/>
        <v>#DIV/0!</v>
      </c>
      <c r="CO51" s="556" t="e">
        <f t="shared" si="244"/>
        <v>#DIV/0!</v>
      </c>
      <c r="CP51" s="29" t="s">
        <v>120</v>
      </c>
      <c r="CQ51" s="535" t="str">
        <f t="shared" si="229"/>
        <v>n/a</v>
      </c>
      <c r="CR51" s="29" t="s">
        <v>120</v>
      </c>
      <c r="CS51" s="29"/>
      <c r="CT51" s="29"/>
      <c r="CU51" s="29"/>
      <c r="CV51" s="29"/>
    </row>
    <row r="52" customHeight="1" spans="1:100">
      <c r="A52" s="29" t="s">
        <v>238</v>
      </c>
      <c r="B52" s="541" t="s">
        <v>1036</v>
      </c>
      <c r="C52" s="29" t="s">
        <v>1070</v>
      </c>
      <c r="D52" s="29" t="s">
        <v>238</v>
      </c>
      <c r="F52" s="29" t="s">
        <v>1038</v>
      </c>
      <c r="G52" s="29" t="s">
        <v>1039</v>
      </c>
      <c r="H52" s="29" t="b">
        <v>1</v>
      </c>
      <c r="I52" s="29" t="b">
        <v>1</v>
      </c>
      <c r="J52" s="29" t="b">
        <v>0</v>
      </c>
      <c r="K52" s="29" t="b">
        <v>0</v>
      </c>
      <c r="L52" s="29" t="b">
        <v>1</v>
      </c>
      <c r="M52" s="29" t="b">
        <v>1</v>
      </c>
      <c r="N52" s="29" t="s">
        <v>119</v>
      </c>
      <c r="P52" s="29" t="b">
        <v>0</v>
      </c>
      <c r="Q52" s="29" t="b">
        <v>0</v>
      </c>
      <c r="R52" s="29" t="b">
        <v>0</v>
      </c>
      <c r="S52" s="29" t="b">
        <v>0</v>
      </c>
      <c r="T52" s="29" t="b">
        <f t="shared" si="0"/>
        <v>0</v>
      </c>
      <c r="U52" s="29" t="s">
        <v>999</v>
      </c>
      <c r="W52" s="29" t="s">
        <v>119</v>
      </c>
      <c r="X52" s="29" t="s">
        <v>1040</v>
      </c>
      <c r="Y52" s="16" t="s">
        <v>1041</v>
      </c>
      <c r="Z52" s="29" t="s">
        <v>1042</v>
      </c>
      <c r="AA52" s="554">
        <f t="shared" ref="AA52:AC52" si="245">AVERAGE(AJ52,AM52,AP52,AV52,AY52,AS52,BZ52,BB52,BE52,BH52,BK52,BN52,BQ52,BT52)</f>
        <v>70</v>
      </c>
      <c r="AB52" s="555" t="e">
        <f t="shared" si="245"/>
        <v>#DIV/0!</v>
      </c>
      <c r="AC52" s="556" t="e">
        <f t="shared" si="245"/>
        <v>#DIV/0!</v>
      </c>
      <c r="AD52" s="29" t="b">
        <v>1</v>
      </c>
      <c r="AE52" s="29" t="b">
        <v>0</v>
      </c>
      <c r="AF52" s="29" t="b">
        <v>0</v>
      </c>
      <c r="AG52" s="566">
        <f t="shared" si="224"/>
        <v>70</v>
      </c>
      <c r="AH52" s="567"/>
      <c r="AI52" s="568"/>
      <c r="AJ52" s="567"/>
      <c r="AK52" s="567"/>
      <c r="AL52" s="568"/>
      <c r="AM52" s="569">
        <v>70</v>
      </c>
      <c r="AN52" s="569" t="s">
        <v>13</v>
      </c>
      <c r="AO52" s="570" t="s">
        <v>13</v>
      </c>
      <c r="AP52" s="567"/>
      <c r="AQ52" s="567"/>
      <c r="AR52" s="568"/>
      <c r="AS52" s="567"/>
      <c r="AT52" s="567"/>
      <c r="AU52" s="568"/>
      <c r="AV52" s="567"/>
      <c r="AW52" s="567"/>
      <c r="AX52" s="568"/>
      <c r="AY52" s="567"/>
      <c r="AZ52" s="567"/>
      <c r="BA52" s="568"/>
      <c r="BB52" s="567"/>
      <c r="BC52" s="567"/>
      <c r="BD52" s="568"/>
      <c r="BE52" s="567"/>
      <c r="BF52" s="567"/>
      <c r="BG52" s="568"/>
      <c r="BH52" s="567"/>
      <c r="BI52" s="567"/>
      <c r="BJ52" s="568"/>
      <c r="BK52" s="567"/>
      <c r="BL52" s="567"/>
      <c r="BM52" s="568"/>
      <c r="BN52" s="567"/>
      <c r="BO52" s="567"/>
      <c r="BP52" s="568"/>
      <c r="BQ52" s="567"/>
      <c r="BR52" s="567"/>
      <c r="BS52" s="568"/>
      <c r="BT52" s="567"/>
      <c r="BU52" s="567"/>
      <c r="BV52" s="568"/>
      <c r="BW52" s="567"/>
      <c r="BX52" s="567"/>
      <c r="BY52" s="568"/>
      <c r="BZ52" s="567"/>
      <c r="CA52" s="567"/>
      <c r="CB52" s="567"/>
      <c r="CC52" s="583"/>
      <c r="CD52" s="555">
        <f t="shared" ref="CD52:CF52" si="246">MEDIAN(AM52,AP52,AS52,AY52,BB52,AV52,AA52,BE52,BK52,BZ52,BH52,BN52,BQ52,BT52,BW52)</f>
        <v>70</v>
      </c>
      <c r="CE52" s="555" t="e">
        <f t="shared" si="246"/>
        <v>#DIV/0!</v>
      </c>
      <c r="CF52" s="556" t="e">
        <f t="shared" si="246"/>
        <v>#DIV/0!</v>
      </c>
      <c r="CG52" s="555">
        <f t="shared" ref="CG52:CI52" si="247">MAX(AP52,AS52,AV52,BB52,BE52,AY52,CD52,BK52,BZ52,AA52)-MIN(AP52,AS52,AV52,BB52,BE52,AY52,CD52,BK52,BZ52,AA52)</f>
        <v>0</v>
      </c>
      <c r="CH52" s="555" t="e">
        <f t="shared" si="247"/>
        <v>#DIV/0!</v>
      </c>
      <c r="CI52" s="556" t="e">
        <f t="shared" si="247"/>
        <v>#DIV/0!</v>
      </c>
      <c r="CJ52" s="555">
        <f t="shared" ref="CJ52:CL52" si="248">STDEV(AS52,AV52,AY52,BE52,BK52,BB52,CG52,BZ52,AA52,CD52)</f>
        <v>40.4145188432738</v>
      </c>
      <c r="CK52" s="555" t="e">
        <f t="shared" si="248"/>
        <v>#DIV/0!</v>
      </c>
      <c r="CL52" s="556" t="e">
        <f t="shared" si="248"/>
        <v>#DIV/0!</v>
      </c>
      <c r="CM52" s="555">
        <f t="shared" ref="CM52:CO52" si="249">CJ52/AA52</f>
        <v>0.577350269189626</v>
      </c>
      <c r="CN52" s="555" t="e">
        <f t="shared" si="249"/>
        <v>#DIV/0!</v>
      </c>
      <c r="CO52" s="556" t="e">
        <f t="shared" si="249"/>
        <v>#DIV/0!</v>
      </c>
      <c r="CP52" s="29" t="s">
        <v>120</v>
      </c>
      <c r="CQ52" s="535" t="str">
        <f t="shared" si="229"/>
        <v>n/a</v>
      </c>
      <c r="CR52" s="29" t="s">
        <v>120</v>
      </c>
      <c r="CS52" s="29"/>
      <c r="CT52" s="29"/>
      <c r="CU52" s="29"/>
      <c r="CV52" s="29"/>
    </row>
    <row r="53" customHeight="1" spans="1:100">
      <c r="A53" s="29" t="s">
        <v>1073</v>
      </c>
      <c r="B53" s="542"/>
      <c r="C53" s="312" t="s">
        <v>1074</v>
      </c>
      <c r="D53" s="29" t="s">
        <v>122</v>
      </c>
      <c r="E53" s="29"/>
      <c r="F53" s="29" t="s">
        <v>1038</v>
      </c>
      <c r="G53" s="29" t="s">
        <v>123</v>
      </c>
      <c r="H53" s="29" t="b">
        <v>1</v>
      </c>
      <c r="I53" s="29" t="b">
        <v>0</v>
      </c>
      <c r="J53" s="29" t="b">
        <v>0</v>
      </c>
      <c r="K53" s="29" t="b">
        <v>0</v>
      </c>
      <c r="L53" s="29" t="b">
        <v>1</v>
      </c>
      <c r="M53" s="29" t="b">
        <v>1</v>
      </c>
      <c r="N53" s="29" t="s">
        <v>125</v>
      </c>
      <c r="O53" s="29" t="s">
        <v>126</v>
      </c>
      <c r="P53" s="29" t="b">
        <v>0</v>
      </c>
      <c r="Q53" s="29" t="b">
        <v>0</v>
      </c>
      <c r="R53" s="29" t="b">
        <v>0</v>
      </c>
      <c r="S53" s="29" t="b">
        <v>0</v>
      </c>
      <c r="T53" s="29" t="b">
        <f t="shared" si="0"/>
        <v>0</v>
      </c>
      <c r="U53" s="29" t="s">
        <v>997</v>
      </c>
      <c r="V53" s="29" t="s">
        <v>124</v>
      </c>
      <c r="W53" s="29">
        <v>2</v>
      </c>
      <c r="X53" s="29" t="s">
        <v>1040</v>
      </c>
      <c r="Y53" s="16" t="s">
        <v>1041</v>
      </c>
      <c r="Z53" s="29" t="s">
        <v>1042</v>
      </c>
      <c r="AA53" s="554">
        <f t="shared" ref="AA53:AC53" si="250">AVERAGE(AJ53,AM53,AP53,AV53,AY53,AS53,BZ53,BB53,BE53,BH53,BK53,BN53,BQ53,BT53)</f>
        <v>182.555555555556</v>
      </c>
      <c r="AB53" s="555">
        <f t="shared" si="250"/>
        <v>128.108092705167</v>
      </c>
      <c r="AC53" s="556">
        <f t="shared" si="250"/>
        <v>91.1048167155425</v>
      </c>
      <c r="AD53" s="29" t="b">
        <v>1</v>
      </c>
      <c r="AE53" s="29" t="b">
        <v>0</v>
      </c>
      <c r="AF53" s="29" t="b">
        <v>0</v>
      </c>
      <c r="AG53" s="574">
        <v>250</v>
      </c>
      <c r="AH53" s="569">
        <v>150</v>
      </c>
      <c r="AI53" s="570">
        <v>100</v>
      </c>
      <c r="AJ53" s="567"/>
      <c r="AK53" s="567"/>
      <c r="AL53" s="568"/>
      <c r="AM53" s="569">
        <f t="shared" ref="AM53:AM54" si="251">(220+310)/2</f>
        <v>265</v>
      </c>
      <c r="AN53" s="569">
        <f t="shared" ref="AN53:AO53" si="252">AM53/(1+(AM53/322.5))</f>
        <v>145.468085106383</v>
      </c>
      <c r="AO53" s="570">
        <f t="shared" si="252"/>
        <v>100.24926686217</v>
      </c>
      <c r="AP53" s="569">
        <v>250</v>
      </c>
      <c r="AQ53" s="569">
        <v>156.25</v>
      </c>
      <c r="AR53" s="570">
        <v>104.17</v>
      </c>
      <c r="AS53" s="569">
        <v>150</v>
      </c>
      <c r="AT53" s="567"/>
      <c r="AU53" s="568"/>
      <c r="AV53" s="567"/>
      <c r="AW53" s="567"/>
      <c r="AX53" s="568"/>
      <c r="AY53" s="569" t="s">
        <v>13</v>
      </c>
      <c r="AZ53" s="569">
        <v>125</v>
      </c>
      <c r="BA53" s="570">
        <v>100</v>
      </c>
      <c r="BB53" s="569">
        <v>128</v>
      </c>
      <c r="BC53" s="569"/>
      <c r="BD53" s="570"/>
      <c r="BE53" s="569">
        <v>250</v>
      </c>
      <c r="BF53" s="569"/>
      <c r="BG53" s="570"/>
      <c r="BH53" s="569">
        <v>150</v>
      </c>
      <c r="BI53" s="569"/>
      <c r="BJ53" s="570"/>
      <c r="BK53" s="569"/>
      <c r="BL53" s="569"/>
      <c r="BM53" s="570"/>
      <c r="BN53" s="569">
        <v>100</v>
      </c>
      <c r="BO53" s="569"/>
      <c r="BP53" s="570"/>
      <c r="BQ53" s="569">
        <v>200</v>
      </c>
      <c r="BR53" s="569"/>
      <c r="BS53" s="570"/>
      <c r="BT53" s="569"/>
      <c r="BU53" s="569"/>
      <c r="BV53" s="570"/>
      <c r="BW53" s="569"/>
      <c r="BX53" s="569"/>
      <c r="BY53" s="570"/>
      <c r="BZ53" s="572">
        <v>150</v>
      </c>
      <c r="CA53" s="572">
        <f t="shared" ref="CA53:CB53" si="253">BZ53/(1+(BZ53/200))</f>
        <v>85.7142857142857</v>
      </c>
      <c r="CB53" s="572">
        <f t="shared" si="253"/>
        <v>60</v>
      </c>
      <c r="CC53" s="583">
        <v>45340</v>
      </c>
      <c r="CD53" s="555">
        <f t="shared" ref="CD53:CF53" si="254">MEDIAN(AM53,AP53,AS53,AY53,BB53,AV53,AA53,BE53,BK53,BZ53,BH53,BN53,BQ53,BT53,BW53)</f>
        <v>166.277777777778</v>
      </c>
      <c r="CE53" s="555">
        <f t="shared" si="254"/>
        <v>128.108092705167</v>
      </c>
      <c r="CF53" s="556">
        <f t="shared" si="254"/>
        <v>100</v>
      </c>
      <c r="CG53" s="555">
        <f t="shared" ref="CG53:CI53" si="255">MAX(AP53,AS53,AV53,BB53,BE53,AY53,CD53,BK53,BZ53,AA53)-MIN(AP53,AS53,AV53,BB53,BE53,AY53,CD53,BK53,BZ53,AA53)</f>
        <v>122</v>
      </c>
      <c r="CH53" s="555">
        <f t="shared" si="255"/>
        <v>70.5357142857143</v>
      </c>
      <c r="CI53" s="556">
        <f t="shared" si="255"/>
        <v>44.17</v>
      </c>
      <c r="CJ53" s="555">
        <f t="shared" ref="CJ53:CL53" si="256">STDEV(AS53,AV53,AY53,BE53,BK53,BB53,CG53,BZ53,AA53,CD53)</f>
        <v>43.1999184166495</v>
      </c>
      <c r="CK53" s="555">
        <f t="shared" si="256"/>
        <v>27.3706617864382</v>
      </c>
      <c r="CL53" s="556">
        <f t="shared" si="256"/>
        <v>25.5080398250799</v>
      </c>
      <c r="CM53" s="555">
        <f t="shared" ref="CM53:CO53" si="257">CJ53/AA53</f>
        <v>0.236639845252493</v>
      </c>
      <c r="CN53" s="555">
        <f t="shared" si="257"/>
        <v>0.213652870856723</v>
      </c>
      <c r="CO53" s="556">
        <f t="shared" si="257"/>
        <v>0.279985633522802</v>
      </c>
      <c r="CP53" s="29" t="s">
        <v>120</v>
      </c>
      <c r="CQ53" s="535">
        <f t="shared" si="229"/>
        <v>2</v>
      </c>
      <c r="CR53" s="29" t="s">
        <v>120</v>
      </c>
      <c r="CS53" s="29" t="s">
        <v>120</v>
      </c>
      <c r="CT53" s="29" t="s">
        <v>120</v>
      </c>
      <c r="CU53" s="29" t="s">
        <v>120</v>
      </c>
      <c r="CV53" s="29" t="s">
        <v>120</v>
      </c>
    </row>
    <row r="54" customHeight="1" spans="1:100">
      <c r="A54" s="29" t="s">
        <v>1075</v>
      </c>
      <c r="B54" s="542"/>
      <c r="C54" s="312" t="s">
        <v>1074</v>
      </c>
      <c r="D54" s="29" t="s">
        <v>122</v>
      </c>
      <c r="E54" s="29"/>
      <c r="F54" s="29" t="s">
        <v>1038</v>
      </c>
      <c r="G54" s="29" t="s">
        <v>123</v>
      </c>
      <c r="H54" s="29" t="b">
        <v>1</v>
      </c>
      <c r="I54" s="29" t="b">
        <v>1</v>
      </c>
      <c r="J54" s="29" t="b">
        <v>0</v>
      </c>
      <c r="K54" s="29" t="b">
        <v>0</v>
      </c>
      <c r="L54" s="29" t="b">
        <v>1</v>
      </c>
      <c r="M54" s="29" t="b">
        <v>1</v>
      </c>
      <c r="N54" s="29" t="s">
        <v>1076</v>
      </c>
      <c r="O54" s="29" t="s">
        <v>126</v>
      </c>
      <c r="P54" s="29" t="b">
        <v>0</v>
      </c>
      <c r="Q54" s="29" t="b">
        <v>0</v>
      </c>
      <c r="R54" s="29" t="b">
        <v>0</v>
      </c>
      <c r="S54" s="29" t="b">
        <v>1</v>
      </c>
      <c r="T54" s="29" t="b">
        <f t="shared" si="0"/>
        <v>0</v>
      </c>
      <c r="U54" s="29" t="s">
        <v>997</v>
      </c>
      <c r="V54" s="29" t="s">
        <v>124</v>
      </c>
      <c r="W54" s="29">
        <v>2</v>
      </c>
      <c r="X54" s="29" t="s">
        <v>1040</v>
      </c>
      <c r="Y54" s="16" t="s">
        <v>1041</v>
      </c>
      <c r="Z54" s="208" t="s">
        <v>1042</v>
      </c>
      <c r="AA54" s="554">
        <f t="shared" ref="AA54:AC54" si="258">AVERAGE(AJ54,AM54,AP54,AV54,AY54,AS54,BZ54,BB54,BE54,BH54,BK54,BN54,BQ54,BT54)</f>
        <v>182.555555555556</v>
      </c>
      <c r="AB54" s="555">
        <f t="shared" si="258"/>
        <v>128.108092705167</v>
      </c>
      <c r="AC54" s="556">
        <f t="shared" si="258"/>
        <v>91.1048167155425</v>
      </c>
      <c r="AD54" s="29" t="b">
        <v>1</v>
      </c>
      <c r="AE54" s="29" t="b">
        <v>0</v>
      </c>
      <c r="AF54" s="29" t="b">
        <v>0</v>
      </c>
      <c r="AG54" s="569">
        <v>250</v>
      </c>
      <c r="AH54" s="569">
        <v>150</v>
      </c>
      <c r="AI54" s="570">
        <v>100</v>
      </c>
      <c r="AJ54" s="567"/>
      <c r="AK54" s="567"/>
      <c r="AL54" s="568"/>
      <c r="AM54" s="569">
        <f t="shared" si="251"/>
        <v>265</v>
      </c>
      <c r="AN54" s="569">
        <f t="shared" ref="AN54:AO54" si="259">AM54/(1+(AM54/322.5))</f>
        <v>145.468085106383</v>
      </c>
      <c r="AO54" s="570">
        <f t="shared" si="259"/>
        <v>100.24926686217</v>
      </c>
      <c r="AP54" s="569">
        <v>250</v>
      </c>
      <c r="AQ54" s="569">
        <v>156.25</v>
      </c>
      <c r="AR54" s="570">
        <v>104.17</v>
      </c>
      <c r="AS54" s="569">
        <v>150</v>
      </c>
      <c r="AT54" s="567"/>
      <c r="AU54" s="568"/>
      <c r="AV54" s="567"/>
      <c r="AW54" s="567"/>
      <c r="AX54" s="568"/>
      <c r="AY54" s="569" t="s">
        <v>13</v>
      </c>
      <c r="AZ54" s="569">
        <v>125</v>
      </c>
      <c r="BA54" s="570">
        <v>100</v>
      </c>
      <c r="BB54" s="569">
        <v>128</v>
      </c>
      <c r="BC54" s="569"/>
      <c r="BD54" s="570"/>
      <c r="BE54" s="569">
        <v>250</v>
      </c>
      <c r="BF54" s="569"/>
      <c r="BG54" s="570"/>
      <c r="BH54" s="569">
        <v>150</v>
      </c>
      <c r="BI54" s="569"/>
      <c r="BJ54" s="570"/>
      <c r="BK54" s="569"/>
      <c r="BL54" s="569"/>
      <c r="BM54" s="570"/>
      <c r="BN54" s="569">
        <v>100</v>
      </c>
      <c r="BO54" s="569"/>
      <c r="BP54" s="570"/>
      <c r="BQ54" s="569">
        <v>200</v>
      </c>
      <c r="BR54" s="569"/>
      <c r="BS54" s="570"/>
      <c r="BT54" s="569"/>
      <c r="BU54" s="569"/>
      <c r="BV54" s="570"/>
      <c r="BW54" s="569"/>
      <c r="BX54" s="569"/>
      <c r="BY54" s="570"/>
      <c r="BZ54" s="572">
        <v>150</v>
      </c>
      <c r="CA54" s="572">
        <f t="shared" ref="CA54:CB54" si="260">BZ54/(1+(BZ54/200))</f>
        <v>85.7142857142857</v>
      </c>
      <c r="CB54" s="577">
        <f t="shared" si="260"/>
        <v>60</v>
      </c>
      <c r="CC54" s="583">
        <v>45340</v>
      </c>
      <c r="CD54" s="555">
        <f t="shared" ref="CD54:CF54" si="261">MEDIAN(AM54,AP54,AS54,AY54,BB54,AV54,AA54,BE54,BK54,BZ54,BH54,BN54,BQ54,BT54,BW54)</f>
        <v>166.277777777778</v>
      </c>
      <c r="CE54" s="555">
        <f t="shared" si="261"/>
        <v>128.108092705167</v>
      </c>
      <c r="CF54" s="556">
        <f t="shared" si="261"/>
        <v>100</v>
      </c>
      <c r="CG54" s="555">
        <f t="shared" ref="CG54:CI54" si="262">MAX(AP54,AS54,AV54,BB54,BE54,AY54,CD54,BK54,BZ54,AA54)-MIN(AP54,AS54,AV54,BB54,BE54,AY54,CD54,BK54,BZ54,AA54)</f>
        <v>122</v>
      </c>
      <c r="CH54" s="555">
        <f t="shared" si="262"/>
        <v>70.5357142857143</v>
      </c>
      <c r="CI54" s="556">
        <f t="shared" si="262"/>
        <v>44.17</v>
      </c>
      <c r="CJ54" s="555">
        <f t="shared" ref="CJ54:CL54" si="263">STDEV(AS54,AV54,AY54,BE54,BK54,BB54,CG54,BZ54,AA54,CD54)</f>
        <v>43.1999184166495</v>
      </c>
      <c r="CK54" s="555">
        <f t="shared" si="263"/>
        <v>27.3706617864382</v>
      </c>
      <c r="CL54" s="556">
        <f t="shared" si="263"/>
        <v>25.5080398250799</v>
      </c>
      <c r="CM54" s="555">
        <f t="shared" ref="CM54:CO54" si="264">CJ54/AA54</f>
        <v>0.236639845252493</v>
      </c>
      <c r="CN54" s="555">
        <f t="shared" si="264"/>
        <v>0.213652870856723</v>
      </c>
      <c r="CO54" s="556">
        <f t="shared" si="264"/>
        <v>0.279985633522802</v>
      </c>
      <c r="CP54" s="29" t="s">
        <v>120</v>
      </c>
      <c r="CQ54" s="535">
        <f t="shared" si="229"/>
        <v>2</v>
      </c>
      <c r="CR54" s="29" t="s">
        <v>120</v>
      </c>
      <c r="CS54" s="29" t="s">
        <v>120</v>
      </c>
      <c r="CT54" s="29" t="s">
        <v>120</v>
      </c>
      <c r="CU54" s="29" t="s">
        <v>120</v>
      </c>
      <c r="CV54" s="29" t="s">
        <v>120</v>
      </c>
    </row>
    <row r="55" customHeight="1" spans="1:100">
      <c r="A55" s="29" t="s">
        <v>127</v>
      </c>
      <c r="B55" s="542"/>
      <c r="C55" s="312" t="s">
        <v>1074</v>
      </c>
      <c r="D55" s="29" t="s">
        <v>128</v>
      </c>
      <c r="E55" s="29"/>
      <c r="F55" s="29" t="s">
        <v>1038</v>
      </c>
      <c r="G55" s="29" t="s">
        <v>123</v>
      </c>
      <c r="H55" s="29" t="b">
        <v>1</v>
      </c>
      <c r="I55" s="29" t="b">
        <v>1</v>
      </c>
      <c r="J55" s="29" t="b">
        <v>0</v>
      </c>
      <c r="K55" s="29" t="b">
        <v>0</v>
      </c>
      <c r="L55" s="29" t="b">
        <v>1</v>
      </c>
      <c r="M55" s="29" t="b">
        <v>1</v>
      </c>
      <c r="N55" s="29" t="s">
        <v>125</v>
      </c>
      <c r="O55" s="29" t="s">
        <v>126</v>
      </c>
      <c r="P55" s="29" t="b">
        <v>0</v>
      </c>
      <c r="Q55" s="29" t="b">
        <v>0</v>
      </c>
      <c r="R55" s="29" t="b">
        <v>0</v>
      </c>
      <c r="S55" s="29" t="b">
        <v>1</v>
      </c>
      <c r="T55" s="29" t="b">
        <f t="shared" si="0"/>
        <v>0</v>
      </c>
      <c r="U55" s="29" t="s">
        <v>997</v>
      </c>
      <c r="V55" s="29" t="s">
        <v>129</v>
      </c>
      <c r="W55" s="29">
        <v>2</v>
      </c>
      <c r="X55" s="29" t="s">
        <v>1040</v>
      </c>
      <c r="Y55" s="16" t="s">
        <v>1041</v>
      </c>
      <c r="Z55" s="29" t="s">
        <v>1042</v>
      </c>
      <c r="AA55" s="554">
        <f t="shared" ref="AA55:AC55" si="265">AVERAGE(AJ55,AM55,AP55,AV55,AY55,AS55,BZ55,BB55,BE55,BH55,BK55,BN55,BQ55,BT55)</f>
        <v>278.333333333333</v>
      </c>
      <c r="AB55" s="555">
        <f t="shared" si="265"/>
        <v>141.119878183832</v>
      </c>
      <c r="AC55" s="556">
        <f t="shared" si="265"/>
        <v>102.295850066934</v>
      </c>
      <c r="AD55" s="29" t="b">
        <v>1</v>
      </c>
      <c r="AE55" s="29" t="b">
        <v>0</v>
      </c>
      <c r="AF55" s="29" t="b">
        <v>0</v>
      </c>
      <c r="AG55" s="574">
        <v>350</v>
      </c>
      <c r="AH55" s="569">
        <v>215</v>
      </c>
      <c r="AI55" s="570">
        <v>150</v>
      </c>
      <c r="AJ55" s="567"/>
      <c r="AK55" s="567"/>
      <c r="AL55" s="568"/>
      <c r="AM55" s="569">
        <f>(330+440)/2</f>
        <v>385</v>
      </c>
      <c r="AN55" s="569">
        <f t="shared" ref="AN55:AO55" si="266">AM55/(1+(AM55/475))</f>
        <v>212.645348837209</v>
      </c>
      <c r="AO55" s="570">
        <f t="shared" si="266"/>
        <v>146.887550200803</v>
      </c>
      <c r="AP55" s="575"/>
      <c r="AQ55" s="575"/>
      <c r="AR55" s="576"/>
      <c r="AS55" s="569">
        <v>300</v>
      </c>
      <c r="AT55" s="567"/>
      <c r="AU55" s="568"/>
      <c r="AV55" s="567"/>
      <c r="AW55" s="567"/>
      <c r="AX55" s="568"/>
      <c r="AY55" s="567"/>
      <c r="AZ55" s="569">
        <v>125</v>
      </c>
      <c r="BA55" s="570">
        <v>100</v>
      </c>
      <c r="BB55" s="567"/>
      <c r="BC55" s="569"/>
      <c r="BD55" s="570"/>
      <c r="BE55" s="567"/>
      <c r="BF55" s="569"/>
      <c r="BG55" s="570"/>
      <c r="BH55" s="567"/>
      <c r="BI55" s="569"/>
      <c r="BJ55" s="570"/>
      <c r="BK55" s="567"/>
      <c r="BL55" s="569"/>
      <c r="BM55" s="570"/>
      <c r="BN55" s="567"/>
      <c r="BO55" s="569"/>
      <c r="BP55" s="570"/>
      <c r="BQ55" s="567"/>
      <c r="BR55" s="569"/>
      <c r="BS55" s="570"/>
      <c r="BT55" s="567"/>
      <c r="BU55" s="569"/>
      <c r="BV55" s="570"/>
      <c r="BW55" s="567"/>
      <c r="BX55" s="569"/>
      <c r="BY55" s="570"/>
      <c r="BZ55" s="569">
        <v>150</v>
      </c>
      <c r="CA55" s="569">
        <f t="shared" ref="CA55:CB55" si="267">BZ55/(1+(BZ55/200))</f>
        <v>85.7142857142857</v>
      </c>
      <c r="CB55" s="569">
        <f t="shared" si="267"/>
        <v>60</v>
      </c>
      <c r="CC55" s="583"/>
      <c r="CD55" s="555">
        <f t="shared" ref="CD55:CF55" si="268">MEDIAN(AM55,AP55,AS55,AY55,BB55,AV55,AA55,BE55,BK55,BZ55,BH55,BN55,BQ55,BT55,BW55)</f>
        <v>289.166666666667</v>
      </c>
      <c r="CE55" s="555">
        <f t="shared" si="268"/>
        <v>133.059939091916</v>
      </c>
      <c r="CF55" s="556">
        <f t="shared" si="268"/>
        <v>101.147925033467</v>
      </c>
      <c r="CG55" s="555">
        <f t="shared" ref="CG55:CI55" si="269">MAX(AP55,AS55,AV55,BB55,BE55,AY55,CD55,BK55,BZ55,AA55)-MIN(AP55,AS55,AV55,BB55,BE55,AY55,CD55,BK55,BZ55,AA55)</f>
        <v>150</v>
      </c>
      <c r="CH55" s="555">
        <f t="shared" si="269"/>
        <v>55.405592469546</v>
      </c>
      <c r="CI55" s="556">
        <f t="shared" si="269"/>
        <v>42.2958500669344</v>
      </c>
      <c r="CJ55" s="555">
        <f t="shared" ref="CJ55:CL55" si="270">STDEV(AS55,AV55,AY55,BE55,BK55,BB55,CG55,BZ55,AA55,CD55)</f>
        <v>76.6086737183779</v>
      </c>
      <c r="CK55" s="555">
        <f t="shared" si="270"/>
        <v>36.3205646963007</v>
      </c>
      <c r="CL55" s="556">
        <f t="shared" si="270"/>
        <v>28.1040652139115</v>
      </c>
      <c r="CM55" s="555">
        <f t="shared" ref="CM55:CO55" si="271">CJ55/AA55</f>
        <v>0.275240743898364</v>
      </c>
      <c r="CN55" s="555">
        <f t="shared" si="271"/>
        <v>0.257373838212836</v>
      </c>
      <c r="CO55" s="556">
        <f t="shared" si="271"/>
        <v>0.274733190012326</v>
      </c>
      <c r="CP55" s="29" t="s">
        <v>120</v>
      </c>
      <c r="CQ55" s="535">
        <f t="shared" si="229"/>
        <v>2</v>
      </c>
      <c r="CR55" s="29" t="s">
        <v>120</v>
      </c>
      <c r="CS55" s="29" t="s">
        <v>120</v>
      </c>
      <c r="CT55" s="29" t="s">
        <v>120</v>
      </c>
      <c r="CU55" s="29" t="s">
        <v>120</v>
      </c>
      <c r="CV55" s="29" t="s">
        <v>120</v>
      </c>
    </row>
    <row r="56" customHeight="1" spans="1:100">
      <c r="A56" s="29" t="s">
        <v>130</v>
      </c>
      <c r="B56" s="542"/>
      <c r="C56" s="312" t="s">
        <v>1074</v>
      </c>
      <c r="D56" s="29" t="s">
        <v>130</v>
      </c>
      <c r="E56" s="29"/>
      <c r="F56" s="29" t="s">
        <v>1038</v>
      </c>
      <c r="G56" s="29" t="s">
        <v>123</v>
      </c>
      <c r="H56" s="29" t="b">
        <v>1</v>
      </c>
      <c r="I56" s="29" t="b">
        <v>1</v>
      </c>
      <c r="J56" s="29" t="b">
        <v>0</v>
      </c>
      <c r="K56" s="29" t="b">
        <v>0</v>
      </c>
      <c r="L56" s="29" t="b">
        <v>1</v>
      </c>
      <c r="M56" s="29" t="b">
        <v>1</v>
      </c>
      <c r="N56" s="29" t="s">
        <v>125</v>
      </c>
      <c r="O56" s="29" t="s">
        <v>126</v>
      </c>
      <c r="P56" s="29" t="b">
        <v>0</v>
      </c>
      <c r="Q56" s="29" t="b">
        <v>0</v>
      </c>
      <c r="R56" s="29" t="b">
        <v>0</v>
      </c>
      <c r="S56" s="29" t="b">
        <v>1</v>
      </c>
      <c r="T56" s="29" t="b">
        <f t="shared" si="0"/>
        <v>0</v>
      </c>
      <c r="U56" s="29" t="s">
        <v>997</v>
      </c>
      <c r="V56" s="29" t="s">
        <v>124</v>
      </c>
      <c r="W56" s="29">
        <v>2</v>
      </c>
      <c r="X56" s="29" t="s">
        <v>1040</v>
      </c>
      <c r="Y56" s="16" t="s">
        <v>1041</v>
      </c>
      <c r="Z56" s="29" t="s">
        <v>1042</v>
      </c>
      <c r="AA56" s="554">
        <f t="shared" ref="AA56:AC56" si="272">AVERAGE(AJ56,AM56,AP56,AV56,AY56,AS56,BZ56,BB56,BE56,BH56,BK56,BN56,BQ56,BT56)</f>
        <v>207.5</v>
      </c>
      <c r="AB56" s="555">
        <f t="shared" si="272"/>
        <v>122.070328638498</v>
      </c>
      <c r="AC56" s="556">
        <f t="shared" si="272"/>
        <v>87.9312621359223</v>
      </c>
      <c r="AD56" s="29" t="b">
        <v>1</v>
      </c>
      <c r="AE56" s="29" t="b">
        <v>0</v>
      </c>
      <c r="AF56" s="29" t="b">
        <v>0</v>
      </c>
      <c r="AG56" s="574">
        <v>240</v>
      </c>
      <c r="AH56" s="569">
        <v>130</v>
      </c>
      <c r="AI56" s="570">
        <v>90</v>
      </c>
      <c r="AJ56" s="567"/>
      <c r="AK56" s="567"/>
      <c r="AL56" s="568"/>
      <c r="AM56" s="569">
        <v>240</v>
      </c>
      <c r="AN56" s="569">
        <f t="shared" ref="AN56:AO56" si="273">AM56/(1+(AM56/292.5))</f>
        <v>131.830985915493</v>
      </c>
      <c r="AO56" s="570">
        <f t="shared" si="273"/>
        <v>90.873786407767</v>
      </c>
      <c r="AP56" s="569">
        <v>175</v>
      </c>
      <c r="AQ56" s="569">
        <v>109.38</v>
      </c>
      <c r="AR56" s="570">
        <v>72.92</v>
      </c>
      <c r="AS56" s="569"/>
      <c r="AT56" s="567"/>
      <c r="AU56" s="568"/>
      <c r="AV56" s="567"/>
      <c r="AW56" s="567"/>
      <c r="AX56" s="568"/>
      <c r="AY56" s="567"/>
      <c r="AZ56" s="569">
        <v>125</v>
      </c>
      <c r="BA56" s="570">
        <v>100</v>
      </c>
      <c r="BB56" s="567"/>
      <c r="BC56" s="569"/>
      <c r="BD56" s="570"/>
      <c r="BE56" s="567"/>
      <c r="BF56" s="569"/>
      <c r="BG56" s="570"/>
      <c r="BH56" s="567"/>
      <c r="BI56" s="569"/>
      <c r="BJ56" s="570"/>
      <c r="BK56" s="567"/>
      <c r="BL56" s="569"/>
      <c r="BM56" s="570"/>
      <c r="BN56" s="567"/>
      <c r="BO56" s="569"/>
      <c r="BP56" s="570"/>
      <c r="BQ56" s="567"/>
      <c r="BR56" s="569"/>
      <c r="BS56" s="570"/>
      <c r="BT56" s="567"/>
      <c r="BU56" s="569"/>
      <c r="BV56" s="570"/>
      <c r="BW56" s="567"/>
      <c r="BX56" s="569"/>
      <c r="BY56" s="570"/>
      <c r="BZ56" s="567"/>
      <c r="CA56" s="569"/>
      <c r="CB56" s="569"/>
      <c r="CC56" s="583"/>
      <c r="CD56" s="555">
        <f t="shared" ref="CD56:CF56" si="274">MEDIAN(AM56,AP56,AS56,AY56,BB56,AV56,AA56,BE56,BK56,BZ56,BH56,BN56,BQ56,BT56,BW56)</f>
        <v>207.5</v>
      </c>
      <c r="CE56" s="555">
        <f t="shared" si="274"/>
        <v>123.535164319249</v>
      </c>
      <c r="CF56" s="556">
        <f t="shared" si="274"/>
        <v>89.4025242718447</v>
      </c>
      <c r="CG56" s="555">
        <f t="shared" ref="CG56:CI56" si="275">MAX(AP56,AS56,AV56,BB56,BE56,AY56,CD56,BK56,BZ56,AA56)-MIN(AP56,AS56,AV56,BB56,BE56,AY56,CD56,BK56,BZ56,AA56)</f>
        <v>32.5</v>
      </c>
      <c r="CH56" s="555">
        <f t="shared" si="275"/>
        <v>15.62</v>
      </c>
      <c r="CI56" s="556">
        <f t="shared" si="275"/>
        <v>27.08</v>
      </c>
      <c r="CJ56" s="555">
        <f t="shared" ref="CJ56:CL56" si="276">STDEV(AS56,AV56,AY56,BE56,BK56,BB56,CG56,BZ56,AA56,CD56)</f>
        <v>101.036297108184</v>
      </c>
      <c r="CK56" s="555">
        <f t="shared" si="276"/>
        <v>53.9708362750386</v>
      </c>
      <c r="CL56" s="556">
        <f t="shared" si="276"/>
        <v>33.1215250666173</v>
      </c>
      <c r="CM56" s="555">
        <f t="shared" ref="CM56:CO56" si="277">CJ56/AA56</f>
        <v>0.486921913774383</v>
      </c>
      <c r="CN56" s="555">
        <f t="shared" si="277"/>
        <v>0.442129032312752</v>
      </c>
      <c r="CO56" s="556">
        <f t="shared" si="277"/>
        <v>0.376675192213421</v>
      </c>
      <c r="CP56" s="29" t="s">
        <v>120</v>
      </c>
      <c r="CQ56" s="535">
        <f t="shared" si="229"/>
        <v>2</v>
      </c>
      <c r="CR56" s="29" t="s">
        <v>120</v>
      </c>
      <c r="CS56" s="29" t="s">
        <v>120</v>
      </c>
      <c r="CT56" s="29" t="s">
        <v>120</v>
      </c>
      <c r="CU56" s="29" t="s">
        <v>120</v>
      </c>
      <c r="CV56" s="29" t="s">
        <v>120</v>
      </c>
    </row>
    <row r="57" customHeight="1" spans="1:100">
      <c r="A57" s="29" t="s">
        <v>131</v>
      </c>
      <c r="B57" s="542"/>
      <c r="C57" s="312" t="s">
        <v>1074</v>
      </c>
      <c r="D57" s="29" t="s">
        <v>131</v>
      </c>
      <c r="E57" s="29"/>
      <c r="F57" s="29" t="s">
        <v>1038</v>
      </c>
      <c r="G57" s="29" t="s">
        <v>123</v>
      </c>
      <c r="H57" s="29" t="b">
        <v>1</v>
      </c>
      <c r="I57" s="29" t="b">
        <v>1</v>
      </c>
      <c r="J57" s="29" t="b">
        <v>0</v>
      </c>
      <c r="K57" s="29" t="b">
        <v>0</v>
      </c>
      <c r="L57" s="29" t="b">
        <v>1</v>
      </c>
      <c r="M57" s="29" t="b">
        <v>1</v>
      </c>
      <c r="N57" s="29" t="s">
        <v>125</v>
      </c>
      <c r="O57" s="29" t="s">
        <v>126</v>
      </c>
      <c r="P57" s="29" t="b">
        <v>0</v>
      </c>
      <c r="Q57" s="29" t="b">
        <v>0</v>
      </c>
      <c r="R57" s="29" t="b">
        <v>0</v>
      </c>
      <c r="S57" s="29" t="b">
        <v>1</v>
      </c>
      <c r="T57" s="29" t="b">
        <f t="shared" si="0"/>
        <v>0</v>
      </c>
      <c r="U57" s="29" t="s">
        <v>997</v>
      </c>
      <c r="V57" s="29" t="s">
        <v>129</v>
      </c>
      <c r="W57" s="29">
        <v>2</v>
      </c>
      <c r="X57" s="29" t="s">
        <v>1040</v>
      </c>
      <c r="Y57" s="16" t="s">
        <v>1041</v>
      </c>
      <c r="Z57" s="29" t="s">
        <v>1042</v>
      </c>
      <c r="AA57" s="554">
        <f t="shared" ref="AA57:AC57" si="278">AVERAGE(AJ57,AM57,AP57,AV57,AY57,AS57,BZ57,BB57,BE57,BH57,BK57,BN57,BQ57,BT57)</f>
        <v>262.5</v>
      </c>
      <c r="AB57" s="555">
        <f t="shared" si="278"/>
        <v>142.105161290323</v>
      </c>
      <c r="AC57" s="556">
        <f t="shared" si="278"/>
        <v>101.714074074074</v>
      </c>
      <c r="AD57" s="29" t="b">
        <v>1</v>
      </c>
      <c r="AE57" s="29" t="b">
        <v>0</v>
      </c>
      <c r="AF57" s="29" t="b">
        <v>0</v>
      </c>
      <c r="AG57" s="574">
        <v>325</v>
      </c>
      <c r="AH57" s="569">
        <v>190</v>
      </c>
      <c r="AI57" s="570">
        <v>130</v>
      </c>
      <c r="AJ57" s="567"/>
      <c r="AK57" s="567"/>
      <c r="AL57" s="568"/>
      <c r="AM57" s="569">
        <v>350</v>
      </c>
      <c r="AN57" s="569">
        <f t="shared" ref="AN57:AO57" si="279">AM57/(1+(AM57/425))</f>
        <v>191.935483870968</v>
      </c>
      <c r="AO57" s="570">
        <f t="shared" si="279"/>
        <v>132.222222222222</v>
      </c>
      <c r="AP57" s="569">
        <v>175</v>
      </c>
      <c r="AQ57" s="569">
        <v>109.38</v>
      </c>
      <c r="AR57" s="570">
        <v>72.92</v>
      </c>
      <c r="AS57" s="567"/>
      <c r="AT57" s="567"/>
      <c r="AU57" s="568"/>
      <c r="AV57" s="567"/>
      <c r="AW57" s="567"/>
      <c r="AX57" s="568"/>
      <c r="AY57" s="567"/>
      <c r="AZ57" s="569">
        <v>125</v>
      </c>
      <c r="BA57" s="570">
        <v>100</v>
      </c>
      <c r="BB57" s="567"/>
      <c r="BC57" s="569"/>
      <c r="BD57" s="570"/>
      <c r="BE57" s="567"/>
      <c r="BF57" s="569"/>
      <c r="BG57" s="570"/>
      <c r="BH57" s="567"/>
      <c r="BI57" s="569"/>
      <c r="BJ57" s="570"/>
      <c r="BK57" s="567"/>
      <c r="BL57" s="569"/>
      <c r="BM57" s="570"/>
      <c r="BN57" s="567"/>
      <c r="BO57" s="569"/>
      <c r="BP57" s="570"/>
      <c r="BQ57" s="567"/>
      <c r="BR57" s="569"/>
      <c r="BS57" s="570"/>
      <c r="BT57" s="567"/>
      <c r="BU57" s="569"/>
      <c r="BV57" s="570"/>
      <c r="BW57" s="567"/>
      <c r="BX57" s="569"/>
      <c r="BY57" s="570"/>
      <c r="BZ57" s="567"/>
      <c r="CA57" s="569"/>
      <c r="CB57" s="569"/>
      <c r="CC57" s="583"/>
      <c r="CD57" s="555">
        <f t="shared" ref="CD57:CF57" si="280">MEDIAN(AM57,AP57,AS57,AY57,BB57,AV57,AA57,BE57,BK57,BZ57,BH57,BN57,BQ57,BT57,BW57)</f>
        <v>262.5</v>
      </c>
      <c r="CE57" s="555">
        <f t="shared" si="280"/>
        <v>133.552580645161</v>
      </c>
      <c r="CF57" s="556">
        <f t="shared" si="280"/>
        <v>100.857037037037</v>
      </c>
      <c r="CG57" s="555">
        <f t="shared" ref="CG57:CI57" si="281">MAX(AP57,AS57,AV57,BB57,BE57,AY57,CD57,BK57,BZ57,AA57)-MIN(AP57,AS57,AV57,BB57,BE57,AY57,CD57,BK57,BZ57,AA57)</f>
        <v>87.5</v>
      </c>
      <c r="CH57" s="555">
        <f t="shared" si="281"/>
        <v>32.7251612903226</v>
      </c>
      <c r="CI57" s="556">
        <f t="shared" si="281"/>
        <v>28.7940740740741</v>
      </c>
      <c r="CJ57" s="555">
        <f t="shared" ref="CJ57:CL57" si="282">STDEV(AS57,AV57,AY57,BE57,BK57,BB57,CG57,BZ57,AA57,CD57)</f>
        <v>101.036297108184</v>
      </c>
      <c r="CK57" s="555">
        <f t="shared" si="282"/>
        <v>50.8950542512117</v>
      </c>
      <c r="CL57" s="556">
        <f t="shared" si="282"/>
        <v>36.0382759401572</v>
      </c>
      <c r="CM57" s="555">
        <f t="shared" ref="CM57:CO57" si="283">CJ57/AA57</f>
        <v>0.38490017945975</v>
      </c>
      <c r="CN57" s="555">
        <f t="shared" si="283"/>
        <v>0.358150638506595</v>
      </c>
      <c r="CO57" s="556">
        <f t="shared" si="283"/>
        <v>0.354309629893617</v>
      </c>
      <c r="CP57" s="29" t="s">
        <v>120</v>
      </c>
      <c r="CQ57" s="535">
        <f t="shared" si="229"/>
        <v>2</v>
      </c>
      <c r="CR57" s="29" t="s">
        <v>120</v>
      </c>
      <c r="CS57" s="29" t="s">
        <v>120</v>
      </c>
      <c r="CT57" s="29" t="s">
        <v>120</v>
      </c>
      <c r="CU57" s="29" t="s">
        <v>120</v>
      </c>
      <c r="CV57" s="29" t="s">
        <v>120</v>
      </c>
    </row>
    <row r="58" customHeight="1" spans="1:100">
      <c r="A58" s="29" t="s">
        <v>132</v>
      </c>
      <c r="B58" s="542"/>
      <c r="C58" s="312" t="s">
        <v>1074</v>
      </c>
      <c r="D58" s="29" t="s">
        <v>132</v>
      </c>
      <c r="E58" s="29"/>
      <c r="F58" s="29" t="s">
        <v>1038</v>
      </c>
      <c r="G58" s="29" t="s">
        <v>123</v>
      </c>
      <c r="H58" s="29" t="b">
        <v>1</v>
      </c>
      <c r="I58" s="29" t="b">
        <v>1</v>
      </c>
      <c r="J58" s="29" t="b">
        <v>0</v>
      </c>
      <c r="K58" s="29" t="b">
        <v>0</v>
      </c>
      <c r="L58" s="29" t="b">
        <v>1</v>
      </c>
      <c r="M58" s="29" t="b">
        <v>1</v>
      </c>
      <c r="N58" s="29" t="s">
        <v>133</v>
      </c>
      <c r="O58" s="29" t="s">
        <v>126</v>
      </c>
      <c r="P58" s="29" t="b">
        <v>0</v>
      </c>
      <c r="Q58" s="29" t="b">
        <v>0</v>
      </c>
      <c r="R58" s="29" t="b">
        <v>0</v>
      </c>
      <c r="S58" s="29" t="b">
        <v>1</v>
      </c>
      <c r="T58" s="29" t="b">
        <f t="shared" si="0"/>
        <v>0</v>
      </c>
      <c r="U58" s="29" t="s">
        <v>997</v>
      </c>
      <c r="V58" s="29" t="s">
        <v>124</v>
      </c>
      <c r="W58" s="29">
        <v>1</v>
      </c>
      <c r="X58" s="29" t="s">
        <v>1040</v>
      </c>
      <c r="Y58" s="16" t="s">
        <v>1041</v>
      </c>
      <c r="Z58" s="29" t="s">
        <v>1042</v>
      </c>
      <c r="AA58" s="554">
        <f t="shared" ref="AA58:AC58" si="284">AVERAGE(AJ58,AM58,AP58,AV58,AY58,AS58,BZ58,BB58,BE58,BH58,BK58,BN58,BQ58,BT58)</f>
        <v>450</v>
      </c>
      <c r="AB58" s="555" t="e">
        <f t="shared" si="284"/>
        <v>#DIV/0!</v>
      </c>
      <c r="AC58" s="556" t="e">
        <f t="shared" si="284"/>
        <v>#DIV/0!</v>
      </c>
      <c r="AD58" s="29" t="b">
        <v>1</v>
      </c>
      <c r="AE58" s="29" t="b">
        <v>0</v>
      </c>
      <c r="AF58" s="29" t="b">
        <v>0</v>
      </c>
      <c r="AG58" s="574">
        <v>550</v>
      </c>
      <c r="AH58" s="569" t="s">
        <v>13</v>
      </c>
      <c r="AI58" s="570" t="s">
        <v>13</v>
      </c>
      <c r="AJ58" s="567"/>
      <c r="AK58" s="567"/>
      <c r="AL58" s="568"/>
      <c r="AM58" s="569">
        <v>700</v>
      </c>
      <c r="AN58" s="569" t="s">
        <v>13</v>
      </c>
      <c r="AO58" s="570" t="s">
        <v>13</v>
      </c>
      <c r="AP58" s="575"/>
      <c r="AQ58" s="575"/>
      <c r="AR58" s="576"/>
      <c r="AS58" s="569">
        <v>200</v>
      </c>
      <c r="AT58" s="567"/>
      <c r="AU58" s="568"/>
      <c r="AV58" s="567"/>
      <c r="AW58" s="567"/>
      <c r="AX58" s="568"/>
      <c r="AY58" s="567"/>
      <c r="AZ58" s="567"/>
      <c r="BA58" s="568"/>
      <c r="BB58" s="567"/>
      <c r="BC58" s="567"/>
      <c r="BD58" s="568"/>
      <c r="BE58" s="567"/>
      <c r="BF58" s="567"/>
      <c r="BG58" s="568"/>
      <c r="BH58" s="567"/>
      <c r="BI58" s="567"/>
      <c r="BJ58" s="568"/>
      <c r="BK58" s="567"/>
      <c r="BL58" s="567"/>
      <c r="BM58" s="568"/>
      <c r="BN58" s="567"/>
      <c r="BO58" s="567"/>
      <c r="BP58" s="568"/>
      <c r="BQ58" s="567"/>
      <c r="BR58" s="567"/>
      <c r="BS58" s="568"/>
      <c r="BT58" s="567"/>
      <c r="BU58" s="567"/>
      <c r="BV58" s="568"/>
      <c r="BW58" s="567"/>
      <c r="BX58" s="567"/>
      <c r="BY58" s="568"/>
      <c r="BZ58" s="567"/>
      <c r="CA58" s="567"/>
      <c r="CB58" s="567"/>
      <c r="CC58" s="583"/>
      <c r="CD58" s="555">
        <f t="shared" ref="CD58:CF58" si="285">MEDIAN(AM58,AP58,AS58,AY58,BB58,AV58,AA58,BE58,BK58,BZ58,BH58,BN58,BQ58,BT58,BW58)</f>
        <v>450</v>
      </c>
      <c r="CE58" s="555" t="e">
        <f t="shared" si="285"/>
        <v>#DIV/0!</v>
      </c>
      <c r="CF58" s="556" t="e">
        <f t="shared" si="285"/>
        <v>#DIV/0!</v>
      </c>
      <c r="CG58" s="555">
        <f t="shared" ref="CG58:CI58" si="286">MAX(AP58,AS58,AV58,BB58,BE58,AY58,CD58,BK58,BZ58,AA58)-MIN(AP58,AS58,AV58,BB58,BE58,AY58,CD58,BK58,BZ58,AA58)</f>
        <v>250</v>
      </c>
      <c r="CH58" s="555" t="e">
        <f t="shared" si="286"/>
        <v>#DIV/0!</v>
      </c>
      <c r="CI58" s="556" t="e">
        <f t="shared" si="286"/>
        <v>#DIV/0!</v>
      </c>
      <c r="CJ58" s="555">
        <f t="shared" ref="CJ58:CL58" si="287">STDEV(AS58,AV58,AY58,BE58,BK58,BB58,CG58,BZ58,AA58,CD58)</f>
        <v>131.497781983829</v>
      </c>
      <c r="CK58" s="555" t="e">
        <f t="shared" si="287"/>
        <v>#DIV/0!</v>
      </c>
      <c r="CL58" s="556" t="e">
        <f t="shared" si="287"/>
        <v>#DIV/0!</v>
      </c>
      <c r="CM58" s="555">
        <f t="shared" ref="CM58:CO58" si="288">CJ58/AA58</f>
        <v>0.292217293297398</v>
      </c>
      <c r="CN58" s="555" t="e">
        <f t="shared" si="288"/>
        <v>#DIV/0!</v>
      </c>
      <c r="CO58" s="556" t="e">
        <f t="shared" si="288"/>
        <v>#DIV/0!</v>
      </c>
      <c r="CP58" s="29" t="s">
        <v>120</v>
      </c>
      <c r="CQ58" s="535">
        <f t="shared" si="229"/>
        <v>1</v>
      </c>
      <c r="CR58" s="29" t="s">
        <v>120</v>
      </c>
      <c r="CS58" s="29" t="s">
        <v>120</v>
      </c>
      <c r="CT58" s="29" t="s">
        <v>120</v>
      </c>
      <c r="CU58" s="29" t="s">
        <v>120</v>
      </c>
      <c r="CV58" s="29" t="s">
        <v>120</v>
      </c>
    </row>
    <row r="59" customHeight="1" spans="1:100">
      <c r="A59" s="29" t="s">
        <v>134</v>
      </c>
      <c r="B59" s="542"/>
      <c r="C59" s="312" t="s">
        <v>1074</v>
      </c>
      <c r="D59" s="29" t="s">
        <v>134</v>
      </c>
      <c r="E59" s="29"/>
      <c r="F59" s="29" t="s">
        <v>1038</v>
      </c>
      <c r="G59" s="29" t="s">
        <v>123</v>
      </c>
      <c r="H59" s="29" t="b">
        <v>1</v>
      </c>
      <c r="I59" s="29" t="b">
        <v>1</v>
      </c>
      <c r="J59" s="29" t="b">
        <v>0</v>
      </c>
      <c r="K59" s="29" t="b">
        <v>0</v>
      </c>
      <c r="L59" s="29" t="b">
        <v>1</v>
      </c>
      <c r="M59" s="29" t="b">
        <v>1</v>
      </c>
      <c r="N59" s="29" t="s">
        <v>133</v>
      </c>
      <c r="O59" s="29" t="s">
        <v>126</v>
      </c>
      <c r="P59" s="29" t="b">
        <v>0</v>
      </c>
      <c r="Q59" s="29" t="b">
        <v>0</v>
      </c>
      <c r="R59" s="29" t="b">
        <v>0</v>
      </c>
      <c r="S59" s="29" t="b">
        <v>1</v>
      </c>
      <c r="T59" s="29" t="b">
        <f t="shared" si="0"/>
        <v>0</v>
      </c>
      <c r="U59" s="29" t="s">
        <v>997</v>
      </c>
      <c r="V59" s="29" t="s">
        <v>129</v>
      </c>
      <c r="W59" s="29">
        <v>1</v>
      </c>
      <c r="X59" s="29" t="s">
        <v>1040</v>
      </c>
      <c r="Y59" s="16" t="s">
        <v>1041</v>
      </c>
      <c r="Z59" s="29" t="s">
        <v>1042</v>
      </c>
      <c r="AA59" s="554">
        <f t="shared" ref="AA59:AC59" si="289">AVERAGE(AJ59,AM59,AP59,AV59,AY59,AS59,BZ59,BB59,BE59,BH59,BK59,BN59,BQ59,BT59)</f>
        <v>450</v>
      </c>
      <c r="AB59" s="555" t="e">
        <f t="shared" si="289"/>
        <v>#DIV/0!</v>
      </c>
      <c r="AC59" s="556" t="e">
        <f t="shared" si="289"/>
        <v>#DIV/0!</v>
      </c>
      <c r="AD59" s="29" t="b">
        <v>1</v>
      </c>
      <c r="AE59" s="29" t="b">
        <v>0</v>
      </c>
      <c r="AF59" s="29" t="b">
        <v>0</v>
      </c>
      <c r="AG59" s="574">
        <v>700</v>
      </c>
      <c r="AH59" s="569" t="s">
        <v>13</v>
      </c>
      <c r="AI59" s="570" t="s">
        <v>13</v>
      </c>
      <c r="AJ59" s="567"/>
      <c r="AK59" s="567"/>
      <c r="AL59" s="568"/>
      <c r="AM59" s="569">
        <v>700</v>
      </c>
      <c r="AN59" s="569" t="s">
        <v>13</v>
      </c>
      <c r="AO59" s="570" t="s">
        <v>13</v>
      </c>
      <c r="AP59" s="575"/>
      <c r="AQ59" s="575"/>
      <c r="AR59" s="576"/>
      <c r="AS59" s="569">
        <v>200</v>
      </c>
      <c r="AT59" s="567"/>
      <c r="AU59" s="568"/>
      <c r="AV59" s="567"/>
      <c r="AW59" s="567"/>
      <c r="AX59" s="568"/>
      <c r="AY59" s="567"/>
      <c r="AZ59" s="567"/>
      <c r="BA59" s="568"/>
      <c r="BB59" s="567"/>
      <c r="BC59" s="567"/>
      <c r="BD59" s="568"/>
      <c r="BE59" s="567"/>
      <c r="BF59" s="567"/>
      <c r="BG59" s="568"/>
      <c r="BH59" s="567"/>
      <c r="BI59" s="567"/>
      <c r="BJ59" s="568"/>
      <c r="BK59" s="567"/>
      <c r="BL59" s="567"/>
      <c r="BM59" s="568"/>
      <c r="BN59" s="567"/>
      <c r="BO59" s="567"/>
      <c r="BP59" s="568"/>
      <c r="BQ59" s="567"/>
      <c r="BR59" s="567"/>
      <c r="BS59" s="568"/>
      <c r="BT59" s="567"/>
      <c r="BU59" s="567"/>
      <c r="BV59" s="568"/>
      <c r="BW59" s="567"/>
      <c r="BX59" s="567"/>
      <c r="BY59" s="568"/>
      <c r="BZ59" s="567"/>
      <c r="CA59" s="567"/>
      <c r="CB59" s="567"/>
      <c r="CC59" s="583"/>
      <c r="CD59" s="555">
        <f t="shared" ref="CD59:CF59" si="290">MEDIAN(AM59,AP59,AS59,AY59,BB59,AV59,AA59,BE59,BK59,BZ59,BH59,BN59,BQ59,BT59,BW59)</f>
        <v>450</v>
      </c>
      <c r="CE59" s="555" t="e">
        <f t="shared" si="290"/>
        <v>#DIV/0!</v>
      </c>
      <c r="CF59" s="556" t="e">
        <f t="shared" si="290"/>
        <v>#DIV/0!</v>
      </c>
      <c r="CG59" s="555">
        <f t="shared" ref="CG59:CI59" si="291">MAX(AP59,AS59,AV59,BB59,BE59,AY59,CD59,BK59,BZ59,AA59)-MIN(AP59,AS59,AV59,BB59,BE59,AY59,CD59,BK59,BZ59,AA59)</f>
        <v>250</v>
      </c>
      <c r="CH59" s="555" t="e">
        <f t="shared" si="291"/>
        <v>#DIV/0!</v>
      </c>
      <c r="CI59" s="556" t="e">
        <f t="shared" si="291"/>
        <v>#DIV/0!</v>
      </c>
      <c r="CJ59" s="555">
        <f t="shared" ref="CJ59:CL59" si="292">STDEV(AS59,AV59,AY59,BE59,BK59,BB59,CG59,BZ59,AA59,CD59)</f>
        <v>131.497781983829</v>
      </c>
      <c r="CK59" s="555" t="e">
        <f t="shared" si="292"/>
        <v>#DIV/0!</v>
      </c>
      <c r="CL59" s="556" t="e">
        <f t="shared" si="292"/>
        <v>#DIV/0!</v>
      </c>
      <c r="CM59" s="555">
        <f t="shared" ref="CM59:CO59" si="293">CJ59/AA59</f>
        <v>0.292217293297398</v>
      </c>
      <c r="CN59" s="555" t="e">
        <f t="shared" si="293"/>
        <v>#DIV/0!</v>
      </c>
      <c r="CO59" s="556" t="e">
        <f t="shared" si="293"/>
        <v>#DIV/0!</v>
      </c>
      <c r="CP59" s="29" t="s">
        <v>120</v>
      </c>
      <c r="CQ59" s="535">
        <f t="shared" si="229"/>
        <v>1</v>
      </c>
      <c r="CR59" s="29" t="s">
        <v>120</v>
      </c>
      <c r="CS59" s="29" t="s">
        <v>120</v>
      </c>
      <c r="CT59" s="29" t="s">
        <v>120</v>
      </c>
      <c r="CU59" s="29" t="s">
        <v>120</v>
      </c>
      <c r="CV59" s="29" t="s">
        <v>120</v>
      </c>
    </row>
    <row r="60" customHeight="1" spans="1:100">
      <c r="A60" s="29" t="s">
        <v>135</v>
      </c>
      <c r="B60" s="542"/>
      <c r="C60" s="312" t="s">
        <v>1074</v>
      </c>
      <c r="D60" s="29" t="s">
        <v>135</v>
      </c>
      <c r="E60" s="29"/>
      <c r="F60" s="29" t="s">
        <v>1038</v>
      </c>
      <c r="G60" s="29" t="s">
        <v>123</v>
      </c>
      <c r="H60" s="29" t="b">
        <v>1</v>
      </c>
      <c r="I60" s="29" t="b">
        <v>1</v>
      </c>
      <c r="J60" s="29" t="b">
        <v>0</v>
      </c>
      <c r="K60" s="29" t="b">
        <v>0</v>
      </c>
      <c r="L60" s="29" t="b">
        <v>1</v>
      </c>
      <c r="M60" s="29" t="b">
        <v>1</v>
      </c>
      <c r="N60" s="29" t="s">
        <v>133</v>
      </c>
      <c r="O60" s="29">
        <v>80</v>
      </c>
      <c r="P60" s="29" t="b">
        <v>0</v>
      </c>
      <c r="Q60" s="29" t="b">
        <v>0</v>
      </c>
      <c r="R60" s="29" t="b">
        <v>0</v>
      </c>
      <c r="S60" s="29" t="b">
        <v>1</v>
      </c>
      <c r="T60" s="29" t="b">
        <f t="shared" si="0"/>
        <v>0</v>
      </c>
      <c r="U60" s="29" t="s">
        <v>997</v>
      </c>
      <c r="V60" s="29" t="s">
        <v>124</v>
      </c>
      <c r="W60" s="29">
        <v>1</v>
      </c>
      <c r="X60" s="29" t="s">
        <v>1040</v>
      </c>
      <c r="Y60" s="16" t="s">
        <v>1041</v>
      </c>
      <c r="Z60" s="29" t="s">
        <v>1042</v>
      </c>
      <c r="AA60" s="554">
        <f t="shared" ref="AA60:AC60" si="294">AVERAGE(AJ60,AM60,AP60,AV60,AY60,AS60,BZ60,BB60,BE60,BH60,BK60,BN60,BQ60,BT60)</f>
        <v>337.5</v>
      </c>
      <c r="AB60" s="555" t="e">
        <f t="shared" si="294"/>
        <v>#DIV/0!</v>
      </c>
      <c r="AC60" s="556" t="e">
        <f t="shared" si="294"/>
        <v>#DIV/0!</v>
      </c>
      <c r="AD60" s="29" t="b">
        <v>1</v>
      </c>
      <c r="AE60" s="29" t="b">
        <v>0</v>
      </c>
      <c r="AF60" s="29" t="b">
        <v>0</v>
      </c>
      <c r="AG60" s="574">
        <v>325</v>
      </c>
      <c r="AH60" s="569" t="s">
        <v>13</v>
      </c>
      <c r="AI60" s="570" t="s">
        <v>13</v>
      </c>
      <c r="AJ60" s="567"/>
      <c r="AK60" s="567"/>
      <c r="AL60" s="568"/>
      <c r="AM60" s="569">
        <v>475</v>
      </c>
      <c r="AN60" s="569" t="s">
        <v>13</v>
      </c>
      <c r="AO60" s="570" t="s">
        <v>13</v>
      </c>
      <c r="AP60" s="575"/>
      <c r="AQ60" s="575"/>
      <c r="AR60" s="576"/>
      <c r="AS60" s="569">
        <v>200</v>
      </c>
      <c r="AT60" s="567"/>
      <c r="AU60" s="568"/>
      <c r="AV60" s="567"/>
      <c r="AW60" s="567"/>
      <c r="AX60" s="568"/>
      <c r="AY60" s="567"/>
      <c r="AZ60" s="567"/>
      <c r="BA60" s="568"/>
      <c r="BB60" s="567"/>
      <c r="BC60" s="567"/>
      <c r="BD60" s="568"/>
      <c r="BE60" s="567"/>
      <c r="BF60" s="567"/>
      <c r="BG60" s="568"/>
      <c r="BH60" s="567"/>
      <c r="BI60" s="567"/>
      <c r="BJ60" s="568"/>
      <c r="BK60" s="567"/>
      <c r="BL60" s="567"/>
      <c r="BM60" s="568"/>
      <c r="BN60" s="567"/>
      <c r="BO60" s="567"/>
      <c r="BP60" s="568"/>
      <c r="BQ60" s="567"/>
      <c r="BR60" s="567"/>
      <c r="BS60" s="568"/>
      <c r="BT60" s="567"/>
      <c r="BU60" s="567"/>
      <c r="BV60" s="568"/>
      <c r="BW60" s="567"/>
      <c r="BX60" s="567"/>
      <c r="BY60" s="568"/>
      <c r="BZ60" s="567"/>
      <c r="CA60" s="567"/>
      <c r="CB60" s="567"/>
      <c r="CC60" s="583"/>
      <c r="CD60" s="555">
        <f t="shared" ref="CD60:CF60" si="295">MEDIAN(AM60,AP60,AS60,AY60,BB60,AV60,AA60,BE60,BK60,BZ60,BH60,BN60,BQ60,BT60,BW60)</f>
        <v>337.5</v>
      </c>
      <c r="CE60" s="555" t="e">
        <f t="shared" si="295"/>
        <v>#DIV/0!</v>
      </c>
      <c r="CF60" s="556" t="e">
        <f t="shared" si="295"/>
        <v>#DIV/0!</v>
      </c>
      <c r="CG60" s="555">
        <f t="shared" ref="CG60:CI60" si="296">MAX(AP60,AS60,AV60,BB60,BE60,AY60,CD60,BK60,BZ60,AA60)-MIN(AP60,AS60,AV60,BB60,BE60,AY60,CD60,BK60,BZ60,AA60)</f>
        <v>137.5</v>
      </c>
      <c r="CH60" s="555" t="e">
        <f t="shared" si="296"/>
        <v>#DIV/0!</v>
      </c>
      <c r="CI60" s="556" t="e">
        <f t="shared" si="296"/>
        <v>#DIV/0!</v>
      </c>
      <c r="CJ60" s="555">
        <f t="shared" ref="CJ60:CL60" si="297">STDEV(AS60,AV60,AY60,BE60,BK60,BB60,CG60,BZ60,AA60,CD60)</f>
        <v>100.713599710599</v>
      </c>
      <c r="CK60" s="555" t="e">
        <f t="shared" si="297"/>
        <v>#DIV/0!</v>
      </c>
      <c r="CL60" s="556" t="e">
        <f t="shared" si="297"/>
        <v>#DIV/0!</v>
      </c>
      <c r="CM60" s="555">
        <f t="shared" ref="CM60:CO60" si="298">CJ60/AA60</f>
        <v>0.298410665809181</v>
      </c>
      <c r="CN60" s="555" t="e">
        <f t="shared" si="298"/>
        <v>#DIV/0!</v>
      </c>
      <c r="CO60" s="556" t="e">
        <f t="shared" si="298"/>
        <v>#DIV/0!</v>
      </c>
      <c r="CP60" s="29" t="s">
        <v>120</v>
      </c>
      <c r="CQ60" s="535">
        <f t="shared" si="229"/>
        <v>1</v>
      </c>
      <c r="CR60" s="29" t="s">
        <v>120</v>
      </c>
      <c r="CS60" s="29" t="s">
        <v>120</v>
      </c>
      <c r="CT60" s="29" t="s">
        <v>120</v>
      </c>
      <c r="CU60" s="29" t="s">
        <v>120</v>
      </c>
      <c r="CV60" s="29" t="s">
        <v>120</v>
      </c>
    </row>
    <row r="61" customHeight="1" spans="1:100">
      <c r="A61" s="29" t="s">
        <v>136</v>
      </c>
      <c r="B61" s="542"/>
      <c r="C61" s="312" t="s">
        <v>1074</v>
      </c>
      <c r="D61" s="29" t="s">
        <v>136</v>
      </c>
      <c r="E61" s="29"/>
      <c r="F61" s="29" t="s">
        <v>1038</v>
      </c>
      <c r="G61" s="29" t="s">
        <v>123</v>
      </c>
      <c r="H61" s="29" t="b">
        <v>1</v>
      </c>
      <c r="I61" s="29" t="b">
        <v>1</v>
      </c>
      <c r="J61" s="29" t="b">
        <v>0</v>
      </c>
      <c r="K61" s="29" t="b">
        <v>0</v>
      </c>
      <c r="L61" s="29" t="b">
        <v>1</v>
      </c>
      <c r="M61" s="29" t="b">
        <v>1</v>
      </c>
      <c r="N61" s="29" t="s">
        <v>133</v>
      </c>
      <c r="O61" s="29">
        <v>80</v>
      </c>
      <c r="P61" s="29" t="b">
        <v>0</v>
      </c>
      <c r="Q61" s="29" t="b">
        <v>0</v>
      </c>
      <c r="R61" s="29" t="b">
        <v>0</v>
      </c>
      <c r="S61" s="29" t="b">
        <v>1</v>
      </c>
      <c r="T61" s="29" t="b">
        <f t="shared" si="0"/>
        <v>0</v>
      </c>
      <c r="U61" s="29" t="s">
        <v>997</v>
      </c>
      <c r="V61" s="29" t="s">
        <v>129</v>
      </c>
      <c r="W61" s="29">
        <v>1</v>
      </c>
      <c r="X61" s="29" t="s">
        <v>1040</v>
      </c>
      <c r="Y61" s="16" t="s">
        <v>1041</v>
      </c>
      <c r="Z61" s="29" t="s">
        <v>1042</v>
      </c>
      <c r="AA61" s="554">
        <f t="shared" ref="AA61:AC61" si="299">AVERAGE(AJ61,AM61,AP61,AV61,AY61,AS61,BZ61,BB61,BE61,BH61,BK61,BN61,BQ61,BT61)</f>
        <v>337.5</v>
      </c>
      <c r="AB61" s="555" t="e">
        <f t="shared" si="299"/>
        <v>#DIV/0!</v>
      </c>
      <c r="AC61" s="556" t="e">
        <f t="shared" si="299"/>
        <v>#DIV/0!</v>
      </c>
      <c r="AD61" s="29" t="b">
        <v>1</v>
      </c>
      <c r="AE61" s="29" t="b">
        <v>0</v>
      </c>
      <c r="AF61" s="29" t="b">
        <v>0</v>
      </c>
      <c r="AG61" s="574">
        <v>475</v>
      </c>
      <c r="AH61" s="569" t="s">
        <v>13</v>
      </c>
      <c r="AI61" s="570" t="s">
        <v>13</v>
      </c>
      <c r="AJ61" s="567"/>
      <c r="AK61" s="567"/>
      <c r="AL61" s="568"/>
      <c r="AM61" s="569">
        <v>475</v>
      </c>
      <c r="AN61" s="569" t="s">
        <v>13</v>
      </c>
      <c r="AO61" s="570" t="s">
        <v>13</v>
      </c>
      <c r="AP61" s="575"/>
      <c r="AQ61" s="575"/>
      <c r="AR61" s="576"/>
      <c r="AS61" s="569">
        <v>200</v>
      </c>
      <c r="AT61" s="567"/>
      <c r="AU61" s="568"/>
      <c r="AV61" s="567"/>
      <c r="AW61" s="567"/>
      <c r="AX61" s="568"/>
      <c r="AY61" s="567"/>
      <c r="AZ61" s="567"/>
      <c r="BA61" s="568"/>
      <c r="BB61" s="567"/>
      <c r="BC61" s="567"/>
      <c r="BD61" s="568"/>
      <c r="BE61" s="567"/>
      <c r="BF61" s="567"/>
      <c r="BG61" s="568"/>
      <c r="BH61" s="567"/>
      <c r="BI61" s="567"/>
      <c r="BJ61" s="568"/>
      <c r="BK61" s="567"/>
      <c r="BL61" s="567"/>
      <c r="BM61" s="568"/>
      <c r="BN61" s="567"/>
      <c r="BO61" s="567"/>
      <c r="BP61" s="568"/>
      <c r="BQ61" s="567"/>
      <c r="BR61" s="567"/>
      <c r="BS61" s="568"/>
      <c r="BT61" s="567"/>
      <c r="BU61" s="567"/>
      <c r="BV61" s="568"/>
      <c r="BW61" s="567"/>
      <c r="BX61" s="567"/>
      <c r="BY61" s="568"/>
      <c r="BZ61" s="567"/>
      <c r="CA61" s="567"/>
      <c r="CB61" s="567"/>
      <c r="CC61" s="583"/>
      <c r="CD61" s="555">
        <f t="shared" ref="CD61:CF61" si="300">MEDIAN(AM61,AP61,AS61,AY61,BB61,AV61,AA61,BE61,BK61,BZ61,BH61,BN61,BQ61,BT61,BW61)</f>
        <v>337.5</v>
      </c>
      <c r="CE61" s="555" t="e">
        <f t="shared" si="300"/>
        <v>#DIV/0!</v>
      </c>
      <c r="CF61" s="556" t="e">
        <f t="shared" si="300"/>
        <v>#DIV/0!</v>
      </c>
      <c r="CG61" s="555">
        <f t="shared" ref="CG61:CI61" si="301">MAX(AP61,AS61,AV61,BB61,BE61,AY61,CD61,BK61,BZ61,AA61)-MIN(AP61,AS61,AV61,BB61,BE61,AY61,CD61,BK61,BZ61,AA61)</f>
        <v>137.5</v>
      </c>
      <c r="CH61" s="555" t="e">
        <f t="shared" si="301"/>
        <v>#DIV/0!</v>
      </c>
      <c r="CI61" s="556" t="e">
        <f t="shared" si="301"/>
        <v>#DIV/0!</v>
      </c>
      <c r="CJ61" s="555">
        <f t="shared" ref="CJ61:CL61" si="302">STDEV(AS61,AV61,AY61,BE61,BK61,BB61,CG61,BZ61,AA61,CD61)</f>
        <v>100.713599710599</v>
      </c>
      <c r="CK61" s="555" t="e">
        <f t="shared" si="302"/>
        <v>#DIV/0!</v>
      </c>
      <c r="CL61" s="556" t="e">
        <f t="shared" si="302"/>
        <v>#DIV/0!</v>
      </c>
      <c r="CM61" s="555">
        <f t="shared" ref="CM61:CO61" si="303">CJ61/AA61</f>
        <v>0.298410665809181</v>
      </c>
      <c r="CN61" s="555" t="e">
        <f t="shared" si="303"/>
        <v>#DIV/0!</v>
      </c>
      <c r="CO61" s="556" t="e">
        <f t="shared" si="303"/>
        <v>#DIV/0!</v>
      </c>
      <c r="CP61" s="29" t="s">
        <v>120</v>
      </c>
      <c r="CQ61" s="535">
        <f t="shared" si="229"/>
        <v>1</v>
      </c>
      <c r="CR61" s="29" t="s">
        <v>120</v>
      </c>
      <c r="CS61" s="29" t="s">
        <v>120</v>
      </c>
      <c r="CT61" s="29" t="s">
        <v>120</v>
      </c>
      <c r="CU61" s="29" t="s">
        <v>120</v>
      </c>
      <c r="CV61" s="29" t="s">
        <v>120</v>
      </c>
    </row>
    <row r="62" customHeight="1" spans="1:100">
      <c r="A62" s="29" t="s">
        <v>239</v>
      </c>
      <c r="B62" s="542"/>
      <c r="C62" s="312" t="s">
        <v>1074</v>
      </c>
      <c r="F62" s="308"/>
      <c r="G62" s="308"/>
      <c r="H62" s="29" t="b">
        <v>0</v>
      </c>
      <c r="I62" s="29" t="b">
        <v>0</v>
      </c>
      <c r="J62" s="29" t="b">
        <v>0</v>
      </c>
      <c r="K62" s="29" t="b">
        <v>0</v>
      </c>
      <c r="L62" s="29" t="b">
        <v>0</v>
      </c>
      <c r="M62" s="29" t="b">
        <v>0</v>
      </c>
      <c r="P62" s="29" t="b">
        <v>0</v>
      </c>
      <c r="Q62" s="29" t="b">
        <v>0</v>
      </c>
      <c r="R62" s="29" t="b">
        <v>0</v>
      </c>
      <c r="S62" s="29" t="b">
        <v>0</v>
      </c>
      <c r="T62" s="29" t="b">
        <f t="shared" si="0"/>
        <v>0</v>
      </c>
      <c r="U62" s="29" t="s">
        <v>1077</v>
      </c>
      <c r="W62" s="29">
        <v>2</v>
      </c>
      <c r="X62" s="29" t="s">
        <v>1040</v>
      </c>
      <c r="Y62" s="16" t="s">
        <v>1041</v>
      </c>
      <c r="Z62" s="29" t="s">
        <v>1042</v>
      </c>
      <c r="AA62" s="554" t="e">
        <f t="shared" ref="AA62:AC62" si="304">AVERAGE(AJ62,AM62,AP62,AV62,AY62,AS62,BZ62,BB62,BE62,BH62,BK62,BN62,BQ62,BT62)</f>
        <v>#DIV/0!</v>
      </c>
      <c r="AB62" s="555" t="e">
        <f t="shared" si="304"/>
        <v>#DIV/0!</v>
      </c>
      <c r="AC62" s="556" t="e">
        <f t="shared" si="304"/>
        <v>#DIV/0!</v>
      </c>
      <c r="AD62" s="29" t="b">
        <v>0</v>
      </c>
      <c r="AE62" s="29" t="b">
        <v>1</v>
      </c>
      <c r="AF62" s="29" t="b">
        <v>0</v>
      </c>
      <c r="AG62" s="566"/>
      <c r="AH62" s="567"/>
      <c r="AI62" s="568"/>
      <c r="AJ62" s="567"/>
      <c r="AK62" s="567"/>
      <c r="AL62" s="568"/>
      <c r="AM62" s="567"/>
      <c r="AN62" s="567"/>
      <c r="AO62" s="568"/>
      <c r="AP62" s="567"/>
      <c r="AQ62" s="567"/>
      <c r="AR62" s="568"/>
      <c r="AS62" s="567"/>
      <c r="AT62" s="567"/>
      <c r="AU62" s="568"/>
      <c r="AV62" s="567"/>
      <c r="AW62" s="567"/>
      <c r="AX62" s="568"/>
      <c r="AY62" s="567"/>
      <c r="AZ62" s="567"/>
      <c r="BA62" s="568"/>
      <c r="BB62" s="567"/>
      <c r="BC62" s="567"/>
      <c r="BD62" s="568"/>
      <c r="BE62" s="567"/>
      <c r="BF62" s="567"/>
      <c r="BG62" s="568"/>
      <c r="BH62" s="567"/>
      <c r="BI62" s="567"/>
      <c r="BJ62" s="568"/>
      <c r="BK62" s="567"/>
      <c r="BL62" s="567"/>
      <c r="BM62" s="568"/>
      <c r="BN62" s="567"/>
      <c r="BO62" s="567"/>
      <c r="BP62" s="568"/>
      <c r="BQ62" s="567"/>
      <c r="BR62" s="567"/>
      <c r="BS62" s="568"/>
      <c r="BT62" s="567"/>
      <c r="BU62" s="567"/>
      <c r="BV62" s="568"/>
      <c r="BW62" s="567"/>
      <c r="BX62" s="567"/>
      <c r="BY62" s="568"/>
      <c r="BZ62" s="567"/>
      <c r="CA62" s="567"/>
      <c r="CB62" s="567"/>
      <c r="CC62" s="583"/>
      <c r="CD62" s="555" t="e">
        <f t="shared" ref="CD62:CF62" si="305">MEDIAN(AM62,AP62,AS62,AY62,BB62,AV62,AA62,BE62,BK62,BZ62,BH62,BN62,BQ62,BT62,BW62)</f>
        <v>#DIV/0!</v>
      </c>
      <c r="CE62" s="555" t="e">
        <f t="shared" si="305"/>
        <v>#DIV/0!</v>
      </c>
      <c r="CF62" s="556" t="e">
        <f t="shared" si="305"/>
        <v>#DIV/0!</v>
      </c>
      <c r="CG62" s="555" t="e">
        <f t="shared" ref="CG62:CI62" si="306">MAX(AP62,AS62,AV62,BB62,BE62,AY62,CD62,BK62,BZ62,AA62)-MIN(AP62,AS62,AV62,BB62,BE62,AY62,CD62,BK62,BZ62,AA62)</f>
        <v>#DIV/0!</v>
      </c>
      <c r="CH62" s="555" t="e">
        <f t="shared" si="306"/>
        <v>#DIV/0!</v>
      </c>
      <c r="CI62" s="556" t="e">
        <f t="shared" si="306"/>
        <v>#DIV/0!</v>
      </c>
      <c r="CJ62" s="555" t="e">
        <f t="shared" ref="CJ62:CL62" si="307">STDEV(AS62,AV62,AY62,BE62,BK62,BB62,CG62,BZ62,AA62,CD62)</f>
        <v>#DIV/0!</v>
      </c>
      <c r="CK62" s="555" t="e">
        <f t="shared" si="307"/>
        <v>#DIV/0!</v>
      </c>
      <c r="CL62" s="556" t="e">
        <f t="shared" si="307"/>
        <v>#DIV/0!</v>
      </c>
      <c r="CM62" s="555" t="e">
        <f t="shared" ref="CM62:CO62" si="308">CJ62/AA62</f>
        <v>#DIV/0!</v>
      </c>
      <c r="CN62" s="555" t="e">
        <f t="shared" si="308"/>
        <v>#DIV/0!</v>
      </c>
      <c r="CO62" s="556" t="e">
        <f t="shared" si="308"/>
        <v>#DIV/0!</v>
      </c>
      <c r="CP62" s="29" t="s">
        <v>120</v>
      </c>
      <c r="CQ62" s="535">
        <f t="shared" si="229"/>
        <v>2</v>
      </c>
      <c r="CR62" s="29" t="s">
        <v>120</v>
      </c>
      <c r="CS62" s="29"/>
      <c r="CT62" s="29"/>
      <c r="CU62" s="29"/>
      <c r="CV62" s="29"/>
    </row>
    <row r="63" customHeight="1" spans="1:100">
      <c r="A63" s="29" t="s">
        <v>240</v>
      </c>
      <c r="B63" s="542"/>
      <c r="C63" s="312" t="s">
        <v>1074</v>
      </c>
      <c r="F63" s="308"/>
      <c r="G63" s="308"/>
      <c r="H63" s="29" t="b">
        <v>0</v>
      </c>
      <c r="I63" s="29" t="b">
        <v>0</v>
      </c>
      <c r="J63" s="29" t="b">
        <v>0</v>
      </c>
      <c r="K63" s="29" t="b">
        <v>0</v>
      </c>
      <c r="L63" s="29" t="b">
        <v>0</v>
      </c>
      <c r="M63" s="29" t="b">
        <v>0</v>
      </c>
      <c r="P63" s="29" t="b">
        <v>0</v>
      </c>
      <c r="Q63" s="29" t="b">
        <v>0</v>
      </c>
      <c r="R63" s="29" t="b">
        <v>0</v>
      </c>
      <c r="S63" s="29" t="b">
        <v>0</v>
      </c>
      <c r="T63" s="29" t="b">
        <f t="shared" si="0"/>
        <v>0</v>
      </c>
      <c r="U63" s="29" t="s">
        <v>1077</v>
      </c>
      <c r="W63" s="29">
        <v>2</v>
      </c>
      <c r="X63" s="29" t="s">
        <v>1040</v>
      </c>
      <c r="Y63" s="16" t="s">
        <v>1041</v>
      </c>
      <c r="Z63" s="29" t="s">
        <v>1042</v>
      </c>
      <c r="AA63" s="554" t="e">
        <f t="shared" ref="AA63:AC63" si="309">AVERAGE(AJ63,AM63,AP63,AV63,AY63,AS63,BZ63,BB63,BE63,BH63,BK63,BN63,BQ63,BT63)</f>
        <v>#DIV/0!</v>
      </c>
      <c r="AB63" s="555" t="e">
        <f t="shared" si="309"/>
        <v>#DIV/0!</v>
      </c>
      <c r="AC63" s="556" t="e">
        <f t="shared" si="309"/>
        <v>#DIV/0!</v>
      </c>
      <c r="AD63" s="29" t="b">
        <v>0</v>
      </c>
      <c r="AE63" s="29" t="b">
        <v>1</v>
      </c>
      <c r="AF63" s="29" t="b">
        <v>0</v>
      </c>
      <c r="AG63" s="566"/>
      <c r="AH63" s="567"/>
      <c r="AI63" s="568"/>
      <c r="AJ63" s="567"/>
      <c r="AK63" s="567"/>
      <c r="AL63" s="568"/>
      <c r="AM63" s="567"/>
      <c r="AN63" s="567"/>
      <c r="AO63" s="568"/>
      <c r="AP63" s="567"/>
      <c r="AQ63" s="567"/>
      <c r="AR63" s="568"/>
      <c r="AS63" s="567"/>
      <c r="AT63" s="567"/>
      <c r="AU63" s="568"/>
      <c r="AV63" s="567"/>
      <c r="AW63" s="567"/>
      <c r="AX63" s="568"/>
      <c r="AY63" s="567"/>
      <c r="AZ63" s="567"/>
      <c r="BA63" s="568"/>
      <c r="BB63" s="567"/>
      <c r="BC63" s="567"/>
      <c r="BD63" s="568"/>
      <c r="BE63" s="567"/>
      <c r="BF63" s="567"/>
      <c r="BG63" s="568"/>
      <c r="BH63" s="567"/>
      <c r="BI63" s="567"/>
      <c r="BJ63" s="568"/>
      <c r="BK63" s="567"/>
      <c r="BL63" s="567"/>
      <c r="BM63" s="568"/>
      <c r="BN63" s="567"/>
      <c r="BO63" s="567"/>
      <c r="BP63" s="568"/>
      <c r="BQ63" s="567"/>
      <c r="BR63" s="567"/>
      <c r="BS63" s="568"/>
      <c r="BT63" s="567"/>
      <c r="BU63" s="567"/>
      <c r="BV63" s="568"/>
      <c r="BW63" s="567"/>
      <c r="BX63" s="567"/>
      <c r="BY63" s="568"/>
      <c r="BZ63" s="567"/>
      <c r="CA63" s="567"/>
      <c r="CB63" s="567"/>
      <c r="CC63" s="583"/>
      <c r="CD63" s="555" t="e">
        <f t="shared" ref="CD63:CF63" si="310">MEDIAN(AM63,AP63,AS63,AY63,BB63,AV63,AA63,BE63,BK63,BZ63,BH63,BN63,BQ63,BT63,BW63)</f>
        <v>#DIV/0!</v>
      </c>
      <c r="CE63" s="555" t="e">
        <f t="shared" si="310"/>
        <v>#DIV/0!</v>
      </c>
      <c r="CF63" s="556" t="e">
        <f t="shared" si="310"/>
        <v>#DIV/0!</v>
      </c>
      <c r="CG63" s="555" t="e">
        <f t="shared" ref="CG63:CI63" si="311">MAX(AP63,AS63,AV63,BB63,BE63,AY63,CD63,BK63,BZ63,AA63)-MIN(AP63,AS63,AV63,BB63,BE63,AY63,CD63,BK63,BZ63,AA63)</f>
        <v>#DIV/0!</v>
      </c>
      <c r="CH63" s="555" t="e">
        <f t="shared" si="311"/>
        <v>#DIV/0!</v>
      </c>
      <c r="CI63" s="556" t="e">
        <f t="shared" si="311"/>
        <v>#DIV/0!</v>
      </c>
      <c r="CJ63" s="555" t="e">
        <f t="shared" ref="CJ63:CL63" si="312">STDEV(AS63,AV63,AY63,BE63,BK63,BB63,CG63,BZ63,AA63,CD63)</f>
        <v>#DIV/0!</v>
      </c>
      <c r="CK63" s="555" t="e">
        <f t="shared" si="312"/>
        <v>#DIV/0!</v>
      </c>
      <c r="CL63" s="556" t="e">
        <f t="shared" si="312"/>
        <v>#DIV/0!</v>
      </c>
      <c r="CM63" s="555" t="e">
        <f t="shared" ref="CM63:CO63" si="313">CJ63/AA63</f>
        <v>#DIV/0!</v>
      </c>
      <c r="CN63" s="555" t="e">
        <f t="shared" si="313"/>
        <v>#DIV/0!</v>
      </c>
      <c r="CO63" s="556" t="e">
        <f t="shared" si="313"/>
        <v>#DIV/0!</v>
      </c>
      <c r="CP63" s="29" t="s">
        <v>120</v>
      </c>
      <c r="CQ63" s="535">
        <f t="shared" si="229"/>
        <v>2</v>
      </c>
      <c r="CR63" s="29" t="s">
        <v>120</v>
      </c>
      <c r="CS63" s="29"/>
      <c r="CT63" s="29"/>
      <c r="CU63" s="29"/>
      <c r="CV63" s="29"/>
    </row>
    <row r="64" customHeight="1" spans="1:100">
      <c r="A64" s="29" t="s">
        <v>241</v>
      </c>
      <c r="B64" s="542"/>
      <c r="C64" s="312" t="s">
        <v>1074</v>
      </c>
      <c r="F64" s="308"/>
      <c r="G64" s="308"/>
      <c r="H64" s="29" t="b">
        <v>0</v>
      </c>
      <c r="I64" s="29" t="b">
        <v>0</v>
      </c>
      <c r="J64" s="29" t="b">
        <v>0</v>
      </c>
      <c r="K64" s="29" t="b">
        <v>0</v>
      </c>
      <c r="L64" s="29" t="b">
        <v>0</v>
      </c>
      <c r="M64" s="29" t="b">
        <v>0</v>
      </c>
      <c r="P64" s="29" t="b">
        <v>0</v>
      </c>
      <c r="Q64" s="29" t="b">
        <v>0</v>
      </c>
      <c r="R64" s="29" t="b">
        <v>0</v>
      </c>
      <c r="S64" s="29" t="b">
        <v>0</v>
      </c>
      <c r="T64" s="29" t="b">
        <f t="shared" si="0"/>
        <v>0</v>
      </c>
      <c r="U64" s="29" t="s">
        <v>1077</v>
      </c>
      <c r="W64" s="29">
        <v>2</v>
      </c>
      <c r="X64" s="29" t="s">
        <v>1040</v>
      </c>
      <c r="Y64" s="16" t="s">
        <v>1041</v>
      </c>
      <c r="Z64" s="29" t="s">
        <v>1042</v>
      </c>
      <c r="AA64" s="554" t="e">
        <f t="shared" ref="AA64:AC64" si="314">AVERAGE(AJ64,AM64,AP64,AV64,AY64,AS64,BZ64,BB64,BE64,BH64,BK64,BN64,BQ64,BT64)</f>
        <v>#DIV/0!</v>
      </c>
      <c r="AB64" s="555" t="e">
        <f t="shared" si="314"/>
        <v>#DIV/0!</v>
      </c>
      <c r="AC64" s="556" t="e">
        <f t="shared" si="314"/>
        <v>#DIV/0!</v>
      </c>
      <c r="AD64" s="29" t="b">
        <v>0</v>
      </c>
      <c r="AE64" s="29" t="b">
        <v>1</v>
      </c>
      <c r="AF64" s="29" t="b">
        <v>0</v>
      </c>
      <c r="AG64" s="566"/>
      <c r="AH64" s="567"/>
      <c r="AI64" s="568"/>
      <c r="AJ64" s="567"/>
      <c r="AK64" s="567"/>
      <c r="AL64" s="568"/>
      <c r="AM64" s="567"/>
      <c r="AN64" s="567"/>
      <c r="AO64" s="568"/>
      <c r="AP64" s="567"/>
      <c r="AQ64" s="567"/>
      <c r="AR64" s="568"/>
      <c r="AS64" s="567"/>
      <c r="AT64" s="567"/>
      <c r="AU64" s="568"/>
      <c r="AV64" s="567"/>
      <c r="AW64" s="567"/>
      <c r="AX64" s="568"/>
      <c r="AY64" s="567"/>
      <c r="AZ64" s="567"/>
      <c r="BA64" s="568"/>
      <c r="BB64" s="567"/>
      <c r="BC64" s="567"/>
      <c r="BD64" s="568"/>
      <c r="BE64" s="567"/>
      <c r="BF64" s="567"/>
      <c r="BG64" s="568"/>
      <c r="BH64" s="567"/>
      <c r="BI64" s="567"/>
      <c r="BJ64" s="568"/>
      <c r="BK64" s="567"/>
      <c r="BL64" s="567"/>
      <c r="BM64" s="568"/>
      <c r="BN64" s="567"/>
      <c r="BO64" s="567"/>
      <c r="BP64" s="568"/>
      <c r="BQ64" s="567"/>
      <c r="BR64" s="567"/>
      <c r="BS64" s="568"/>
      <c r="BT64" s="567"/>
      <c r="BU64" s="567"/>
      <c r="BV64" s="568"/>
      <c r="BW64" s="567"/>
      <c r="BX64" s="567"/>
      <c r="BY64" s="568"/>
      <c r="BZ64" s="567"/>
      <c r="CA64" s="567"/>
      <c r="CB64" s="567"/>
      <c r="CC64" s="583"/>
      <c r="CD64" s="555" t="e">
        <f t="shared" ref="CD64:CF64" si="315">MEDIAN(AM64,AP64,AS64,AY64,BB64,AV64,AA64,BE64,BK64,BZ64,BH64,BN64,BQ64,BT64,BW64)</f>
        <v>#DIV/0!</v>
      </c>
      <c r="CE64" s="555" t="e">
        <f t="shared" si="315"/>
        <v>#DIV/0!</v>
      </c>
      <c r="CF64" s="556" t="e">
        <f t="shared" si="315"/>
        <v>#DIV/0!</v>
      </c>
      <c r="CG64" s="555" t="e">
        <f t="shared" ref="CG64:CI64" si="316">MAX(AP64,AS64,AV64,BB64,BE64,AY64,CD64,BK64,BZ64,AA64)-MIN(AP64,AS64,AV64,BB64,BE64,AY64,CD64,BK64,BZ64,AA64)</f>
        <v>#DIV/0!</v>
      </c>
      <c r="CH64" s="555" t="e">
        <f t="shared" si="316"/>
        <v>#DIV/0!</v>
      </c>
      <c r="CI64" s="556" t="e">
        <f t="shared" si="316"/>
        <v>#DIV/0!</v>
      </c>
      <c r="CJ64" s="555" t="e">
        <f t="shared" ref="CJ64:CL64" si="317">STDEV(AS64,AV64,AY64,BE64,BK64,BB64,CG64,BZ64,AA64,CD64)</f>
        <v>#DIV/0!</v>
      </c>
      <c r="CK64" s="555" t="e">
        <f t="shared" si="317"/>
        <v>#DIV/0!</v>
      </c>
      <c r="CL64" s="556" t="e">
        <f t="shared" si="317"/>
        <v>#DIV/0!</v>
      </c>
      <c r="CM64" s="555" t="e">
        <f t="shared" ref="CM64:CO64" si="318">CJ64/AA64</f>
        <v>#DIV/0!</v>
      </c>
      <c r="CN64" s="555" t="e">
        <f t="shared" si="318"/>
        <v>#DIV/0!</v>
      </c>
      <c r="CO64" s="556" t="e">
        <f t="shared" si="318"/>
        <v>#DIV/0!</v>
      </c>
      <c r="CP64" s="29" t="s">
        <v>120</v>
      </c>
      <c r="CQ64" s="535">
        <f t="shared" si="229"/>
        <v>2</v>
      </c>
      <c r="CR64" s="29" t="s">
        <v>120</v>
      </c>
      <c r="CS64" s="29"/>
      <c r="CT64" s="29"/>
      <c r="CU64" s="29"/>
      <c r="CV64" s="29"/>
    </row>
    <row r="65" customHeight="1" spans="1:100">
      <c r="A65" s="29" t="s">
        <v>242</v>
      </c>
      <c r="B65" s="542"/>
      <c r="C65" s="312" t="s">
        <v>1074</v>
      </c>
      <c r="F65" s="308"/>
      <c r="G65" s="308"/>
      <c r="H65" s="29" t="b">
        <v>0</v>
      </c>
      <c r="I65" s="29" t="b">
        <v>0</v>
      </c>
      <c r="J65" s="29" t="b">
        <v>0</v>
      </c>
      <c r="K65" s="29" t="b">
        <v>0</v>
      </c>
      <c r="L65" s="29" t="b">
        <v>0</v>
      </c>
      <c r="M65" s="29" t="b">
        <v>0</v>
      </c>
      <c r="P65" s="29" t="b">
        <v>0</v>
      </c>
      <c r="Q65" s="29" t="b">
        <v>0</v>
      </c>
      <c r="R65" s="29" t="b">
        <v>0</v>
      </c>
      <c r="S65" s="29" t="b">
        <v>0</v>
      </c>
      <c r="T65" s="29" t="b">
        <f t="shared" si="0"/>
        <v>0</v>
      </c>
      <c r="U65" s="29" t="s">
        <v>1077</v>
      </c>
      <c r="W65" s="29">
        <v>2</v>
      </c>
      <c r="X65" s="29" t="s">
        <v>1040</v>
      </c>
      <c r="Y65" s="16" t="s">
        <v>1041</v>
      </c>
      <c r="Z65" s="29" t="s">
        <v>1042</v>
      </c>
      <c r="AA65" s="554" t="e">
        <f t="shared" ref="AA65:AC65" si="319">AVERAGE(AJ65,AM65,AP65,AV65,AY65,AS65,BZ65,BB65,BE65,BH65,BK65,BN65,BQ65,BT65)</f>
        <v>#DIV/0!</v>
      </c>
      <c r="AB65" s="555" t="e">
        <f t="shared" si="319"/>
        <v>#DIV/0!</v>
      </c>
      <c r="AC65" s="556" t="e">
        <f t="shared" si="319"/>
        <v>#DIV/0!</v>
      </c>
      <c r="AD65" s="29" t="b">
        <v>0</v>
      </c>
      <c r="AE65" s="29" t="b">
        <v>1</v>
      </c>
      <c r="AF65" s="29" t="b">
        <v>0</v>
      </c>
      <c r="AG65" s="566"/>
      <c r="AH65" s="567"/>
      <c r="AI65" s="568"/>
      <c r="AJ65" s="567"/>
      <c r="AK65" s="567"/>
      <c r="AL65" s="568"/>
      <c r="AM65" s="567"/>
      <c r="AN65" s="567"/>
      <c r="AO65" s="568"/>
      <c r="AP65" s="567"/>
      <c r="AQ65" s="567"/>
      <c r="AR65" s="568"/>
      <c r="AS65" s="567"/>
      <c r="AT65" s="567"/>
      <c r="AU65" s="568"/>
      <c r="AV65" s="567"/>
      <c r="AW65" s="567"/>
      <c r="AX65" s="568"/>
      <c r="AY65" s="567"/>
      <c r="AZ65" s="567"/>
      <c r="BA65" s="568"/>
      <c r="BB65" s="567"/>
      <c r="BC65" s="567"/>
      <c r="BD65" s="568"/>
      <c r="BE65" s="567"/>
      <c r="BF65" s="567"/>
      <c r="BG65" s="568"/>
      <c r="BH65" s="567"/>
      <c r="BI65" s="567"/>
      <c r="BJ65" s="568"/>
      <c r="BK65" s="567"/>
      <c r="BL65" s="567"/>
      <c r="BM65" s="568"/>
      <c r="BN65" s="567"/>
      <c r="BO65" s="567"/>
      <c r="BP65" s="568"/>
      <c r="BQ65" s="567"/>
      <c r="BR65" s="567"/>
      <c r="BS65" s="568"/>
      <c r="BT65" s="567"/>
      <c r="BU65" s="567"/>
      <c r="BV65" s="568"/>
      <c r="BW65" s="567"/>
      <c r="BX65" s="567"/>
      <c r="BY65" s="568"/>
      <c r="BZ65" s="567"/>
      <c r="CA65" s="567"/>
      <c r="CB65" s="567"/>
      <c r="CC65" s="583"/>
      <c r="CD65" s="555" t="e">
        <f t="shared" ref="CD65:CF65" si="320">MEDIAN(AM65,AP65,AS65,AY65,BB65,AV65,AA65,BE65,BK65,BZ65,BH65,BN65,BQ65,BT65,BW65)</f>
        <v>#DIV/0!</v>
      </c>
      <c r="CE65" s="555" t="e">
        <f t="shared" si="320"/>
        <v>#DIV/0!</v>
      </c>
      <c r="CF65" s="556" t="e">
        <f t="shared" si="320"/>
        <v>#DIV/0!</v>
      </c>
      <c r="CG65" s="555" t="e">
        <f t="shared" ref="CG65:CI65" si="321">MAX(AP65,AS65,AV65,BB65,BE65,AY65,CD65,BK65,BZ65,AA65)-MIN(AP65,AS65,AV65,BB65,BE65,AY65,CD65,BK65,BZ65,AA65)</f>
        <v>#DIV/0!</v>
      </c>
      <c r="CH65" s="555" t="e">
        <f t="shared" si="321"/>
        <v>#DIV/0!</v>
      </c>
      <c r="CI65" s="556" t="e">
        <f t="shared" si="321"/>
        <v>#DIV/0!</v>
      </c>
      <c r="CJ65" s="555" t="e">
        <f t="shared" ref="CJ65:CL65" si="322">STDEV(AS65,AV65,AY65,BE65,BK65,BB65,CG65,BZ65,AA65,CD65)</f>
        <v>#DIV/0!</v>
      </c>
      <c r="CK65" s="555" t="e">
        <f t="shared" si="322"/>
        <v>#DIV/0!</v>
      </c>
      <c r="CL65" s="556" t="e">
        <f t="shared" si="322"/>
        <v>#DIV/0!</v>
      </c>
      <c r="CM65" s="555" t="e">
        <f t="shared" ref="CM65:CO65" si="323">CJ65/AA65</f>
        <v>#DIV/0!</v>
      </c>
      <c r="CN65" s="555" t="e">
        <f t="shared" si="323"/>
        <v>#DIV/0!</v>
      </c>
      <c r="CO65" s="556" t="e">
        <f t="shared" si="323"/>
        <v>#DIV/0!</v>
      </c>
      <c r="CP65" s="29" t="s">
        <v>120</v>
      </c>
      <c r="CQ65" s="535">
        <f t="shared" si="229"/>
        <v>2</v>
      </c>
      <c r="CR65" s="29" t="s">
        <v>120</v>
      </c>
      <c r="CS65" s="29"/>
      <c r="CT65" s="29"/>
      <c r="CU65" s="29"/>
      <c r="CV65" s="29"/>
    </row>
    <row r="66" customHeight="1" spans="1:100">
      <c r="A66" s="29" t="s">
        <v>243</v>
      </c>
      <c r="B66" s="542"/>
      <c r="C66" s="312" t="s">
        <v>1074</v>
      </c>
      <c r="F66" s="308"/>
      <c r="G66" s="308"/>
      <c r="H66" s="29" t="b">
        <v>0</v>
      </c>
      <c r="I66" s="29" t="b">
        <v>0</v>
      </c>
      <c r="J66" s="29" t="b">
        <v>0</v>
      </c>
      <c r="K66" s="29" t="b">
        <v>0</v>
      </c>
      <c r="L66" s="29" t="b">
        <v>0</v>
      </c>
      <c r="M66" s="29" t="b">
        <v>0</v>
      </c>
      <c r="P66" s="29" t="b">
        <v>0</v>
      </c>
      <c r="Q66" s="29" t="b">
        <v>0</v>
      </c>
      <c r="R66" s="29" t="b">
        <v>0</v>
      </c>
      <c r="S66" s="29" t="b">
        <v>0</v>
      </c>
      <c r="T66" s="29" t="b">
        <f t="shared" si="0"/>
        <v>0</v>
      </c>
      <c r="U66" s="29" t="s">
        <v>1077</v>
      </c>
      <c r="W66" s="29">
        <v>2</v>
      </c>
      <c r="X66" s="29" t="s">
        <v>1040</v>
      </c>
      <c r="Y66" s="16" t="s">
        <v>1041</v>
      </c>
      <c r="Z66" s="29" t="s">
        <v>1042</v>
      </c>
      <c r="AA66" s="554" t="e">
        <f t="shared" ref="AA66:AC66" si="324">AVERAGE(AJ66,AM66,AP66,AV66,AY66,AS66,BZ66,BB66,BE66,BH66,BK66,BN66,BQ66,BT66)</f>
        <v>#DIV/0!</v>
      </c>
      <c r="AB66" s="555" t="e">
        <f t="shared" si="324"/>
        <v>#DIV/0!</v>
      </c>
      <c r="AC66" s="556" t="e">
        <f t="shared" si="324"/>
        <v>#DIV/0!</v>
      </c>
      <c r="AD66" s="29" t="b">
        <v>0</v>
      </c>
      <c r="AE66" s="29" t="b">
        <v>1</v>
      </c>
      <c r="AF66" s="29" t="b">
        <v>0</v>
      </c>
      <c r="AG66" s="566"/>
      <c r="AH66" s="567"/>
      <c r="AI66" s="568"/>
      <c r="AJ66" s="567"/>
      <c r="AK66" s="567"/>
      <c r="AL66" s="568"/>
      <c r="AM66" s="567"/>
      <c r="AN66" s="567"/>
      <c r="AO66" s="568"/>
      <c r="AP66" s="567"/>
      <c r="AQ66" s="567"/>
      <c r="AR66" s="568"/>
      <c r="AS66" s="567"/>
      <c r="AT66" s="567"/>
      <c r="AU66" s="568"/>
      <c r="AV66" s="567"/>
      <c r="AW66" s="567"/>
      <c r="AX66" s="568"/>
      <c r="AY66" s="567"/>
      <c r="AZ66" s="567"/>
      <c r="BA66" s="568"/>
      <c r="BB66" s="567"/>
      <c r="BC66" s="567"/>
      <c r="BD66" s="568"/>
      <c r="BE66" s="567"/>
      <c r="BF66" s="567"/>
      <c r="BG66" s="568"/>
      <c r="BH66" s="567"/>
      <c r="BI66" s="567"/>
      <c r="BJ66" s="568"/>
      <c r="BK66" s="567"/>
      <c r="BL66" s="567"/>
      <c r="BM66" s="568"/>
      <c r="BN66" s="567"/>
      <c r="BO66" s="567"/>
      <c r="BP66" s="568"/>
      <c r="BQ66" s="567"/>
      <c r="BR66" s="567"/>
      <c r="BS66" s="568"/>
      <c r="BT66" s="567"/>
      <c r="BU66" s="567"/>
      <c r="BV66" s="568"/>
      <c r="BW66" s="567"/>
      <c r="BX66" s="567"/>
      <c r="BY66" s="568"/>
      <c r="BZ66" s="567"/>
      <c r="CA66" s="567"/>
      <c r="CB66" s="567"/>
      <c r="CC66" s="583"/>
      <c r="CD66" s="555" t="e">
        <f t="shared" ref="CD66:CF66" si="325">MEDIAN(AM66,AP66,AS66,AY66,BB66,AV66,AA66,BE66,BK66,BZ66,BH66,BN66,BQ66,BT66,BW66)</f>
        <v>#DIV/0!</v>
      </c>
      <c r="CE66" s="555" t="e">
        <f t="shared" si="325"/>
        <v>#DIV/0!</v>
      </c>
      <c r="CF66" s="556" t="e">
        <f t="shared" si="325"/>
        <v>#DIV/0!</v>
      </c>
      <c r="CG66" s="555" t="e">
        <f t="shared" ref="CG66:CI66" si="326">MAX(AP66,AS66,AV66,BB66,BE66,AY66,CD66,BK66,BZ66,AA66)-MIN(AP66,AS66,AV66,BB66,BE66,AY66,CD66,BK66,BZ66,AA66)</f>
        <v>#DIV/0!</v>
      </c>
      <c r="CH66" s="555" t="e">
        <f t="shared" si="326"/>
        <v>#DIV/0!</v>
      </c>
      <c r="CI66" s="556" t="e">
        <f t="shared" si="326"/>
        <v>#DIV/0!</v>
      </c>
      <c r="CJ66" s="555" t="e">
        <f t="shared" ref="CJ66:CL66" si="327">STDEV(AS66,AV66,AY66,BE66,BK66,BB66,CG66,BZ66,AA66,CD66)</f>
        <v>#DIV/0!</v>
      </c>
      <c r="CK66" s="555" t="e">
        <f t="shared" si="327"/>
        <v>#DIV/0!</v>
      </c>
      <c r="CL66" s="556" t="e">
        <f t="shared" si="327"/>
        <v>#DIV/0!</v>
      </c>
      <c r="CM66" s="555" t="e">
        <f t="shared" ref="CM66:CO66" si="328">CJ66/AA66</f>
        <v>#DIV/0!</v>
      </c>
      <c r="CN66" s="555" t="e">
        <f t="shared" si="328"/>
        <v>#DIV/0!</v>
      </c>
      <c r="CO66" s="556" t="e">
        <f t="shared" si="328"/>
        <v>#DIV/0!</v>
      </c>
      <c r="CP66" s="29" t="s">
        <v>120</v>
      </c>
      <c r="CQ66" s="535">
        <f t="shared" si="229"/>
        <v>2</v>
      </c>
      <c r="CR66" s="29" t="s">
        <v>120</v>
      </c>
      <c r="CS66" s="29"/>
      <c r="CT66" s="29"/>
      <c r="CU66" s="29"/>
      <c r="CV66" s="29"/>
    </row>
    <row r="67" customHeight="1" spans="1:100">
      <c r="A67" s="29" t="s">
        <v>244</v>
      </c>
      <c r="B67" s="542"/>
      <c r="C67" s="312" t="s">
        <v>1074</v>
      </c>
      <c r="F67" s="308"/>
      <c r="G67" s="308"/>
      <c r="H67" s="29" t="b">
        <v>0</v>
      </c>
      <c r="I67" s="29" t="b">
        <v>0</v>
      </c>
      <c r="J67" s="29" t="b">
        <v>0</v>
      </c>
      <c r="K67" s="29" t="b">
        <v>0</v>
      </c>
      <c r="L67" s="29" t="b">
        <v>0</v>
      </c>
      <c r="M67" s="29" t="b">
        <v>0</v>
      </c>
      <c r="P67" s="29" t="b">
        <v>0</v>
      </c>
      <c r="Q67" s="29" t="b">
        <v>0</v>
      </c>
      <c r="R67" s="29" t="b">
        <v>0</v>
      </c>
      <c r="S67" s="29" t="b">
        <v>0</v>
      </c>
      <c r="T67" s="29" t="b">
        <f t="shared" si="0"/>
        <v>0</v>
      </c>
      <c r="U67" s="29" t="s">
        <v>1077</v>
      </c>
      <c r="W67" s="29">
        <v>2</v>
      </c>
      <c r="X67" s="29" t="s">
        <v>1040</v>
      </c>
      <c r="Y67" s="16" t="s">
        <v>1041</v>
      </c>
      <c r="Z67" s="29" t="s">
        <v>1042</v>
      </c>
      <c r="AA67" s="554" t="e">
        <f t="shared" ref="AA67:AC67" si="329">AVERAGE(AJ67,AM67,AP67,AV67,AY67,AS67,BZ67,BB67,BE67,BH67,BK67,BN67,BQ67,BT67)</f>
        <v>#DIV/0!</v>
      </c>
      <c r="AB67" s="555" t="e">
        <f t="shared" si="329"/>
        <v>#DIV/0!</v>
      </c>
      <c r="AC67" s="556" t="e">
        <f t="shared" si="329"/>
        <v>#DIV/0!</v>
      </c>
      <c r="AD67" s="29" t="b">
        <v>0</v>
      </c>
      <c r="AE67" s="29" t="b">
        <v>1</v>
      </c>
      <c r="AF67" s="29" t="b">
        <v>0</v>
      </c>
      <c r="AG67" s="566"/>
      <c r="AH67" s="567"/>
      <c r="AI67" s="568"/>
      <c r="AJ67" s="567"/>
      <c r="AK67" s="567"/>
      <c r="AL67" s="568"/>
      <c r="AM67" s="567"/>
      <c r="AN67" s="567"/>
      <c r="AO67" s="568"/>
      <c r="AP67" s="567"/>
      <c r="AQ67" s="567"/>
      <c r="AR67" s="568"/>
      <c r="AS67" s="567"/>
      <c r="AT67" s="567"/>
      <c r="AU67" s="568"/>
      <c r="AV67" s="567"/>
      <c r="AW67" s="567"/>
      <c r="AX67" s="568"/>
      <c r="AY67" s="567"/>
      <c r="AZ67" s="567"/>
      <c r="BA67" s="568"/>
      <c r="BB67" s="567"/>
      <c r="BC67" s="567"/>
      <c r="BD67" s="568"/>
      <c r="BE67" s="567"/>
      <c r="BF67" s="567"/>
      <c r="BG67" s="568"/>
      <c r="BH67" s="567"/>
      <c r="BI67" s="567"/>
      <c r="BJ67" s="568"/>
      <c r="BK67" s="567"/>
      <c r="BL67" s="567"/>
      <c r="BM67" s="568"/>
      <c r="BN67" s="567"/>
      <c r="BO67" s="567"/>
      <c r="BP67" s="568"/>
      <c r="BQ67" s="567"/>
      <c r="BR67" s="567"/>
      <c r="BS67" s="568"/>
      <c r="BT67" s="567"/>
      <c r="BU67" s="567"/>
      <c r="BV67" s="568"/>
      <c r="BW67" s="567"/>
      <c r="BX67" s="567"/>
      <c r="BY67" s="568"/>
      <c r="BZ67" s="567"/>
      <c r="CA67" s="567"/>
      <c r="CB67" s="567"/>
      <c r="CC67" s="583"/>
      <c r="CD67" s="555" t="e">
        <f t="shared" ref="CD67:CF67" si="330">MEDIAN(AM67,AP67,AS67,AY67,BB67,AV67,AA67,BE67,BK67,BZ67,BH67,BN67,BQ67,BT67,BW67)</f>
        <v>#DIV/0!</v>
      </c>
      <c r="CE67" s="555" t="e">
        <f t="shared" si="330"/>
        <v>#DIV/0!</v>
      </c>
      <c r="CF67" s="556" t="e">
        <f t="shared" si="330"/>
        <v>#DIV/0!</v>
      </c>
      <c r="CG67" s="555" t="e">
        <f t="shared" ref="CG67:CI67" si="331">MAX(AP67,AS67,AV67,BB67,BE67,AY67,CD67,BK67,BZ67,AA67)-MIN(AP67,AS67,AV67,BB67,BE67,AY67,CD67,BK67,BZ67,AA67)</f>
        <v>#DIV/0!</v>
      </c>
      <c r="CH67" s="555" t="e">
        <f t="shared" si="331"/>
        <v>#DIV/0!</v>
      </c>
      <c r="CI67" s="556" t="e">
        <f t="shared" si="331"/>
        <v>#DIV/0!</v>
      </c>
      <c r="CJ67" s="555" t="e">
        <f t="shared" ref="CJ67:CL67" si="332">STDEV(AS67,AV67,AY67,BE67,BK67,BB67,CG67,BZ67,AA67,CD67)</f>
        <v>#DIV/0!</v>
      </c>
      <c r="CK67" s="555" t="e">
        <f t="shared" si="332"/>
        <v>#DIV/0!</v>
      </c>
      <c r="CL67" s="556" t="e">
        <f t="shared" si="332"/>
        <v>#DIV/0!</v>
      </c>
      <c r="CM67" s="555" t="e">
        <f t="shared" ref="CM67:CO67" si="333">CJ67/AA67</f>
        <v>#DIV/0!</v>
      </c>
      <c r="CN67" s="555" t="e">
        <f t="shared" si="333"/>
        <v>#DIV/0!</v>
      </c>
      <c r="CO67" s="556" t="e">
        <f t="shared" si="333"/>
        <v>#DIV/0!</v>
      </c>
      <c r="CP67" s="29" t="s">
        <v>120</v>
      </c>
      <c r="CQ67" s="535">
        <f t="shared" si="229"/>
        <v>2</v>
      </c>
      <c r="CR67" s="29" t="s">
        <v>120</v>
      </c>
      <c r="CS67" s="29"/>
      <c r="CT67" s="29"/>
      <c r="CU67" s="29"/>
      <c r="CV67" s="29"/>
    </row>
    <row r="68" customHeight="1" spans="1:100">
      <c r="A68" s="29" t="s">
        <v>245</v>
      </c>
      <c r="B68" s="542"/>
      <c r="C68" s="312" t="s">
        <v>1074</v>
      </c>
      <c r="F68" s="308"/>
      <c r="G68" s="308"/>
      <c r="H68" s="29" t="b">
        <v>0</v>
      </c>
      <c r="I68" s="29" t="b">
        <v>0</v>
      </c>
      <c r="J68" s="29" t="b">
        <v>0</v>
      </c>
      <c r="K68" s="29" t="b">
        <v>0</v>
      </c>
      <c r="L68" s="29" t="b">
        <v>0</v>
      </c>
      <c r="M68" s="29" t="b">
        <v>0</v>
      </c>
      <c r="P68" s="29" t="b">
        <v>0</v>
      </c>
      <c r="Q68" s="29" t="b">
        <v>0</v>
      </c>
      <c r="R68" s="29" t="b">
        <v>0</v>
      </c>
      <c r="S68" s="29" t="b">
        <v>0</v>
      </c>
      <c r="T68" s="29" t="b">
        <f t="shared" si="0"/>
        <v>0</v>
      </c>
      <c r="U68" s="29" t="s">
        <v>1077</v>
      </c>
      <c r="W68" s="29">
        <v>2</v>
      </c>
      <c r="X68" s="29" t="s">
        <v>1040</v>
      </c>
      <c r="Y68" s="16" t="s">
        <v>1041</v>
      </c>
      <c r="Z68" s="29" t="s">
        <v>1042</v>
      </c>
      <c r="AA68" s="554" t="e">
        <f t="shared" ref="AA68:AC68" si="334">AVERAGE(AJ68,AM68,AP68,AV68,AY68,AS68,BZ68,BB68,BE68,BH68,BK68,BN68,BQ68,BT68)</f>
        <v>#DIV/0!</v>
      </c>
      <c r="AB68" s="555" t="e">
        <f t="shared" si="334"/>
        <v>#DIV/0!</v>
      </c>
      <c r="AC68" s="556" t="e">
        <f t="shared" si="334"/>
        <v>#DIV/0!</v>
      </c>
      <c r="AD68" s="29" t="b">
        <v>0</v>
      </c>
      <c r="AE68" s="29" t="b">
        <v>1</v>
      </c>
      <c r="AF68" s="29" t="b">
        <v>0</v>
      </c>
      <c r="AG68" s="566"/>
      <c r="AH68" s="567"/>
      <c r="AI68" s="568"/>
      <c r="AJ68" s="567"/>
      <c r="AK68" s="567"/>
      <c r="AL68" s="568"/>
      <c r="AM68" s="567"/>
      <c r="AN68" s="567"/>
      <c r="AO68" s="568"/>
      <c r="AP68" s="567"/>
      <c r="AQ68" s="567"/>
      <c r="AR68" s="568"/>
      <c r="AS68" s="567"/>
      <c r="AT68" s="567"/>
      <c r="AU68" s="568"/>
      <c r="AV68" s="567"/>
      <c r="AW68" s="567"/>
      <c r="AX68" s="568"/>
      <c r="AY68" s="567"/>
      <c r="AZ68" s="567"/>
      <c r="BA68" s="568"/>
      <c r="BB68" s="567"/>
      <c r="BC68" s="567"/>
      <c r="BD68" s="568"/>
      <c r="BE68" s="567"/>
      <c r="BF68" s="567"/>
      <c r="BG68" s="568"/>
      <c r="BH68" s="567"/>
      <c r="BI68" s="567"/>
      <c r="BJ68" s="568"/>
      <c r="BK68" s="567"/>
      <c r="BL68" s="567"/>
      <c r="BM68" s="568"/>
      <c r="BN68" s="567"/>
      <c r="BO68" s="567"/>
      <c r="BP68" s="568"/>
      <c r="BQ68" s="567"/>
      <c r="BR68" s="567"/>
      <c r="BS68" s="568"/>
      <c r="BT68" s="567"/>
      <c r="BU68" s="567"/>
      <c r="BV68" s="568"/>
      <c r="BW68" s="567"/>
      <c r="BX68" s="567"/>
      <c r="BY68" s="568"/>
      <c r="BZ68" s="567"/>
      <c r="CA68" s="567"/>
      <c r="CB68" s="567"/>
      <c r="CC68" s="583"/>
      <c r="CD68" s="555" t="e">
        <f t="shared" ref="CD68:CF68" si="335">MEDIAN(AM68,AP68,AS68,AY68,BB68,AV68,AA68,BE68,BK68,BZ68,BH68,BN68,BQ68,BT68,BW68)</f>
        <v>#DIV/0!</v>
      </c>
      <c r="CE68" s="555" t="e">
        <f t="shared" si="335"/>
        <v>#DIV/0!</v>
      </c>
      <c r="CF68" s="556" t="e">
        <f t="shared" si="335"/>
        <v>#DIV/0!</v>
      </c>
      <c r="CG68" s="555" t="e">
        <f t="shared" ref="CG68:CI68" si="336">MAX(AP68,AS68,AV68,BB68,BE68,AY68,CD68,BK68,BZ68,AA68)-MIN(AP68,AS68,AV68,BB68,BE68,AY68,CD68,BK68,BZ68,AA68)</f>
        <v>#DIV/0!</v>
      </c>
      <c r="CH68" s="555" t="e">
        <f t="shared" si="336"/>
        <v>#DIV/0!</v>
      </c>
      <c r="CI68" s="556" t="e">
        <f t="shared" si="336"/>
        <v>#DIV/0!</v>
      </c>
      <c r="CJ68" s="555" t="e">
        <f t="shared" ref="CJ68:CL68" si="337">STDEV(AS68,AV68,AY68,BE68,BK68,BB68,CG68,BZ68,AA68,CD68)</f>
        <v>#DIV/0!</v>
      </c>
      <c r="CK68" s="555" t="e">
        <f t="shared" si="337"/>
        <v>#DIV/0!</v>
      </c>
      <c r="CL68" s="556" t="e">
        <f t="shared" si="337"/>
        <v>#DIV/0!</v>
      </c>
      <c r="CM68" s="555" t="e">
        <f t="shared" ref="CM68:CO68" si="338">CJ68/AA68</f>
        <v>#DIV/0!</v>
      </c>
      <c r="CN68" s="555" t="e">
        <f t="shared" si="338"/>
        <v>#DIV/0!</v>
      </c>
      <c r="CO68" s="556" t="e">
        <f t="shared" si="338"/>
        <v>#DIV/0!</v>
      </c>
      <c r="CP68" s="29" t="s">
        <v>120</v>
      </c>
      <c r="CQ68" s="535">
        <f t="shared" si="229"/>
        <v>2</v>
      </c>
      <c r="CR68" s="29" t="s">
        <v>120</v>
      </c>
      <c r="CS68" s="29"/>
      <c r="CT68" s="29"/>
      <c r="CU68" s="29"/>
      <c r="CV68" s="29"/>
    </row>
    <row r="69" customHeight="1" spans="1:100">
      <c r="A69" s="29" t="s">
        <v>247</v>
      </c>
      <c r="B69" s="542"/>
      <c r="C69" s="312" t="s">
        <v>1074</v>
      </c>
      <c r="F69" s="308"/>
      <c r="G69" s="308"/>
      <c r="H69" s="29" t="b">
        <v>0</v>
      </c>
      <c r="I69" s="29" t="b">
        <v>0</v>
      </c>
      <c r="J69" s="29" t="b">
        <v>0</v>
      </c>
      <c r="K69" s="29" t="b">
        <v>0</v>
      </c>
      <c r="L69" s="29" t="b">
        <v>0</v>
      </c>
      <c r="M69" s="29" t="b">
        <v>0</v>
      </c>
      <c r="P69" s="29" t="b">
        <v>0</v>
      </c>
      <c r="Q69" s="29" t="b">
        <v>0</v>
      </c>
      <c r="R69" s="29" t="b">
        <v>0</v>
      </c>
      <c r="S69" s="29" t="b">
        <v>0</v>
      </c>
      <c r="T69" s="29" t="b">
        <f t="shared" si="0"/>
        <v>0</v>
      </c>
      <c r="U69" s="29" t="s">
        <v>1077</v>
      </c>
      <c r="W69" s="29">
        <v>2</v>
      </c>
      <c r="X69" s="29" t="s">
        <v>1040</v>
      </c>
      <c r="Y69" s="16" t="s">
        <v>1041</v>
      </c>
      <c r="Z69" s="29" t="s">
        <v>1042</v>
      </c>
      <c r="AA69" s="554" t="e">
        <f t="shared" ref="AA69:AC69" si="339">AVERAGE(AJ69,AM69,AP69,AV69,AY69,AS69,BZ69,BB69,BE69,BH69,BK69,BN69,BQ69,BT69)</f>
        <v>#DIV/0!</v>
      </c>
      <c r="AB69" s="555" t="e">
        <f t="shared" si="339"/>
        <v>#DIV/0!</v>
      </c>
      <c r="AC69" s="556" t="e">
        <f t="shared" si="339"/>
        <v>#DIV/0!</v>
      </c>
      <c r="AD69" s="29" t="b">
        <v>0</v>
      </c>
      <c r="AE69" s="29" t="b">
        <v>1</v>
      </c>
      <c r="AF69" s="29" t="b">
        <v>0</v>
      </c>
      <c r="AG69" s="566"/>
      <c r="AH69" s="567"/>
      <c r="AI69" s="568"/>
      <c r="AJ69" s="567"/>
      <c r="AK69" s="567"/>
      <c r="AL69" s="568"/>
      <c r="AM69" s="567"/>
      <c r="AN69" s="567"/>
      <c r="AO69" s="568"/>
      <c r="AP69" s="567"/>
      <c r="AQ69" s="567"/>
      <c r="AR69" s="568"/>
      <c r="AS69" s="567"/>
      <c r="AT69" s="567"/>
      <c r="AU69" s="568"/>
      <c r="AV69" s="567"/>
      <c r="AW69" s="567"/>
      <c r="AX69" s="568"/>
      <c r="AY69" s="567"/>
      <c r="AZ69" s="567"/>
      <c r="BA69" s="568"/>
      <c r="BB69" s="567"/>
      <c r="BC69" s="567"/>
      <c r="BD69" s="568"/>
      <c r="BE69" s="567"/>
      <c r="BF69" s="567"/>
      <c r="BG69" s="568"/>
      <c r="BH69" s="567"/>
      <c r="BI69" s="567"/>
      <c r="BJ69" s="568"/>
      <c r="BK69" s="567"/>
      <c r="BL69" s="567"/>
      <c r="BM69" s="568"/>
      <c r="BN69" s="567"/>
      <c r="BO69" s="567"/>
      <c r="BP69" s="568"/>
      <c r="BQ69" s="567"/>
      <c r="BR69" s="567"/>
      <c r="BS69" s="568"/>
      <c r="BT69" s="567"/>
      <c r="BU69" s="567"/>
      <c r="BV69" s="568"/>
      <c r="BW69" s="567"/>
      <c r="BX69" s="567"/>
      <c r="BY69" s="568"/>
      <c r="BZ69" s="567"/>
      <c r="CA69" s="567"/>
      <c r="CB69" s="567"/>
      <c r="CC69" s="583"/>
      <c r="CD69" s="555" t="e">
        <f t="shared" ref="CD69:CF69" si="340">MEDIAN(AM69,AP69,AS69,AY69,BB69,AV69,AA69,BE69,BK69,BZ69,BH69,BN69,BQ69,BT69,BW69)</f>
        <v>#DIV/0!</v>
      </c>
      <c r="CE69" s="555" t="e">
        <f t="shared" si="340"/>
        <v>#DIV/0!</v>
      </c>
      <c r="CF69" s="556" t="e">
        <f t="shared" si="340"/>
        <v>#DIV/0!</v>
      </c>
      <c r="CG69" s="555" t="e">
        <f t="shared" ref="CG69:CI69" si="341">MAX(AP69,AS69,AV69,BB69,BE69,AY69,CD69,BK69,BZ69,AA69)-MIN(AP69,AS69,AV69,BB69,BE69,AY69,CD69,BK69,BZ69,AA69)</f>
        <v>#DIV/0!</v>
      </c>
      <c r="CH69" s="555" t="e">
        <f t="shared" si="341"/>
        <v>#DIV/0!</v>
      </c>
      <c r="CI69" s="556" t="e">
        <f t="shared" si="341"/>
        <v>#DIV/0!</v>
      </c>
      <c r="CJ69" s="555" t="e">
        <f t="shared" ref="CJ69:CL69" si="342">STDEV(AS69,AV69,AY69,BE69,BK69,BB69,CG69,BZ69,AA69,CD69)</f>
        <v>#DIV/0!</v>
      </c>
      <c r="CK69" s="555" t="e">
        <f t="shared" si="342"/>
        <v>#DIV/0!</v>
      </c>
      <c r="CL69" s="556" t="e">
        <f t="shared" si="342"/>
        <v>#DIV/0!</v>
      </c>
      <c r="CM69" s="555" t="e">
        <f t="shared" ref="CM69:CO69" si="343">CJ69/AA69</f>
        <v>#DIV/0!</v>
      </c>
      <c r="CN69" s="555" t="e">
        <f t="shared" si="343"/>
        <v>#DIV/0!</v>
      </c>
      <c r="CO69" s="556" t="e">
        <f t="shared" si="343"/>
        <v>#DIV/0!</v>
      </c>
      <c r="CP69" s="29" t="s">
        <v>120</v>
      </c>
      <c r="CQ69" s="535">
        <f t="shared" si="229"/>
        <v>2</v>
      </c>
      <c r="CR69" s="29" t="s">
        <v>120</v>
      </c>
      <c r="CS69" s="29"/>
      <c r="CT69" s="29"/>
      <c r="CU69" s="29"/>
      <c r="CV69" s="29"/>
    </row>
    <row r="70" customHeight="1" spans="1:100">
      <c r="A70" s="29" t="s">
        <v>248</v>
      </c>
      <c r="B70" s="542"/>
      <c r="C70" s="312" t="s">
        <v>1074</v>
      </c>
      <c r="F70" s="308"/>
      <c r="G70" s="308"/>
      <c r="H70" s="29" t="b">
        <v>0</v>
      </c>
      <c r="I70" s="29" t="b">
        <v>0</v>
      </c>
      <c r="J70" s="29" t="b">
        <v>0</v>
      </c>
      <c r="K70" s="29" t="b">
        <v>0</v>
      </c>
      <c r="L70" s="29" t="b">
        <v>0</v>
      </c>
      <c r="M70" s="29" t="b">
        <v>0</v>
      </c>
      <c r="P70" s="29" t="b">
        <v>0</v>
      </c>
      <c r="Q70" s="29" t="b">
        <v>0</v>
      </c>
      <c r="R70" s="29" t="b">
        <v>0</v>
      </c>
      <c r="S70" s="29" t="b">
        <v>0</v>
      </c>
      <c r="T70" s="29" t="b">
        <f t="shared" si="0"/>
        <v>0</v>
      </c>
      <c r="U70" s="29" t="s">
        <v>1077</v>
      </c>
      <c r="W70" s="29">
        <v>2</v>
      </c>
      <c r="X70" s="29" t="s">
        <v>1040</v>
      </c>
      <c r="Y70" s="16" t="s">
        <v>1041</v>
      </c>
      <c r="Z70" s="29" t="s">
        <v>1042</v>
      </c>
      <c r="AA70" s="554" t="e">
        <f t="shared" ref="AA70:AC70" si="344">AVERAGE(AJ70,AM70,AP70,AV70,AY70,AS70,BZ70,BB70,BE70,BH70,BK70,BN70,BQ70,BT70)</f>
        <v>#DIV/0!</v>
      </c>
      <c r="AB70" s="555" t="e">
        <f t="shared" si="344"/>
        <v>#DIV/0!</v>
      </c>
      <c r="AC70" s="556" t="e">
        <f t="shared" si="344"/>
        <v>#DIV/0!</v>
      </c>
      <c r="AD70" s="29" t="b">
        <v>0</v>
      </c>
      <c r="AE70" s="29" t="b">
        <v>1</v>
      </c>
      <c r="AF70" s="29" t="b">
        <v>0</v>
      </c>
      <c r="AG70" s="566"/>
      <c r="AH70" s="567"/>
      <c r="AI70" s="568"/>
      <c r="AJ70" s="567"/>
      <c r="AK70" s="567"/>
      <c r="AL70" s="568"/>
      <c r="AM70" s="567"/>
      <c r="AN70" s="567"/>
      <c r="AO70" s="568"/>
      <c r="AP70" s="567"/>
      <c r="AQ70" s="567"/>
      <c r="AR70" s="568"/>
      <c r="AS70" s="567"/>
      <c r="AT70" s="567"/>
      <c r="AU70" s="568"/>
      <c r="AV70" s="567"/>
      <c r="AW70" s="567"/>
      <c r="AX70" s="568"/>
      <c r="AY70" s="567"/>
      <c r="AZ70" s="567"/>
      <c r="BA70" s="568"/>
      <c r="BB70" s="567"/>
      <c r="BC70" s="567"/>
      <c r="BD70" s="568"/>
      <c r="BE70" s="567"/>
      <c r="BF70" s="567"/>
      <c r="BG70" s="568"/>
      <c r="BH70" s="567"/>
      <c r="BI70" s="567"/>
      <c r="BJ70" s="568"/>
      <c r="BK70" s="567"/>
      <c r="BL70" s="567"/>
      <c r="BM70" s="568"/>
      <c r="BN70" s="567"/>
      <c r="BO70" s="567"/>
      <c r="BP70" s="568"/>
      <c r="BQ70" s="567"/>
      <c r="BR70" s="567"/>
      <c r="BS70" s="568"/>
      <c r="BT70" s="567"/>
      <c r="BU70" s="567"/>
      <c r="BV70" s="568"/>
      <c r="BW70" s="567"/>
      <c r="BX70" s="567"/>
      <c r="BY70" s="568"/>
      <c r="BZ70" s="567"/>
      <c r="CA70" s="567"/>
      <c r="CB70" s="567"/>
      <c r="CC70" s="583"/>
      <c r="CD70" s="555" t="e">
        <f t="shared" ref="CD70:CF70" si="345">MEDIAN(AM70,AP70,AS70,AY70,BB70,AV70,AA70,BE70,BK70,BZ70,BH70,BN70,BQ70,BT70,BW70)</f>
        <v>#DIV/0!</v>
      </c>
      <c r="CE70" s="555" t="e">
        <f t="shared" si="345"/>
        <v>#DIV/0!</v>
      </c>
      <c r="CF70" s="556" t="e">
        <f t="shared" si="345"/>
        <v>#DIV/0!</v>
      </c>
      <c r="CG70" s="555" t="e">
        <f t="shared" ref="CG70:CI70" si="346">MAX(AP70,AS70,AV70,BB70,BE70,AY70,CD70,BK70,BZ70,AA70)-MIN(AP70,AS70,AV70,BB70,BE70,AY70,CD70,BK70,BZ70,AA70)</f>
        <v>#DIV/0!</v>
      </c>
      <c r="CH70" s="555" t="e">
        <f t="shared" si="346"/>
        <v>#DIV/0!</v>
      </c>
      <c r="CI70" s="556" t="e">
        <f t="shared" si="346"/>
        <v>#DIV/0!</v>
      </c>
      <c r="CJ70" s="555" t="e">
        <f t="shared" ref="CJ70:CL70" si="347">STDEV(AS70,AV70,AY70,BE70,BK70,BB70,CG70,BZ70,AA70,CD70)</f>
        <v>#DIV/0!</v>
      </c>
      <c r="CK70" s="555" t="e">
        <f t="shared" si="347"/>
        <v>#DIV/0!</v>
      </c>
      <c r="CL70" s="556" t="e">
        <f t="shared" si="347"/>
        <v>#DIV/0!</v>
      </c>
      <c r="CM70" s="555" t="e">
        <f t="shared" ref="CM70:CO70" si="348">CJ70/AA70</f>
        <v>#DIV/0!</v>
      </c>
      <c r="CN70" s="555" t="e">
        <f t="shared" si="348"/>
        <v>#DIV/0!</v>
      </c>
      <c r="CO70" s="556" t="e">
        <f t="shared" si="348"/>
        <v>#DIV/0!</v>
      </c>
      <c r="CP70" s="29" t="s">
        <v>120</v>
      </c>
      <c r="CQ70" s="535">
        <f t="shared" si="229"/>
        <v>2</v>
      </c>
      <c r="CR70" s="29" t="s">
        <v>120</v>
      </c>
      <c r="CS70" s="29"/>
      <c r="CT70" s="29"/>
      <c r="CU70" s="29"/>
      <c r="CV70" s="29"/>
    </row>
    <row r="71" customHeight="1" spans="1:100">
      <c r="A71" s="29" t="s">
        <v>249</v>
      </c>
      <c r="B71" s="542"/>
      <c r="C71" s="312" t="s">
        <v>1074</v>
      </c>
      <c r="F71" s="308"/>
      <c r="G71" s="308"/>
      <c r="H71" s="29" t="b">
        <v>0</v>
      </c>
      <c r="I71" s="29" t="b">
        <v>0</v>
      </c>
      <c r="J71" s="29" t="b">
        <v>0</v>
      </c>
      <c r="K71" s="29" t="b">
        <v>0</v>
      </c>
      <c r="L71" s="29" t="b">
        <v>0</v>
      </c>
      <c r="M71" s="29" t="b">
        <v>0</v>
      </c>
      <c r="P71" s="29" t="b">
        <v>0</v>
      </c>
      <c r="Q71" s="29" t="b">
        <v>0</v>
      </c>
      <c r="R71" s="29" t="b">
        <v>0</v>
      </c>
      <c r="S71" s="29" t="b">
        <v>0</v>
      </c>
      <c r="T71" s="29" t="b">
        <f t="shared" si="0"/>
        <v>0</v>
      </c>
      <c r="U71" s="29" t="s">
        <v>1077</v>
      </c>
      <c r="W71" s="29">
        <v>2</v>
      </c>
      <c r="X71" s="29" t="s">
        <v>1040</v>
      </c>
      <c r="Y71" s="16" t="s">
        <v>1041</v>
      </c>
      <c r="Z71" s="29" t="s">
        <v>1042</v>
      </c>
      <c r="AA71" s="554" t="e">
        <f t="shared" ref="AA71:AC71" si="349">AVERAGE(AJ71,AM71,AP71,AV71,AY71,AS71,BZ71,BB71,BE71,BH71,BK71,BN71,BQ71,BT71)</f>
        <v>#DIV/0!</v>
      </c>
      <c r="AB71" s="555" t="e">
        <f t="shared" si="349"/>
        <v>#DIV/0!</v>
      </c>
      <c r="AC71" s="556" t="e">
        <f t="shared" si="349"/>
        <v>#DIV/0!</v>
      </c>
      <c r="AD71" s="29" t="b">
        <v>0</v>
      </c>
      <c r="AE71" s="29" t="b">
        <v>1</v>
      </c>
      <c r="AF71" s="29" t="b">
        <v>0</v>
      </c>
      <c r="AG71" s="566"/>
      <c r="AH71" s="567"/>
      <c r="AI71" s="568"/>
      <c r="AJ71" s="567"/>
      <c r="AK71" s="567"/>
      <c r="AL71" s="568"/>
      <c r="AM71" s="567"/>
      <c r="AN71" s="567"/>
      <c r="AO71" s="568"/>
      <c r="AP71" s="567"/>
      <c r="AQ71" s="567"/>
      <c r="AR71" s="568"/>
      <c r="AS71" s="567"/>
      <c r="AT71" s="567"/>
      <c r="AU71" s="568"/>
      <c r="AV71" s="567"/>
      <c r="AW71" s="567"/>
      <c r="AX71" s="568"/>
      <c r="AY71" s="567"/>
      <c r="AZ71" s="567"/>
      <c r="BA71" s="568"/>
      <c r="BB71" s="567"/>
      <c r="BC71" s="567"/>
      <c r="BD71" s="568"/>
      <c r="BE71" s="567"/>
      <c r="BF71" s="567"/>
      <c r="BG71" s="568"/>
      <c r="BH71" s="567"/>
      <c r="BI71" s="567"/>
      <c r="BJ71" s="568"/>
      <c r="BK71" s="567"/>
      <c r="BL71" s="567"/>
      <c r="BM71" s="568"/>
      <c r="BN71" s="567"/>
      <c r="BO71" s="567"/>
      <c r="BP71" s="568"/>
      <c r="BQ71" s="567"/>
      <c r="BR71" s="567"/>
      <c r="BS71" s="568"/>
      <c r="BT71" s="567"/>
      <c r="BU71" s="567"/>
      <c r="BV71" s="568"/>
      <c r="BW71" s="567"/>
      <c r="BX71" s="567"/>
      <c r="BY71" s="568"/>
      <c r="BZ71" s="567"/>
      <c r="CA71" s="567"/>
      <c r="CB71" s="567"/>
      <c r="CC71" s="583"/>
      <c r="CD71" s="555" t="e">
        <f t="shared" ref="CD71:CF71" si="350">MEDIAN(AM71,AP71,AS71,AY71,BB71,AV71,AA71,BE71,BK71,BZ71,BH71,BN71,BQ71,BT71,BW71)</f>
        <v>#DIV/0!</v>
      </c>
      <c r="CE71" s="555" t="e">
        <f t="shared" si="350"/>
        <v>#DIV/0!</v>
      </c>
      <c r="CF71" s="556" t="e">
        <f t="shared" si="350"/>
        <v>#DIV/0!</v>
      </c>
      <c r="CG71" s="555" t="e">
        <f t="shared" ref="CG71:CI71" si="351">MAX(AP71,AS71,AV71,BB71,BE71,AY71,CD71,BK71,BZ71,AA71)-MIN(AP71,AS71,AV71,BB71,BE71,AY71,CD71,BK71,BZ71,AA71)</f>
        <v>#DIV/0!</v>
      </c>
      <c r="CH71" s="555" t="e">
        <f t="shared" si="351"/>
        <v>#DIV/0!</v>
      </c>
      <c r="CI71" s="556" t="e">
        <f t="shared" si="351"/>
        <v>#DIV/0!</v>
      </c>
      <c r="CJ71" s="555" t="e">
        <f t="shared" ref="CJ71:CL71" si="352">STDEV(AS71,AV71,AY71,BE71,BK71,BB71,CG71,BZ71,AA71,CD71)</f>
        <v>#DIV/0!</v>
      </c>
      <c r="CK71" s="555" t="e">
        <f t="shared" si="352"/>
        <v>#DIV/0!</v>
      </c>
      <c r="CL71" s="556" t="e">
        <f t="shared" si="352"/>
        <v>#DIV/0!</v>
      </c>
      <c r="CM71" s="555" t="e">
        <f t="shared" ref="CM71:CO71" si="353">CJ71/AA71</f>
        <v>#DIV/0!</v>
      </c>
      <c r="CN71" s="555" t="e">
        <f t="shared" si="353"/>
        <v>#DIV/0!</v>
      </c>
      <c r="CO71" s="556" t="e">
        <f t="shared" si="353"/>
        <v>#DIV/0!</v>
      </c>
      <c r="CP71" s="29" t="s">
        <v>120</v>
      </c>
      <c r="CQ71" s="535">
        <f t="shared" si="229"/>
        <v>2</v>
      </c>
      <c r="CR71" s="29" t="s">
        <v>120</v>
      </c>
      <c r="CS71" s="29"/>
      <c r="CT71" s="29"/>
      <c r="CU71" s="29"/>
      <c r="CV71" s="29"/>
    </row>
    <row r="72" customHeight="1" spans="1:100">
      <c r="A72" s="29" t="s">
        <v>250</v>
      </c>
      <c r="B72" s="542"/>
      <c r="C72" s="312" t="s">
        <v>1074</v>
      </c>
      <c r="F72" s="308"/>
      <c r="G72" s="308"/>
      <c r="H72" s="29" t="b">
        <v>0</v>
      </c>
      <c r="I72" s="29" t="b">
        <v>0</v>
      </c>
      <c r="J72" s="29" t="b">
        <v>0</v>
      </c>
      <c r="K72" s="29" t="b">
        <v>0</v>
      </c>
      <c r="L72" s="29" t="b">
        <v>0</v>
      </c>
      <c r="M72" s="29" t="b">
        <v>0</v>
      </c>
      <c r="P72" s="29" t="b">
        <v>0</v>
      </c>
      <c r="Q72" s="29" t="b">
        <v>0</v>
      </c>
      <c r="R72" s="29" t="b">
        <v>0</v>
      </c>
      <c r="S72" s="29" t="b">
        <v>0</v>
      </c>
      <c r="T72" s="29" t="b">
        <f t="shared" si="0"/>
        <v>0</v>
      </c>
      <c r="U72" s="29" t="s">
        <v>1077</v>
      </c>
      <c r="W72" s="29">
        <v>2</v>
      </c>
      <c r="X72" s="29" t="s">
        <v>1040</v>
      </c>
      <c r="Y72" s="16" t="s">
        <v>1041</v>
      </c>
      <c r="Z72" s="29" t="s">
        <v>1042</v>
      </c>
      <c r="AA72" s="554" t="e">
        <f t="shared" ref="AA72:AC72" si="354">AVERAGE(AJ72,AM72,AP72,AV72,AY72,AS72,BZ72,BB72,BE72,BH72,BK72,BN72,BQ72,BT72)</f>
        <v>#DIV/0!</v>
      </c>
      <c r="AB72" s="555" t="e">
        <f t="shared" si="354"/>
        <v>#DIV/0!</v>
      </c>
      <c r="AC72" s="556" t="e">
        <f t="shared" si="354"/>
        <v>#DIV/0!</v>
      </c>
      <c r="AD72" s="29" t="b">
        <v>0</v>
      </c>
      <c r="AE72" s="29" t="b">
        <v>1</v>
      </c>
      <c r="AF72" s="29" t="b">
        <v>0</v>
      </c>
      <c r="AG72" s="566"/>
      <c r="AH72" s="567"/>
      <c r="AI72" s="568"/>
      <c r="AJ72" s="567"/>
      <c r="AK72" s="567"/>
      <c r="AL72" s="568"/>
      <c r="AM72" s="567"/>
      <c r="AN72" s="567"/>
      <c r="AO72" s="568"/>
      <c r="AP72" s="567"/>
      <c r="AQ72" s="567"/>
      <c r="AR72" s="568"/>
      <c r="AS72" s="567"/>
      <c r="AT72" s="567"/>
      <c r="AU72" s="568"/>
      <c r="AV72" s="567"/>
      <c r="AW72" s="567"/>
      <c r="AX72" s="568"/>
      <c r="AY72" s="567"/>
      <c r="AZ72" s="567"/>
      <c r="BA72" s="568"/>
      <c r="BB72" s="567"/>
      <c r="BC72" s="567"/>
      <c r="BD72" s="568"/>
      <c r="BE72" s="567"/>
      <c r="BF72" s="567"/>
      <c r="BG72" s="568"/>
      <c r="BH72" s="567"/>
      <c r="BI72" s="567"/>
      <c r="BJ72" s="568"/>
      <c r="BK72" s="567"/>
      <c r="BL72" s="567"/>
      <c r="BM72" s="568"/>
      <c r="BN72" s="567"/>
      <c r="BO72" s="567"/>
      <c r="BP72" s="568"/>
      <c r="BQ72" s="567"/>
      <c r="BR72" s="567"/>
      <c r="BS72" s="568"/>
      <c r="BT72" s="567"/>
      <c r="BU72" s="567"/>
      <c r="BV72" s="568"/>
      <c r="BW72" s="567"/>
      <c r="BX72" s="567"/>
      <c r="BY72" s="568"/>
      <c r="BZ72" s="567"/>
      <c r="CA72" s="567"/>
      <c r="CB72" s="567"/>
      <c r="CC72" s="583"/>
      <c r="CD72" s="555" t="e">
        <f t="shared" ref="CD72:CF72" si="355">MEDIAN(AM72,AP72,AS72,AY72,BB72,AV72,AA72,BE72,BK72,BZ72,BH72,BN72,BQ72,BT72,BW72)</f>
        <v>#DIV/0!</v>
      </c>
      <c r="CE72" s="555" t="e">
        <f t="shared" si="355"/>
        <v>#DIV/0!</v>
      </c>
      <c r="CF72" s="556" t="e">
        <f t="shared" si="355"/>
        <v>#DIV/0!</v>
      </c>
      <c r="CG72" s="555" t="e">
        <f t="shared" ref="CG72:CI72" si="356">MAX(AP72,AS72,AV72,BB72,BE72,AY72,CD72,BK72,BZ72,AA72)-MIN(AP72,AS72,AV72,BB72,BE72,AY72,CD72,BK72,BZ72,AA72)</f>
        <v>#DIV/0!</v>
      </c>
      <c r="CH72" s="555" t="e">
        <f t="shared" si="356"/>
        <v>#DIV/0!</v>
      </c>
      <c r="CI72" s="556" t="e">
        <f t="shared" si="356"/>
        <v>#DIV/0!</v>
      </c>
      <c r="CJ72" s="555" t="e">
        <f t="shared" ref="CJ72:CL72" si="357">STDEV(AS72,AV72,AY72,BE72,BK72,BB72,CG72,BZ72,AA72,CD72)</f>
        <v>#DIV/0!</v>
      </c>
      <c r="CK72" s="555" t="e">
        <f t="shared" si="357"/>
        <v>#DIV/0!</v>
      </c>
      <c r="CL72" s="556" t="e">
        <f t="shared" si="357"/>
        <v>#DIV/0!</v>
      </c>
      <c r="CM72" s="555" t="e">
        <f t="shared" ref="CM72:CO72" si="358">CJ72/AA72</f>
        <v>#DIV/0!</v>
      </c>
      <c r="CN72" s="555" t="e">
        <f t="shared" si="358"/>
        <v>#DIV/0!</v>
      </c>
      <c r="CO72" s="556" t="e">
        <f t="shared" si="358"/>
        <v>#DIV/0!</v>
      </c>
      <c r="CP72" s="29" t="s">
        <v>120</v>
      </c>
      <c r="CQ72" s="535">
        <f t="shared" si="229"/>
        <v>2</v>
      </c>
      <c r="CR72" s="29" t="s">
        <v>120</v>
      </c>
      <c r="CS72" s="29"/>
      <c r="CT72" s="29"/>
      <c r="CU72" s="29"/>
      <c r="CV72" s="29"/>
    </row>
    <row r="73" customHeight="1" spans="1:100">
      <c r="A73" s="29" t="s">
        <v>255</v>
      </c>
      <c r="B73" s="541" t="s">
        <v>1078</v>
      </c>
      <c r="C73" s="29" t="s">
        <v>1079</v>
      </c>
      <c r="D73" s="29" t="s">
        <v>256</v>
      </c>
      <c r="E73" s="29"/>
      <c r="F73" s="312" t="s">
        <v>1038</v>
      </c>
      <c r="G73" s="29" t="s">
        <v>1039</v>
      </c>
      <c r="H73" s="29" t="b">
        <v>1</v>
      </c>
      <c r="I73" s="29" t="b">
        <v>1</v>
      </c>
      <c r="J73" s="29" t="b">
        <v>0</v>
      </c>
      <c r="K73" s="29" t="b">
        <v>0</v>
      </c>
      <c r="L73" s="29" t="b">
        <v>1</v>
      </c>
      <c r="M73" s="29" t="b">
        <v>1</v>
      </c>
      <c r="N73" s="312" t="s">
        <v>258</v>
      </c>
      <c r="O73" s="29">
        <v>700</v>
      </c>
      <c r="P73" s="29" t="b">
        <v>0</v>
      </c>
      <c r="Q73" s="29" t="b">
        <v>0</v>
      </c>
      <c r="R73" s="29" t="b">
        <v>0</v>
      </c>
      <c r="S73" s="29" t="b">
        <v>1</v>
      </c>
      <c r="T73" s="29" t="b">
        <f t="shared" si="0"/>
        <v>0</v>
      </c>
      <c r="U73" s="312" t="s">
        <v>1080</v>
      </c>
      <c r="W73" s="29">
        <v>2</v>
      </c>
      <c r="X73" s="29" t="s">
        <v>1049</v>
      </c>
      <c r="Y73" s="16" t="s">
        <v>1041</v>
      </c>
      <c r="Z73" s="29" t="s">
        <v>1042</v>
      </c>
      <c r="AA73" s="554">
        <f t="shared" ref="AA73:AC73" si="359">AVERAGE(AJ73,AM73,AP73,AV73,AY73,AS73,BZ73,BB73,BE73,BH73,BK73,BN73,BQ73,BT73)</f>
        <v>56</v>
      </c>
      <c r="AB73" s="555">
        <f t="shared" si="359"/>
        <v>40</v>
      </c>
      <c r="AC73" s="556" t="e">
        <f t="shared" si="359"/>
        <v>#DIV/0!</v>
      </c>
      <c r="AD73" s="29" t="b">
        <v>1</v>
      </c>
      <c r="AE73" s="29" t="b">
        <v>0</v>
      </c>
      <c r="AF73" s="29" t="b">
        <v>0</v>
      </c>
      <c r="AG73" s="574">
        <v>100</v>
      </c>
      <c r="AH73" s="569">
        <v>60</v>
      </c>
      <c r="AI73" s="570">
        <v>30</v>
      </c>
      <c r="AJ73" s="569"/>
      <c r="AK73" s="569"/>
      <c r="AL73" s="570"/>
      <c r="AM73" s="569"/>
      <c r="AN73" s="569"/>
      <c r="AO73" s="570"/>
      <c r="AP73" s="569">
        <v>64</v>
      </c>
      <c r="AQ73" s="569"/>
      <c r="AR73" s="570"/>
      <c r="AS73" s="569"/>
      <c r="AT73" s="569"/>
      <c r="AU73" s="570"/>
      <c r="AV73" s="569"/>
      <c r="AW73" s="569"/>
      <c r="AX73" s="570"/>
      <c r="AY73" s="569"/>
      <c r="AZ73" s="569"/>
      <c r="BA73" s="570" t="s">
        <v>13</v>
      </c>
      <c r="BB73" s="569">
        <v>60</v>
      </c>
      <c r="BC73" s="569"/>
      <c r="BD73" s="570"/>
      <c r="BE73" s="569"/>
      <c r="BF73" s="569"/>
      <c r="BG73" s="570"/>
      <c r="BH73" s="569">
        <v>50</v>
      </c>
      <c r="BI73" s="569"/>
      <c r="BJ73" s="570"/>
      <c r="BK73" s="569"/>
      <c r="BL73" s="569"/>
      <c r="BM73" s="570"/>
      <c r="BN73" s="569">
        <v>50</v>
      </c>
      <c r="BO73" s="569"/>
      <c r="BP73" s="570"/>
      <c r="BQ73" s="569"/>
      <c r="BR73" s="569"/>
      <c r="BS73" s="570"/>
      <c r="BT73" s="569"/>
      <c r="BU73" s="569"/>
      <c r="BV73" s="570"/>
      <c r="BW73" s="569">
        <v>66</v>
      </c>
      <c r="BX73" s="569"/>
      <c r="BY73" s="570"/>
      <c r="BZ73" s="569"/>
      <c r="CA73" s="569">
        <v>40</v>
      </c>
      <c r="CB73" s="569"/>
      <c r="CC73" s="583"/>
      <c r="CD73" s="555">
        <f t="shared" ref="CD73:CF73" si="360">MEDIAN(AM73,AP73,AS73,AY73,BB73,AV73,AA73,BE73,BK73,BZ73,BH73,BN73,BQ73,BT73,BW73)</f>
        <v>58</v>
      </c>
      <c r="CE73" s="555">
        <f t="shared" si="360"/>
        <v>40</v>
      </c>
      <c r="CF73" s="556" t="e">
        <f t="shared" si="360"/>
        <v>#DIV/0!</v>
      </c>
      <c r="CG73" s="555">
        <f t="shared" ref="CG73:CI73" si="361">MAX(AP73,AS73,AV73,BB73,BE73,AY73,CD73,BK73,BZ73,AA73)-MIN(AP73,AS73,AV73,BB73,BE73,AY73,CD73,BK73,BZ73,AA73)</f>
        <v>8</v>
      </c>
      <c r="CH73" s="555">
        <f t="shared" si="361"/>
        <v>0</v>
      </c>
      <c r="CI73" s="556" t="e">
        <f t="shared" si="361"/>
        <v>#DIV/0!</v>
      </c>
      <c r="CJ73" s="555">
        <f t="shared" ref="CJ73:CL73" si="362">STDEV(AS73,AV73,AY73,BE73,BK73,BB73,CG73,BZ73,AA73,CD73)</f>
        <v>25.0532765654847</v>
      </c>
      <c r="CK73" s="555">
        <f t="shared" si="362"/>
        <v>20</v>
      </c>
      <c r="CL73" s="556" t="e">
        <f t="shared" si="362"/>
        <v>#DIV/0!</v>
      </c>
      <c r="CM73" s="555">
        <f t="shared" ref="CM73:CO73" si="363">CJ73/AA73</f>
        <v>0.44737993866937</v>
      </c>
      <c r="CN73" s="555">
        <f t="shared" si="363"/>
        <v>0.5</v>
      </c>
      <c r="CO73" s="556" t="e">
        <f t="shared" si="363"/>
        <v>#DIV/0!</v>
      </c>
      <c r="CP73" s="29" t="s">
        <v>120</v>
      </c>
      <c r="CQ73" s="535">
        <f t="shared" si="229"/>
        <v>2</v>
      </c>
      <c r="CR73" s="29" t="s">
        <v>120</v>
      </c>
      <c r="CS73" s="29" t="s">
        <v>120</v>
      </c>
      <c r="CT73" s="29" t="s">
        <v>120</v>
      </c>
      <c r="CU73" s="29" t="s">
        <v>120</v>
      </c>
      <c r="CV73" s="29" t="s">
        <v>120</v>
      </c>
    </row>
    <row r="74" customHeight="1" spans="1:100">
      <c r="A74" s="29" t="s">
        <v>259</v>
      </c>
      <c r="B74" s="541" t="s">
        <v>1078</v>
      </c>
      <c r="C74" s="29" t="s">
        <v>1079</v>
      </c>
      <c r="D74" s="29" t="s">
        <v>260</v>
      </c>
      <c r="E74" s="29"/>
      <c r="F74" s="312" t="s">
        <v>1038</v>
      </c>
      <c r="G74" s="29" t="s">
        <v>1039</v>
      </c>
      <c r="H74" s="29" t="b">
        <v>1</v>
      </c>
      <c r="I74" s="29" t="b">
        <v>1</v>
      </c>
      <c r="J74" s="29" t="b">
        <v>0</v>
      </c>
      <c r="K74" s="29" t="b">
        <v>0</v>
      </c>
      <c r="L74" s="29" t="b">
        <v>1</v>
      </c>
      <c r="M74" s="29" t="b">
        <v>1</v>
      </c>
      <c r="N74" s="312" t="s">
        <v>258</v>
      </c>
      <c r="O74" s="29">
        <v>700</v>
      </c>
      <c r="P74" s="29" t="b">
        <v>0</v>
      </c>
      <c r="Q74" s="29" t="b">
        <v>0</v>
      </c>
      <c r="R74" s="29" t="b">
        <v>0</v>
      </c>
      <c r="S74" s="29" t="b">
        <v>1</v>
      </c>
      <c r="T74" s="29" t="b">
        <f t="shared" si="0"/>
        <v>0</v>
      </c>
      <c r="U74" s="312" t="s">
        <v>1080</v>
      </c>
      <c r="W74" s="29">
        <v>2</v>
      </c>
      <c r="X74" s="29" t="s">
        <v>1049</v>
      </c>
      <c r="Y74" s="16" t="s">
        <v>1041</v>
      </c>
      <c r="Z74" s="29" t="s">
        <v>1042</v>
      </c>
      <c r="AA74" s="554" t="e">
        <f t="shared" ref="AA74:AC74" si="364">AVERAGE(AJ74,AM74,AP74,AV74,AY74,AS74,BZ74,BB74,BE74,BH74,BK74,BN74,BQ74,BT74)</f>
        <v>#DIV/0!</v>
      </c>
      <c r="AB74" s="555">
        <f t="shared" si="364"/>
        <v>35</v>
      </c>
      <c r="AC74" s="556" t="e">
        <f t="shared" si="364"/>
        <v>#DIV/0!</v>
      </c>
      <c r="AD74" s="29" t="b">
        <v>1</v>
      </c>
      <c r="AE74" s="29" t="b">
        <v>0</v>
      </c>
      <c r="AF74" s="29" t="b">
        <v>0</v>
      </c>
      <c r="AG74" s="574">
        <v>60</v>
      </c>
      <c r="AH74" s="569">
        <v>40</v>
      </c>
      <c r="AI74" s="570">
        <v>20</v>
      </c>
      <c r="AJ74" s="569"/>
      <c r="AK74" s="569"/>
      <c r="AL74" s="570"/>
      <c r="AM74" s="569"/>
      <c r="AN74" s="569"/>
      <c r="AO74" s="570"/>
      <c r="AP74" s="569"/>
      <c r="AQ74" s="569"/>
      <c r="AR74" s="570"/>
      <c r="AS74" s="569"/>
      <c r="AT74" s="569"/>
      <c r="AU74" s="570"/>
      <c r="AV74" s="569"/>
      <c r="AW74" s="569"/>
      <c r="AX74" s="570"/>
      <c r="AY74" s="569"/>
      <c r="AZ74" s="569"/>
      <c r="BA74" s="570" t="s">
        <v>13</v>
      </c>
      <c r="BB74" s="569"/>
      <c r="BC74" s="569"/>
      <c r="BD74" s="570"/>
      <c r="BE74" s="569"/>
      <c r="BF74" s="569"/>
      <c r="BG74" s="570"/>
      <c r="BH74" s="569"/>
      <c r="BI74" s="569"/>
      <c r="BJ74" s="570"/>
      <c r="BK74" s="569"/>
      <c r="BL74" s="569"/>
      <c r="BM74" s="570"/>
      <c r="BN74" s="569"/>
      <c r="BO74" s="569"/>
      <c r="BP74" s="570"/>
      <c r="BQ74" s="569"/>
      <c r="BR74" s="569"/>
      <c r="BS74" s="570"/>
      <c r="BT74" s="569"/>
      <c r="BU74" s="569"/>
      <c r="BV74" s="570"/>
      <c r="BW74" s="569"/>
      <c r="BX74" s="569"/>
      <c r="BY74" s="570"/>
      <c r="BZ74" s="569"/>
      <c r="CA74" s="569">
        <v>35</v>
      </c>
      <c r="CB74" s="569"/>
      <c r="CC74" s="583"/>
      <c r="CD74" s="555" t="e">
        <f t="shared" ref="CD74:CF74" si="365">MEDIAN(AM74,AP74,AS74,AY74,BB74,AV74,AA74,BE74,BK74,BZ74,BH74,BN74,BQ74,BT74,BW74)</f>
        <v>#DIV/0!</v>
      </c>
      <c r="CE74" s="555">
        <f t="shared" si="365"/>
        <v>35</v>
      </c>
      <c r="CF74" s="556" t="e">
        <f t="shared" si="365"/>
        <v>#DIV/0!</v>
      </c>
      <c r="CG74" s="555" t="e">
        <f t="shared" ref="CG74:CI74" si="366">MAX(AP74,AS74,AV74,BB74,BE74,AY74,CD74,BK74,BZ74,AA74)-MIN(AP74,AS74,AV74,BB74,BE74,AY74,CD74,BK74,BZ74,AA74)</f>
        <v>#DIV/0!</v>
      </c>
      <c r="CH74" s="555">
        <f t="shared" si="366"/>
        <v>0</v>
      </c>
      <c r="CI74" s="556" t="e">
        <f t="shared" si="366"/>
        <v>#DIV/0!</v>
      </c>
      <c r="CJ74" s="555" t="e">
        <f t="shared" ref="CJ74:CL74" si="367">STDEV(AS74,AV74,AY74,BE74,BK74,BB74,CG74,BZ74,AA74,CD74)</f>
        <v>#DIV/0!</v>
      </c>
      <c r="CK74" s="555">
        <f t="shared" si="367"/>
        <v>17.5</v>
      </c>
      <c r="CL74" s="556" t="e">
        <f t="shared" si="367"/>
        <v>#DIV/0!</v>
      </c>
      <c r="CM74" s="555" t="e">
        <f t="shared" ref="CM74:CO74" si="368">CJ74/AA74</f>
        <v>#DIV/0!</v>
      </c>
      <c r="CN74" s="555">
        <f t="shared" si="368"/>
        <v>0.5</v>
      </c>
      <c r="CO74" s="556" t="e">
        <f t="shared" si="368"/>
        <v>#DIV/0!</v>
      </c>
      <c r="CP74" s="29" t="s">
        <v>120</v>
      </c>
      <c r="CQ74" s="535">
        <f t="shared" si="229"/>
        <v>2</v>
      </c>
      <c r="CR74" s="29" t="s">
        <v>120</v>
      </c>
      <c r="CS74" s="29" t="s">
        <v>120</v>
      </c>
      <c r="CT74" s="29" t="s">
        <v>120</v>
      </c>
      <c r="CU74" s="29" t="s">
        <v>120</v>
      </c>
      <c r="CV74" s="29" t="s">
        <v>120</v>
      </c>
    </row>
    <row r="75" customHeight="1" spans="1:100">
      <c r="A75" s="29" t="s">
        <v>261</v>
      </c>
      <c r="B75" s="541" t="s">
        <v>1078</v>
      </c>
      <c r="C75" s="29" t="s">
        <v>1079</v>
      </c>
      <c r="D75" s="29" t="s">
        <v>262</v>
      </c>
      <c r="E75" s="29"/>
      <c r="F75" s="312" t="s">
        <v>1038</v>
      </c>
      <c r="G75" s="29" t="s">
        <v>1039</v>
      </c>
      <c r="H75" s="29" t="b">
        <v>1</v>
      </c>
      <c r="I75" s="29" t="b">
        <v>1</v>
      </c>
      <c r="J75" s="29" t="b">
        <v>0</v>
      </c>
      <c r="K75" s="29" t="b">
        <v>0</v>
      </c>
      <c r="L75" s="29" t="b">
        <v>1</v>
      </c>
      <c r="M75" s="29" t="b">
        <v>1</v>
      </c>
      <c r="N75" s="312" t="s">
        <v>258</v>
      </c>
      <c r="O75" s="29">
        <v>700</v>
      </c>
      <c r="P75" s="29" t="b">
        <v>0</v>
      </c>
      <c r="Q75" s="29" t="b">
        <v>0</v>
      </c>
      <c r="R75" s="29" t="b">
        <v>0</v>
      </c>
      <c r="S75" s="29" t="b">
        <v>1</v>
      </c>
      <c r="T75" s="29" t="b">
        <f t="shared" si="0"/>
        <v>0</v>
      </c>
      <c r="U75" s="312" t="s">
        <v>1080</v>
      </c>
      <c r="W75" s="29">
        <v>2</v>
      </c>
      <c r="X75" s="29" t="s">
        <v>1049</v>
      </c>
      <c r="Y75" s="16" t="s">
        <v>1041</v>
      </c>
      <c r="Z75" s="29" t="s">
        <v>1042</v>
      </c>
      <c r="AA75" s="554">
        <f t="shared" ref="AA75:AC75" si="369">AVERAGE(AJ75,AM75,AP75,AV75,AY75,AS75,BZ75,BB75,BE75,BH75,BK75,BN75,BQ75,BT75)</f>
        <v>140</v>
      </c>
      <c r="AB75" s="555">
        <f t="shared" si="369"/>
        <v>55.2407936507936</v>
      </c>
      <c r="AC75" s="556">
        <f t="shared" si="369"/>
        <v>18.75</v>
      </c>
      <c r="AD75" s="29" t="b">
        <v>1</v>
      </c>
      <c r="AE75" s="29" t="b">
        <v>0</v>
      </c>
      <c r="AF75" s="29" t="b">
        <v>0</v>
      </c>
      <c r="AG75" s="574">
        <v>90</v>
      </c>
      <c r="AH75" s="569">
        <v>45</v>
      </c>
      <c r="AI75" s="570">
        <v>17</v>
      </c>
      <c r="AJ75" s="569">
        <v>275</v>
      </c>
      <c r="AK75" s="569">
        <v>143</v>
      </c>
      <c r="AL75" s="570" t="s">
        <v>13</v>
      </c>
      <c r="AM75" s="569">
        <v>100</v>
      </c>
      <c r="AN75" s="569">
        <f>AM75/(1+(AM75/125))</f>
        <v>55.5555555555556</v>
      </c>
      <c r="AO75" s="570" t="s">
        <v>13</v>
      </c>
      <c r="AP75" s="569">
        <v>45</v>
      </c>
      <c r="AQ75" s="569">
        <v>28.13</v>
      </c>
      <c r="AR75" s="570">
        <v>18.75</v>
      </c>
      <c r="AS75" s="569" t="s">
        <v>13</v>
      </c>
      <c r="AT75" s="569">
        <v>60</v>
      </c>
      <c r="AU75" s="570" t="s">
        <v>13</v>
      </c>
      <c r="AV75" s="569" t="s">
        <v>13</v>
      </c>
      <c r="AW75" s="569">
        <v>45</v>
      </c>
      <c r="AX75" s="570" t="s">
        <v>13</v>
      </c>
      <c r="AY75" s="569" t="s">
        <v>13</v>
      </c>
      <c r="AZ75" s="569">
        <v>15</v>
      </c>
      <c r="BA75" s="570" t="s">
        <v>13</v>
      </c>
      <c r="BB75" s="569"/>
      <c r="BC75" s="569"/>
      <c r="BD75" s="570"/>
      <c r="BE75" s="569"/>
      <c r="BF75" s="569"/>
      <c r="BG75" s="570"/>
      <c r="BH75" s="569"/>
      <c r="BI75" s="569"/>
      <c r="BJ75" s="570"/>
      <c r="BK75" s="569"/>
      <c r="BL75" s="569"/>
      <c r="BM75" s="570"/>
      <c r="BN75" s="569"/>
      <c r="BO75" s="569"/>
      <c r="BP75" s="570"/>
      <c r="BQ75" s="569"/>
      <c r="BR75" s="569"/>
      <c r="BS75" s="570"/>
      <c r="BT75" s="569"/>
      <c r="BU75" s="569"/>
      <c r="BV75" s="570"/>
      <c r="BW75" s="569"/>
      <c r="BX75" s="569"/>
      <c r="BY75" s="570"/>
      <c r="BZ75" s="569" t="s">
        <v>13</v>
      </c>
      <c r="CA75" s="569">
        <v>40</v>
      </c>
      <c r="CB75" s="569" t="s">
        <v>13</v>
      </c>
      <c r="CC75" s="583"/>
      <c r="CD75" s="555">
        <f t="shared" ref="CD75:CF75" si="370">MEDIAN(AM75,AP75,AS75,AY75,BB75,AV75,AA75,BE75,BK75,BZ75,BH75,BN75,BQ75,BT75,BW75)</f>
        <v>100</v>
      </c>
      <c r="CE75" s="555">
        <f t="shared" si="370"/>
        <v>45</v>
      </c>
      <c r="CF75" s="556">
        <f t="shared" si="370"/>
        <v>18.75</v>
      </c>
      <c r="CG75" s="555">
        <f t="shared" ref="CG75:CI75" si="371">MAX(AP75,AS75,AV75,BB75,BE75,AY75,CD75,BK75,BZ75,AA75)-MIN(AP75,AS75,AV75,BB75,BE75,AY75,CD75,BK75,BZ75,AA75)</f>
        <v>95</v>
      </c>
      <c r="CH75" s="555">
        <f t="shared" si="371"/>
        <v>45</v>
      </c>
      <c r="CI75" s="556">
        <f t="shared" si="371"/>
        <v>0</v>
      </c>
      <c r="CJ75" s="555">
        <f t="shared" ref="CJ75:CL75" si="372">STDEV(AS75,AV75,AY75,BE75,BK75,BB75,CG75,BZ75,AA75,CD75)</f>
        <v>24.6644143115812</v>
      </c>
      <c r="CK75" s="555">
        <f t="shared" si="372"/>
        <v>14.3832532196802</v>
      </c>
      <c r="CL75" s="556">
        <f t="shared" si="372"/>
        <v>10.8253175473055</v>
      </c>
      <c r="CM75" s="555">
        <f t="shared" ref="CM75:CO75" si="373">CJ75/AA75</f>
        <v>0.176174387939866</v>
      </c>
      <c r="CN75" s="555">
        <f t="shared" si="373"/>
        <v>0.260373761293228</v>
      </c>
      <c r="CO75" s="556">
        <f t="shared" si="373"/>
        <v>0.577350269189626</v>
      </c>
      <c r="CP75" s="29" t="s">
        <v>120</v>
      </c>
      <c r="CQ75" s="535">
        <f t="shared" si="229"/>
        <v>2</v>
      </c>
      <c r="CR75" s="29" t="s">
        <v>120</v>
      </c>
      <c r="CS75" s="29" t="s">
        <v>120</v>
      </c>
      <c r="CT75" s="29" t="s">
        <v>120</v>
      </c>
      <c r="CU75" s="29" t="s">
        <v>120</v>
      </c>
      <c r="CV75" s="29" t="s">
        <v>120</v>
      </c>
    </row>
    <row r="76" customHeight="1" spans="1:100">
      <c r="A76" s="29" t="s">
        <v>263</v>
      </c>
      <c r="B76" s="541" t="s">
        <v>1078</v>
      </c>
      <c r="C76" s="29" t="s">
        <v>1079</v>
      </c>
      <c r="D76" s="29" t="s">
        <v>264</v>
      </c>
      <c r="E76" s="29"/>
      <c r="F76" s="312" t="s">
        <v>1038</v>
      </c>
      <c r="G76" s="29" t="s">
        <v>1039</v>
      </c>
      <c r="H76" s="29" t="b">
        <v>1</v>
      </c>
      <c r="I76" s="29" t="b">
        <v>1</v>
      </c>
      <c r="J76" s="29" t="b">
        <v>0</v>
      </c>
      <c r="K76" s="29" t="b">
        <v>0</v>
      </c>
      <c r="L76" s="29" t="b">
        <v>1</v>
      </c>
      <c r="M76" s="29" t="b">
        <v>1</v>
      </c>
      <c r="N76" s="312" t="s">
        <v>258</v>
      </c>
      <c r="O76" s="29">
        <v>700</v>
      </c>
      <c r="P76" s="29" t="b">
        <v>0</v>
      </c>
      <c r="Q76" s="29" t="b">
        <v>0</v>
      </c>
      <c r="R76" s="29" t="b">
        <v>0</v>
      </c>
      <c r="S76" s="29" t="b">
        <v>1</v>
      </c>
      <c r="T76" s="29" t="b">
        <f t="shared" si="0"/>
        <v>0</v>
      </c>
      <c r="U76" s="312" t="s">
        <v>1080</v>
      </c>
      <c r="W76" s="29">
        <v>2</v>
      </c>
      <c r="X76" s="29" t="s">
        <v>1049</v>
      </c>
      <c r="Y76" s="16" t="s">
        <v>1041</v>
      </c>
      <c r="Z76" s="29" t="s">
        <v>1042</v>
      </c>
      <c r="AA76" s="554" t="e">
        <f t="shared" ref="AA76:AC76" si="374">AVERAGE(AJ76,AM76,AP76,AV76,AY76,AS76,BZ76,BB76,BE76,BH76,BK76,BN76,BQ76,BT76)</f>
        <v>#DIV/0!</v>
      </c>
      <c r="AB76" s="555">
        <f t="shared" si="374"/>
        <v>32.5</v>
      </c>
      <c r="AC76" s="556" t="e">
        <f t="shared" si="374"/>
        <v>#DIV/0!</v>
      </c>
      <c r="AD76" s="29" t="b">
        <v>1</v>
      </c>
      <c r="AE76" s="29" t="b">
        <v>0</v>
      </c>
      <c r="AF76" s="29" t="b">
        <v>0</v>
      </c>
      <c r="AG76" s="574">
        <v>45</v>
      </c>
      <c r="AH76" s="569">
        <v>30</v>
      </c>
      <c r="AI76" s="570">
        <v>13</v>
      </c>
      <c r="AJ76" s="569" t="s">
        <v>13</v>
      </c>
      <c r="AK76" s="569" t="s">
        <v>13</v>
      </c>
      <c r="AL76" s="570" t="s">
        <v>13</v>
      </c>
      <c r="AM76" s="569" t="s">
        <v>13</v>
      </c>
      <c r="AN76" s="569" t="s">
        <v>13</v>
      </c>
      <c r="AO76" s="570" t="s">
        <v>13</v>
      </c>
      <c r="AP76" s="569" t="s">
        <v>13</v>
      </c>
      <c r="AQ76" s="569" t="s">
        <v>13</v>
      </c>
      <c r="AR76" s="570" t="s">
        <v>13</v>
      </c>
      <c r="AS76" s="569" t="s">
        <v>13</v>
      </c>
      <c r="AT76" s="569">
        <v>30</v>
      </c>
      <c r="AU76" s="570" t="s">
        <v>13</v>
      </c>
      <c r="AV76" s="569" t="s">
        <v>13</v>
      </c>
      <c r="AW76" s="569" t="s">
        <v>13</v>
      </c>
      <c r="AX76" s="570" t="s">
        <v>13</v>
      </c>
      <c r="AY76" s="569" t="s">
        <v>13</v>
      </c>
      <c r="AZ76" s="569" t="s">
        <v>13</v>
      </c>
      <c r="BA76" s="570" t="s">
        <v>13</v>
      </c>
      <c r="BB76" s="569"/>
      <c r="BC76" s="569"/>
      <c r="BD76" s="570"/>
      <c r="BE76" s="569"/>
      <c r="BF76" s="569"/>
      <c r="BG76" s="570"/>
      <c r="BH76" s="569"/>
      <c r="BI76" s="569"/>
      <c r="BJ76" s="570"/>
      <c r="BK76" s="569"/>
      <c r="BL76" s="569"/>
      <c r="BM76" s="570"/>
      <c r="BN76" s="569"/>
      <c r="BO76" s="569"/>
      <c r="BP76" s="570"/>
      <c r="BQ76" s="569"/>
      <c r="BR76" s="569"/>
      <c r="BS76" s="570"/>
      <c r="BT76" s="569"/>
      <c r="BU76" s="569"/>
      <c r="BV76" s="570"/>
      <c r="BW76" s="569"/>
      <c r="BX76" s="569"/>
      <c r="BY76" s="570"/>
      <c r="BZ76" s="569" t="s">
        <v>13</v>
      </c>
      <c r="CA76" s="569">
        <v>35</v>
      </c>
      <c r="CB76" s="569" t="s">
        <v>13</v>
      </c>
      <c r="CC76" s="583"/>
      <c r="CD76" s="555" t="e">
        <f t="shared" ref="CD76:CF76" si="375">MEDIAN(AM76,AP76,AS76,AY76,BB76,AV76,AA76,BE76,BK76,BZ76,BH76,BN76,BQ76,BT76,BW76)</f>
        <v>#DIV/0!</v>
      </c>
      <c r="CE76" s="555">
        <f t="shared" si="375"/>
        <v>32.5</v>
      </c>
      <c r="CF76" s="556" t="e">
        <f t="shared" si="375"/>
        <v>#DIV/0!</v>
      </c>
      <c r="CG76" s="555" t="e">
        <f t="shared" ref="CG76:CI76" si="376">MAX(AP76,AS76,AV76,BB76,BE76,AY76,CD76,BK76,BZ76,AA76)-MIN(AP76,AS76,AV76,BB76,BE76,AY76,CD76,BK76,BZ76,AA76)</f>
        <v>#DIV/0!</v>
      </c>
      <c r="CH76" s="555">
        <f t="shared" si="376"/>
        <v>5</v>
      </c>
      <c r="CI76" s="556" t="e">
        <f t="shared" si="376"/>
        <v>#DIV/0!</v>
      </c>
      <c r="CJ76" s="555" t="e">
        <f t="shared" ref="CJ76:CL76" si="377">STDEV(AS76,AV76,AY76,BE76,BK76,BB76,CG76,BZ76,AA76,CD76)</f>
        <v>#DIV/0!</v>
      </c>
      <c r="CK76" s="555">
        <f t="shared" si="377"/>
        <v>12.4247736397892</v>
      </c>
      <c r="CL76" s="556" t="e">
        <f t="shared" si="377"/>
        <v>#DIV/0!</v>
      </c>
      <c r="CM76" s="555" t="e">
        <f t="shared" ref="CM76:CO76" si="378">CJ76/AA76</f>
        <v>#DIV/0!</v>
      </c>
      <c r="CN76" s="555">
        <f t="shared" si="378"/>
        <v>0.382300727378129</v>
      </c>
      <c r="CO76" s="556" t="e">
        <f t="shared" si="378"/>
        <v>#DIV/0!</v>
      </c>
      <c r="CP76" s="29" t="s">
        <v>120</v>
      </c>
      <c r="CQ76" s="535">
        <f t="shared" si="229"/>
        <v>2</v>
      </c>
      <c r="CR76" s="29" t="s">
        <v>120</v>
      </c>
      <c r="CS76" s="29" t="s">
        <v>120</v>
      </c>
      <c r="CT76" s="29" t="s">
        <v>120</v>
      </c>
      <c r="CU76" s="29" t="s">
        <v>120</v>
      </c>
      <c r="CV76" s="29" t="s">
        <v>120</v>
      </c>
    </row>
    <row r="77" customHeight="1" spans="1:100">
      <c r="A77" s="29" t="s">
        <v>265</v>
      </c>
      <c r="B77" s="541" t="s">
        <v>1078</v>
      </c>
      <c r="C77" s="29" t="s">
        <v>1079</v>
      </c>
      <c r="D77" s="29" t="s">
        <v>266</v>
      </c>
      <c r="E77" s="29"/>
      <c r="F77" s="312" t="s">
        <v>1038</v>
      </c>
      <c r="G77" s="29" t="s">
        <v>1039</v>
      </c>
      <c r="H77" s="29" t="b">
        <v>1</v>
      </c>
      <c r="I77" s="29" t="b">
        <v>1</v>
      </c>
      <c r="J77" s="29" t="b">
        <v>0</v>
      </c>
      <c r="K77" s="29" t="b">
        <v>0</v>
      </c>
      <c r="L77" s="29" t="b">
        <v>1</v>
      </c>
      <c r="M77" s="29" t="b">
        <v>1</v>
      </c>
      <c r="N77" s="312" t="s">
        <v>258</v>
      </c>
      <c r="O77" s="29">
        <v>700</v>
      </c>
      <c r="P77" s="29" t="b">
        <v>0</v>
      </c>
      <c r="Q77" s="29" t="b">
        <v>0</v>
      </c>
      <c r="R77" s="29" t="b">
        <v>0</v>
      </c>
      <c r="S77" s="29" t="b">
        <v>1</v>
      </c>
      <c r="T77" s="29" t="b">
        <f t="shared" si="0"/>
        <v>0</v>
      </c>
      <c r="U77" s="312" t="s">
        <v>1080</v>
      </c>
      <c r="W77" s="29">
        <v>2</v>
      </c>
      <c r="X77" s="29" t="s">
        <v>1049</v>
      </c>
      <c r="Y77" s="16" t="s">
        <v>1041</v>
      </c>
      <c r="Z77" s="29" t="s">
        <v>1042</v>
      </c>
      <c r="AA77" s="554" t="e">
        <f t="shared" ref="AA77:AC77" si="379">AVERAGE(AJ77,AM77,AP77,AV77,AY77,AS77,BZ77,BB77,BE77,BH77,BK77,BN77,BQ77,BT77)</f>
        <v>#DIV/0!</v>
      </c>
      <c r="AB77" s="555">
        <f t="shared" si="379"/>
        <v>20</v>
      </c>
      <c r="AC77" s="556" t="e">
        <f t="shared" si="379"/>
        <v>#DIV/0!</v>
      </c>
      <c r="AD77" s="29" t="b">
        <v>1</v>
      </c>
      <c r="AE77" s="29" t="b">
        <v>0</v>
      </c>
      <c r="AF77" s="29" t="b">
        <v>0</v>
      </c>
      <c r="AG77" s="574">
        <v>22</v>
      </c>
      <c r="AH77" s="569">
        <v>15</v>
      </c>
      <c r="AI77" s="570">
        <v>9</v>
      </c>
      <c r="AJ77" s="569" t="s">
        <v>13</v>
      </c>
      <c r="AK77" s="569" t="s">
        <v>13</v>
      </c>
      <c r="AL77" s="570" t="s">
        <v>13</v>
      </c>
      <c r="AM77" s="569" t="s">
        <v>13</v>
      </c>
      <c r="AN77" s="569" t="s">
        <v>13</v>
      </c>
      <c r="AO77" s="570" t="s">
        <v>13</v>
      </c>
      <c r="AP77" s="569" t="s">
        <v>13</v>
      </c>
      <c r="AQ77" s="569" t="s">
        <v>13</v>
      </c>
      <c r="AR77" s="570" t="s">
        <v>13</v>
      </c>
      <c r="AS77" s="569" t="s">
        <v>13</v>
      </c>
      <c r="AT77" s="569" t="s">
        <v>13</v>
      </c>
      <c r="AU77" s="570" t="s">
        <v>13</v>
      </c>
      <c r="AV77" s="569" t="s">
        <v>13</v>
      </c>
      <c r="AW77" s="569" t="s">
        <v>13</v>
      </c>
      <c r="AX77" s="570" t="s">
        <v>13</v>
      </c>
      <c r="AY77" s="569" t="s">
        <v>13</v>
      </c>
      <c r="AZ77" s="569" t="s">
        <v>13</v>
      </c>
      <c r="BA77" s="570" t="s">
        <v>13</v>
      </c>
      <c r="BB77" s="569"/>
      <c r="BC77" s="569"/>
      <c r="BD77" s="570"/>
      <c r="BE77" s="569"/>
      <c r="BF77" s="569"/>
      <c r="BG77" s="570"/>
      <c r="BH77" s="569"/>
      <c r="BI77" s="569"/>
      <c r="BJ77" s="570"/>
      <c r="BK77" s="569"/>
      <c r="BL77" s="569"/>
      <c r="BM77" s="570"/>
      <c r="BN77" s="569"/>
      <c r="BO77" s="569"/>
      <c r="BP77" s="570"/>
      <c r="BQ77" s="569"/>
      <c r="BR77" s="569"/>
      <c r="BS77" s="570"/>
      <c r="BT77" s="569"/>
      <c r="BU77" s="569"/>
      <c r="BV77" s="570"/>
      <c r="BW77" s="569"/>
      <c r="BX77" s="569"/>
      <c r="BY77" s="570"/>
      <c r="BZ77" s="569" t="s">
        <v>13</v>
      </c>
      <c r="CA77" s="569">
        <v>20</v>
      </c>
      <c r="CB77" s="569" t="s">
        <v>13</v>
      </c>
      <c r="CC77" s="583"/>
      <c r="CD77" s="555" t="e">
        <f t="shared" ref="CD77:CF77" si="380">MEDIAN(AM77,AP77,AS77,AY77,BB77,AV77,AA77,BE77,BK77,BZ77,BH77,BN77,BQ77,BT77,BW77)</f>
        <v>#DIV/0!</v>
      </c>
      <c r="CE77" s="555">
        <f t="shared" si="380"/>
        <v>20</v>
      </c>
      <c r="CF77" s="556" t="e">
        <f t="shared" si="380"/>
        <v>#DIV/0!</v>
      </c>
      <c r="CG77" s="555" t="e">
        <f t="shared" ref="CG77:CI77" si="381">MAX(AP77,AS77,AV77,BB77,BE77,AY77,CD77,BK77,BZ77,AA77)-MIN(AP77,AS77,AV77,BB77,BE77,AY77,CD77,BK77,BZ77,AA77)</f>
        <v>#DIV/0!</v>
      </c>
      <c r="CH77" s="555">
        <f t="shared" si="381"/>
        <v>0</v>
      </c>
      <c r="CI77" s="556" t="e">
        <f t="shared" si="381"/>
        <v>#DIV/0!</v>
      </c>
      <c r="CJ77" s="555" t="e">
        <f t="shared" ref="CJ77:CL77" si="382">STDEV(AS77,AV77,AY77,BE77,BK77,BB77,CG77,BZ77,AA77,CD77)</f>
        <v>#DIV/0!</v>
      </c>
      <c r="CK77" s="555">
        <f t="shared" si="382"/>
        <v>10</v>
      </c>
      <c r="CL77" s="556" t="e">
        <f t="shared" si="382"/>
        <v>#DIV/0!</v>
      </c>
      <c r="CM77" s="555" t="e">
        <f t="shared" ref="CM77:CO77" si="383">CJ77/AA77</f>
        <v>#DIV/0!</v>
      </c>
      <c r="CN77" s="555">
        <f t="shared" si="383"/>
        <v>0.5</v>
      </c>
      <c r="CO77" s="556" t="e">
        <f t="shared" si="383"/>
        <v>#DIV/0!</v>
      </c>
      <c r="CP77" s="29" t="s">
        <v>120</v>
      </c>
      <c r="CQ77" s="535">
        <f t="shared" si="229"/>
        <v>2</v>
      </c>
      <c r="CR77" s="29" t="s">
        <v>120</v>
      </c>
      <c r="CS77" s="29" t="s">
        <v>120</v>
      </c>
      <c r="CT77" s="29" t="s">
        <v>120</v>
      </c>
      <c r="CU77" s="29" t="s">
        <v>120</v>
      </c>
      <c r="CV77" s="29" t="s">
        <v>120</v>
      </c>
    </row>
    <row r="78" customHeight="1" spans="1:100">
      <c r="A78" s="312" t="s">
        <v>267</v>
      </c>
      <c r="B78" s="541" t="s">
        <v>1078</v>
      </c>
      <c r="C78" s="29" t="s">
        <v>1079</v>
      </c>
      <c r="D78" s="312" t="s">
        <v>268</v>
      </c>
      <c r="E78" s="312"/>
      <c r="F78" s="312" t="s">
        <v>1038</v>
      </c>
      <c r="G78" s="312" t="s">
        <v>1039</v>
      </c>
      <c r="H78" s="165" t="b">
        <v>1</v>
      </c>
      <c r="I78" s="165" t="b">
        <v>1</v>
      </c>
      <c r="J78" s="165" t="b">
        <v>0</v>
      </c>
      <c r="K78" s="165" t="b">
        <v>0</v>
      </c>
      <c r="L78" s="29" t="b">
        <v>1</v>
      </c>
      <c r="M78" s="165" t="b">
        <v>1</v>
      </c>
      <c r="N78" s="312" t="s">
        <v>258</v>
      </c>
      <c r="O78" s="29">
        <v>700</v>
      </c>
      <c r="P78" s="165" t="b">
        <v>0</v>
      </c>
      <c r="Q78" s="165" t="b">
        <v>0</v>
      </c>
      <c r="R78" s="165" t="b">
        <v>0</v>
      </c>
      <c r="S78" s="165" t="b">
        <v>1</v>
      </c>
      <c r="T78" s="29" t="b">
        <f t="shared" si="0"/>
        <v>0</v>
      </c>
      <c r="U78" s="312" t="s">
        <v>997</v>
      </c>
      <c r="V78" s="312"/>
      <c r="W78" s="313">
        <v>2</v>
      </c>
      <c r="X78" s="312" t="s">
        <v>1049</v>
      </c>
      <c r="Y78" s="165" t="s">
        <v>1041</v>
      </c>
      <c r="Z78" s="452" t="s">
        <v>1042</v>
      </c>
      <c r="AA78" s="554">
        <f t="shared" ref="AA78:AC78" si="384">AVERAGE(AJ78,AM78,AP78,AV78,AY78,AS78,BZ78,BB78,BE78,BH78,BK78,BN78,BQ78,BT78)</f>
        <v>71.5</v>
      </c>
      <c r="AB78" s="555">
        <f t="shared" si="384"/>
        <v>42.8941176470588</v>
      </c>
      <c r="AC78" s="556">
        <f t="shared" si="384"/>
        <v>16.67</v>
      </c>
      <c r="AD78" s="165" t="b">
        <v>1</v>
      </c>
      <c r="AE78" s="165" t="b">
        <v>0</v>
      </c>
      <c r="AF78" s="165" t="b">
        <v>0</v>
      </c>
      <c r="AG78" s="326">
        <v>75</v>
      </c>
      <c r="AH78" s="572">
        <v>50</v>
      </c>
      <c r="AI78" s="589">
        <v>20</v>
      </c>
      <c r="AJ78" s="326">
        <v>87</v>
      </c>
      <c r="AK78" s="326">
        <v>53</v>
      </c>
      <c r="AL78" s="573" t="s">
        <v>13</v>
      </c>
      <c r="AM78" s="326">
        <f>(75+100)/2</f>
        <v>87.5</v>
      </c>
      <c r="AN78" s="326">
        <f>AM78/(1+(AM78/125))</f>
        <v>51.4705882352941</v>
      </c>
      <c r="AO78" s="573"/>
      <c r="AP78" s="326">
        <v>40</v>
      </c>
      <c r="AQ78" s="326">
        <v>25</v>
      </c>
      <c r="AR78" s="573">
        <v>16.67</v>
      </c>
      <c r="AS78" s="326" t="s">
        <v>13</v>
      </c>
      <c r="AT78" s="326">
        <v>40</v>
      </c>
      <c r="AU78" s="573" t="s">
        <v>13</v>
      </c>
      <c r="AV78" s="326" t="s">
        <v>13</v>
      </c>
      <c r="AW78" s="326">
        <v>45</v>
      </c>
      <c r="AX78" s="573" t="s">
        <v>13</v>
      </c>
      <c r="AY78" s="569" t="s">
        <v>13</v>
      </c>
      <c r="AZ78" s="569" t="s">
        <v>13</v>
      </c>
      <c r="BA78" s="570" t="s">
        <v>13</v>
      </c>
      <c r="BB78" s="569"/>
      <c r="BC78" s="569"/>
      <c r="BD78" s="570"/>
      <c r="BE78" s="569"/>
      <c r="BF78" s="569"/>
      <c r="BG78" s="570"/>
      <c r="BH78" s="569"/>
      <c r="BI78" s="569"/>
      <c r="BJ78" s="570"/>
      <c r="BK78" s="569"/>
      <c r="BL78" s="569"/>
      <c r="BM78" s="570"/>
      <c r="BN78" s="569"/>
      <c r="BO78" s="569"/>
      <c r="BP78" s="570"/>
      <c r="BQ78" s="569"/>
      <c r="BR78" s="569"/>
      <c r="BS78" s="570"/>
      <c r="BT78" s="569"/>
      <c r="BU78" s="569"/>
      <c r="BV78" s="570"/>
      <c r="BW78" s="569"/>
      <c r="BX78" s="569"/>
      <c r="BY78" s="570"/>
      <c r="BZ78" s="326" t="s">
        <v>13</v>
      </c>
      <c r="CA78" s="592" t="s">
        <v>13</v>
      </c>
      <c r="CB78" s="326" t="s">
        <v>13</v>
      </c>
      <c r="CC78" s="583"/>
      <c r="CD78" s="555">
        <f t="shared" ref="CD78:CF78" si="385">MEDIAN(AM78,AP78,AS78,AY78,BB78,AV78,AA78,BE78,BK78,BZ78,BH78,BN78,BQ78,BT78,BW78)</f>
        <v>71.5</v>
      </c>
      <c r="CE78" s="555">
        <f t="shared" si="385"/>
        <v>42.8941176470588</v>
      </c>
      <c r="CF78" s="556">
        <f t="shared" si="385"/>
        <v>16.67</v>
      </c>
      <c r="CG78" s="555">
        <f t="shared" ref="CG78:CI78" si="386">MAX(AP78,AS78,AV78,BB78,BE78,AY78,CD78,BK78,BZ78,AA78)-MIN(AP78,AS78,AV78,BB78,BE78,AY78,CD78,BK78,BZ78,AA78)</f>
        <v>31.5</v>
      </c>
      <c r="CH78" s="555">
        <f t="shared" si="386"/>
        <v>20</v>
      </c>
      <c r="CI78" s="556">
        <f t="shared" si="386"/>
        <v>0</v>
      </c>
      <c r="CJ78" s="555">
        <f t="shared" ref="CJ78:CL78" si="387">STDEV(AS78,AV78,AY78,BE78,BK78,BB78,CG78,BZ78,AA78,CD78)</f>
        <v>23.094010767585</v>
      </c>
      <c r="CK78" s="555">
        <f t="shared" si="387"/>
        <v>10.3051020386836</v>
      </c>
      <c r="CL78" s="556">
        <f t="shared" si="387"/>
        <v>9.62442898739106</v>
      </c>
      <c r="CM78" s="555">
        <f t="shared" ref="CM78:CO78" si="388">CJ78/AA78</f>
        <v>0.322993157588602</v>
      </c>
      <c r="CN78" s="555">
        <f t="shared" si="388"/>
        <v>0.240245110611111</v>
      </c>
      <c r="CO78" s="556">
        <f t="shared" si="388"/>
        <v>0.577350269189626</v>
      </c>
      <c r="CP78" s="312" t="s">
        <v>120</v>
      </c>
      <c r="CQ78" s="313">
        <f t="shared" si="229"/>
        <v>2</v>
      </c>
      <c r="CR78" s="312" t="s">
        <v>120</v>
      </c>
      <c r="CS78" s="312" t="s">
        <v>120</v>
      </c>
      <c r="CT78" s="312" t="s">
        <v>120</v>
      </c>
      <c r="CU78" s="312" t="s">
        <v>120</v>
      </c>
      <c r="CV78" s="312" t="s">
        <v>120</v>
      </c>
    </row>
    <row r="79" customHeight="1" spans="1:100">
      <c r="A79" s="312" t="s">
        <v>269</v>
      </c>
      <c r="B79" s="541" t="s">
        <v>1078</v>
      </c>
      <c r="C79" s="29" t="s">
        <v>1079</v>
      </c>
      <c r="D79" s="312" t="s">
        <v>270</v>
      </c>
      <c r="E79" s="312"/>
      <c r="F79" s="312" t="s">
        <v>1038</v>
      </c>
      <c r="G79" s="312" t="s">
        <v>1039</v>
      </c>
      <c r="H79" s="165" t="b">
        <v>1</v>
      </c>
      <c r="I79" s="165" t="b">
        <v>1</v>
      </c>
      <c r="J79" s="165" t="b">
        <v>0</v>
      </c>
      <c r="K79" s="165" t="b">
        <v>0</v>
      </c>
      <c r="L79" s="29" t="b">
        <v>1</v>
      </c>
      <c r="M79" s="165" t="b">
        <v>1</v>
      </c>
      <c r="N79" s="312" t="s">
        <v>258</v>
      </c>
      <c r="O79" s="29">
        <v>700</v>
      </c>
      <c r="P79" s="165" t="b">
        <v>0</v>
      </c>
      <c r="Q79" s="165" t="b">
        <v>0</v>
      </c>
      <c r="R79" s="165" t="b">
        <v>0</v>
      </c>
      <c r="S79" s="165" t="b">
        <v>1</v>
      </c>
      <c r="T79" s="29" t="b">
        <f t="shared" si="0"/>
        <v>0</v>
      </c>
      <c r="U79" s="312" t="s">
        <v>997</v>
      </c>
      <c r="V79" s="312"/>
      <c r="W79" s="313">
        <v>2</v>
      </c>
      <c r="X79" s="312" t="s">
        <v>1049</v>
      </c>
      <c r="Y79" s="165" t="s">
        <v>1041</v>
      </c>
      <c r="Z79" s="312" t="s">
        <v>1042</v>
      </c>
      <c r="AA79" s="554" t="e">
        <f t="shared" ref="AA79:AC79" si="389">AVERAGE(AJ79,AM79,AP79,AV79,AY79,AS79,BZ79,BB79,BE79,BH79,BK79,BN79,BQ79,BT79)</f>
        <v>#DIV/0!</v>
      </c>
      <c r="AB79" s="555">
        <f t="shared" si="389"/>
        <v>30</v>
      </c>
      <c r="AC79" s="556" t="e">
        <f t="shared" si="389"/>
        <v>#DIV/0!</v>
      </c>
      <c r="AD79" s="165" t="b">
        <v>1</v>
      </c>
      <c r="AE79" s="165" t="b">
        <v>0</v>
      </c>
      <c r="AF79" s="165" t="b">
        <v>0</v>
      </c>
      <c r="AG79" s="590">
        <v>54</v>
      </c>
      <c r="AH79" s="572">
        <v>30</v>
      </c>
      <c r="AI79" s="589">
        <v>13</v>
      </c>
      <c r="AJ79" s="326" t="s">
        <v>13</v>
      </c>
      <c r="AK79" s="326" t="s">
        <v>13</v>
      </c>
      <c r="AL79" s="573" t="s">
        <v>13</v>
      </c>
      <c r="AM79" s="569" t="s">
        <v>13</v>
      </c>
      <c r="AN79" s="569" t="s">
        <v>13</v>
      </c>
      <c r="AO79" s="570" t="s">
        <v>13</v>
      </c>
      <c r="AP79" s="569" t="s">
        <v>13</v>
      </c>
      <c r="AQ79" s="569" t="s">
        <v>13</v>
      </c>
      <c r="AR79" s="570" t="s">
        <v>13</v>
      </c>
      <c r="AS79" s="569" t="s">
        <v>13</v>
      </c>
      <c r="AT79" s="569" t="s">
        <v>13</v>
      </c>
      <c r="AU79" s="570" t="s">
        <v>13</v>
      </c>
      <c r="AV79" s="326" t="s">
        <v>13</v>
      </c>
      <c r="AW79" s="326">
        <v>30</v>
      </c>
      <c r="AX79" s="573" t="s">
        <v>13</v>
      </c>
      <c r="AY79" s="569" t="s">
        <v>13</v>
      </c>
      <c r="AZ79" s="569" t="s">
        <v>13</v>
      </c>
      <c r="BA79" s="570" t="s">
        <v>13</v>
      </c>
      <c r="BB79" s="569"/>
      <c r="BC79" s="569"/>
      <c r="BD79" s="570"/>
      <c r="BE79" s="569"/>
      <c r="BF79" s="569"/>
      <c r="BG79" s="570"/>
      <c r="BH79" s="569"/>
      <c r="BI79" s="569"/>
      <c r="BJ79" s="570"/>
      <c r="BK79" s="569"/>
      <c r="BL79" s="569"/>
      <c r="BM79" s="570"/>
      <c r="BN79" s="569"/>
      <c r="BO79" s="569"/>
      <c r="BP79" s="570"/>
      <c r="BQ79" s="569"/>
      <c r="BR79" s="569"/>
      <c r="BS79" s="570"/>
      <c r="BT79" s="569"/>
      <c r="BU79" s="569"/>
      <c r="BV79" s="570"/>
      <c r="BW79" s="569"/>
      <c r="BX79" s="569"/>
      <c r="BY79" s="570"/>
      <c r="BZ79" s="326" t="s">
        <v>13</v>
      </c>
      <c r="CA79" s="592" t="s">
        <v>13</v>
      </c>
      <c r="CB79" s="326" t="s">
        <v>13</v>
      </c>
      <c r="CC79" s="583"/>
      <c r="CD79" s="555" t="e">
        <f t="shared" ref="CD79:CF79" si="390">MEDIAN(AM79,AP79,AS79,AY79,BB79,AV79,AA79,BE79,BK79,BZ79,BH79,BN79,BQ79,BT79,BW79)</f>
        <v>#DIV/0!</v>
      </c>
      <c r="CE79" s="555">
        <f t="shared" si="390"/>
        <v>30</v>
      </c>
      <c r="CF79" s="556" t="e">
        <f t="shared" si="390"/>
        <v>#DIV/0!</v>
      </c>
      <c r="CG79" s="555" t="e">
        <f t="shared" ref="CG79:CI79" si="391">MAX(AP79,AS79,AV79,BB79,BE79,AY79,CD79,BK79,BZ79,AA79)-MIN(AP79,AS79,AV79,BB79,BE79,AY79,CD79,BK79,BZ79,AA79)</f>
        <v>#DIV/0!</v>
      </c>
      <c r="CH79" s="555">
        <f t="shared" si="391"/>
        <v>0</v>
      </c>
      <c r="CI79" s="556" t="e">
        <f t="shared" si="391"/>
        <v>#DIV/0!</v>
      </c>
      <c r="CJ79" s="555" t="e">
        <f t="shared" ref="CJ79:CL79" si="392">STDEV(AS79,AV79,AY79,BE79,BK79,BB79,CG79,BZ79,AA79,CD79)</f>
        <v>#DIV/0!</v>
      </c>
      <c r="CK79" s="555">
        <f t="shared" si="392"/>
        <v>15</v>
      </c>
      <c r="CL79" s="556" t="e">
        <f t="shared" si="392"/>
        <v>#DIV/0!</v>
      </c>
      <c r="CM79" s="555" t="e">
        <f t="shared" ref="CM79:CO79" si="393">CJ79/AA79</f>
        <v>#DIV/0!</v>
      </c>
      <c r="CN79" s="555">
        <f t="shared" si="393"/>
        <v>0.5</v>
      </c>
      <c r="CO79" s="556" t="e">
        <f t="shared" si="393"/>
        <v>#DIV/0!</v>
      </c>
      <c r="CP79" s="312" t="s">
        <v>120</v>
      </c>
      <c r="CQ79" s="313">
        <f t="shared" si="229"/>
        <v>2</v>
      </c>
      <c r="CR79" s="312" t="s">
        <v>120</v>
      </c>
      <c r="CS79" s="312" t="s">
        <v>120</v>
      </c>
      <c r="CT79" s="312" t="s">
        <v>120</v>
      </c>
      <c r="CU79" s="312" t="s">
        <v>120</v>
      </c>
      <c r="CV79" s="312" t="s">
        <v>120</v>
      </c>
    </row>
    <row r="80" customHeight="1" spans="1:100">
      <c r="A80" s="312" t="s">
        <v>271</v>
      </c>
      <c r="B80" s="541" t="s">
        <v>1078</v>
      </c>
      <c r="C80" s="29" t="s">
        <v>1079</v>
      </c>
      <c r="D80" s="312" t="s">
        <v>272</v>
      </c>
      <c r="E80" s="312"/>
      <c r="F80" s="312" t="s">
        <v>1038</v>
      </c>
      <c r="G80" s="312" t="s">
        <v>1039</v>
      </c>
      <c r="H80" s="165" t="b">
        <v>1</v>
      </c>
      <c r="I80" s="165" t="b">
        <v>1</v>
      </c>
      <c r="J80" s="165" t="b">
        <v>0</v>
      </c>
      <c r="K80" s="165" t="b">
        <v>0</v>
      </c>
      <c r="L80" s="29" t="b">
        <v>1</v>
      </c>
      <c r="M80" s="165" t="b">
        <v>1</v>
      </c>
      <c r="N80" s="312" t="s">
        <v>258</v>
      </c>
      <c r="O80" s="29">
        <v>700</v>
      </c>
      <c r="P80" s="165" t="b">
        <v>0</v>
      </c>
      <c r="Q80" s="165" t="b">
        <v>0</v>
      </c>
      <c r="R80" s="165" t="b">
        <v>0</v>
      </c>
      <c r="S80" s="165" t="b">
        <v>1</v>
      </c>
      <c r="T80" s="29" t="b">
        <f t="shared" si="0"/>
        <v>0</v>
      </c>
      <c r="U80" s="312" t="s">
        <v>997</v>
      </c>
      <c r="V80" s="312"/>
      <c r="W80" s="313">
        <v>2</v>
      </c>
      <c r="X80" s="312" t="s">
        <v>1049</v>
      </c>
      <c r="Y80" s="165" t="s">
        <v>1041</v>
      </c>
      <c r="Z80" s="312" t="s">
        <v>1042</v>
      </c>
      <c r="AA80" s="554" t="e">
        <f t="shared" ref="AA80:AC80" si="394">AVERAGE(AJ80,AM80,AP80,AV80,AY80,AS80,BZ80,BB80,BE80,BH80,BK80,BN80,BQ80,BT80)</f>
        <v>#DIV/0!</v>
      </c>
      <c r="AB80" s="555" t="e">
        <f t="shared" si="394"/>
        <v>#DIV/0!</v>
      </c>
      <c r="AC80" s="556" t="e">
        <f t="shared" si="394"/>
        <v>#DIV/0!</v>
      </c>
      <c r="AD80" s="165" t="b">
        <v>1</v>
      </c>
      <c r="AE80" s="165" t="b">
        <v>0</v>
      </c>
      <c r="AF80" s="165" t="b">
        <v>0</v>
      </c>
      <c r="AG80" s="590">
        <f t="shared" ref="AG80:AI80" si="395">AG78/(AG84/AG87)</f>
        <v>15</v>
      </c>
      <c r="AH80" s="326">
        <f t="shared" si="395"/>
        <v>11.25</v>
      </c>
      <c r="AI80" s="573">
        <f t="shared" si="395"/>
        <v>4.36363636363636</v>
      </c>
      <c r="AJ80" s="326" t="s">
        <v>13</v>
      </c>
      <c r="AK80" s="326" t="s">
        <v>13</v>
      </c>
      <c r="AL80" s="573" t="s">
        <v>13</v>
      </c>
      <c r="AM80" s="569" t="s">
        <v>13</v>
      </c>
      <c r="AN80" s="569" t="s">
        <v>13</v>
      </c>
      <c r="AO80" s="570" t="s">
        <v>13</v>
      </c>
      <c r="AP80" s="569" t="s">
        <v>13</v>
      </c>
      <c r="AQ80" s="569" t="s">
        <v>13</v>
      </c>
      <c r="AR80" s="570" t="s">
        <v>13</v>
      </c>
      <c r="AS80" s="569" t="s">
        <v>13</v>
      </c>
      <c r="AT80" s="569" t="s">
        <v>13</v>
      </c>
      <c r="AU80" s="570" t="s">
        <v>13</v>
      </c>
      <c r="AV80" s="569" t="s">
        <v>13</v>
      </c>
      <c r="AW80" s="569" t="s">
        <v>13</v>
      </c>
      <c r="AX80" s="570" t="s">
        <v>13</v>
      </c>
      <c r="AY80" s="569" t="s">
        <v>13</v>
      </c>
      <c r="AZ80" s="569" t="s">
        <v>13</v>
      </c>
      <c r="BA80" s="570" t="s">
        <v>13</v>
      </c>
      <c r="BB80" s="569"/>
      <c r="BC80" s="569"/>
      <c r="BD80" s="570"/>
      <c r="BE80" s="569"/>
      <c r="BF80" s="569"/>
      <c r="BG80" s="570"/>
      <c r="BH80" s="569"/>
      <c r="BI80" s="569"/>
      <c r="BJ80" s="570"/>
      <c r="BK80" s="569"/>
      <c r="BL80" s="569"/>
      <c r="BM80" s="570"/>
      <c r="BN80" s="569"/>
      <c r="BO80" s="569"/>
      <c r="BP80" s="570"/>
      <c r="BQ80" s="569"/>
      <c r="BR80" s="569"/>
      <c r="BS80" s="570"/>
      <c r="BT80" s="569"/>
      <c r="BU80" s="569"/>
      <c r="BV80" s="570"/>
      <c r="BW80" s="569"/>
      <c r="BX80" s="569"/>
      <c r="BY80" s="570"/>
      <c r="BZ80" s="326" t="s">
        <v>13</v>
      </c>
      <c r="CA80" s="592" t="s">
        <v>13</v>
      </c>
      <c r="CB80" s="326" t="s">
        <v>13</v>
      </c>
      <c r="CC80" s="583"/>
      <c r="CD80" s="555" t="e">
        <f t="shared" ref="CD80:CF80" si="396">MEDIAN(AM80,AP80,AS80,AY80,BB80,AV80,AA80,BE80,BK80,BZ80,BH80,BN80,BQ80,BT80,BW80)</f>
        <v>#DIV/0!</v>
      </c>
      <c r="CE80" s="555" t="e">
        <f t="shared" si="396"/>
        <v>#DIV/0!</v>
      </c>
      <c r="CF80" s="556" t="e">
        <f t="shared" si="396"/>
        <v>#DIV/0!</v>
      </c>
      <c r="CG80" s="555" t="e">
        <f t="shared" ref="CG80:CI80" si="397">MAX(AP80,AS80,AV80,BB80,BE80,AY80,CD80,BK80,BZ80,AA80)-MIN(AP80,AS80,AV80,BB80,BE80,AY80,CD80,BK80,BZ80,AA80)</f>
        <v>#DIV/0!</v>
      </c>
      <c r="CH80" s="555" t="e">
        <f t="shared" si="397"/>
        <v>#DIV/0!</v>
      </c>
      <c r="CI80" s="556" t="e">
        <f t="shared" si="397"/>
        <v>#DIV/0!</v>
      </c>
      <c r="CJ80" s="555" t="e">
        <f t="shared" ref="CJ80:CL80" si="398">STDEV(AS80,AV80,AY80,BE80,BK80,BB80,CG80,BZ80,AA80,CD80)</f>
        <v>#DIV/0!</v>
      </c>
      <c r="CK80" s="555" t="e">
        <f t="shared" si="398"/>
        <v>#DIV/0!</v>
      </c>
      <c r="CL80" s="556" t="e">
        <f t="shared" si="398"/>
        <v>#DIV/0!</v>
      </c>
      <c r="CM80" s="555" t="e">
        <f t="shared" ref="CM80:CO80" si="399">CJ80/AA80</f>
        <v>#DIV/0!</v>
      </c>
      <c r="CN80" s="555" t="e">
        <f t="shared" si="399"/>
        <v>#DIV/0!</v>
      </c>
      <c r="CO80" s="556" t="e">
        <f t="shared" si="399"/>
        <v>#DIV/0!</v>
      </c>
      <c r="CP80" s="312" t="s">
        <v>120</v>
      </c>
      <c r="CQ80" s="313">
        <f t="shared" si="229"/>
        <v>2</v>
      </c>
      <c r="CR80" s="312" t="s">
        <v>120</v>
      </c>
      <c r="CS80" s="312" t="s">
        <v>120</v>
      </c>
      <c r="CT80" s="312" t="s">
        <v>120</v>
      </c>
      <c r="CU80" s="312" t="s">
        <v>120</v>
      </c>
      <c r="CV80" s="312" t="s">
        <v>120</v>
      </c>
    </row>
    <row r="81" customHeight="1" spans="1:100">
      <c r="A81" s="312" t="s">
        <v>273</v>
      </c>
      <c r="B81" s="541" t="s">
        <v>1078</v>
      </c>
      <c r="C81" s="29" t="s">
        <v>1079</v>
      </c>
      <c r="D81" s="312" t="s">
        <v>274</v>
      </c>
      <c r="E81" s="312"/>
      <c r="F81" s="312" t="s">
        <v>1038</v>
      </c>
      <c r="G81" s="312" t="s">
        <v>1039</v>
      </c>
      <c r="H81" s="165" t="b">
        <v>1</v>
      </c>
      <c r="I81" s="165" t="b">
        <v>1</v>
      </c>
      <c r="J81" s="165" t="b">
        <v>0</v>
      </c>
      <c r="K81" s="165" t="b">
        <v>0</v>
      </c>
      <c r="L81" s="29" t="b">
        <v>1</v>
      </c>
      <c r="M81" s="165" t="b">
        <v>1</v>
      </c>
      <c r="N81" s="312" t="s">
        <v>258</v>
      </c>
      <c r="O81" s="29">
        <v>700</v>
      </c>
      <c r="P81" s="165" t="b">
        <v>0</v>
      </c>
      <c r="Q81" s="165" t="b">
        <v>0</v>
      </c>
      <c r="R81" s="165" t="b">
        <v>0</v>
      </c>
      <c r="S81" s="165" t="b">
        <v>1</v>
      </c>
      <c r="T81" s="29" t="b">
        <f t="shared" si="0"/>
        <v>0</v>
      </c>
      <c r="U81" s="312" t="s">
        <v>997</v>
      </c>
      <c r="V81" s="312"/>
      <c r="W81" s="313">
        <v>2</v>
      </c>
      <c r="X81" s="312" t="s">
        <v>1049</v>
      </c>
      <c r="Y81" s="165" t="s">
        <v>1041</v>
      </c>
      <c r="Z81" s="312" t="s">
        <v>1042</v>
      </c>
      <c r="AA81" s="554" t="e">
        <f t="shared" ref="AA81:AC81" si="400">AVERAGE(AJ81,AM81,AP81,AV81,AY81,AS81,BZ81,BB81,BE81,BH81,BK81,BN81,BQ81,BT81)</f>
        <v>#DIV/0!</v>
      </c>
      <c r="AB81" s="555" t="e">
        <f t="shared" si="400"/>
        <v>#DIV/0!</v>
      </c>
      <c r="AC81" s="556" t="e">
        <f t="shared" si="400"/>
        <v>#DIV/0!</v>
      </c>
      <c r="AD81" s="165" t="b">
        <v>1</v>
      </c>
      <c r="AE81" s="165" t="b">
        <v>0</v>
      </c>
      <c r="AF81" s="165" t="b">
        <v>0</v>
      </c>
      <c r="AG81" s="590" t="e">
        <f>AG79/(AG86/#REF!)</f>
        <v>#REF!</v>
      </c>
      <c r="AH81" s="326" t="e">
        <f>AH79/(AH86/#REF!)</f>
        <v>#REF!</v>
      </c>
      <c r="AI81" s="573">
        <v>5</v>
      </c>
      <c r="AJ81" s="326" t="s">
        <v>13</v>
      </c>
      <c r="AK81" s="326" t="s">
        <v>13</v>
      </c>
      <c r="AL81" s="573" t="s">
        <v>13</v>
      </c>
      <c r="AM81" s="569" t="s">
        <v>13</v>
      </c>
      <c r="AN81" s="569" t="s">
        <v>13</v>
      </c>
      <c r="AO81" s="570" t="s">
        <v>13</v>
      </c>
      <c r="AP81" s="569" t="s">
        <v>13</v>
      </c>
      <c r="AQ81" s="569" t="s">
        <v>13</v>
      </c>
      <c r="AR81" s="570" t="s">
        <v>13</v>
      </c>
      <c r="AS81" s="569" t="s">
        <v>13</v>
      </c>
      <c r="AT81" s="569" t="s">
        <v>13</v>
      </c>
      <c r="AU81" s="570" t="s">
        <v>13</v>
      </c>
      <c r="AV81" s="569" t="s">
        <v>13</v>
      </c>
      <c r="AW81" s="569" t="s">
        <v>13</v>
      </c>
      <c r="AX81" s="570" t="s">
        <v>13</v>
      </c>
      <c r="AY81" s="569" t="s">
        <v>13</v>
      </c>
      <c r="AZ81" s="569" t="s">
        <v>13</v>
      </c>
      <c r="BA81" s="570" t="s">
        <v>13</v>
      </c>
      <c r="BB81" s="569"/>
      <c r="BC81" s="569"/>
      <c r="BD81" s="570"/>
      <c r="BE81" s="569"/>
      <c r="BF81" s="569"/>
      <c r="BG81" s="570"/>
      <c r="BH81" s="569"/>
      <c r="BI81" s="569"/>
      <c r="BJ81" s="570"/>
      <c r="BK81" s="569"/>
      <c r="BL81" s="569"/>
      <c r="BM81" s="570"/>
      <c r="BN81" s="569"/>
      <c r="BO81" s="569"/>
      <c r="BP81" s="570"/>
      <c r="BQ81" s="569"/>
      <c r="BR81" s="569"/>
      <c r="BS81" s="570"/>
      <c r="BT81" s="569"/>
      <c r="BU81" s="569"/>
      <c r="BV81" s="570"/>
      <c r="BW81" s="569"/>
      <c r="BX81" s="569"/>
      <c r="BY81" s="570"/>
      <c r="BZ81" s="326" t="s">
        <v>13</v>
      </c>
      <c r="CA81" s="592" t="s">
        <v>13</v>
      </c>
      <c r="CB81" s="326" t="s">
        <v>13</v>
      </c>
      <c r="CC81" s="583"/>
      <c r="CD81" s="555" t="e">
        <f t="shared" ref="CD81:CF81" si="401">MEDIAN(AM81,AP81,AS81,AY81,BB81,AV81,AA81,BE81,BK81,BZ81,BH81,BN81,BQ81,BT81,BW81)</f>
        <v>#DIV/0!</v>
      </c>
      <c r="CE81" s="555" t="e">
        <f t="shared" si="401"/>
        <v>#DIV/0!</v>
      </c>
      <c r="CF81" s="556" t="e">
        <f t="shared" si="401"/>
        <v>#DIV/0!</v>
      </c>
      <c r="CG81" s="555" t="e">
        <f t="shared" ref="CG81:CI81" si="402">MAX(AP81,AS81,AV81,BB81,BE81,AY81,CD81,BK81,BZ81,AA81)-MIN(AP81,AS81,AV81,BB81,BE81,AY81,CD81,BK81,BZ81,AA81)</f>
        <v>#DIV/0!</v>
      </c>
      <c r="CH81" s="555" t="e">
        <f t="shared" si="402"/>
        <v>#DIV/0!</v>
      </c>
      <c r="CI81" s="556" t="e">
        <f t="shared" si="402"/>
        <v>#DIV/0!</v>
      </c>
      <c r="CJ81" s="555" t="e">
        <f t="shared" ref="CJ81:CL81" si="403">STDEV(AS81,AV81,AY81,BE81,BK81,BB81,CG81,BZ81,AA81,CD81)</f>
        <v>#DIV/0!</v>
      </c>
      <c r="CK81" s="555" t="e">
        <f t="shared" si="403"/>
        <v>#DIV/0!</v>
      </c>
      <c r="CL81" s="556" t="e">
        <f t="shared" si="403"/>
        <v>#DIV/0!</v>
      </c>
      <c r="CM81" s="555" t="e">
        <f t="shared" ref="CM81:CO81" si="404">CJ81/AA81</f>
        <v>#DIV/0!</v>
      </c>
      <c r="CN81" s="555" t="e">
        <f t="shared" si="404"/>
        <v>#DIV/0!</v>
      </c>
      <c r="CO81" s="556" t="e">
        <f t="shared" si="404"/>
        <v>#DIV/0!</v>
      </c>
      <c r="CP81" s="312" t="s">
        <v>120</v>
      </c>
      <c r="CQ81" s="313">
        <f t="shared" si="229"/>
        <v>2</v>
      </c>
      <c r="CR81" s="312" t="s">
        <v>120</v>
      </c>
      <c r="CS81" s="312" t="s">
        <v>120</v>
      </c>
      <c r="CT81" s="312" t="s">
        <v>120</v>
      </c>
      <c r="CU81" s="312" t="s">
        <v>120</v>
      </c>
      <c r="CV81" s="312" t="s">
        <v>120</v>
      </c>
    </row>
    <row r="82" customHeight="1" spans="1:100">
      <c r="A82" s="312" t="s">
        <v>275</v>
      </c>
      <c r="B82" s="541" t="s">
        <v>1078</v>
      </c>
      <c r="C82" s="29" t="s">
        <v>1079</v>
      </c>
      <c r="D82" s="312" t="s">
        <v>276</v>
      </c>
      <c r="E82" s="312"/>
      <c r="F82" s="312" t="s">
        <v>1038</v>
      </c>
      <c r="G82" s="312" t="s">
        <v>1039</v>
      </c>
      <c r="H82" s="165" t="b">
        <v>1</v>
      </c>
      <c r="I82" s="165" t="b">
        <v>1</v>
      </c>
      <c r="J82" s="165" t="b">
        <v>0</v>
      </c>
      <c r="K82" s="165" t="b">
        <v>0</v>
      </c>
      <c r="L82" s="29" t="b">
        <v>1</v>
      </c>
      <c r="M82" s="165" t="b">
        <v>1</v>
      </c>
      <c r="N82" s="312" t="s">
        <v>258</v>
      </c>
      <c r="O82" s="29">
        <v>700</v>
      </c>
      <c r="P82" s="165" t="b">
        <v>0</v>
      </c>
      <c r="Q82" s="165" t="b">
        <v>0</v>
      </c>
      <c r="R82" s="165" t="b">
        <v>0</v>
      </c>
      <c r="S82" s="165" t="b">
        <v>1</v>
      </c>
      <c r="T82" s="29" t="b">
        <f t="shared" si="0"/>
        <v>0</v>
      </c>
      <c r="U82" s="312" t="s">
        <v>1080</v>
      </c>
      <c r="V82" s="312"/>
      <c r="W82" s="313">
        <v>2</v>
      </c>
      <c r="X82" s="312" t="s">
        <v>1049</v>
      </c>
      <c r="Y82" s="165" t="s">
        <v>1041</v>
      </c>
      <c r="Z82" s="312" t="s">
        <v>1042</v>
      </c>
      <c r="AA82" s="554" t="e">
        <f t="shared" ref="AA82:AC82" si="405">AVERAGE(AJ82,AM82,AP82,AV82,AY82,AS82,BZ82,BB82,BE82,BH82,BK82,BN82,BQ82,BT82)</f>
        <v>#DIV/0!</v>
      </c>
      <c r="AB82" s="555">
        <f t="shared" si="405"/>
        <v>20</v>
      </c>
      <c r="AC82" s="556" t="e">
        <f t="shared" si="405"/>
        <v>#DIV/0!</v>
      </c>
      <c r="AD82" s="165" t="b">
        <v>1</v>
      </c>
      <c r="AE82" s="165" t="b">
        <v>0</v>
      </c>
      <c r="AF82" s="165" t="b">
        <v>0</v>
      </c>
      <c r="AG82" s="590">
        <v>60</v>
      </c>
      <c r="AH82" s="572">
        <v>35</v>
      </c>
      <c r="AI82" s="589" t="s">
        <v>13</v>
      </c>
      <c r="AJ82" s="326" t="s">
        <v>13</v>
      </c>
      <c r="AK82" s="326" t="s">
        <v>13</v>
      </c>
      <c r="AL82" s="573" t="s">
        <v>13</v>
      </c>
      <c r="AM82" s="326" t="s">
        <v>13</v>
      </c>
      <c r="AN82" s="326" t="s">
        <v>13</v>
      </c>
      <c r="AO82" s="573" t="s">
        <v>13</v>
      </c>
      <c r="AP82" s="569" t="s">
        <v>13</v>
      </c>
      <c r="AQ82" s="569" t="s">
        <v>13</v>
      </c>
      <c r="AR82" s="570" t="s">
        <v>13</v>
      </c>
      <c r="AS82" s="569" t="s">
        <v>13</v>
      </c>
      <c r="AT82" s="569" t="s">
        <v>13</v>
      </c>
      <c r="AU82" s="570" t="s">
        <v>13</v>
      </c>
      <c r="AV82" s="569" t="s">
        <v>13</v>
      </c>
      <c r="AW82" s="569" t="s">
        <v>13</v>
      </c>
      <c r="AX82" s="570" t="s">
        <v>13</v>
      </c>
      <c r="AY82" s="569" t="s">
        <v>13</v>
      </c>
      <c r="AZ82" s="569" t="s">
        <v>13</v>
      </c>
      <c r="BA82" s="570" t="s">
        <v>13</v>
      </c>
      <c r="BB82" s="569"/>
      <c r="BC82" s="569"/>
      <c r="BD82" s="570"/>
      <c r="BE82" s="569"/>
      <c r="BF82" s="569"/>
      <c r="BG82" s="570"/>
      <c r="BH82" s="569"/>
      <c r="BI82" s="569"/>
      <c r="BJ82" s="570"/>
      <c r="BK82" s="569"/>
      <c r="BL82" s="569"/>
      <c r="BM82" s="570"/>
      <c r="BN82" s="569"/>
      <c r="BO82" s="569"/>
      <c r="BP82" s="570"/>
      <c r="BQ82" s="569"/>
      <c r="BR82" s="569"/>
      <c r="BS82" s="570"/>
      <c r="BT82" s="569"/>
      <c r="BU82" s="569"/>
      <c r="BV82" s="570"/>
      <c r="BW82" s="569"/>
      <c r="BX82" s="569"/>
      <c r="BY82" s="570"/>
      <c r="BZ82" s="326" t="s">
        <v>13</v>
      </c>
      <c r="CA82" s="572">
        <v>20</v>
      </c>
      <c r="CB82" s="326" t="s">
        <v>13</v>
      </c>
      <c r="CC82" s="583"/>
      <c r="CD82" s="555" t="e">
        <f t="shared" ref="CD82:CF82" si="406">MEDIAN(AM82,AP82,AS82,AY82,BB82,AV82,AA82,BE82,BK82,BZ82,BH82,BN82,BQ82,BT82,BW82)</f>
        <v>#DIV/0!</v>
      </c>
      <c r="CE82" s="555">
        <f t="shared" si="406"/>
        <v>20</v>
      </c>
      <c r="CF82" s="556" t="e">
        <f t="shared" si="406"/>
        <v>#DIV/0!</v>
      </c>
      <c r="CG82" s="555" t="e">
        <f t="shared" ref="CG82:CI82" si="407">MAX(AP82,AS82,AV82,BB82,BE82,AY82,CD82,BK82,BZ82,AA82)-MIN(AP82,AS82,AV82,BB82,BE82,AY82,CD82,BK82,BZ82,AA82)</f>
        <v>#DIV/0!</v>
      </c>
      <c r="CH82" s="555">
        <f t="shared" si="407"/>
        <v>0</v>
      </c>
      <c r="CI82" s="556" t="e">
        <f t="shared" si="407"/>
        <v>#DIV/0!</v>
      </c>
      <c r="CJ82" s="555" t="e">
        <f t="shared" ref="CJ82:CL82" si="408">STDEV(AS82,AV82,AY82,BE82,BK82,BB82,CG82,BZ82,AA82,CD82)</f>
        <v>#DIV/0!</v>
      </c>
      <c r="CK82" s="555">
        <f t="shared" si="408"/>
        <v>10</v>
      </c>
      <c r="CL82" s="556" t="e">
        <f t="shared" si="408"/>
        <v>#DIV/0!</v>
      </c>
      <c r="CM82" s="555" t="e">
        <f t="shared" ref="CM82:CO82" si="409">CJ82/AA82</f>
        <v>#DIV/0!</v>
      </c>
      <c r="CN82" s="555">
        <f t="shared" si="409"/>
        <v>0.5</v>
      </c>
      <c r="CO82" s="556" t="e">
        <f t="shared" si="409"/>
        <v>#DIV/0!</v>
      </c>
      <c r="CP82" s="312" t="s">
        <v>120</v>
      </c>
      <c r="CQ82" s="313">
        <f t="shared" si="229"/>
        <v>2</v>
      </c>
      <c r="CR82" s="312" t="s">
        <v>120</v>
      </c>
      <c r="CS82" s="312" t="s">
        <v>120</v>
      </c>
      <c r="CT82" s="312" t="s">
        <v>120</v>
      </c>
      <c r="CU82" s="312" t="s">
        <v>120</v>
      </c>
      <c r="CV82" s="312" t="s">
        <v>120</v>
      </c>
    </row>
    <row r="83" customHeight="1" spans="1:100">
      <c r="A83" s="312" t="s">
        <v>277</v>
      </c>
      <c r="B83" s="541" t="s">
        <v>1078</v>
      </c>
      <c r="C83" s="29" t="s">
        <v>1079</v>
      </c>
      <c r="D83" s="312" t="s">
        <v>278</v>
      </c>
      <c r="E83" s="312"/>
      <c r="F83" s="312" t="s">
        <v>1038</v>
      </c>
      <c r="G83" s="312" t="s">
        <v>1039</v>
      </c>
      <c r="H83" s="165" t="b">
        <v>1</v>
      </c>
      <c r="I83" s="165" t="b">
        <v>1</v>
      </c>
      <c r="J83" s="165" t="b">
        <v>0</v>
      </c>
      <c r="K83" s="165" t="b">
        <v>0</v>
      </c>
      <c r="L83" s="29" t="b">
        <v>1</v>
      </c>
      <c r="M83" s="165" t="b">
        <v>1</v>
      </c>
      <c r="N83" s="312" t="s">
        <v>258</v>
      </c>
      <c r="O83" s="29">
        <v>700</v>
      </c>
      <c r="P83" s="165" t="b">
        <v>0</v>
      </c>
      <c r="Q83" s="165" t="b">
        <v>0</v>
      </c>
      <c r="R83" s="165" t="b">
        <v>0</v>
      </c>
      <c r="S83" s="165" t="b">
        <v>1</v>
      </c>
      <c r="T83" s="29" t="b">
        <f t="shared" si="0"/>
        <v>0</v>
      </c>
      <c r="U83" s="312" t="s">
        <v>1080</v>
      </c>
      <c r="V83" s="312"/>
      <c r="W83" s="313">
        <v>2</v>
      </c>
      <c r="X83" s="312" t="s">
        <v>1049</v>
      </c>
      <c r="Y83" s="165" t="s">
        <v>1041</v>
      </c>
      <c r="Z83" s="312" t="s">
        <v>1042</v>
      </c>
      <c r="AA83" s="554">
        <f t="shared" ref="AA83:AC83" si="410">AVERAGE(AJ83,AM83,AP83,AV83,AY83,AS83,BZ83,BB83,BE83,BH83,BK83,BN83,BQ83,BT83)</f>
        <v>112.5</v>
      </c>
      <c r="AB83" s="555">
        <f t="shared" si="410"/>
        <v>81</v>
      </c>
      <c r="AC83" s="556" t="e">
        <f t="shared" si="410"/>
        <v>#DIV/0!</v>
      </c>
      <c r="AD83" s="165" t="b">
        <v>1</v>
      </c>
      <c r="AE83" s="165" t="b">
        <v>0</v>
      </c>
      <c r="AF83" s="165" t="b">
        <v>0</v>
      </c>
      <c r="AG83" s="574">
        <v>90</v>
      </c>
      <c r="AH83" s="569">
        <v>45</v>
      </c>
      <c r="AI83" s="570">
        <v>17</v>
      </c>
      <c r="AJ83" s="326">
        <v>100</v>
      </c>
      <c r="AK83" s="326">
        <v>62</v>
      </c>
      <c r="AL83" s="573" t="s">
        <v>13</v>
      </c>
      <c r="AM83" s="326">
        <v>125</v>
      </c>
      <c r="AN83" s="326">
        <v>100</v>
      </c>
      <c r="AO83" s="573" t="s">
        <v>13</v>
      </c>
      <c r="AP83" s="569" t="s">
        <v>13</v>
      </c>
      <c r="AQ83" s="569" t="s">
        <v>13</v>
      </c>
      <c r="AR83" s="570" t="s">
        <v>13</v>
      </c>
      <c r="AS83" s="569" t="s">
        <v>13</v>
      </c>
      <c r="AT83" s="569" t="s">
        <v>13</v>
      </c>
      <c r="AU83" s="570" t="s">
        <v>13</v>
      </c>
      <c r="AV83" s="569" t="s">
        <v>13</v>
      </c>
      <c r="AW83" s="569" t="s">
        <v>13</v>
      </c>
      <c r="AX83" s="570" t="s">
        <v>13</v>
      </c>
      <c r="AY83" s="569" t="s">
        <v>13</v>
      </c>
      <c r="AZ83" s="569" t="s">
        <v>13</v>
      </c>
      <c r="BA83" s="570" t="s">
        <v>13</v>
      </c>
      <c r="BB83" s="569"/>
      <c r="BC83" s="569"/>
      <c r="BD83" s="570"/>
      <c r="BE83" s="569"/>
      <c r="BF83" s="569"/>
      <c r="BG83" s="570"/>
      <c r="BH83" s="569"/>
      <c r="BI83" s="569"/>
      <c r="BJ83" s="570"/>
      <c r="BK83" s="569"/>
      <c r="BL83" s="569"/>
      <c r="BM83" s="570"/>
      <c r="BN83" s="569"/>
      <c r="BO83" s="569"/>
      <c r="BP83" s="570"/>
      <c r="BQ83" s="569"/>
      <c r="BR83" s="569"/>
      <c r="BS83" s="570"/>
      <c r="BT83" s="569"/>
      <c r="BU83" s="569"/>
      <c r="BV83" s="570"/>
      <c r="BW83" s="569"/>
      <c r="BX83" s="569"/>
      <c r="BY83" s="570"/>
      <c r="BZ83" s="326"/>
      <c r="CA83" s="572"/>
      <c r="CB83" s="326"/>
      <c r="CC83" s="583"/>
      <c r="CD83" s="555">
        <f t="shared" ref="CD83:CF83" si="411">MEDIAN(AM83,AP83,AS83,AY83,BB83,AV83,AA83,BE83,BK83,BZ83,BH83,BN83,BQ83,BT83,BW83)</f>
        <v>118.75</v>
      </c>
      <c r="CE83" s="555">
        <f t="shared" si="411"/>
        <v>90.5</v>
      </c>
      <c r="CF83" s="556" t="e">
        <f t="shared" si="411"/>
        <v>#DIV/0!</v>
      </c>
      <c r="CG83" s="555">
        <f t="shared" ref="CG83:CI83" si="412">MAX(AP83,AS83,AV83,BB83,BE83,AY83,CD83,BK83,BZ83,AA83)-MIN(AP83,AS83,AV83,BB83,BE83,AY83,CD83,BK83,BZ83,AA83)</f>
        <v>6.25</v>
      </c>
      <c r="CH83" s="555">
        <f t="shared" si="412"/>
        <v>9.5</v>
      </c>
      <c r="CI83" s="556" t="e">
        <f t="shared" si="412"/>
        <v>#DIV/0!</v>
      </c>
      <c r="CJ83" s="555">
        <f t="shared" ref="CJ83:CL83" si="413">STDEV(AS83,AV83,AY83,BE83,BK83,BB83,CG83,BZ83,AA83,CD83)</f>
        <v>63.224962106223</v>
      </c>
      <c r="CK83" s="555">
        <f t="shared" si="413"/>
        <v>44.2784748307045</v>
      </c>
      <c r="CL83" s="556" t="e">
        <f t="shared" si="413"/>
        <v>#DIV/0!</v>
      </c>
      <c r="CM83" s="555">
        <f t="shared" ref="CM83:CO83" si="414">CJ83/AA83</f>
        <v>0.561999663166427</v>
      </c>
      <c r="CN83" s="555">
        <f t="shared" si="414"/>
        <v>0.546647837416105</v>
      </c>
      <c r="CO83" s="556" t="e">
        <f t="shared" si="414"/>
        <v>#DIV/0!</v>
      </c>
      <c r="CP83" s="312" t="s">
        <v>120</v>
      </c>
      <c r="CQ83" s="313">
        <f t="shared" si="229"/>
        <v>2</v>
      </c>
      <c r="CR83" s="312" t="s">
        <v>120</v>
      </c>
      <c r="CS83" s="312" t="s">
        <v>120</v>
      </c>
      <c r="CT83" s="312" t="s">
        <v>120</v>
      </c>
      <c r="CU83" s="312" t="s">
        <v>120</v>
      </c>
      <c r="CV83" s="312" t="s">
        <v>120</v>
      </c>
    </row>
    <row r="84" customHeight="1" spans="1:100">
      <c r="A84" s="312" t="s">
        <v>279</v>
      </c>
      <c r="B84" s="541" t="s">
        <v>1078</v>
      </c>
      <c r="C84" s="29" t="s">
        <v>1079</v>
      </c>
      <c r="D84" s="312" t="s">
        <v>280</v>
      </c>
      <c r="E84" s="312"/>
      <c r="F84" s="312" t="s">
        <v>1038</v>
      </c>
      <c r="G84" s="312" t="s">
        <v>1039</v>
      </c>
      <c r="H84" s="165" t="b">
        <v>1</v>
      </c>
      <c r="I84" s="165" t="b">
        <v>1</v>
      </c>
      <c r="J84" s="165" t="b">
        <v>0</v>
      </c>
      <c r="K84" s="165" t="b">
        <v>0</v>
      </c>
      <c r="L84" s="29" t="b">
        <v>1</v>
      </c>
      <c r="M84" s="165" t="b">
        <v>1</v>
      </c>
      <c r="N84" s="312" t="s">
        <v>258</v>
      </c>
      <c r="O84" s="312"/>
      <c r="P84" s="165" t="b">
        <v>0</v>
      </c>
      <c r="Q84" s="165" t="b">
        <v>0</v>
      </c>
      <c r="R84" s="165" t="b">
        <v>0</v>
      </c>
      <c r="S84" s="165" t="b">
        <v>1</v>
      </c>
      <c r="T84" s="29" t="b">
        <f t="shared" si="0"/>
        <v>0</v>
      </c>
      <c r="U84" s="312" t="s">
        <v>1080</v>
      </c>
      <c r="V84" s="312"/>
      <c r="W84" s="313">
        <v>2</v>
      </c>
      <c r="X84" s="312" t="s">
        <v>1049</v>
      </c>
      <c r="Y84" s="165" t="s">
        <v>1041</v>
      </c>
      <c r="Z84" s="312" t="s">
        <v>1042</v>
      </c>
      <c r="AA84" s="554">
        <f t="shared" ref="AA84:AC84" si="415">AVERAGE(AJ84,AM84,AP84,AV84,AY84,AS84,BZ84,BB84,BE84,BH84,BK84,BN84,BQ84,BT84)</f>
        <v>75</v>
      </c>
      <c r="AB84" s="555">
        <f t="shared" si="415"/>
        <v>60.94</v>
      </c>
      <c r="AC84" s="556">
        <f t="shared" si="415"/>
        <v>31.25</v>
      </c>
      <c r="AD84" s="165" t="b">
        <v>1</v>
      </c>
      <c r="AE84" s="165" t="b">
        <v>0</v>
      </c>
      <c r="AF84" s="165" t="b">
        <v>0</v>
      </c>
      <c r="AG84" s="590">
        <v>150</v>
      </c>
      <c r="AH84" s="572">
        <v>80</v>
      </c>
      <c r="AI84" s="589">
        <v>55</v>
      </c>
      <c r="AJ84" s="569" t="s">
        <v>13</v>
      </c>
      <c r="AK84" s="569" t="s">
        <v>13</v>
      </c>
      <c r="AL84" s="570" t="s">
        <v>13</v>
      </c>
      <c r="AM84" s="569" t="s">
        <v>13</v>
      </c>
      <c r="AN84" s="569" t="s">
        <v>13</v>
      </c>
      <c r="AO84" s="570" t="s">
        <v>13</v>
      </c>
      <c r="AP84" s="569">
        <v>75</v>
      </c>
      <c r="AQ84" s="569">
        <v>46.88</v>
      </c>
      <c r="AR84" s="570">
        <v>31.25</v>
      </c>
      <c r="AS84" s="569" t="s">
        <v>13</v>
      </c>
      <c r="AT84" s="569" t="s">
        <v>13</v>
      </c>
      <c r="AU84" s="570" t="s">
        <v>13</v>
      </c>
      <c r="AV84" s="569" t="s">
        <v>13</v>
      </c>
      <c r="AW84" s="569" t="s">
        <v>13</v>
      </c>
      <c r="AX84" s="570" t="s">
        <v>13</v>
      </c>
      <c r="AY84" s="569" t="s">
        <v>13</v>
      </c>
      <c r="AZ84" s="569" t="s">
        <v>13</v>
      </c>
      <c r="BA84" s="570" t="s">
        <v>13</v>
      </c>
      <c r="BB84" s="569"/>
      <c r="BC84" s="569"/>
      <c r="BD84" s="570"/>
      <c r="BE84" s="569"/>
      <c r="BF84" s="569"/>
      <c r="BG84" s="570"/>
      <c r="BH84" s="569"/>
      <c r="BI84" s="569"/>
      <c r="BJ84" s="570"/>
      <c r="BK84" s="569"/>
      <c r="BL84" s="569"/>
      <c r="BM84" s="570"/>
      <c r="BN84" s="569"/>
      <c r="BO84" s="569"/>
      <c r="BP84" s="570"/>
      <c r="BQ84" s="569"/>
      <c r="BR84" s="569"/>
      <c r="BS84" s="570"/>
      <c r="BT84" s="569"/>
      <c r="BU84" s="569"/>
      <c r="BV84" s="570"/>
      <c r="BW84" s="569"/>
      <c r="BX84" s="569"/>
      <c r="BY84" s="570"/>
      <c r="BZ84" s="569" t="s">
        <v>13</v>
      </c>
      <c r="CA84" s="572">
        <v>75</v>
      </c>
      <c r="CB84" s="569" t="s">
        <v>13</v>
      </c>
      <c r="CC84" s="583"/>
      <c r="CD84" s="555">
        <f t="shared" ref="CD84:CF84" si="416">MEDIAN(AM84,AP84,AS84,AY84,BB84,AV84,AA84,BE84,BK84,BZ84,BH84,BN84,BQ84,BT84,BW84)</f>
        <v>75</v>
      </c>
      <c r="CE84" s="555">
        <f t="shared" si="416"/>
        <v>60.94</v>
      </c>
      <c r="CF84" s="556">
        <f t="shared" si="416"/>
        <v>31.25</v>
      </c>
      <c r="CG84" s="555">
        <f t="shared" ref="CG84:CI84" si="417">MAX(AP84,AS84,AV84,BB84,BE84,AY84,CD84,BK84,BZ84,AA84)-MIN(AP84,AS84,AV84,BB84,BE84,AY84,CD84,BK84,BZ84,AA84)</f>
        <v>0</v>
      </c>
      <c r="CH84" s="555">
        <f t="shared" si="417"/>
        <v>28.12</v>
      </c>
      <c r="CI84" s="556">
        <f t="shared" si="417"/>
        <v>0</v>
      </c>
      <c r="CJ84" s="555">
        <f t="shared" ref="CJ84:CL84" si="418">STDEV(AS84,AV84,AY84,BE84,BK84,BB84,CG84,BZ84,AA84,CD84)</f>
        <v>43.3012701892219</v>
      </c>
      <c r="CK84" s="555">
        <f t="shared" si="418"/>
        <v>19.890128204715</v>
      </c>
      <c r="CL84" s="556">
        <f t="shared" si="418"/>
        <v>18.0421959121758</v>
      </c>
      <c r="CM84" s="555">
        <f t="shared" ref="CM84:CO84" si="419">CJ84/AA84</f>
        <v>0.577350269189626</v>
      </c>
      <c r="CN84" s="555">
        <f t="shared" si="419"/>
        <v>0.326388713566049</v>
      </c>
      <c r="CO84" s="556">
        <f t="shared" si="419"/>
        <v>0.577350269189626</v>
      </c>
      <c r="CP84" s="312" t="s">
        <v>120</v>
      </c>
      <c r="CQ84" s="313">
        <f t="shared" si="229"/>
        <v>2</v>
      </c>
      <c r="CR84" s="312" t="s">
        <v>120</v>
      </c>
      <c r="CS84" s="312" t="s">
        <v>120</v>
      </c>
      <c r="CT84" s="312" t="s">
        <v>120</v>
      </c>
      <c r="CU84" s="312" t="s">
        <v>120</v>
      </c>
      <c r="CV84" s="312" t="s">
        <v>120</v>
      </c>
    </row>
    <row r="85" customHeight="1" spans="1:100">
      <c r="A85" s="312" t="s">
        <v>281</v>
      </c>
      <c r="B85" s="541" t="s">
        <v>1078</v>
      </c>
      <c r="C85" s="29" t="s">
        <v>1079</v>
      </c>
      <c r="D85" s="312" t="s">
        <v>282</v>
      </c>
      <c r="E85" s="312"/>
      <c r="F85" s="312" t="s">
        <v>1038</v>
      </c>
      <c r="G85" s="312" t="s">
        <v>1039</v>
      </c>
      <c r="H85" s="165" t="b">
        <v>1</v>
      </c>
      <c r="I85" s="165" t="b">
        <v>1</v>
      </c>
      <c r="J85" s="165" t="b">
        <v>0</v>
      </c>
      <c r="K85" s="165" t="b">
        <v>0</v>
      </c>
      <c r="L85" s="29" t="b">
        <v>1</v>
      </c>
      <c r="M85" s="165" t="b">
        <v>1</v>
      </c>
      <c r="N85" s="312" t="s">
        <v>258</v>
      </c>
      <c r="O85" s="312"/>
      <c r="P85" s="165" t="b">
        <v>0</v>
      </c>
      <c r="Q85" s="165" t="b">
        <v>0</v>
      </c>
      <c r="R85" s="165" t="b">
        <v>0</v>
      </c>
      <c r="S85" s="165" t="b">
        <v>1</v>
      </c>
      <c r="T85" s="29" t="b">
        <f t="shared" si="0"/>
        <v>0</v>
      </c>
      <c r="U85" s="312" t="s">
        <v>1080</v>
      </c>
      <c r="V85" s="312"/>
      <c r="W85" s="313">
        <v>2</v>
      </c>
      <c r="X85" s="312" t="s">
        <v>1049</v>
      </c>
      <c r="Y85" s="165" t="s">
        <v>1041</v>
      </c>
      <c r="Z85" s="312" t="s">
        <v>1042</v>
      </c>
      <c r="AA85" s="554" t="e">
        <f t="shared" ref="AA85:AC85" si="420">AVERAGE(AJ85,AM85,AP85,AV85,AY85,AS85,BZ85,BB85,BE85,BH85,BK85,BN85,BQ85,BT85)</f>
        <v>#DIV/0!</v>
      </c>
      <c r="AB85" s="555">
        <f t="shared" si="420"/>
        <v>15</v>
      </c>
      <c r="AC85" s="556" t="e">
        <f t="shared" si="420"/>
        <v>#DIV/0!</v>
      </c>
      <c r="AD85" s="165" t="b">
        <v>1</v>
      </c>
      <c r="AE85" s="165" t="b">
        <v>0</v>
      </c>
      <c r="AF85" s="165" t="b">
        <v>0</v>
      </c>
      <c r="AG85" s="590">
        <v>75</v>
      </c>
      <c r="AH85" s="572">
        <v>55</v>
      </c>
      <c r="AI85" s="589">
        <v>40</v>
      </c>
      <c r="AJ85" s="569" t="s">
        <v>13</v>
      </c>
      <c r="AK85" s="569" t="s">
        <v>13</v>
      </c>
      <c r="AL85" s="570" t="s">
        <v>13</v>
      </c>
      <c r="AM85" s="569" t="s">
        <v>13</v>
      </c>
      <c r="AN85" s="569" t="s">
        <v>13</v>
      </c>
      <c r="AO85" s="570" t="s">
        <v>13</v>
      </c>
      <c r="AP85" s="569" t="s">
        <v>13</v>
      </c>
      <c r="AQ85" s="569" t="s">
        <v>13</v>
      </c>
      <c r="AR85" s="570" t="s">
        <v>13</v>
      </c>
      <c r="AS85" s="569" t="s">
        <v>13</v>
      </c>
      <c r="AT85" s="569" t="s">
        <v>13</v>
      </c>
      <c r="AU85" s="570" t="s">
        <v>13</v>
      </c>
      <c r="AV85" s="569" t="s">
        <v>13</v>
      </c>
      <c r="AW85" s="569" t="s">
        <v>13</v>
      </c>
      <c r="AX85" s="570" t="s">
        <v>13</v>
      </c>
      <c r="AY85" s="569" t="s">
        <v>13</v>
      </c>
      <c r="AZ85" s="569" t="s">
        <v>13</v>
      </c>
      <c r="BA85" s="570" t="s">
        <v>13</v>
      </c>
      <c r="BB85" s="569"/>
      <c r="BC85" s="569"/>
      <c r="BD85" s="570"/>
      <c r="BE85" s="569"/>
      <c r="BF85" s="569"/>
      <c r="BG85" s="570"/>
      <c r="BH85" s="569"/>
      <c r="BI85" s="569"/>
      <c r="BJ85" s="570"/>
      <c r="BK85" s="569"/>
      <c r="BL85" s="569"/>
      <c r="BM85" s="570"/>
      <c r="BN85" s="569"/>
      <c r="BO85" s="569"/>
      <c r="BP85" s="570"/>
      <c r="BQ85" s="569"/>
      <c r="BR85" s="569"/>
      <c r="BS85" s="570"/>
      <c r="BT85" s="569"/>
      <c r="BU85" s="569"/>
      <c r="BV85" s="570"/>
      <c r="BW85" s="569"/>
      <c r="BX85" s="569"/>
      <c r="BY85" s="570"/>
      <c r="BZ85" s="569" t="s">
        <v>13</v>
      </c>
      <c r="CA85" s="572">
        <v>15</v>
      </c>
      <c r="CB85" s="569" t="s">
        <v>13</v>
      </c>
      <c r="CC85" s="583"/>
      <c r="CD85" s="555" t="e">
        <f t="shared" ref="CD85:CF85" si="421">MEDIAN(AM85,AP85,AS85,AY85,BB85,AV85,AA85,BE85,BK85,BZ85,BH85,BN85,BQ85,BT85,BW85)</f>
        <v>#DIV/0!</v>
      </c>
      <c r="CE85" s="555">
        <f t="shared" si="421"/>
        <v>15</v>
      </c>
      <c r="CF85" s="556" t="e">
        <f t="shared" si="421"/>
        <v>#DIV/0!</v>
      </c>
      <c r="CG85" s="555" t="e">
        <f t="shared" ref="CG85:CI85" si="422">MAX(AP85,AS85,AV85,BB85,BE85,AY85,CD85,BK85,BZ85,AA85)-MIN(AP85,AS85,AV85,BB85,BE85,AY85,CD85,BK85,BZ85,AA85)</f>
        <v>#DIV/0!</v>
      </c>
      <c r="CH85" s="555">
        <f t="shared" si="422"/>
        <v>0</v>
      </c>
      <c r="CI85" s="556" t="e">
        <f t="shared" si="422"/>
        <v>#DIV/0!</v>
      </c>
      <c r="CJ85" s="555" t="e">
        <f t="shared" ref="CJ85:CL85" si="423">STDEV(AS85,AV85,AY85,BE85,BK85,BB85,CG85,BZ85,AA85,CD85)</f>
        <v>#DIV/0!</v>
      </c>
      <c r="CK85" s="555">
        <f t="shared" si="423"/>
        <v>7.5</v>
      </c>
      <c r="CL85" s="556" t="e">
        <f t="shared" si="423"/>
        <v>#DIV/0!</v>
      </c>
      <c r="CM85" s="555" t="e">
        <f t="shared" ref="CM85:CO85" si="424">CJ85/AA85</f>
        <v>#DIV/0!</v>
      </c>
      <c r="CN85" s="555">
        <f t="shared" si="424"/>
        <v>0.5</v>
      </c>
      <c r="CO85" s="556" t="e">
        <f t="shared" si="424"/>
        <v>#DIV/0!</v>
      </c>
      <c r="CP85" s="312" t="s">
        <v>120</v>
      </c>
      <c r="CQ85" s="313">
        <f t="shared" si="229"/>
        <v>2</v>
      </c>
      <c r="CR85" s="312" t="s">
        <v>120</v>
      </c>
      <c r="CS85" s="312" t="s">
        <v>120</v>
      </c>
      <c r="CT85" s="312" t="s">
        <v>120</v>
      </c>
      <c r="CU85" s="312" t="s">
        <v>120</v>
      </c>
      <c r="CV85" s="312" t="s">
        <v>120</v>
      </c>
    </row>
    <row r="86" customHeight="1" spans="1:100">
      <c r="A86" s="312" t="s">
        <v>283</v>
      </c>
      <c r="B86" s="541" t="s">
        <v>1078</v>
      </c>
      <c r="C86" s="29" t="s">
        <v>1079</v>
      </c>
      <c r="D86" s="312" t="s">
        <v>284</v>
      </c>
      <c r="E86" s="312"/>
      <c r="F86" s="312" t="s">
        <v>1038</v>
      </c>
      <c r="G86" s="312" t="s">
        <v>1039</v>
      </c>
      <c r="H86" s="165" t="b">
        <v>1</v>
      </c>
      <c r="I86" s="165" t="b">
        <v>1</v>
      </c>
      <c r="J86" s="165" t="b">
        <v>0</v>
      </c>
      <c r="K86" s="165" t="b">
        <v>0</v>
      </c>
      <c r="L86" s="29" t="b">
        <v>1</v>
      </c>
      <c r="M86" s="165" t="b">
        <v>1</v>
      </c>
      <c r="N86" s="312" t="s">
        <v>258</v>
      </c>
      <c r="O86" s="312"/>
      <c r="P86" s="165" t="b">
        <v>0</v>
      </c>
      <c r="Q86" s="165" t="b">
        <v>0</v>
      </c>
      <c r="R86" s="165" t="b">
        <v>0</v>
      </c>
      <c r="S86" s="165" t="b">
        <v>1</v>
      </c>
      <c r="T86" s="29" t="b">
        <f t="shared" si="0"/>
        <v>0</v>
      </c>
      <c r="U86" s="312" t="s">
        <v>1080</v>
      </c>
      <c r="V86" s="312"/>
      <c r="W86" s="313">
        <v>2</v>
      </c>
      <c r="X86" s="312" t="s">
        <v>1049</v>
      </c>
      <c r="Y86" s="165" t="s">
        <v>1041</v>
      </c>
      <c r="Z86" s="312" t="s">
        <v>1042</v>
      </c>
      <c r="AA86" s="554" t="e">
        <f t="shared" ref="AA86:AC86" si="425">AVERAGE(AJ86,AM86,AP86,AV86,AY86,AS86,BZ86,BB86,BE86,BH86,BK86,BN86,BQ86,BT86)</f>
        <v>#DIV/0!</v>
      </c>
      <c r="AB86" s="555">
        <f t="shared" si="425"/>
        <v>50</v>
      </c>
      <c r="AC86" s="556" t="e">
        <f t="shared" si="425"/>
        <v>#DIV/0!</v>
      </c>
      <c r="AD86" s="165" t="b">
        <v>1</v>
      </c>
      <c r="AE86" s="165" t="b">
        <v>0</v>
      </c>
      <c r="AF86" s="165" t="b">
        <v>0</v>
      </c>
      <c r="AG86" s="590">
        <v>70</v>
      </c>
      <c r="AH86" s="572">
        <f>AB86</f>
        <v>50</v>
      </c>
      <c r="AI86" s="589">
        <v>35</v>
      </c>
      <c r="AJ86" s="569" t="s">
        <v>13</v>
      </c>
      <c r="AK86" s="569" t="s">
        <v>13</v>
      </c>
      <c r="AL86" s="570" t="s">
        <v>13</v>
      </c>
      <c r="AM86" s="569" t="s">
        <v>13</v>
      </c>
      <c r="AN86" s="569" t="s">
        <v>13</v>
      </c>
      <c r="AO86" s="570" t="s">
        <v>13</v>
      </c>
      <c r="AP86" s="569" t="s">
        <v>13</v>
      </c>
      <c r="AQ86" s="569" t="s">
        <v>13</v>
      </c>
      <c r="AR86" s="570" t="s">
        <v>13</v>
      </c>
      <c r="AS86" s="569" t="s">
        <v>13</v>
      </c>
      <c r="AT86" s="569" t="s">
        <v>13</v>
      </c>
      <c r="AU86" s="570" t="s">
        <v>13</v>
      </c>
      <c r="AV86" s="569" t="s">
        <v>13</v>
      </c>
      <c r="AW86" s="569" t="s">
        <v>13</v>
      </c>
      <c r="AX86" s="570" t="s">
        <v>13</v>
      </c>
      <c r="AY86" s="569" t="s">
        <v>13</v>
      </c>
      <c r="AZ86" s="569" t="s">
        <v>13</v>
      </c>
      <c r="BA86" s="570" t="s">
        <v>13</v>
      </c>
      <c r="BB86" s="569"/>
      <c r="BC86" s="569"/>
      <c r="BD86" s="570"/>
      <c r="BE86" s="569"/>
      <c r="BF86" s="569"/>
      <c r="BG86" s="570"/>
      <c r="BH86" s="569"/>
      <c r="BI86" s="569"/>
      <c r="BJ86" s="570"/>
      <c r="BK86" s="569"/>
      <c r="BL86" s="569"/>
      <c r="BM86" s="570"/>
      <c r="BN86" s="569"/>
      <c r="BO86" s="569"/>
      <c r="BP86" s="570"/>
      <c r="BQ86" s="569"/>
      <c r="BR86" s="569"/>
      <c r="BS86" s="570"/>
      <c r="BT86" s="569"/>
      <c r="BU86" s="569"/>
      <c r="BV86" s="570"/>
      <c r="BW86" s="569"/>
      <c r="BX86" s="569"/>
      <c r="BY86" s="570"/>
      <c r="BZ86" s="569" t="s">
        <v>13</v>
      </c>
      <c r="CA86" s="572">
        <v>50</v>
      </c>
      <c r="CB86" s="569" t="s">
        <v>13</v>
      </c>
      <c r="CC86" s="583"/>
      <c r="CD86" s="555" t="e">
        <f t="shared" ref="CD86:CF86" si="426">MEDIAN(AM86,AP86,AS86,AY86,BB86,AV86,AA86,BE86,BK86,BZ86,BH86,BN86,BQ86,BT86,BW86)</f>
        <v>#DIV/0!</v>
      </c>
      <c r="CE86" s="555">
        <f t="shared" si="426"/>
        <v>50</v>
      </c>
      <c r="CF86" s="556" t="e">
        <f t="shared" si="426"/>
        <v>#DIV/0!</v>
      </c>
      <c r="CG86" s="555" t="e">
        <f t="shared" ref="CG86:CI86" si="427">MAX(AP86,AS86,AV86,BB86,BE86,AY86,CD86,BK86,BZ86,AA86)-MIN(AP86,AS86,AV86,BB86,BE86,AY86,CD86,BK86,BZ86,AA86)</f>
        <v>#DIV/0!</v>
      </c>
      <c r="CH86" s="555">
        <f t="shared" si="427"/>
        <v>0</v>
      </c>
      <c r="CI86" s="556" t="e">
        <f t="shared" si="427"/>
        <v>#DIV/0!</v>
      </c>
      <c r="CJ86" s="555" t="e">
        <f t="shared" ref="CJ86:CL86" si="428">STDEV(AS86,AV86,AY86,BE86,BK86,BB86,CG86,BZ86,AA86,CD86)</f>
        <v>#DIV/0!</v>
      </c>
      <c r="CK86" s="555">
        <f t="shared" si="428"/>
        <v>25</v>
      </c>
      <c r="CL86" s="556" t="e">
        <f t="shared" si="428"/>
        <v>#DIV/0!</v>
      </c>
      <c r="CM86" s="555" t="e">
        <f t="shared" ref="CM86:CO86" si="429">CJ86/AA86</f>
        <v>#DIV/0!</v>
      </c>
      <c r="CN86" s="555">
        <f t="shared" si="429"/>
        <v>0.5</v>
      </c>
      <c r="CO86" s="556" t="e">
        <f t="shared" si="429"/>
        <v>#DIV/0!</v>
      </c>
      <c r="CP86" s="312" t="s">
        <v>120</v>
      </c>
      <c r="CQ86" s="313">
        <f t="shared" si="229"/>
        <v>2</v>
      </c>
      <c r="CR86" s="312" t="s">
        <v>120</v>
      </c>
      <c r="CS86" s="312" t="s">
        <v>120</v>
      </c>
      <c r="CT86" s="312" t="s">
        <v>120</v>
      </c>
      <c r="CU86" s="312" t="s">
        <v>120</v>
      </c>
      <c r="CV86" s="312" t="s">
        <v>120</v>
      </c>
    </row>
    <row r="87" customHeight="1" spans="1:100">
      <c r="A87" s="312" t="s">
        <v>285</v>
      </c>
      <c r="B87" s="541" t="s">
        <v>1078</v>
      </c>
      <c r="C87" s="29" t="s">
        <v>1079</v>
      </c>
      <c r="D87" s="312" t="s">
        <v>286</v>
      </c>
      <c r="E87" s="312"/>
      <c r="F87" s="312" t="s">
        <v>1038</v>
      </c>
      <c r="G87" s="312" t="s">
        <v>1039</v>
      </c>
      <c r="H87" s="165" t="b">
        <v>1</v>
      </c>
      <c r="I87" s="165" t="b">
        <v>1</v>
      </c>
      <c r="J87" s="165" t="b">
        <v>0</v>
      </c>
      <c r="K87" s="165" t="b">
        <v>0</v>
      </c>
      <c r="L87" s="29" t="b">
        <v>1</v>
      </c>
      <c r="M87" s="165" t="b">
        <v>1</v>
      </c>
      <c r="N87" s="312" t="s">
        <v>258</v>
      </c>
      <c r="O87" s="312"/>
      <c r="P87" s="165" t="b">
        <v>0</v>
      </c>
      <c r="Q87" s="165" t="b">
        <v>0</v>
      </c>
      <c r="R87" s="165" t="b">
        <v>0</v>
      </c>
      <c r="S87" s="165" t="b">
        <v>1</v>
      </c>
      <c r="T87" s="29" t="b">
        <f t="shared" si="0"/>
        <v>0</v>
      </c>
      <c r="U87" s="312" t="s">
        <v>1080</v>
      </c>
      <c r="V87" s="312"/>
      <c r="W87" s="313">
        <v>2</v>
      </c>
      <c r="X87" s="312" t="s">
        <v>1049</v>
      </c>
      <c r="Y87" s="165" t="s">
        <v>1041</v>
      </c>
      <c r="Z87" s="312" t="s">
        <v>1042</v>
      </c>
      <c r="AA87" s="554" t="e">
        <f t="shared" ref="AA87:AC87" si="430">AVERAGE(AJ87,AM87,AP87,AV87,AY87,AS87,BZ87,BB87,BE87,BH87,BK87,BN87,BQ87,BT87)</f>
        <v>#DIV/0!</v>
      </c>
      <c r="AB87" s="555">
        <f t="shared" si="430"/>
        <v>5</v>
      </c>
      <c r="AC87" s="556" t="e">
        <f t="shared" si="430"/>
        <v>#DIV/0!</v>
      </c>
      <c r="AD87" s="165" t="b">
        <v>1</v>
      </c>
      <c r="AE87" s="165" t="b">
        <v>0</v>
      </c>
      <c r="AF87" s="165" t="b">
        <v>0</v>
      </c>
      <c r="AG87" s="590">
        <v>30</v>
      </c>
      <c r="AH87" s="572">
        <v>18</v>
      </c>
      <c r="AI87" s="589">
        <v>12</v>
      </c>
      <c r="AJ87" s="569" t="s">
        <v>13</v>
      </c>
      <c r="AK87" s="569" t="s">
        <v>13</v>
      </c>
      <c r="AL87" s="570" t="s">
        <v>13</v>
      </c>
      <c r="AM87" s="569" t="s">
        <v>13</v>
      </c>
      <c r="AN87" s="569" t="s">
        <v>13</v>
      </c>
      <c r="AO87" s="570" t="s">
        <v>13</v>
      </c>
      <c r="AP87" s="569" t="s">
        <v>13</v>
      </c>
      <c r="AQ87" s="569" t="s">
        <v>13</v>
      </c>
      <c r="AR87" s="570" t="s">
        <v>13</v>
      </c>
      <c r="AS87" s="569" t="s">
        <v>13</v>
      </c>
      <c r="AT87" s="569" t="s">
        <v>13</v>
      </c>
      <c r="AU87" s="570" t="s">
        <v>13</v>
      </c>
      <c r="AV87" s="569" t="s">
        <v>13</v>
      </c>
      <c r="AW87" s="569" t="s">
        <v>13</v>
      </c>
      <c r="AX87" s="570" t="s">
        <v>13</v>
      </c>
      <c r="AY87" s="569" t="s">
        <v>13</v>
      </c>
      <c r="AZ87" s="569" t="s">
        <v>13</v>
      </c>
      <c r="BA87" s="570" t="s">
        <v>13</v>
      </c>
      <c r="BB87" s="569"/>
      <c r="BC87" s="569"/>
      <c r="BD87" s="570"/>
      <c r="BE87" s="569"/>
      <c r="BF87" s="569"/>
      <c r="BG87" s="570"/>
      <c r="BH87" s="569"/>
      <c r="BI87" s="569"/>
      <c r="BJ87" s="570"/>
      <c r="BK87" s="569"/>
      <c r="BL87" s="569"/>
      <c r="BM87" s="570"/>
      <c r="BN87" s="569"/>
      <c r="BO87" s="569"/>
      <c r="BP87" s="570"/>
      <c r="BQ87" s="569"/>
      <c r="BR87" s="569"/>
      <c r="BS87" s="570"/>
      <c r="BT87" s="569"/>
      <c r="BU87" s="569"/>
      <c r="BV87" s="570"/>
      <c r="BW87" s="569"/>
      <c r="BX87" s="569"/>
      <c r="BY87" s="570"/>
      <c r="BZ87" s="569" t="s">
        <v>13</v>
      </c>
      <c r="CA87" s="572">
        <v>5</v>
      </c>
      <c r="CB87" s="326" t="s">
        <v>13</v>
      </c>
      <c r="CC87" s="583"/>
      <c r="CD87" s="555" t="e">
        <f t="shared" ref="CD87:CF87" si="431">MEDIAN(AM87,AP87,AS87,AY87,BB87,AV87,AA87,BE87,BK87,BZ87,BH87,BN87,BQ87,BT87,BW87)</f>
        <v>#DIV/0!</v>
      </c>
      <c r="CE87" s="555">
        <f t="shared" si="431"/>
        <v>5</v>
      </c>
      <c r="CF87" s="556" t="e">
        <f t="shared" si="431"/>
        <v>#DIV/0!</v>
      </c>
      <c r="CG87" s="555" t="e">
        <f t="shared" ref="CG87:CI87" si="432">MAX(AP87,AS87,AV87,BB87,BE87,AY87,CD87,BK87,BZ87,AA87)-MIN(AP87,AS87,AV87,BB87,BE87,AY87,CD87,BK87,BZ87,AA87)</f>
        <v>#DIV/0!</v>
      </c>
      <c r="CH87" s="555">
        <f t="shared" si="432"/>
        <v>0</v>
      </c>
      <c r="CI87" s="556" t="e">
        <f t="shared" si="432"/>
        <v>#DIV/0!</v>
      </c>
      <c r="CJ87" s="555" t="e">
        <f t="shared" ref="CJ87:CL87" si="433">STDEV(AS87,AV87,AY87,BE87,BK87,BB87,CG87,BZ87,AA87,CD87)</f>
        <v>#DIV/0!</v>
      </c>
      <c r="CK87" s="555">
        <f t="shared" si="433"/>
        <v>2.5</v>
      </c>
      <c r="CL87" s="556" t="e">
        <f t="shared" si="433"/>
        <v>#DIV/0!</v>
      </c>
      <c r="CM87" s="555" t="e">
        <f t="shared" ref="CM87:CO87" si="434">CJ87/AA87</f>
        <v>#DIV/0!</v>
      </c>
      <c r="CN87" s="555">
        <f t="shared" si="434"/>
        <v>0.5</v>
      </c>
      <c r="CO87" s="556" t="e">
        <f t="shared" si="434"/>
        <v>#DIV/0!</v>
      </c>
      <c r="CP87" s="312" t="s">
        <v>120</v>
      </c>
      <c r="CQ87" s="313">
        <f t="shared" si="229"/>
        <v>2</v>
      </c>
      <c r="CR87" s="312" t="s">
        <v>120</v>
      </c>
      <c r="CS87" s="312" t="s">
        <v>120</v>
      </c>
      <c r="CT87" s="312" t="s">
        <v>120</v>
      </c>
      <c r="CU87" s="312" t="s">
        <v>120</v>
      </c>
      <c r="CV87" s="312" t="s">
        <v>120</v>
      </c>
    </row>
    <row r="88" customHeight="1" spans="1:100">
      <c r="A88" s="29" t="s">
        <v>287</v>
      </c>
      <c r="B88" s="541" t="s">
        <v>1081</v>
      </c>
      <c r="C88" s="29" t="s">
        <v>1082</v>
      </c>
      <c r="D88" s="29" t="s">
        <v>288</v>
      </c>
      <c r="E88" s="29"/>
      <c r="F88" s="29" t="s">
        <v>1022</v>
      </c>
      <c r="G88" s="29" t="s">
        <v>1039</v>
      </c>
      <c r="H88" s="29" t="b">
        <v>1</v>
      </c>
      <c r="I88" s="29" t="b">
        <v>1</v>
      </c>
      <c r="J88" s="29" t="b">
        <v>0</v>
      </c>
      <c r="K88" s="29" t="b">
        <v>0</v>
      </c>
      <c r="L88" s="29" t="b">
        <v>0</v>
      </c>
      <c r="M88" s="29" t="b">
        <v>0</v>
      </c>
      <c r="P88" s="29" t="b">
        <v>0</v>
      </c>
      <c r="Q88" s="29" t="b">
        <v>0</v>
      </c>
      <c r="R88" s="29" t="b">
        <v>0</v>
      </c>
      <c r="S88" s="29" t="b">
        <v>0</v>
      </c>
      <c r="T88" s="29" t="b">
        <f t="shared" si="0"/>
        <v>0</v>
      </c>
      <c r="W88" s="29" t="s">
        <v>119</v>
      </c>
      <c r="X88" s="29" t="s">
        <v>1083</v>
      </c>
      <c r="Y88" s="16" t="s">
        <v>1041</v>
      </c>
      <c r="Z88" s="29" t="s">
        <v>1042</v>
      </c>
      <c r="AA88" s="554" t="e">
        <f t="shared" ref="AA88:AC88" si="435">AVERAGE(AJ88,AM88,AP88,AV88,AY88,AS88,BZ88,BB88,BE88,BH88,BK88,BN88,BQ88,BT88)</f>
        <v>#DIV/0!</v>
      </c>
      <c r="AB88" s="555" t="e">
        <f t="shared" si="435"/>
        <v>#DIV/0!</v>
      </c>
      <c r="AC88" s="556" t="e">
        <f t="shared" si="435"/>
        <v>#DIV/0!</v>
      </c>
      <c r="AD88" s="29" t="b">
        <v>0</v>
      </c>
      <c r="AE88" s="29" t="b">
        <v>1</v>
      </c>
      <c r="AF88" s="29" t="b">
        <v>0</v>
      </c>
      <c r="AG88" s="566"/>
      <c r="AH88" s="567"/>
      <c r="AI88" s="568"/>
      <c r="AJ88" s="567"/>
      <c r="AK88" s="567"/>
      <c r="AL88" s="568"/>
      <c r="AM88" s="567"/>
      <c r="AN88" s="567"/>
      <c r="AO88" s="568"/>
      <c r="AP88" s="567"/>
      <c r="AQ88" s="567"/>
      <c r="AR88" s="568"/>
      <c r="AS88" s="567"/>
      <c r="AT88" s="567"/>
      <c r="AU88" s="568"/>
      <c r="AV88" s="567"/>
      <c r="AW88" s="567"/>
      <c r="AX88" s="568"/>
      <c r="AY88" s="567"/>
      <c r="AZ88" s="567"/>
      <c r="BA88" s="568"/>
      <c r="BB88" s="567"/>
      <c r="BC88" s="567"/>
      <c r="BD88" s="568"/>
      <c r="BE88" s="567"/>
      <c r="BF88" s="567"/>
      <c r="BG88" s="568"/>
      <c r="BH88" s="567"/>
      <c r="BI88" s="567"/>
      <c r="BJ88" s="568"/>
      <c r="BK88" s="567"/>
      <c r="BL88" s="567"/>
      <c r="BM88" s="568"/>
      <c r="BN88" s="567"/>
      <c r="BO88" s="567"/>
      <c r="BP88" s="568"/>
      <c r="BQ88" s="567"/>
      <c r="BR88" s="567"/>
      <c r="BS88" s="568"/>
      <c r="BT88" s="567"/>
      <c r="BU88" s="567"/>
      <c r="BV88" s="568"/>
      <c r="BW88" s="567"/>
      <c r="BX88" s="567"/>
      <c r="BY88" s="568"/>
      <c r="BZ88" s="567"/>
      <c r="CA88" s="567"/>
      <c r="CB88" s="567"/>
      <c r="CC88" s="583"/>
      <c r="CD88" s="555" t="e">
        <f t="shared" ref="CD88:CF88" si="436">MEDIAN(AM88,AP88,AS88,AY88,BB88,AV88,AA88,BE88,BK88,BZ88,BH88,BN88,BQ88,BT88,BW88)</f>
        <v>#DIV/0!</v>
      </c>
      <c r="CE88" s="555" t="e">
        <f t="shared" si="436"/>
        <v>#DIV/0!</v>
      </c>
      <c r="CF88" s="556" t="e">
        <f t="shared" si="436"/>
        <v>#DIV/0!</v>
      </c>
      <c r="CG88" s="555" t="e">
        <f t="shared" ref="CG88:CI88" si="437">MAX(AP88,AS88,AV88,BB88,BE88,AY88,CD88,BK88,BZ88,AA88)-MIN(AP88,AS88,AV88,BB88,BE88,AY88,CD88,BK88,BZ88,AA88)</f>
        <v>#DIV/0!</v>
      </c>
      <c r="CH88" s="555" t="e">
        <f t="shared" si="437"/>
        <v>#DIV/0!</v>
      </c>
      <c r="CI88" s="556" t="e">
        <f t="shared" si="437"/>
        <v>#DIV/0!</v>
      </c>
      <c r="CJ88" s="555" t="e">
        <f t="shared" ref="CJ88:CL88" si="438">STDEV(AS88,AV88,AY88,BE88,BK88,BB88,CG88,BZ88,AA88,CD88)</f>
        <v>#DIV/0!</v>
      </c>
      <c r="CK88" s="555" t="e">
        <f t="shared" si="438"/>
        <v>#DIV/0!</v>
      </c>
      <c r="CL88" s="556" t="e">
        <f t="shared" si="438"/>
        <v>#DIV/0!</v>
      </c>
      <c r="CM88" s="555" t="e">
        <f t="shared" ref="CM88:CO88" si="439">CJ88/AA88</f>
        <v>#DIV/0!</v>
      </c>
      <c r="CN88" s="555" t="e">
        <f t="shared" si="439"/>
        <v>#DIV/0!</v>
      </c>
      <c r="CO88" s="556" t="e">
        <f t="shared" si="439"/>
        <v>#DIV/0!</v>
      </c>
      <c r="CP88" s="29" t="s">
        <v>120</v>
      </c>
      <c r="CQ88" s="535" t="str">
        <f t="shared" si="229"/>
        <v>n/a</v>
      </c>
      <c r="CR88" s="29" t="s">
        <v>120</v>
      </c>
      <c r="CS88" s="29"/>
      <c r="CT88" s="29"/>
      <c r="CU88" s="29"/>
      <c r="CV88" s="29"/>
    </row>
    <row r="89" customHeight="1" spans="1:100">
      <c r="A89" s="29" t="s">
        <v>290</v>
      </c>
      <c r="B89" s="541" t="s">
        <v>1081</v>
      </c>
      <c r="C89" s="29" t="s">
        <v>1082</v>
      </c>
      <c r="D89" s="29" t="s">
        <v>291</v>
      </c>
      <c r="E89" s="29"/>
      <c r="F89" s="29" t="s">
        <v>1022</v>
      </c>
      <c r="G89" s="29" t="s">
        <v>1039</v>
      </c>
      <c r="H89" s="29" t="b">
        <v>0</v>
      </c>
      <c r="I89" s="29" t="b">
        <v>0</v>
      </c>
      <c r="J89" s="29" t="b">
        <v>1</v>
      </c>
      <c r="K89" s="29" t="b">
        <v>0</v>
      </c>
      <c r="L89" s="29" t="b">
        <v>0</v>
      </c>
      <c r="M89" s="29" t="b">
        <v>0</v>
      </c>
      <c r="P89" s="29" t="b">
        <v>0</v>
      </c>
      <c r="Q89" s="29" t="b">
        <v>0</v>
      </c>
      <c r="R89" s="29" t="b">
        <v>0</v>
      </c>
      <c r="S89" s="29" t="b">
        <v>0</v>
      </c>
      <c r="T89" s="29" t="b">
        <f t="shared" si="0"/>
        <v>0</v>
      </c>
      <c r="W89" s="29">
        <v>2</v>
      </c>
      <c r="X89" s="308"/>
      <c r="Y89" s="16" t="s">
        <v>1041</v>
      </c>
      <c r="Z89" s="308"/>
      <c r="AA89" s="554" t="e">
        <f t="shared" ref="AA89:AC89" si="440">AVERAGE(AJ89,AM89,AP89,AV89,AY89,AS89,BZ89,BB89,BE89,BH89,BK89,BN89,BQ89,BT89)</f>
        <v>#DIV/0!</v>
      </c>
      <c r="AB89" s="555" t="e">
        <f t="shared" si="440"/>
        <v>#DIV/0!</v>
      </c>
      <c r="AC89" s="556" t="e">
        <f t="shared" si="440"/>
        <v>#DIV/0!</v>
      </c>
      <c r="AD89" s="29" t="b">
        <v>0</v>
      </c>
      <c r="AE89" s="29" t="b">
        <v>1</v>
      </c>
      <c r="AF89" s="29" t="b">
        <v>0</v>
      </c>
      <c r="AG89" s="566"/>
      <c r="AH89" s="567"/>
      <c r="AI89" s="568"/>
      <c r="AJ89" s="567"/>
      <c r="AK89" s="567"/>
      <c r="AL89" s="568"/>
      <c r="AM89" s="567"/>
      <c r="AN89" s="567"/>
      <c r="AO89" s="568"/>
      <c r="AP89" s="567"/>
      <c r="AQ89" s="567"/>
      <c r="AR89" s="568"/>
      <c r="AS89" s="567"/>
      <c r="AT89" s="567"/>
      <c r="AU89" s="568"/>
      <c r="AV89" s="567"/>
      <c r="AW89" s="567"/>
      <c r="AX89" s="568"/>
      <c r="AY89" s="567"/>
      <c r="AZ89" s="567"/>
      <c r="BA89" s="568"/>
      <c r="BB89" s="567"/>
      <c r="BC89" s="567"/>
      <c r="BD89" s="568"/>
      <c r="BE89" s="567"/>
      <c r="BF89" s="567"/>
      <c r="BG89" s="568"/>
      <c r="BH89" s="567"/>
      <c r="BI89" s="567"/>
      <c r="BJ89" s="568"/>
      <c r="BK89" s="567"/>
      <c r="BL89" s="567"/>
      <c r="BM89" s="568"/>
      <c r="BN89" s="567"/>
      <c r="BO89" s="567"/>
      <c r="BP89" s="568"/>
      <c r="BQ89" s="567"/>
      <c r="BR89" s="567"/>
      <c r="BS89" s="568"/>
      <c r="BT89" s="567"/>
      <c r="BU89" s="567"/>
      <c r="BV89" s="568"/>
      <c r="BW89" s="567"/>
      <c r="BX89" s="567"/>
      <c r="BY89" s="568"/>
      <c r="BZ89" s="567"/>
      <c r="CA89" s="567"/>
      <c r="CB89" s="567"/>
      <c r="CC89" s="583"/>
      <c r="CD89" s="555" t="e">
        <f t="shared" ref="CD89:CF89" si="441">MEDIAN(AM89,AP89,AS89,AY89,BB89,AV89,AA89,BE89,BK89,BZ89,BH89,BN89,BQ89,BT89,BW89)</f>
        <v>#DIV/0!</v>
      </c>
      <c r="CE89" s="555" t="e">
        <f t="shared" si="441"/>
        <v>#DIV/0!</v>
      </c>
      <c r="CF89" s="556" t="e">
        <f t="shared" si="441"/>
        <v>#DIV/0!</v>
      </c>
      <c r="CG89" s="555" t="e">
        <f t="shared" ref="CG89:CI89" si="442">MAX(AP89,AS89,AV89,BB89,BE89,AY89,CD89,BK89,BZ89,AA89)-MIN(AP89,AS89,AV89,BB89,BE89,AY89,CD89,BK89,BZ89,AA89)</f>
        <v>#DIV/0!</v>
      </c>
      <c r="CH89" s="555" t="e">
        <f t="shared" si="442"/>
        <v>#DIV/0!</v>
      </c>
      <c r="CI89" s="556" t="e">
        <f t="shared" si="442"/>
        <v>#DIV/0!</v>
      </c>
      <c r="CJ89" s="555" t="e">
        <f t="shared" ref="CJ89:CL89" si="443">STDEV(AS89,AV89,AY89,BE89,BK89,BB89,CG89,BZ89,AA89,CD89)</f>
        <v>#DIV/0!</v>
      </c>
      <c r="CK89" s="555" t="e">
        <f t="shared" si="443"/>
        <v>#DIV/0!</v>
      </c>
      <c r="CL89" s="556" t="e">
        <f t="shared" si="443"/>
        <v>#DIV/0!</v>
      </c>
      <c r="CM89" s="555" t="e">
        <f t="shared" ref="CM89:CO89" si="444">CJ89/AA89</f>
        <v>#DIV/0!</v>
      </c>
      <c r="CN89" s="555" t="e">
        <f t="shared" si="444"/>
        <v>#DIV/0!</v>
      </c>
      <c r="CO89" s="556" t="e">
        <f t="shared" si="444"/>
        <v>#DIV/0!</v>
      </c>
      <c r="CP89" s="29" t="s">
        <v>120</v>
      </c>
      <c r="CQ89" s="535">
        <f t="shared" si="229"/>
        <v>2</v>
      </c>
      <c r="CR89" s="29" t="s">
        <v>120</v>
      </c>
      <c r="CS89" s="29"/>
      <c r="CT89" s="29"/>
      <c r="CU89" s="29"/>
      <c r="CV89" s="29"/>
    </row>
    <row r="90" customHeight="1" spans="1:100">
      <c r="A90" s="29" t="s">
        <v>292</v>
      </c>
      <c r="B90" s="541" t="s">
        <v>1081</v>
      </c>
      <c r="C90" s="29" t="s">
        <v>1082</v>
      </c>
      <c r="D90" s="29" t="s">
        <v>293</v>
      </c>
      <c r="E90" s="29"/>
      <c r="F90" s="29" t="s">
        <v>1022</v>
      </c>
      <c r="G90" s="29" t="s">
        <v>1039</v>
      </c>
      <c r="H90" s="29" t="b">
        <v>0</v>
      </c>
      <c r="I90" s="29" t="b">
        <v>0</v>
      </c>
      <c r="J90" s="29" t="b">
        <v>1</v>
      </c>
      <c r="K90" s="29" t="b">
        <v>0</v>
      </c>
      <c r="L90" s="29" t="b">
        <v>0</v>
      </c>
      <c r="M90" s="29" t="b">
        <v>0</v>
      </c>
      <c r="P90" s="29" t="b">
        <v>0</v>
      </c>
      <c r="Q90" s="29" t="b">
        <v>0</v>
      </c>
      <c r="R90" s="29" t="b">
        <v>0</v>
      </c>
      <c r="S90" s="29" t="b">
        <v>0</v>
      </c>
      <c r="T90" s="29" t="b">
        <f t="shared" si="0"/>
        <v>0</v>
      </c>
      <c r="W90" s="29">
        <v>2</v>
      </c>
      <c r="X90" s="308"/>
      <c r="Y90" s="16" t="s">
        <v>1041</v>
      </c>
      <c r="Z90" s="308"/>
      <c r="AA90" s="554" t="e">
        <f t="shared" ref="AA90:AC90" si="445">AVERAGE(AJ90,AM90,AP90,AV90,AY90,AS90,BZ90,BB90,BE90,BH90,BK90,BN90,BQ90,BT90)</f>
        <v>#DIV/0!</v>
      </c>
      <c r="AB90" s="555" t="e">
        <f t="shared" si="445"/>
        <v>#DIV/0!</v>
      </c>
      <c r="AC90" s="556" t="e">
        <f t="shared" si="445"/>
        <v>#DIV/0!</v>
      </c>
      <c r="AD90" s="29" t="b">
        <v>0</v>
      </c>
      <c r="AE90" s="29" t="b">
        <v>1</v>
      </c>
      <c r="AF90" s="29" t="b">
        <v>0</v>
      </c>
      <c r="AG90" s="566"/>
      <c r="AH90" s="567"/>
      <c r="AI90" s="568"/>
      <c r="AJ90" s="567"/>
      <c r="AK90" s="567"/>
      <c r="AL90" s="568"/>
      <c r="AM90" s="567"/>
      <c r="AN90" s="567"/>
      <c r="AO90" s="568"/>
      <c r="AP90" s="567"/>
      <c r="AQ90" s="567"/>
      <c r="AR90" s="568"/>
      <c r="AS90" s="567"/>
      <c r="AT90" s="567"/>
      <c r="AU90" s="568"/>
      <c r="AV90" s="567"/>
      <c r="AW90" s="567"/>
      <c r="AX90" s="568"/>
      <c r="AY90" s="567"/>
      <c r="AZ90" s="567"/>
      <c r="BA90" s="568"/>
      <c r="BB90" s="567"/>
      <c r="BC90" s="567"/>
      <c r="BD90" s="568"/>
      <c r="BE90" s="567"/>
      <c r="BF90" s="567"/>
      <c r="BG90" s="568"/>
      <c r="BH90" s="567"/>
      <c r="BI90" s="567"/>
      <c r="BJ90" s="568"/>
      <c r="BK90" s="567"/>
      <c r="BL90" s="567"/>
      <c r="BM90" s="568"/>
      <c r="BN90" s="567"/>
      <c r="BO90" s="567"/>
      <c r="BP90" s="568"/>
      <c r="BQ90" s="567"/>
      <c r="BR90" s="567"/>
      <c r="BS90" s="568"/>
      <c r="BT90" s="567"/>
      <c r="BU90" s="567"/>
      <c r="BV90" s="568"/>
      <c r="BW90" s="567"/>
      <c r="BX90" s="567"/>
      <c r="BY90" s="568"/>
      <c r="BZ90" s="567"/>
      <c r="CA90" s="567"/>
      <c r="CB90" s="567"/>
      <c r="CC90" s="583"/>
      <c r="CD90" s="555" t="e">
        <f t="shared" ref="CD90:CF90" si="446">MEDIAN(AM90,AP90,AS90,AY90,BB90,AV90,AA90,BE90,BK90,BZ90,BH90,BN90,BQ90,BT90,BW90)</f>
        <v>#DIV/0!</v>
      </c>
      <c r="CE90" s="555" t="e">
        <f t="shared" si="446"/>
        <v>#DIV/0!</v>
      </c>
      <c r="CF90" s="556" t="e">
        <f t="shared" si="446"/>
        <v>#DIV/0!</v>
      </c>
      <c r="CG90" s="555" t="e">
        <f t="shared" ref="CG90:CI90" si="447">MAX(AP90,AS90,AV90,BB90,BE90,AY90,CD90,BK90,BZ90,AA90)-MIN(AP90,AS90,AV90,BB90,BE90,AY90,CD90,BK90,BZ90,AA90)</f>
        <v>#DIV/0!</v>
      </c>
      <c r="CH90" s="555" t="e">
        <f t="shared" si="447"/>
        <v>#DIV/0!</v>
      </c>
      <c r="CI90" s="556" t="e">
        <f t="shared" si="447"/>
        <v>#DIV/0!</v>
      </c>
      <c r="CJ90" s="555" t="e">
        <f t="shared" ref="CJ90:CL90" si="448">STDEV(AS90,AV90,AY90,BE90,BK90,BB90,CG90,BZ90,AA90,CD90)</f>
        <v>#DIV/0!</v>
      </c>
      <c r="CK90" s="555" t="e">
        <f t="shared" si="448"/>
        <v>#DIV/0!</v>
      </c>
      <c r="CL90" s="556" t="e">
        <f t="shared" si="448"/>
        <v>#DIV/0!</v>
      </c>
      <c r="CM90" s="555" t="e">
        <f t="shared" ref="CM90:CO90" si="449">CJ90/AA90</f>
        <v>#DIV/0!</v>
      </c>
      <c r="CN90" s="555" t="e">
        <f t="shared" si="449"/>
        <v>#DIV/0!</v>
      </c>
      <c r="CO90" s="556" t="e">
        <f t="shared" si="449"/>
        <v>#DIV/0!</v>
      </c>
      <c r="CP90" s="29" t="s">
        <v>120</v>
      </c>
      <c r="CQ90" s="535">
        <f t="shared" si="229"/>
        <v>2</v>
      </c>
      <c r="CR90" s="29" t="s">
        <v>120</v>
      </c>
      <c r="CS90" s="29"/>
      <c r="CT90" s="29"/>
      <c r="CU90" s="29"/>
      <c r="CV90" s="29"/>
    </row>
    <row r="91" customHeight="1" spans="1:100">
      <c r="A91" s="29" t="s">
        <v>294</v>
      </c>
      <c r="B91" s="541" t="s">
        <v>1084</v>
      </c>
      <c r="C91" s="29" t="s">
        <v>1085</v>
      </c>
      <c r="D91" s="29" t="s">
        <v>294</v>
      </c>
      <c r="E91" s="29"/>
      <c r="F91" s="29" t="s">
        <v>1038</v>
      </c>
      <c r="G91" s="29" t="s">
        <v>1039</v>
      </c>
      <c r="H91" s="29" t="b">
        <v>1</v>
      </c>
      <c r="I91" s="29" t="b">
        <v>1</v>
      </c>
      <c r="J91" s="29" t="b">
        <v>0</v>
      </c>
      <c r="K91" s="29" t="b">
        <v>1</v>
      </c>
      <c r="L91" s="29" t="b">
        <v>1</v>
      </c>
      <c r="M91" s="29" t="b">
        <v>0</v>
      </c>
      <c r="N91" s="29" t="s">
        <v>295</v>
      </c>
      <c r="P91" s="29" t="b">
        <v>1</v>
      </c>
      <c r="Q91" s="29" t="b">
        <v>1</v>
      </c>
      <c r="R91" s="29" t="b">
        <v>1</v>
      </c>
      <c r="S91" s="29" t="b">
        <v>1</v>
      </c>
      <c r="T91" s="29" t="b">
        <f t="shared" si="0"/>
        <v>0</v>
      </c>
      <c r="U91" s="29" t="s">
        <v>997</v>
      </c>
      <c r="V91" s="29" t="s">
        <v>129</v>
      </c>
      <c r="W91" s="29">
        <v>2</v>
      </c>
      <c r="X91" s="29" t="s">
        <v>1045</v>
      </c>
      <c r="Y91" s="16" t="s">
        <v>1041</v>
      </c>
      <c r="Z91" s="29" t="s">
        <v>1052</v>
      </c>
      <c r="AA91" s="554" t="e">
        <f t="shared" ref="AA91:AC91" si="450">AVERAGE(AJ91,AM91,AP91,AV91,AY91,AS91,BZ91,BB91,BE91,BH91,BK91,BN91,BQ91,BT91)</f>
        <v>#DIV/0!</v>
      </c>
      <c r="AB91" s="555" t="e">
        <f t="shared" si="450"/>
        <v>#DIV/0!</v>
      </c>
      <c r="AC91" s="556" t="e">
        <f t="shared" si="450"/>
        <v>#DIV/0!</v>
      </c>
      <c r="AD91" s="29" t="b">
        <v>0</v>
      </c>
      <c r="AE91" s="29" t="b">
        <v>1</v>
      </c>
      <c r="AF91" s="29" t="b">
        <v>0</v>
      </c>
      <c r="AG91" s="522">
        <v>149</v>
      </c>
      <c r="AH91" s="569" t="s">
        <v>13</v>
      </c>
      <c r="AI91" s="570" t="s">
        <v>13</v>
      </c>
      <c r="AJ91" s="567"/>
      <c r="AK91" s="567"/>
      <c r="AL91" s="568"/>
      <c r="AM91" s="567"/>
      <c r="AN91" s="567"/>
      <c r="AO91" s="568"/>
      <c r="AP91" s="567"/>
      <c r="AQ91" s="567"/>
      <c r="AR91" s="568"/>
      <c r="AS91" s="567"/>
      <c r="AT91" s="567"/>
      <c r="AU91" s="568"/>
      <c r="AV91" s="567"/>
      <c r="AW91" s="567"/>
      <c r="AX91" s="568"/>
      <c r="AY91" s="567"/>
      <c r="AZ91" s="567"/>
      <c r="BA91" s="568"/>
      <c r="BB91" s="567"/>
      <c r="BC91" s="567"/>
      <c r="BD91" s="568"/>
      <c r="BE91" s="567"/>
      <c r="BF91" s="567"/>
      <c r="BG91" s="568"/>
      <c r="BH91" s="567"/>
      <c r="BI91" s="567"/>
      <c r="BJ91" s="568"/>
      <c r="BK91" s="567"/>
      <c r="BL91" s="567"/>
      <c r="BM91" s="568"/>
      <c r="BN91" s="567"/>
      <c r="BO91" s="567"/>
      <c r="BP91" s="568"/>
      <c r="BQ91" s="567"/>
      <c r="BR91" s="567"/>
      <c r="BS91" s="568"/>
      <c r="BT91" s="567"/>
      <c r="BU91" s="567"/>
      <c r="BV91" s="568"/>
      <c r="BW91" s="567"/>
      <c r="BX91" s="567"/>
      <c r="BY91" s="568"/>
      <c r="BZ91" s="567"/>
      <c r="CA91" s="567"/>
      <c r="CB91" s="567"/>
      <c r="CC91" s="583"/>
      <c r="CD91" s="555" t="e">
        <f t="shared" ref="CD91:CF91" si="451">MEDIAN(AM91,AP91,AS91,AY91,BB91,AV91,AA91,BE91,BK91,BZ91,BH91,BN91,BQ91,BT91,BW91)</f>
        <v>#DIV/0!</v>
      </c>
      <c r="CE91" s="555" t="e">
        <f t="shared" si="451"/>
        <v>#DIV/0!</v>
      </c>
      <c r="CF91" s="556" t="e">
        <f t="shared" si="451"/>
        <v>#DIV/0!</v>
      </c>
      <c r="CG91" s="555" t="e">
        <f t="shared" ref="CG91:CI91" si="452">MAX(AP91,AS91,AV91,BB91,BE91,AY91,CD91,BK91,BZ91,AA91)-MIN(AP91,AS91,AV91,BB91,BE91,AY91,CD91,BK91,BZ91,AA91)</f>
        <v>#DIV/0!</v>
      </c>
      <c r="CH91" s="555" t="e">
        <f t="shared" si="452"/>
        <v>#DIV/0!</v>
      </c>
      <c r="CI91" s="556" t="e">
        <f t="shared" si="452"/>
        <v>#DIV/0!</v>
      </c>
      <c r="CJ91" s="555" t="e">
        <f t="shared" ref="CJ91:CL91" si="453">STDEV(AS91,AV91,AY91,BE91,BK91,BB91,CG91,BZ91,AA91,CD91)</f>
        <v>#DIV/0!</v>
      </c>
      <c r="CK91" s="555" t="e">
        <f t="shared" si="453"/>
        <v>#DIV/0!</v>
      </c>
      <c r="CL91" s="556" t="e">
        <f t="shared" si="453"/>
        <v>#DIV/0!</v>
      </c>
      <c r="CM91" s="555" t="e">
        <f t="shared" ref="CM91:CO91" si="454">CJ91/AA91</f>
        <v>#DIV/0!</v>
      </c>
      <c r="CN91" s="555" t="e">
        <f t="shared" si="454"/>
        <v>#DIV/0!</v>
      </c>
      <c r="CO91" s="556" t="e">
        <f t="shared" si="454"/>
        <v>#DIV/0!</v>
      </c>
      <c r="CP91" s="29" t="s">
        <v>120</v>
      </c>
      <c r="CQ91" s="535">
        <f t="shared" si="229"/>
        <v>2</v>
      </c>
      <c r="CR91" s="29" t="s">
        <v>120</v>
      </c>
      <c r="CS91" s="29" t="s">
        <v>120</v>
      </c>
      <c r="CT91" s="29" t="s">
        <v>120</v>
      </c>
      <c r="CU91" s="29" t="s">
        <v>120</v>
      </c>
      <c r="CV91" s="29" t="s">
        <v>120</v>
      </c>
    </row>
    <row r="92" customHeight="1" spans="1:100">
      <c r="A92" s="29" t="s">
        <v>296</v>
      </c>
      <c r="B92" s="541" t="s">
        <v>1084</v>
      </c>
      <c r="C92" s="29" t="s">
        <v>1085</v>
      </c>
      <c r="D92" s="29" t="s">
        <v>297</v>
      </c>
      <c r="E92" s="29"/>
      <c r="F92" s="29" t="s">
        <v>1038</v>
      </c>
      <c r="G92" s="29" t="s">
        <v>1039</v>
      </c>
      <c r="H92" s="29" t="b">
        <v>1</v>
      </c>
      <c r="I92" s="29" t="b">
        <v>1</v>
      </c>
      <c r="J92" s="29" t="b">
        <v>0</v>
      </c>
      <c r="K92" s="29" t="b">
        <v>1</v>
      </c>
      <c r="L92" s="29" t="b">
        <v>1</v>
      </c>
      <c r="M92" s="29" t="b">
        <v>0</v>
      </c>
      <c r="N92" s="29" t="s">
        <v>295</v>
      </c>
      <c r="P92" s="29" t="b">
        <v>1</v>
      </c>
      <c r="Q92" s="29" t="b">
        <v>1</v>
      </c>
      <c r="R92" s="29" t="b">
        <v>1</v>
      </c>
      <c r="S92" s="29" t="b">
        <v>1</v>
      </c>
      <c r="T92" s="29" t="b">
        <f t="shared" si="0"/>
        <v>0</v>
      </c>
      <c r="U92" s="29" t="s">
        <v>997</v>
      </c>
      <c r="V92" s="29" t="s">
        <v>129</v>
      </c>
      <c r="W92" s="29">
        <v>2</v>
      </c>
      <c r="X92" s="29" t="s">
        <v>1045</v>
      </c>
      <c r="Y92" s="16" t="s">
        <v>1041</v>
      </c>
      <c r="Z92" s="29" t="s">
        <v>1052</v>
      </c>
      <c r="AA92" s="554" t="e">
        <f t="shared" ref="AA92:AC92" si="455">AVERAGE(AJ92,AM92,AP92,AV92,AY92,AS92,BZ92,BB92,BE92,BH92,BK92,BN92,BQ92,BT92)</f>
        <v>#DIV/0!</v>
      </c>
      <c r="AB92" s="555" t="e">
        <f t="shared" si="455"/>
        <v>#DIV/0!</v>
      </c>
      <c r="AC92" s="556" t="e">
        <f t="shared" si="455"/>
        <v>#DIV/0!</v>
      </c>
      <c r="AD92" s="29" t="b">
        <v>0</v>
      </c>
      <c r="AE92" s="29" t="b">
        <v>1</v>
      </c>
      <c r="AF92" s="29" t="b">
        <v>0</v>
      </c>
      <c r="AG92" s="522">
        <v>329</v>
      </c>
      <c r="AH92" s="569" t="s">
        <v>13</v>
      </c>
      <c r="AI92" s="570" t="s">
        <v>13</v>
      </c>
      <c r="AJ92" s="567"/>
      <c r="AK92" s="567"/>
      <c r="AL92" s="568"/>
      <c r="AM92" s="567"/>
      <c r="AN92" s="567"/>
      <c r="AO92" s="568"/>
      <c r="AP92" s="567"/>
      <c r="AQ92" s="567"/>
      <c r="AR92" s="568"/>
      <c r="AS92" s="567"/>
      <c r="AT92" s="567"/>
      <c r="AU92" s="568"/>
      <c r="AV92" s="567"/>
      <c r="AW92" s="567"/>
      <c r="AX92" s="568"/>
      <c r="AY92" s="567"/>
      <c r="AZ92" s="567"/>
      <c r="BA92" s="568"/>
      <c r="BB92" s="567"/>
      <c r="BC92" s="567"/>
      <c r="BD92" s="568"/>
      <c r="BE92" s="567"/>
      <c r="BF92" s="567"/>
      <c r="BG92" s="568"/>
      <c r="BH92" s="567"/>
      <c r="BI92" s="567"/>
      <c r="BJ92" s="568"/>
      <c r="BK92" s="567"/>
      <c r="BL92" s="567"/>
      <c r="BM92" s="568"/>
      <c r="BN92" s="567"/>
      <c r="BO92" s="567"/>
      <c r="BP92" s="568"/>
      <c r="BQ92" s="567"/>
      <c r="BR92" s="567"/>
      <c r="BS92" s="568"/>
      <c r="BT92" s="567"/>
      <c r="BU92" s="567"/>
      <c r="BV92" s="568"/>
      <c r="BW92" s="567"/>
      <c r="BX92" s="567"/>
      <c r="BY92" s="568"/>
      <c r="BZ92" s="567"/>
      <c r="CA92" s="567"/>
      <c r="CB92" s="567"/>
      <c r="CC92" s="583"/>
      <c r="CD92" s="555" t="e">
        <f t="shared" ref="CD92:CF92" si="456">MEDIAN(AM92,AP92,AS92,AY92,BB92,AV92,AA92,BE92,BK92,BZ92,BH92,BN92,BQ92,BT92,BW92)</f>
        <v>#DIV/0!</v>
      </c>
      <c r="CE92" s="555" t="e">
        <f t="shared" si="456"/>
        <v>#DIV/0!</v>
      </c>
      <c r="CF92" s="556" t="e">
        <f t="shared" si="456"/>
        <v>#DIV/0!</v>
      </c>
      <c r="CG92" s="555" t="e">
        <f t="shared" ref="CG92:CI92" si="457">MAX(AP92,AS92,AV92,BB92,BE92,AY92,CD92,BK92,BZ92,AA92)-MIN(AP92,AS92,AV92,BB92,BE92,AY92,CD92,BK92,BZ92,AA92)</f>
        <v>#DIV/0!</v>
      </c>
      <c r="CH92" s="555" t="e">
        <f t="shared" si="457"/>
        <v>#DIV/0!</v>
      </c>
      <c r="CI92" s="556" t="e">
        <f t="shared" si="457"/>
        <v>#DIV/0!</v>
      </c>
      <c r="CJ92" s="555" t="e">
        <f t="shared" ref="CJ92:CL92" si="458">STDEV(AS92,AV92,AY92,BE92,BK92,BB92,CG92,BZ92,AA92,CD92)</f>
        <v>#DIV/0!</v>
      </c>
      <c r="CK92" s="555" t="e">
        <f t="shared" si="458"/>
        <v>#DIV/0!</v>
      </c>
      <c r="CL92" s="556" t="e">
        <f t="shared" si="458"/>
        <v>#DIV/0!</v>
      </c>
      <c r="CM92" s="555" t="e">
        <f t="shared" ref="CM92:CO92" si="459">CJ92/AA92</f>
        <v>#DIV/0!</v>
      </c>
      <c r="CN92" s="555" t="e">
        <f t="shared" si="459"/>
        <v>#DIV/0!</v>
      </c>
      <c r="CO92" s="556" t="e">
        <f t="shared" si="459"/>
        <v>#DIV/0!</v>
      </c>
      <c r="CP92" s="29" t="s">
        <v>120</v>
      </c>
      <c r="CQ92" s="535">
        <f t="shared" si="229"/>
        <v>2</v>
      </c>
      <c r="CR92" s="29" t="s">
        <v>120</v>
      </c>
      <c r="CS92" s="29" t="s">
        <v>120</v>
      </c>
      <c r="CT92" s="29" t="s">
        <v>120</v>
      </c>
      <c r="CU92" s="29" t="s">
        <v>120</v>
      </c>
      <c r="CV92" s="29" t="s">
        <v>120</v>
      </c>
    </row>
    <row r="93" customHeight="1" spans="1:100">
      <c r="A93" s="29" t="s">
        <v>298</v>
      </c>
      <c r="B93" s="541" t="s">
        <v>1084</v>
      </c>
      <c r="C93" s="29" t="s">
        <v>1085</v>
      </c>
      <c r="D93" s="29" t="s">
        <v>299</v>
      </c>
      <c r="E93" s="29"/>
      <c r="F93" s="29" t="s">
        <v>1038</v>
      </c>
      <c r="G93" s="29" t="s">
        <v>1039</v>
      </c>
      <c r="H93" s="29" t="b">
        <v>1</v>
      </c>
      <c r="I93" s="29" t="b">
        <v>1</v>
      </c>
      <c r="J93" s="29" t="b">
        <v>0</v>
      </c>
      <c r="K93" s="29" t="b">
        <v>1</v>
      </c>
      <c r="L93" s="29" t="b">
        <v>1</v>
      </c>
      <c r="M93" s="29" t="b">
        <v>0</v>
      </c>
      <c r="N93" s="29" t="s">
        <v>295</v>
      </c>
      <c r="P93" s="29" t="b">
        <v>1</v>
      </c>
      <c r="Q93" s="29" t="b">
        <v>1</v>
      </c>
      <c r="R93" s="29" t="b">
        <v>1</v>
      </c>
      <c r="S93" s="29" t="b">
        <v>1</v>
      </c>
      <c r="T93" s="29" t="b">
        <f t="shared" si="0"/>
        <v>0</v>
      </c>
      <c r="U93" s="29" t="s">
        <v>997</v>
      </c>
      <c r="V93" s="29" t="s">
        <v>129</v>
      </c>
      <c r="W93" s="29">
        <v>2</v>
      </c>
      <c r="X93" s="29" t="s">
        <v>1045</v>
      </c>
      <c r="Y93" s="16" t="s">
        <v>1041</v>
      </c>
      <c r="Z93" s="29" t="s">
        <v>1052</v>
      </c>
      <c r="AA93" s="554" t="e">
        <f t="shared" ref="AA93:AC93" si="460">AVERAGE(AJ93,AM93,AP93,AV93,AY93,AS93,BZ93,BB93,BE93,BH93,BK93,BN93,BQ93,BT93)</f>
        <v>#DIV/0!</v>
      </c>
      <c r="AB93" s="555" t="e">
        <f t="shared" si="460"/>
        <v>#DIV/0!</v>
      </c>
      <c r="AC93" s="556" t="e">
        <f t="shared" si="460"/>
        <v>#DIV/0!</v>
      </c>
      <c r="AD93" s="29" t="b">
        <v>0</v>
      </c>
      <c r="AE93" s="29" t="b">
        <v>1</v>
      </c>
      <c r="AF93" s="29" t="b">
        <v>0</v>
      </c>
      <c r="AG93" s="522">
        <v>289</v>
      </c>
      <c r="AH93" s="569" t="s">
        <v>13</v>
      </c>
      <c r="AI93" s="570" t="s">
        <v>13</v>
      </c>
      <c r="AJ93" s="567"/>
      <c r="AK93" s="567"/>
      <c r="AL93" s="568"/>
      <c r="AM93" s="567"/>
      <c r="AN93" s="567"/>
      <c r="AO93" s="568"/>
      <c r="AP93" s="567"/>
      <c r="AQ93" s="567"/>
      <c r="AR93" s="568"/>
      <c r="AS93" s="567"/>
      <c r="AT93" s="567"/>
      <c r="AU93" s="568"/>
      <c r="AV93" s="567"/>
      <c r="AW93" s="567"/>
      <c r="AX93" s="568"/>
      <c r="AY93" s="567"/>
      <c r="AZ93" s="567"/>
      <c r="BA93" s="568"/>
      <c r="BB93" s="567"/>
      <c r="BC93" s="567"/>
      <c r="BD93" s="568"/>
      <c r="BE93" s="567"/>
      <c r="BF93" s="567"/>
      <c r="BG93" s="568"/>
      <c r="BH93" s="567"/>
      <c r="BI93" s="567"/>
      <c r="BJ93" s="568"/>
      <c r="BK93" s="567"/>
      <c r="BL93" s="567"/>
      <c r="BM93" s="568"/>
      <c r="BN93" s="567"/>
      <c r="BO93" s="567"/>
      <c r="BP93" s="568"/>
      <c r="BQ93" s="567"/>
      <c r="BR93" s="567"/>
      <c r="BS93" s="568"/>
      <c r="BT93" s="567"/>
      <c r="BU93" s="567"/>
      <c r="BV93" s="568"/>
      <c r="BW93" s="567"/>
      <c r="BX93" s="567"/>
      <c r="BY93" s="568"/>
      <c r="BZ93" s="567"/>
      <c r="CA93" s="567"/>
      <c r="CB93" s="567"/>
      <c r="CC93" s="583"/>
      <c r="CD93" s="555" t="e">
        <f t="shared" ref="CD93:CF93" si="461">MEDIAN(AM93,AP93,AS93,AY93,BB93,AV93,AA93,BE93,BK93,BZ93,BH93,BN93,BQ93,BT93,BW93)</f>
        <v>#DIV/0!</v>
      </c>
      <c r="CE93" s="555" t="e">
        <f t="shared" si="461"/>
        <v>#DIV/0!</v>
      </c>
      <c r="CF93" s="556" t="e">
        <f t="shared" si="461"/>
        <v>#DIV/0!</v>
      </c>
      <c r="CG93" s="555" t="e">
        <f t="shared" ref="CG93:CI93" si="462">MAX(AP93,AS93,AV93,BB93,BE93,AY93,CD93,BK93,BZ93,AA93)-MIN(AP93,AS93,AV93,BB93,BE93,AY93,CD93,BK93,BZ93,AA93)</f>
        <v>#DIV/0!</v>
      </c>
      <c r="CH93" s="555" t="e">
        <f t="shared" si="462"/>
        <v>#DIV/0!</v>
      </c>
      <c r="CI93" s="556" t="e">
        <f t="shared" si="462"/>
        <v>#DIV/0!</v>
      </c>
      <c r="CJ93" s="555" t="e">
        <f t="shared" ref="CJ93:CL93" si="463">STDEV(AS93,AV93,AY93,BE93,BK93,BB93,CG93,BZ93,AA93,CD93)</f>
        <v>#DIV/0!</v>
      </c>
      <c r="CK93" s="555" t="e">
        <f t="shared" si="463"/>
        <v>#DIV/0!</v>
      </c>
      <c r="CL93" s="556" t="e">
        <f t="shared" si="463"/>
        <v>#DIV/0!</v>
      </c>
      <c r="CM93" s="555" t="e">
        <f t="shared" ref="CM93:CO93" si="464">CJ93/AA93</f>
        <v>#DIV/0!</v>
      </c>
      <c r="CN93" s="555" t="e">
        <f t="shared" si="464"/>
        <v>#DIV/0!</v>
      </c>
      <c r="CO93" s="556" t="e">
        <f t="shared" si="464"/>
        <v>#DIV/0!</v>
      </c>
      <c r="CP93" s="29" t="s">
        <v>120</v>
      </c>
      <c r="CQ93" s="535">
        <f t="shared" si="229"/>
        <v>2</v>
      </c>
      <c r="CR93" s="29" t="s">
        <v>120</v>
      </c>
      <c r="CS93" s="29" t="s">
        <v>120</v>
      </c>
      <c r="CT93" s="29" t="s">
        <v>120</v>
      </c>
      <c r="CU93" s="29" t="s">
        <v>120</v>
      </c>
      <c r="CV93" s="29" t="s">
        <v>120</v>
      </c>
    </row>
    <row r="94" customHeight="1" spans="1:100">
      <c r="A94" s="29" t="s">
        <v>300</v>
      </c>
      <c r="B94" s="541" t="s">
        <v>1084</v>
      </c>
      <c r="C94" s="29" t="s">
        <v>1085</v>
      </c>
      <c r="D94" s="29" t="s">
        <v>301</v>
      </c>
      <c r="E94" s="29"/>
      <c r="F94" s="29" t="s">
        <v>1038</v>
      </c>
      <c r="G94" s="29" t="s">
        <v>1039</v>
      </c>
      <c r="H94" s="29" t="b">
        <v>1</v>
      </c>
      <c r="I94" s="29" t="b">
        <v>1</v>
      </c>
      <c r="J94" s="29" t="b">
        <v>0</v>
      </c>
      <c r="K94" s="29" t="b">
        <v>1</v>
      </c>
      <c r="L94" s="29" t="b">
        <v>1</v>
      </c>
      <c r="M94" s="29" t="b">
        <v>0</v>
      </c>
      <c r="N94" s="29" t="s">
        <v>295</v>
      </c>
      <c r="P94" s="29" t="b">
        <v>1</v>
      </c>
      <c r="Q94" s="29" t="b">
        <v>1</v>
      </c>
      <c r="R94" s="29" t="b">
        <v>1</v>
      </c>
      <c r="S94" s="29" t="b">
        <v>1</v>
      </c>
      <c r="T94" s="29" t="b">
        <f t="shared" si="0"/>
        <v>0</v>
      </c>
      <c r="U94" s="29" t="s">
        <v>997</v>
      </c>
      <c r="V94" s="29" t="s">
        <v>129</v>
      </c>
      <c r="W94" s="29">
        <v>2</v>
      </c>
      <c r="X94" s="29" t="s">
        <v>1045</v>
      </c>
      <c r="Y94" s="16" t="s">
        <v>1041</v>
      </c>
      <c r="Z94" s="29" t="s">
        <v>1052</v>
      </c>
      <c r="AA94" s="554" t="e">
        <f t="shared" ref="AA94:AC94" si="465">AVERAGE(AJ94,AM94,AP94,AV94,AY94,AS94,BZ94,BB94,BE94,BH94,BK94,BN94,BQ94,BT94)</f>
        <v>#DIV/0!</v>
      </c>
      <c r="AB94" s="555" t="e">
        <f t="shared" si="465"/>
        <v>#DIV/0!</v>
      </c>
      <c r="AC94" s="556" t="e">
        <f t="shared" si="465"/>
        <v>#DIV/0!</v>
      </c>
      <c r="AD94" s="29" t="b">
        <v>0</v>
      </c>
      <c r="AE94" s="29" t="b">
        <v>1</v>
      </c>
      <c r="AF94" s="29" t="b">
        <v>0</v>
      </c>
      <c r="AG94" s="522">
        <v>249</v>
      </c>
      <c r="AH94" s="569" t="s">
        <v>13</v>
      </c>
      <c r="AI94" s="570" t="s">
        <v>13</v>
      </c>
      <c r="AJ94" s="567"/>
      <c r="AK94" s="567"/>
      <c r="AL94" s="568"/>
      <c r="AM94" s="567"/>
      <c r="AN94" s="567"/>
      <c r="AO94" s="568"/>
      <c r="AP94" s="567"/>
      <c r="AQ94" s="567"/>
      <c r="AR94" s="568"/>
      <c r="AS94" s="567"/>
      <c r="AT94" s="567"/>
      <c r="AU94" s="568"/>
      <c r="AV94" s="567"/>
      <c r="AW94" s="567"/>
      <c r="AX94" s="568"/>
      <c r="AY94" s="567"/>
      <c r="AZ94" s="567"/>
      <c r="BA94" s="568"/>
      <c r="BB94" s="567"/>
      <c r="BC94" s="567"/>
      <c r="BD94" s="568"/>
      <c r="BE94" s="567"/>
      <c r="BF94" s="567"/>
      <c r="BG94" s="568"/>
      <c r="BH94" s="567"/>
      <c r="BI94" s="567"/>
      <c r="BJ94" s="568"/>
      <c r="BK94" s="567"/>
      <c r="BL94" s="567"/>
      <c r="BM94" s="568"/>
      <c r="BN94" s="567"/>
      <c r="BO94" s="567"/>
      <c r="BP94" s="568"/>
      <c r="BQ94" s="567"/>
      <c r="BR94" s="567"/>
      <c r="BS94" s="568"/>
      <c r="BT94" s="567"/>
      <c r="BU94" s="567"/>
      <c r="BV94" s="568"/>
      <c r="BW94" s="567"/>
      <c r="BX94" s="567"/>
      <c r="BY94" s="568"/>
      <c r="BZ94" s="567"/>
      <c r="CA94" s="567"/>
      <c r="CB94" s="567"/>
      <c r="CC94" s="583"/>
      <c r="CD94" s="555" t="e">
        <f t="shared" ref="CD94:CF94" si="466">MEDIAN(AM94,AP94,AS94,AY94,BB94,AV94,AA94,BE94,BK94,BZ94,BH94,BN94,BQ94,BT94,BW94)</f>
        <v>#DIV/0!</v>
      </c>
      <c r="CE94" s="555" t="e">
        <f t="shared" si="466"/>
        <v>#DIV/0!</v>
      </c>
      <c r="CF94" s="556" t="e">
        <f t="shared" si="466"/>
        <v>#DIV/0!</v>
      </c>
      <c r="CG94" s="555" t="e">
        <f t="shared" ref="CG94:CI94" si="467">MAX(AP94,AS94,AV94,BB94,BE94,AY94,CD94,BK94,BZ94,AA94)-MIN(AP94,AS94,AV94,BB94,BE94,AY94,CD94,BK94,BZ94,AA94)</f>
        <v>#DIV/0!</v>
      </c>
      <c r="CH94" s="555" t="e">
        <f t="shared" si="467"/>
        <v>#DIV/0!</v>
      </c>
      <c r="CI94" s="556" t="e">
        <f t="shared" si="467"/>
        <v>#DIV/0!</v>
      </c>
      <c r="CJ94" s="555" t="e">
        <f t="shared" ref="CJ94:CL94" si="468">STDEV(AS94,AV94,AY94,BE94,BK94,BB94,CG94,BZ94,AA94,CD94)</f>
        <v>#DIV/0!</v>
      </c>
      <c r="CK94" s="555" t="e">
        <f t="shared" si="468"/>
        <v>#DIV/0!</v>
      </c>
      <c r="CL94" s="556" t="e">
        <f t="shared" si="468"/>
        <v>#DIV/0!</v>
      </c>
      <c r="CM94" s="555" t="e">
        <f t="shared" ref="CM94:CO94" si="469">CJ94/AA94</f>
        <v>#DIV/0!</v>
      </c>
      <c r="CN94" s="555" t="e">
        <f t="shared" si="469"/>
        <v>#DIV/0!</v>
      </c>
      <c r="CO94" s="556" t="e">
        <f t="shared" si="469"/>
        <v>#DIV/0!</v>
      </c>
      <c r="CP94" s="29" t="s">
        <v>120</v>
      </c>
      <c r="CQ94" s="535">
        <f t="shared" si="229"/>
        <v>2</v>
      </c>
      <c r="CR94" s="29" t="s">
        <v>120</v>
      </c>
      <c r="CS94" s="29" t="s">
        <v>120</v>
      </c>
      <c r="CT94" s="29" t="s">
        <v>120</v>
      </c>
      <c r="CU94" s="29" t="s">
        <v>120</v>
      </c>
      <c r="CV94" s="29" t="s">
        <v>120</v>
      </c>
    </row>
    <row r="95" customHeight="1" spans="1:100">
      <c r="A95" s="29" t="s">
        <v>302</v>
      </c>
      <c r="B95" s="541" t="s">
        <v>1084</v>
      </c>
      <c r="C95" s="29" t="s">
        <v>1085</v>
      </c>
      <c r="D95" s="29" t="s">
        <v>302</v>
      </c>
      <c r="E95" s="29"/>
      <c r="F95" s="29" t="s">
        <v>1038</v>
      </c>
      <c r="G95" s="29" t="s">
        <v>1039</v>
      </c>
      <c r="H95" s="29" t="b">
        <v>1</v>
      </c>
      <c r="I95" s="29" t="b">
        <v>1</v>
      </c>
      <c r="J95" s="29" t="b">
        <v>0</v>
      </c>
      <c r="K95" s="29" t="b">
        <v>1</v>
      </c>
      <c r="L95" s="29" t="b">
        <v>1</v>
      </c>
      <c r="M95" s="29" t="b">
        <v>0</v>
      </c>
      <c r="N95" s="29" t="s">
        <v>295</v>
      </c>
      <c r="P95" s="29" t="b">
        <v>1</v>
      </c>
      <c r="Q95" s="29" t="b">
        <v>1</v>
      </c>
      <c r="R95" s="29" t="b">
        <v>1</v>
      </c>
      <c r="S95" s="29" t="b">
        <v>1</v>
      </c>
      <c r="T95" s="29" t="b">
        <f t="shared" si="0"/>
        <v>0</v>
      </c>
      <c r="U95" s="29" t="s">
        <v>997</v>
      </c>
      <c r="V95" s="29" t="s">
        <v>129</v>
      </c>
      <c r="W95" s="29">
        <v>2</v>
      </c>
      <c r="X95" s="29" t="s">
        <v>1040</v>
      </c>
      <c r="Y95" s="16" t="s">
        <v>1041</v>
      </c>
      <c r="Z95" s="29" t="s">
        <v>1042</v>
      </c>
      <c r="AA95" s="554" t="e">
        <f t="shared" ref="AA95:AC95" si="470">AVERAGE(AJ95,AM95,AP95,AV95,AY95,AS95,BZ95,BB95,BE95,BH95,BK95,BN95,BQ95,BT95)</f>
        <v>#DIV/0!</v>
      </c>
      <c r="AB95" s="555" t="e">
        <f t="shared" si="470"/>
        <v>#DIV/0!</v>
      </c>
      <c r="AC95" s="556" t="e">
        <f t="shared" si="470"/>
        <v>#DIV/0!</v>
      </c>
      <c r="AD95" s="29" t="b">
        <v>0</v>
      </c>
      <c r="AE95" s="29" t="b">
        <v>1</v>
      </c>
      <c r="AF95" s="29" t="b">
        <v>0</v>
      </c>
      <c r="AG95" s="569">
        <v>100</v>
      </c>
      <c r="AH95" s="569">
        <v>80</v>
      </c>
      <c r="AI95" s="570">
        <v>60</v>
      </c>
      <c r="AJ95" s="567"/>
      <c r="AK95" s="567"/>
      <c r="AL95" s="568"/>
      <c r="AM95" s="567"/>
      <c r="AN95" s="567"/>
      <c r="AO95" s="568"/>
      <c r="AP95" s="567"/>
      <c r="AQ95" s="567"/>
      <c r="AR95" s="568"/>
      <c r="AS95" s="567"/>
      <c r="AT95" s="567"/>
      <c r="AU95" s="568"/>
      <c r="AV95" s="567"/>
      <c r="AW95" s="567"/>
      <c r="AX95" s="568"/>
      <c r="AY95" s="567"/>
      <c r="AZ95" s="567"/>
      <c r="BA95" s="568"/>
      <c r="BB95" s="567"/>
      <c r="BC95" s="567"/>
      <c r="BD95" s="568"/>
      <c r="BE95" s="567"/>
      <c r="BF95" s="567"/>
      <c r="BG95" s="568"/>
      <c r="BH95" s="567"/>
      <c r="BI95" s="567"/>
      <c r="BJ95" s="568"/>
      <c r="BK95" s="567"/>
      <c r="BL95" s="567"/>
      <c r="BM95" s="568"/>
      <c r="BN95" s="567"/>
      <c r="BO95" s="567"/>
      <c r="BP95" s="568"/>
      <c r="BQ95" s="567"/>
      <c r="BR95" s="567"/>
      <c r="BS95" s="568"/>
      <c r="BT95" s="567"/>
      <c r="BU95" s="567"/>
      <c r="BV95" s="568"/>
      <c r="BW95" s="567"/>
      <c r="BX95" s="567"/>
      <c r="BY95" s="568"/>
      <c r="BZ95" s="567"/>
      <c r="CA95" s="567"/>
      <c r="CB95" s="593"/>
      <c r="CC95" s="583"/>
      <c r="CD95" s="555" t="e">
        <f t="shared" ref="CD95:CF95" si="471">MEDIAN(AM95,AP95,AS95,AY95,BB95,AV95,AA95,BE95,BK95,BZ95,BH95,BN95,BQ95,BT95,BW95)</f>
        <v>#DIV/0!</v>
      </c>
      <c r="CE95" s="555" t="e">
        <f t="shared" si="471"/>
        <v>#DIV/0!</v>
      </c>
      <c r="CF95" s="556" t="e">
        <f t="shared" si="471"/>
        <v>#DIV/0!</v>
      </c>
      <c r="CG95" s="555" t="e">
        <f t="shared" ref="CG95:CI95" si="472">MAX(AP95,AS95,AV95,BB95,BE95,AY95,CD95,BK95,BZ95,AA95)-MIN(AP95,AS95,AV95,BB95,BE95,AY95,CD95,BK95,BZ95,AA95)</f>
        <v>#DIV/0!</v>
      </c>
      <c r="CH95" s="555" t="e">
        <f t="shared" si="472"/>
        <v>#DIV/0!</v>
      </c>
      <c r="CI95" s="556" t="e">
        <f t="shared" si="472"/>
        <v>#DIV/0!</v>
      </c>
      <c r="CJ95" s="555" t="e">
        <f t="shared" ref="CJ95:CL95" si="473">STDEV(AS95,AV95,AY95,BE95,BK95,BB95,CG95,BZ95,AA95,CD95)</f>
        <v>#DIV/0!</v>
      </c>
      <c r="CK95" s="555" t="e">
        <f t="shared" si="473"/>
        <v>#DIV/0!</v>
      </c>
      <c r="CL95" s="556" t="e">
        <f t="shared" si="473"/>
        <v>#DIV/0!</v>
      </c>
      <c r="CM95" s="555" t="e">
        <f t="shared" ref="CM95:CO95" si="474">CJ95/AA95</f>
        <v>#DIV/0!</v>
      </c>
      <c r="CN95" s="555" t="e">
        <f t="shared" si="474"/>
        <v>#DIV/0!</v>
      </c>
      <c r="CO95" s="556" t="e">
        <f t="shared" si="474"/>
        <v>#DIV/0!</v>
      </c>
      <c r="CP95" s="29" t="s">
        <v>120</v>
      </c>
      <c r="CQ95" s="535">
        <f t="shared" si="229"/>
        <v>2</v>
      </c>
      <c r="CR95" s="29" t="s">
        <v>120</v>
      </c>
      <c r="CS95" s="29" t="s">
        <v>120</v>
      </c>
      <c r="CT95" s="29" t="s">
        <v>120</v>
      </c>
      <c r="CU95" s="29" t="s">
        <v>120</v>
      </c>
      <c r="CV95" s="29" t="s">
        <v>120</v>
      </c>
    </row>
    <row r="96" customHeight="1" spans="1:100">
      <c r="A96" s="29" t="s">
        <v>303</v>
      </c>
      <c r="B96" s="541" t="s">
        <v>1084</v>
      </c>
      <c r="C96" s="29" t="s">
        <v>1085</v>
      </c>
      <c r="D96" s="29" t="s">
        <v>303</v>
      </c>
      <c r="E96" s="29"/>
      <c r="F96" s="29" t="s">
        <v>1038</v>
      </c>
      <c r="G96" s="29" t="s">
        <v>1039</v>
      </c>
      <c r="H96" s="29" t="b">
        <v>1</v>
      </c>
      <c r="I96" s="29" t="b">
        <v>1</v>
      </c>
      <c r="J96" s="29" t="b">
        <v>0</v>
      </c>
      <c r="K96" s="29" t="b">
        <v>1</v>
      </c>
      <c r="L96" s="29" t="b">
        <v>1</v>
      </c>
      <c r="M96" s="29" t="b">
        <v>0</v>
      </c>
      <c r="N96" s="29" t="s">
        <v>295</v>
      </c>
      <c r="P96" s="29" t="b">
        <v>1</v>
      </c>
      <c r="Q96" s="29" t="b">
        <v>1</v>
      </c>
      <c r="R96" s="29" t="b">
        <v>1</v>
      </c>
      <c r="S96" s="29" t="b">
        <v>1</v>
      </c>
      <c r="T96" s="29" t="b">
        <f t="shared" si="0"/>
        <v>0</v>
      </c>
      <c r="U96" s="29" t="s">
        <v>997</v>
      </c>
      <c r="V96" s="29" t="s">
        <v>129</v>
      </c>
      <c r="W96" s="29">
        <v>2</v>
      </c>
      <c r="X96" s="29" t="s">
        <v>1040</v>
      </c>
      <c r="Y96" s="16" t="s">
        <v>1041</v>
      </c>
      <c r="Z96" s="29" t="s">
        <v>1042</v>
      </c>
      <c r="AA96" s="554" t="e">
        <f t="shared" ref="AA96:AC96" si="475">AVERAGE(AJ96,AM96,AP96,AV96,AY96,AS96,BZ96,BB96,BE96,BH96,BK96,BN96,BQ96,BT96)</f>
        <v>#DIV/0!</v>
      </c>
      <c r="AB96" s="555" t="e">
        <f t="shared" si="475"/>
        <v>#DIV/0!</v>
      </c>
      <c r="AC96" s="556" t="e">
        <f t="shared" si="475"/>
        <v>#DIV/0!</v>
      </c>
      <c r="AD96" s="29" t="b">
        <v>0</v>
      </c>
      <c r="AE96" s="29" t="b">
        <v>1</v>
      </c>
      <c r="AF96" s="29" t="b">
        <v>0</v>
      </c>
      <c r="AG96" s="574">
        <v>80</v>
      </c>
      <c r="AH96" s="569">
        <v>55</v>
      </c>
      <c r="AI96" s="570">
        <v>30</v>
      </c>
      <c r="AJ96" s="567"/>
      <c r="AK96" s="567"/>
      <c r="AL96" s="568"/>
      <c r="AM96" s="567"/>
      <c r="AN96" s="567"/>
      <c r="AO96" s="568"/>
      <c r="AP96" s="567"/>
      <c r="AQ96" s="567"/>
      <c r="AR96" s="568"/>
      <c r="AS96" s="567"/>
      <c r="AT96" s="567"/>
      <c r="AU96" s="568"/>
      <c r="AV96" s="567"/>
      <c r="AW96" s="567"/>
      <c r="AX96" s="568"/>
      <c r="AY96" s="567"/>
      <c r="AZ96" s="567"/>
      <c r="BA96" s="568"/>
      <c r="BB96" s="567"/>
      <c r="BC96" s="567"/>
      <c r="BD96" s="568"/>
      <c r="BE96" s="567"/>
      <c r="BF96" s="567"/>
      <c r="BG96" s="568"/>
      <c r="BH96" s="567"/>
      <c r="BI96" s="567"/>
      <c r="BJ96" s="568"/>
      <c r="BK96" s="567"/>
      <c r="BL96" s="567"/>
      <c r="BM96" s="568"/>
      <c r="BN96" s="567"/>
      <c r="BO96" s="567"/>
      <c r="BP96" s="568"/>
      <c r="BQ96" s="567"/>
      <c r="BR96" s="567"/>
      <c r="BS96" s="568"/>
      <c r="BT96" s="567"/>
      <c r="BU96" s="567"/>
      <c r="BV96" s="568"/>
      <c r="BW96" s="567"/>
      <c r="BX96" s="567"/>
      <c r="BY96" s="568"/>
      <c r="BZ96" s="567"/>
      <c r="CA96" s="567"/>
      <c r="CB96" s="567"/>
      <c r="CC96" s="583"/>
      <c r="CD96" s="555" t="e">
        <f t="shared" ref="CD96:CF96" si="476">MEDIAN(AM96,AP96,AS96,AY96,BB96,AV96,AA96,BE96,BK96,BZ96,BH96,BN96,BQ96,BT96,BW96)</f>
        <v>#DIV/0!</v>
      </c>
      <c r="CE96" s="555" t="e">
        <f t="shared" si="476"/>
        <v>#DIV/0!</v>
      </c>
      <c r="CF96" s="556" t="e">
        <f t="shared" si="476"/>
        <v>#DIV/0!</v>
      </c>
      <c r="CG96" s="555" t="e">
        <f t="shared" ref="CG96:CI96" si="477">MAX(AP96,AS96,AV96,BB96,BE96,AY96,CD96,BK96,BZ96,AA96)-MIN(AP96,AS96,AV96,BB96,BE96,AY96,CD96,BK96,BZ96,AA96)</f>
        <v>#DIV/0!</v>
      </c>
      <c r="CH96" s="555" t="e">
        <f t="shared" si="477"/>
        <v>#DIV/0!</v>
      </c>
      <c r="CI96" s="556" t="e">
        <f t="shared" si="477"/>
        <v>#DIV/0!</v>
      </c>
      <c r="CJ96" s="555" t="e">
        <f t="shared" ref="CJ96:CL96" si="478">STDEV(AS96,AV96,AY96,BE96,BK96,BB96,CG96,BZ96,AA96,CD96)</f>
        <v>#DIV/0!</v>
      </c>
      <c r="CK96" s="555" t="e">
        <f t="shared" si="478"/>
        <v>#DIV/0!</v>
      </c>
      <c r="CL96" s="556" t="e">
        <f t="shared" si="478"/>
        <v>#DIV/0!</v>
      </c>
      <c r="CM96" s="555" t="e">
        <f t="shared" ref="CM96:CO96" si="479">CJ96/AA96</f>
        <v>#DIV/0!</v>
      </c>
      <c r="CN96" s="555" t="e">
        <f t="shared" si="479"/>
        <v>#DIV/0!</v>
      </c>
      <c r="CO96" s="556" t="e">
        <f t="shared" si="479"/>
        <v>#DIV/0!</v>
      </c>
      <c r="CP96" s="29" t="s">
        <v>120</v>
      </c>
      <c r="CQ96" s="535">
        <f t="shared" si="229"/>
        <v>2</v>
      </c>
      <c r="CR96" s="29" t="s">
        <v>120</v>
      </c>
      <c r="CS96" s="29" t="s">
        <v>120</v>
      </c>
      <c r="CT96" s="29" t="s">
        <v>120</v>
      </c>
      <c r="CU96" s="29" t="s">
        <v>120</v>
      </c>
      <c r="CV96" s="29" t="s">
        <v>120</v>
      </c>
    </row>
    <row r="97" customHeight="1" spans="1:100">
      <c r="A97" s="29" t="s">
        <v>304</v>
      </c>
      <c r="B97" s="541" t="s">
        <v>1084</v>
      </c>
      <c r="C97" s="29" t="s">
        <v>1085</v>
      </c>
      <c r="D97" s="29" t="s">
        <v>304</v>
      </c>
      <c r="E97" s="29"/>
      <c r="F97" s="29" t="s">
        <v>1038</v>
      </c>
      <c r="G97" s="29" t="s">
        <v>1039</v>
      </c>
      <c r="H97" s="29" t="b">
        <v>1</v>
      </c>
      <c r="I97" s="29" t="b">
        <v>1</v>
      </c>
      <c r="J97" s="29" t="b">
        <v>0</v>
      </c>
      <c r="K97" s="29" t="b">
        <v>1</v>
      </c>
      <c r="L97" s="29" t="b">
        <v>1</v>
      </c>
      <c r="M97" s="29" t="b">
        <v>0</v>
      </c>
      <c r="N97" s="29" t="s">
        <v>295</v>
      </c>
      <c r="P97" s="29" t="b">
        <v>1</v>
      </c>
      <c r="Q97" s="29" t="b">
        <v>1</v>
      </c>
      <c r="R97" s="29" t="b">
        <v>1</v>
      </c>
      <c r="S97" s="29" t="b">
        <v>1</v>
      </c>
      <c r="T97" s="29" t="b">
        <f t="shared" si="0"/>
        <v>0</v>
      </c>
      <c r="U97" s="29" t="s">
        <v>997</v>
      </c>
      <c r="V97" s="29" t="s">
        <v>129</v>
      </c>
      <c r="W97" s="29">
        <v>2</v>
      </c>
      <c r="X97" s="29" t="s">
        <v>1045</v>
      </c>
      <c r="Y97" s="16" t="s">
        <v>1041</v>
      </c>
      <c r="Z97" s="29" t="s">
        <v>1052</v>
      </c>
      <c r="AA97" s="554" t="e">
        <f t="shared" ref="AA97:AC97" si="480">AVERAGE(AJ97,AM97,AP97,AV97,AY97,AS97,BZ97,BB97,BE97,BH97,BK97,BN97,BQ97,BT97)</f>
        <v>#DIV/0!</v>
      </c>
      <c r="AB97" s="555" t="e">
        <f t="shared" si="480"/>
        <v>#DIV/0!</v>
      </c>
      <c r="AC97" s="556" t="e">
        <f t="shared" si="480"/>
        <v>#DIV/0!</v>
      </c>
      <c r="AD97" s="29" t="b">
        <v>0</v>
      </c>
      <c r="AE97" s="29" t="b">
        <v>1</v>
      </c>
      <c r="AF97" s="29" t="b">
        <v>0</v>
      </c>
      <c r="AG97" s="522">
        <v>1500</v>
      </c>
      <c r="AH97" s="569" t="s">
        <v>13</v>
      </c>
      <c r="AI97" s="570" t="s">
        <v>13</v>
      </c>
      <c r="AJ97" s="567"/>
      <c r="AK97" s="567"/>
      <c r="AL97" s="568"/>
      <c r="AM97" s="567"/>
      <c r="AN97" s="567"/>
      <c r="AO97" s="568"/>
      <c r="AP97" s="567"/>
      <c r="AQ97" s="567"/>
      <c r="AR97" s="568"/>
      <c r="AS97" s="567"/>
      <c r="AT97" s="567"/>
      <c r="AU97" s="568"/>
      <c r="AV97" s="567"/>
      <c r="AW97" s="567"/>
      <c r="AX97" s="568"/>
      <c r="AY97" s="567"/>
      <c r="AZ97" s="567"/>
      <c r="BA97" s="568"/>
      <c r="BB97" s="567"/>
      <c r="BC97" s="567"/>
      <c r="BD97" s="568"/>
      <c r="BE97" s="567"/>
      <c r="BF97" s="567"/>
      <c r="BG97" s="568"/>
      <c r="BH97" s="567"/>
      <c r="BI97" s="567"/>
      <c r="BJ97" s="568"/>
      <c r="BK97" s="567"/>
      <c r="BL97" s="567"/>
      <c r="BM97" s="568"/>
      <c r="BN97" s="567"/>
      <c r="BO97" s="567"/>
      <c r="BP97" s="568"/>
      <c r="BQ97" s="567"/>
      <c r="BR97" s="567"/>
      <c r="BS97" s="568"/>
      <c r="BT97" s="567"/>
      <c r="BU97" s="567"/>
      <c r="BV97" s="568"/>
      <c r="BW97" s="567"/>
      <c r="BX97" s="567"/>
      <c r="BY97" s="568"/>
      <c r="BZ97" s="567"/>
      <c r="CA97" s="567"/>
      <c r="CB97" s="567"/>
      <c r="CC97" s="583"/>
      <c r="CD97" s="555" t="e">
        <f t="shared" ref="CD97:CF97" si="481">MEDIAN(AM97,AP97,AS97,AY97,BB97,AV97,AA97,BE97,BK97,BZ97,BH97,BN97,BQ97,BT97,BW97)</f>
        <v>#DIV/0!</v>
      </c>
      <c r="CE97" s="555" t="e">
        <f t="shared" si="481"/>
        <v>#DIV/0!</v>
      </c>
      <c r="CF97" s="556" t="e">
        <f t="shared" si="481"/>
        <v>#DIV/0!</v>
      </c>
      <c r="CG97" s="555" t="e">
        <f t="shared" ref="CG97:CI97" si="482">MAX(AP97,AS97,AV97,BB97,BE97,AY97,CD97,BK97,BZ97,AA97)-MIN(AP97,AS97,AV97,BB97,BE97,AY97,CD97,BK97,BZ97,AA97)</f>
        <v>#DIV/0!</v>
      </c>
      <c r="CH97" s="555" t="e">
        <f t="shared" si="482"/>
        <v>#DIV/0!</v>
      </c>
      <c r="CI97" s="556" t="e">
        <f t="shared" si="482"/>
        <v>#DIV/0!</v>
      </c>
      <c r="CJ97" s="555" t="e">
        <f t="shared" ref="CJ97:CL97" si="483">STDEV(AS97,AV97,AY97,BE97,BK97,BB97,CG97,BZ97,AA97,CD97)</f>
        <v>#DIV/0!</v>
      </c>
      <c r="CK97" s="555" t="e">
        <f t="shared" si="483"/>
        <v>#DIV/0!</v>
      </c>
      <c r="CL97" s="556" t="e">
        <f t="shared" si="483"/>
        <v>#DIV/0!</v>
      </c>
      <c r="CM97" s="555" t="e">
        <f t="shared" ref="CM97:CO97" si="484">CJ97/AA97</f>
        <v>#DIV/0!</v>
      </c>
      <c r="CN97" s="555" t="e">
        <f t="shared" si="484"/>
        <v>#DIV/0!</v>
      </c>
      <c r="CO97" s="556" t="e">
        <f t="shared" si="484"/>
        <v>#DIV/0!</v>
      </c>
      <c r="CP97" s="29" t="s">
        <v>120</v>
      </c>
      <c r="CQ97" s="535">
        <f t="shared" si="229"/>
        <v>2</v>
      </c>
      <c r="CR97" s="29" t="s">
        <v>120</v>
      </c>
      <c r="CS97" s="29" t="s">
        <v>120</v>
      </c>
      <c r="CT97" s="29" t="s">
        <v>120</v>
      </c>
      <c r="CU97" s="29" t="s">
        <v>120</v>
      </c>
      <c r="CV97" s="29" t="s">
        <v>120</v>
      </c>
    </row>
    <row r="98" customHeight="1" spans="1:100">
      <c r="A98" s="29" t="s">
        <v>305</v>
      </c>
      <c r="B98" s="541" t="s">
        <v>1084</v>
      </c>
      <c r="C98" s="29" t="s">
        <v>1085</v>
      </c>
      <c r="D98" s="29" t="s">
        <v>306</v>
      </c>
      <c r="E98" s="29"/>
      <c r="F98" s="29" t="s">
        <v>1038</v>
      </c>
      <c r="G98" s="29" t="s">
        <v>1039</v>
      </c>
      <c r="H98" s="29" t="b">
        <v>1</v>
      </c>
      <c r="I98" s="29" t="b">
        <v>1</v>
      </c>
      <c r="J98" s="29" t="b">
        <v>0</v>
      </c>
      <c r="K98" s="29" t="b">
        <v>1</v>
      </c>
      <c r="L98" s="29" t="b">
        <v>1</v>
      </c>
      <c r="M98" s="29" t="b">
        <v>0</v>
      </c>
      <c r="N98" s="29" t="s">
        <v>295</v>
      </c>
      <c r="P98" s="29" t="b">
        <v>1</v>
      </c>
      <c r="Q98" s="29" t="b">
        <v>1</v>
      </c>
      <c r="R98" s="29" t="b">
        <v>1</v>
      </c>
      <c r="S98" s="29" t="b">
        <v>1</v>
      </c>
      <c r="T98" s="29" t="b">
        <f t="shared" si="0"/>
        <v>0</v>
      </c>
      <c r="U98" s="29" t="s">
        <v>997</v>
      </c>
      <c r="V98" s="29" t="s">
        <v>129</v>
      </c>
      <c r="W98" s="29">
        <v>2</v>
      </c>
      <c r="X98" s="29" t="s">
        <v>1045</v>
      </c>
      <c r="Y98" s="16" t="s">
        <v>1041</v>
      </c>
      <c r="Z98" s="29" t="s">
        <v>1052</v>
      </c>
      <c r="AA98" s="554" t="e">
        <f t="shared" ref="AA98:AC98" si="485">AVERAGE(AJ98,AM98,AP98,AV98,AY98,AS98,BZ98,BB98,BE98,BH98,BK98,BN98,BQ98,BT98)</f>
        <v>#DIV/0!</v>
      </c>
      <c r="AB98" s="555" t="e">
        <f t="shared" si="485"/>
        <v>#DIV/0!</v>
      </c>
      <c r="AC98" s="556" t="e">
        <f t="shared" si="485"/>
        <v>#DIV/0!</v>
      </c>
      <c r="AD98" s="29" t="b">
        <v>0</v>
      </c>
      <c r="AE98" s="29" t="b">
        <v>1</v>
      </c>
      <c r="AF98" s="29" t="b">
        <v>0</v>
      </c>
      <c r="AG98" s="522">
        <v>1250</v>
      </c>
      <c r="AH98" s="569" t="s">
        <v>13</v>
      </c>
      <c r="AI98" s="570" t="s">
        <v>13</v>
      </c>
      <c r="AJ98" s="567"/>
      <c r="AK98" s="567"/>
      <c r="AL98" s="568"/>
      <c r="AM98" s="567"/>
      <c r="AN98" s="567"/>
      <c r="AO98" s="568"/>
      <c r="AP98" s="567"/>
      <c r="AQ98" s="567"/>
      <c r="AR98" s="568"/>
      <c r="AS98" s="567"/>
      <c r="AT98" s="567"/>
      <c r="AU98" s="568"/>
      <c r="AV98" s="567"/>
      <c r="AW98" s="567"/>
      <c r="AX98" s="568"/>
      <c r="AY98" s="567"/>
      <c r="AZ98" s="567"/>
      <c r="BA98" s="568"/>
      <c r="BB98" s="567"/>
      <c r="BC98" s="567"/>
      <c r="BD98" s="568"/>
      <c r="BE98" s="567"/>
      <c r="BF98" s="567"/>
      <c r="BG98" s="568"/>
      <c r="BH98" s="567"/>
      <c r="BI98" s="567"/>
      <c r="BJ98" s="568"/>
      <c r="BK98" s="567"/>
      <c r="BL98" s="567"/>
      <c r="BM98" s="568"/>
      <c r="BN98" s="567"/>
      <c r="BO98" s="567"/>
      <c r="BP98" s="568"/>
      <c r="BQ98" s="567"/>
      <c r="BR98" s="567"/>
      <c r="BS98" s="568"/>
      <c r="BT98" s="567"/>
      <c r="BU98" s="567"/>
      <c r="BV98" s="568"/>
      <c r="BW98" s="567"/>
      <c r="BX98" s="567"/>
      <c r="BY98" s="568"/>
      <c r="BZ98" s="567"/>
      <c r="CA98" s="567"/>
      <c r="CB98" s="567"/>
      <c r="CC98" s="583"/>
      <c r="CD98" s="555" t="e">
        <f t="shared" ref="CD98:CF98" si="486">MEDIAN(AM98,AP98,AS98,AY98,BB98,AV98,AA98,BE98,BK98,BZ98,BH98,BN98,BQ98,BT98,BW98)</f>
        <v>#DIV/0!</v>
      </c>
      <c r="CE98" s="555" t="e">
        <f t="shared" si="486"/>
        <v>#DIV/0!</v>
      </c>
      <c r="CF98" s="556" t="e">
        <f t="shared" si="486"/>
        <v>#DIV/0!</v>
      </c>
      <c r="CG98" s="555" t="e">
        <f t="shared" ref="CG98:CI98" si="487">MAX(AP98,AS98,AV98,BB98,BE98,AY98,CD98,BK98,BZ98,AA98)-MIN(AP98,AS98,AV98,BB98,BE98,AY98,CD98,BK98,BZ98,AA98)</f>
        <v>#DIV/0!</v>
      </c>
      <c r="CH98" s="555" t="e">
        <f t="shared" si="487"/>
        <v>#DIV/0!</v>
      </c>
      <c r="CI98" s="556" t="e">
        <f t="shared" si="487"/>
        <v>#DIV/0!</v>
      </c>
      <c r="CJ98" s="555" t="e">
        <f t="shared" ref="CJ98:CL98" si="488">STDEV(AS98,AV98,AY98,BE98,BK98,BB98,CG98,BZ98,AA98,CD98)</f>
        <v>#DIV/0!</v>
      </c>
      <c r="CK98" s="555" t="e">
        <f t="shared" si="488"/>
        <v>#DIV/0!</v>
      </c>
      <c r="CL98" s="556" t="e">
        <f t="shared" si="488"/>
        <v>#DIV/0!</v>
      </c>
      <c r="CM98" s="555" t="e">
        <f t="shared" ref="CM98:CO98" si="489">CJ98/AA98</f>
        <v>#DIV/0!</v>
      </c>
      <c r="CN98" s="555" t="e">
        <f t="shared" si="489"/>
        <v>#DIV/0!</v>
      </c>
      <c r="CO98" s="556" t="e">
        <f t="shared" si="489"/>
        <v>#DIV/0!</v>
      </c>
      <c r="CP98" s="29" t="s">
        <v>120</v>
      </c>
      <c r="CQ98" s="535">
        <f t="shared" si="229"/>
        <v>2</v>
      </c>
      <c r="CR98" s="29" t="s">
        <v>120</v>
      </c>
      <c r="CS98" s="29" t="s">
        <v>120</v>
      </c>
      <c r="CT98" s="29" t="s">
        <v>120</v>
      </c>
      <c r="CU98" s="29" t="s">
        <v>120</v>
      </c>
      <c r="CV98" s="29" t="s">
        <v>120</v>
      </c>
    </row>
    <row r="99" customHeight="1" spans="1:100">
      <c r="A99" s="29" t="s">
        <v>307</v>
      </c>
      <c r="B99" s="541" t="s">
        <v>1086</v>
      </c>
      <c r="C99" s="29" t="s">
        <v>1085</v>
      </c>
      <c r="D99" s="29" t="s">
        <v>308</v>
      </c>
      <c r="E99" s="29"/>
      <c r="F99" s="29" t="s">
        <v>1038</v>
      </c>
      <c r="G99" s="29" t="s">
        <v>1039</v>
      </c>
      <c r="H99" s="29" t="b">
        <v>1</v>
      </c>
      <c r="I99" s="29" t="b">
        <v>1</v>
      </c>
      <c r="J99" s="29" t="b">
        <v>0</v>
      </c>
      <c r="K99" s="29" t="b">
        <v>0</v>
      </c>
      <c r="L99" s="29" t="b">
        <v>1</v>
      </c>
      <c r="M99" s="29" t="b">
        <v>1</v>
      </c>
      <c r="N99" s="29" t="s">
        <v>309</v>
      </c>
      <c r="P99" s="29" t="b">
        <v>0</v>
      </c>
      <c r="Q99" s="29" t="b">
        <v>0</v>
      </c>
      <c r="R99" s="29" t="b">
        <v>0</v>
      </c>
      <c r="S99" s="29" t="b">
        <v>1</v>
      </c>
      <c r="T99" s="29" t="b">
        <f t="shared" si="0"/>
        <v>0</v>
      </c>
      <c r="U99" s="29" t="s">
        <v>997</v>
      </c>
      <c r="V99" s="29" t="s">
        <v>226</v>
      </c>
      <c r="W99" s="29">
        <v>2</v>
      </c>
      <c r="X99" s="29" t="s">
        <v>1045</v>
      </c>
      <c r="Y99" s="16" t="s">
        <v>1041</v>
      </c>
      <c r="Z99" s="29" t="s">
        <v>1052</v>
      </c>
      <c r="AA99" s="554" t="e">
        <f t="shared" ref="AA99:AC99" si="490">AVERAGE(AJ99,AM99,AP99,AV99,AY99,AS99,BZ99,BB99,BE99,BH99,BK99,BN99,BQ99,BT99)</f>
        <v>#DIV/0!</v>
      </c>
      <c r="AB99" s="555" t="e">
        <f t="shared" si="490"/>
        <v>#DIV/0!</v>
      </c>
      <c r="AC99" s="556" t="e">
        <f t="shared" si="490"/>
        <v>#DIV/0!</v>
      </c>
      <c r="AD99" s="29" t="b">
        <v>0</v>
      </c>
      <c r="AE99" s="29" t="b">
        <v>1</v>
      </c>
      <c r="AF99" s="29" t="b">
        <v>0</v>
      </c>
      <c r="AG99" s="522">
        <v>70</v>
      </c>
      <c r="AH99" s="569" t="s">
        <v>13</v>
      </c>
      <c r="AI99" s="570" t="s">
        <v>13</v>
      </c>
      <c r="AJ99" s="567"/>
      <c r="AK99" s="567"/>
      <c r="AL99" s="568"/>
      <c r="AM99" s="567"/>
      <c r="AN99" s="567"/>
      <c r="AO99" s="568"/>
      <c r="AP99" s="567"/>
      <c r="AQ99" s="567"/>
      <c r="AR99" s="568"/>
      <c r="AS99" s="567"/>
      <c r="AT99" s="567"/>
      <c r="AU99" s="568"/>
      <c r="AV99" s="567"/>
      <c r="AW99" s="567"/>
      <c r="AX99" s="568"/>
      <c r="AY99" s="567"/>
      <c r="AZ99" s="567"/>
      <c r="BA99" s="568"/>
      <c r="BB99" s="567"/>
      <c r="BC99" s="567"/>
      <c r="BD99" s="568"/>
      <c r="BE99" s="567"/>
      <c r="BF99" s="567"/>
      <c r="BG99" s="568"/>
      <c r="BH99" s="567"/>
      <c r="BI99" s="567"/>
      <c r="BJ99" s="568"/>
      <c r="BK99" s="567"/>
      <c r="BL99" s="567"/>
      <c r="BM99" s="568"/>
      <c r="BN99" s="567"/>
      <c r="BO99" s="567"/>
      <c r="BP99" s="568"/>
      <c r="BQ99" s="567"/>
      <c r="BR99" s="567"/>
      <c r="BS99" s="568"/>
      <c r="BT99" s="567"/>
      <c r="BU99" s="567"/>
      <c r="BV99" s="568"/>
      <c r="BW99" s="567"/>
      <c r="BX99" s="567"/>
      <c r="BY99" s="568"/>
      <c r="BZ99" s="567"/>
      <c r="CA99" s="567"/>
      <c r="CB99" s="567"/>
      <c r="CC99" s="583"/>
      <c r="CD99" s="555" t="e">
        <f t="shared" ref="CD99:CF99" si="491">MEDIAN(AM99,AP99,AS99,AY99,BB99,AV99,AA99,BE99,BK99,BZ99,BH99,BN99,BQ99,BT99,BW99)</f>
        <v>#DIV/0!</v>
      </c>
      <c r="CE99" s="555" t="e">
        <f t="shared" si="491"/>
        <v>#DIV/0!</v>
      </c>
      <c r="CF99" s="556" t="e">
        <f t="shared" si="491"/>
        <v>#DIV/0!</v>
      </c>
      <c r="CG99" s="555" t="e">
        <f t="shared" ref="CG99:CI99" si="492">MAX(AP99,AS99,AV99,BB99,BE99,AY99,CD99,BK99,BZ99,AA99)-MIN(AP99,AS99,AV99,BB99,BE99,AY99,CD99,BK99,BZ99,AA99)</f>
        <v>#DIV/0!</v>
      </c>
      <c r="CH99" s="555" t="e">
        <f t="shared" si="492"/>
        <v>#DIV/0!</v>
      </c>
      <c r="CI99" s="556" t="e">
        <f t="shared" si="492"/>
        <v>#DIV/0!</v>
      </c>
      <c r="CJ99" s="555" t="e">
        <f t="shared" ref="CJ99:CL99" si="493">STDEV(AS99,AV99,AY99,BE99,BK99,BB99,CG99,BZ99,AA99,CD99)</f>
        <v>#DIV/0!</v>
      </c>
      <c r="CK99" s="555" t="e">
        <f t="shared" si="493"/>
        <v>#DIV/0!</v>
      </c>
      <c r="CL99" s="556" t="e">
        <f t="shared" si="493"/>
        <v>#DIV/0!</v>
      </c>
      <c r="CM99" s="555" t="e">
        <f t="shared" ref="CM99:CO99" si="494">CJ99/AA99</f>
        <v>#DIV/0!</v>
      </c>
      <c r="CN99" s="555" t="e">
        <f t="shared" si="494"/>
        <v>#DIV/0!</v>
      </c>
      <c r="CO99" s="556" t="e">
        <f t="shared" si="494"/>
        <v>#DIV/0!</v>
      </c>
      <c r="CP99" s="29"/>
      <c r="CQ99" s="535"/>
      <c r="CR99" s="29"/>
      <c r="CS99" s="29"/>
      <c r="CT99" s="29"/>
      <c r="CU99" s="29"/>
      <c r="CV99" s="29"/>
    </row>
    <row r="100" customHeight="1" spans="1:100">
      <c r="A100" s="29" t="s">
        <v>310</v>
      </c>
      <c r="B100" s="541" t="s">
        <v>1086</v>
      </c>
      <c r="C100" s="29" t="s">
        <v>1085</v>
      </c>
      <c r="D100" s="29" t="s">
        <v>311</v>
      </c>
      <c r="E100" s="29"/>
      <c r="F100" s="29" t="s">
        <v>1038</v>
      </c>
      <c r="G100" s="29" t="s">
        <v>1039</v>
      </c>
      <c r="H100" s="29" t="b">
        <v>1</v>
      </c>
      <c r="I100" s="29" t="b">
        <v>1</v>
      </c>
      <c r="J100" s="29" t="b">
        <v>0</v>
      </c>
      <c r="K100" s="29" t="b">
        <v>0</v>
      </c>
      <c r="L100" s="29" t="b">
        <v>1</v>
      </c>
      <c r="M100" s="29" t="b">
        <v>1</v>
      </c>
      <c r="N100" s="29" t="s">
        <v>309</v>
      </c>
      <c r="P100" s="29" t="b">
        <v>0</v>
      </c>
      <c r="Q100" s="29" t="b">
        <v>0</v>
      </c>
      <c r="R100" s="29" t="b">
        <v>0</v>
      </c>
      <c r="S100" s="29" t="b">
        <v>1</v>
      </c>
      <c r="T100" s="29" t="b">
        <f t="shared" si="0"/>
        <v>0</v>
      </c>
      <c r="U100" s="29" t="s">
        <v>997</v>
      </c>
      <c r="V100" s="29" t="s">
        <v>226</v>
      </c>
      <c r="W100" s="29">
        <v>2</v>
      </c>
      <c r="X100" s="29" t="s">
        <v>1045</v>
      </c>
      <c r="Y100" s="16" t="s">
        <v>1041</v>
      </c>
      <c r="Z100" s="29" t="s">
        <v>1052</v>
      </c>
      <c r="AA100" s="554" t="e">
        <f t="shared" ref="AA100:AC100" si="495">AVERAGE(AJ100,AM100,AP100,AV100,AY100,AS100,BZ100,BB100,BE100,BH100,BK100,BN100,BQ100,BT100)</f>
        <v>#DIV/0!</v>
      </c>
      <c r="AB100" s="555" t="e">
        <f t="shared" si="495"/>
        <v>#DIV/0!</v>
      </c>
      <c r="AC100" s="556" t="e">
        <f t="shared" si="495"/>
        <v>#DIV/0!</v>
      </c>
      <c r="AD100" s="29" t="b">
        <v>0</v>
      </c>
      <c r="AE100" s="29" t="b">
        <v>1</v>
      </c>
      <c r="AF100" s="29" t="b">
        <v>0</v>
      </c>
      <c r="AG100" s="522">
        <v>90</v>
      </c>
      <c r="AH100" s="569" t="s">
        <v>13</v>
      </c>
      <c r="AI100" s="570" t="s">
        <v>13</v>
      </c>
      <c r="AJ100" s="567"/>
      <c r="AK100" s="567"/>
      <c r="AL100" s="568"/>
      <c r="AM100" s="567"/>
      <c r="AN100" s="567"/>
      <c r="AO100" s="568"/>
      <c r="AP100" s="567"/>
      <c r="AQ100" s="567"/>
      <c r="AR100" s="568"/>
      <c r="AS100" s="567"/>
      <c r="AT100" s="567"/>
      <c r="AU100" s="568"/>
      <c r="AV100" s="567"/>
      <c r="AW100" s="567"/>
      <c r="AX100" s="568"/>
      <c r="AY100" s="567"/>
      <c r="AZ100" s="567"/>
      <c r="BA100" s="568"/>
      <c r="BB100" s="567"/>
      <c r="BC100" s="567"/>
      <c r="BD100" s="568"/>
      <c r="BE100" s="567"/>
      <c r="BF100" s="567"/>
      <c r="BG100" s="568"/>
      <c r="BH100" s="567"/>
      <c r="BI100" s="567"/>
      <c r="BJ100" s="568"/>
      <c r="BK100" s="567"/>
      <c r="BL100" s="567"/>
      <c r="BM100" s="568"/>
      <c r="BN100" s="567"/>
      <c r="BO100" s="567"/>
      <c r="BP100" s="568"/>
      <c r="BQ100" s="567"/>
      <c r="BR100" s="567"/>
      <c r="BS100" s="568"/>
      <c r="BT100" s="567"/>
      <c r="BU100" s="567"/>
      <c r="BV100" s="568"/>
      <c r="BW100" s="567"/>
      <c r="BX100" s="567"/>
      <c r="BY100" s="568"/>
      <c r="BZ100" s="567"/>
      <c r="CA100" s="567"/>
      <c r="CB100" s="567"/>
      <c r="CC100" s="583"/>
      <c r="CD100" s="555" t="e">
        <f t="shared" ref="CD100:CF100" si="496">MEDIAN(AM100,AP100,AS100,AY100,BB100,AV100,AA100,BE100,BK100,BZ100,BH100,BN100,BQ100,BT100,BW100)</f>
        <v>#DIV/0!</v>
      </c>
      <c r="CE100" s="555" t="e">
        <f t="shared" si="496"/>
        <v>#DIV/0!</v>
      </c>
      <c r="CF100" s="556" t="e">
        <f t="shared" si="496"/>
        <v>#DIV/0!</v>
      </c>
      <c r="CG100" s="555" t="e">
        <f t="shared" ref="CG100:CI100" si="497">MAX(AP100,AS100,AV100,BB100,BE100,AY100,CD100,BK100,BZ100,AA100)-MIN(AP100,AS100,AV100,BB100,BE100,AY100,CD100,BK100,BZ100,AA100)</f>
        <v>#DIV/0!</v>
      </c>
      <c r="CH100" s="555" t="e">
        <f t="shared" si="497"/>
        <v>#DIV/0!</v>
      </c>
      <c r="CI100" s="556" t="e">
        <f t="shared" si="497"/>
        <v>#DIV/0!</v>
      </c>
      <c r="CJ100" s="555" t="e">
        <f t="shared" ref="CJ100:CL100" si="498">STDEV(AS100,AV100,AY100,BE100,BK100,BB100,CG100,BZ100,AA100,CD100)</f>
        <v>#DIV/0!</v>
      </c>
      <c r="CK100" s="555" t="e">
        <f t="shared" si="498"/>
        <v>#DIV/0!</v>
      </c>
      <c r="CL100" s="556" t="e">
        <f t="shared" si="498"/>
        <v>#DIV/0!</v>
      </c>
      <c r="CM100" s="555" t="e">
        <f t="shared" ref="CM100:CO100" si="499">CJ100/AA100</f>
        <v>#DIV/0!</v>
      </c>
      <c r="CN100" s="555" t="e">
        <f t="shared" si="499"/>
        <v>#DIV/0!</v>
      </c>
      <c r="CO100" s="556" t="e">
        <f t="shared" si="499"/>
        <v>#DIV/0!</v>
      </c>
      <c r="CP100" s="29"/>
      <c r="CQ100" s="535"/>
      <c r="CR100" s="29"/>
      <c r="CS100" s="29"/>
      <c r="CT100" s="29"/>
      <c r="CU100" s="29"/>
      <c r="CV100" s="29"/>
    </row>
    <row r="101" customHeight="1" spans="1:100">
      <c r="A101" s="29" t="s">
        <v>312</v>
      </c>
      <c r="B101" s="541" t="s">
        <v>1086</v>
      </c>
      <c r="C101" s="29" t="s">
        <v>1085</v>
      </c>
      <c r="D101" s="29" t="s">
        <v>313</v>
      </c>
      <c r="E101" s="29"/>
      <c r="F101" s="29" t="s">
        <v>1038</v>
      </c>
      <c r="G101" s="29" t="s">
        <v>1039</v>
      </c>
      <c r="H101" s="29" t="b">
        <v>1</v>
      </c>
      <c r="I101" s="29" t="b">
        <v>1</v>
      </c>
      <c r="J101" s="29" t="b">
        <v>0</v>
      </c>
      <c r="K101" s="29" t="b">
        <v>0</v>
      </c>
      <c r="L101" s="29" t="b">
        <v>1</v>
      </c>
      <c r="M101" s="29" t="b">
        <v>1</v>
      </c>
      <c r="N101" s="29" t="s">
        <v>309</v>
      </c>
      <c r="P101" s="29" t="b">
        <v>0</v>
      </c>
      <c r="Q101" s="29" t="b">
        <v>0</v>
      </c>
      <c r="R101" s="29" t="b">
        <v>0</v>
      </c>
      <c r="S101" s="29" t="b">
        <v>1</v>
      </c>
      <c r="T101" s="29" t="b">
        <f t="shared" si="0"/>
        <v>0</v>
      </c>
      <c r="U101" s="29" t="s">
        <v>997</v>
      </c>
      <c r="V101" s="29" t="s">
        <v>226</v>
      </c>
      <c r="W101" s="29">
        <v>2</v>
      </c>
      <c r="X101" s="29" t="s">
        <v>1045</v>
      </c>
      <c r="Y101" s="16" t="s">
        <v>1041</v>
      </c>
      <c r="Z101" s="29" t="s">
        <v>1052</v>
      </c>
      <c r="AA101" s="554" t="e">
        <f t="shared" ref="AA101:AC101" si="500">AVERAGE(AJ101,AM101,AP101,AV101,AY101,AS101,BZ101,BB101,BE101,BH101,BK101,BN101,BQ101,BT101)</f>
        <v>#DIV/0!</v>
      </c>
      <c r="AB101" s="555" t="e">
        <f t="shared" si="500"/>
        <v>#DIV/0!</v>
      </c>
      <c r="AC101" s="556" t="e">
        <f t="shared" si="500"/>
        <v>#DIV/0!</v>
      </c>
      <c r="AD101" s="29" t="b">
        <v>0</v>
      </c>
      <c r="AE101" s="29" t="b">
        <v>1</v>
      </c>
      <c r="AF101" s="29" t="b">
        <v>0</v>
      </c>
      <c r="AG101" s="574">
        <v>110</v>
      </c>
      <c r="AH101" s="569" t="s">
        <v>13</v>
      </c>
      <c r="AI101" s="570" t="s">
        <v>13</v>
      </c>
      <c r="AJ101" s="567"/>
      <c r="AK101" s="567"/>
      <c r="AL101" s="568"/>
      <c r="AM101" s="567"/>
      <c r="AN101" s="567"/>
      <c r="AO101" s="568"/>
      <c r="AP101" s="567"/>
      <c r="AQ101" s="567"/>
      <c r="AR101" s="568"/>
      <c r="AS101" s="567"/>
      <c r="AT101" s="567"/>
      <c r="AU101" s="568"/>
      <c r="AV101" s="567"/>
      <c r="AW101" s="567"/>
      <c r="AX101" s="568"/>
      <c r="AY101" s="567"/>
      <c r="AZ101" s="567"/>
      <c r="BA101" s="568"/>
      <c r="BB101" s="567"/>
      <c r="BC101" s="567"/>
      <c r="BD101" s="568"/>
      <c r="BE101" s="567"/>
      <c r="BF101" s="567"/>
      <c r="BG101" s="568"/>
      <c r="BH101" s="567"/>
      <c r="BI101" s="567"/>
      <c r="BJ101" s="568"/>
      <c r="BK101" s="567"/>
      <c r="BL101" s="567"/>
      <c r="BM101" s="568"/>
      <c r="BN101" s="567"/>
      <c r="BO101" s="567"/>
      <c r="BP101" s="568"/>
      <c r="BQ101" s="567"/>
      <c r="BR101" s="567"/>
      <c r="BS101" s="568"/>
      <c r="BT101" s="567"/>
      <c r="BU101" s="567"/>
      <c r="BV101" s="568"/>
      <c r="BW101" s="567"/>
      <c r="BX101" s="567"/>
      <c r="BY101" s="568"/>
      <c r="BZ101" s="567"/>
      <c r="CA101" s="567"/>
      <c r="CB101" s="567"/>
      <c r="CC101" s="583"/>
      <c r="CD101" s="555" t="e">
        <f t="shared" ref="CD101:CF101" si="501">MEDIAN(AM101,AP101,AS101,AY101,BB101,AV101,AA101,BE101,BK101,BZ101,BH101,BN101,BQ101,BT101,BW101)</f>
        <v>#DIV/0!</v>
      </c>
      <c r="CE101" s="555" t="e">
        <f t="shared" si="501"/>
        <v>#DIV/0!</v>
      </c>
      <c r="CF101" s="556" t="e">
        <f t="shared" si="501"/>
        <v>#DIV/0!</v>
      </c>
      <c r="CG101" s="555" t="e">
        <f t="shared" ref="CG101:CI101" si="502">MAX(AP101,AS101,AV101,BB101,BE101,AY101,CD101,BK101,BZ101,AA101)-MIN(AP101,AS101,AV101,BB101,BE101,AY101,CD101,BK101,BZ101,AA101)</f>
        <v>#DIV/0!</v>
      </c>
      <c r="CH101" s="555" t="e">
        <f t="shared" si="502"/>
        <v>#DIV/0!</v>
      </c>
      <c r="CI101" s="556" t="e">
        <f t="shared" si="502"/>
        <v>#DIV/0!</v>
      </c>
      <c r="CJ101" s="555" t="e">
        <f t="shared" ref="CJ101:CL101" si="503">STDEV(AS101,AV101,AY101,BE101,BK101,BB101,CG101,BZ101,AA101,CD101)</f>
        <v>#DIV/0!</v>
      </c>
      <c r="CK101" s="555" t="e">
        <f t="shared" si="503"/>
        <v>#DIV/0!</v>
      </c>
      <c r="CL101" s="556" t="e">
        <f t="shared" si="503"/>
        <v>#DIV/0!</v>
      </c>
      <c r="CM101" s="555" t="e">
        <f t="shared" ref="CM101:CO101" si="504">CJ101/AA101</f>
        <v>#DIV/0!</v>
      </c>
      <c r="CN101" s="555" t="e">
        <f t="shared" si="504"/>
        <v>#DIV/0!</v>
      </c>
      <c r="CO101" s="556" t="e">
        <f t="shared" si="504"/>
        <v>#DIV/0!</v>
      </c>
      <c r="CP101" s="29"/>
      <c r="CQ101" s="535"/>
      <c r="CR101" s="29"/>
      <c r="CS101" s="29"/>
      <c r="CT101" s="29"/>
      <c r="CU101" s="29"/>
      <c r="CV101" s="29"/>
    </row>
    <row r="102" customHeight="1" spans="1:100">
      <c r="A102" s="29" t="s">
        <v>314</v>
      </c>
      <c r="B102" s="541" t="s">
        <v>1084</v>
      </c>
      <c r="C102" s="29" t="s">
        <v>1085</v>
      </c>
      <c r="D102" s="29" t="s">
        <v>315</v>
      </c>
      <c r="E102" s="29"/>
      <c r="F102" s="29" t="s">
        <v>1038</v>
      </c>
      <c r="G102" s="29" t="s">
        <v>1039</v>
      </c>
      <c r="H102" s="29" t="b">
        <v>1</v>
      </c>
      <c r="I102" s="29" t="b">
        <v>1</v>
      </c>
      <c r="J102" s="29" t="b">
        <v>0</v>
      </c>
      <c r="K102" s="29" t="b">
        <v>1</v>
      </c>
      <c r="L102" s="29" t="b">
        <v>1</v>
      </c>
      <c r="M102" s="29" t="b">
        <v>0</v>
      </c>
      <c r="N102" s="29" t="s">
        <v>295</v>
      </c>
      <c r="P102" s="29" t="b">
        <v>1</v>
      </c>
      <c r="Q102" s="29" t="b">
        <v>1</v>
      </c>
      <c r="R102" s="29" t="b">
        <v>1</v>
      </c>
      <c r="S102" s="29" t="b">
        <v>1</v>
      </c>
      <c r="T102" s="29" t="b">
        <f t="shared" si="0"/>
        <v>0</v>
      </c>
      <c r="U102" s="29" t="s">
        <v>997</v>
      </c>
      <c r="V102" s="29" t="s">
        <v>129</v>
      </c>
      <c r="W102" s="29">
        <v>2</v>
      </c>
      <c r="X102" s="29" t="s">
        <v>1045</v>
      </c>
      <c r="Y102" s="16" t="s">
        <v>1041</v>
      </c>
      <c r="Z102" s="208" t="s">
        <v>1052</v>
      </c>
      <c r="AA102" s="554" t="e">
        <f t="shared" ref="AA102:AC102" si="505">AVERAGE(AJ102,AM102,AP102,AV102,AY102,AS102,BZ102,BB102,BE102,BH102,BK102,BN102,BQ102,BT102)</f>
        <v>#DIV/0!</v>
      </c>
      <c r="AB102" s="555" t="e">
        <f t="shared" si="505"/>
        <v>#DIV/0!</v>
      </c>
      <c r="AC102" s="556" t="e">
        <f t="shared" si="505"/>
        <v>#DIV/0!</v>
      </c>
      <c r="AD102" s="29" t="b">
        <v>0</v>
      </c>
      <c r="AE102" s="29" t="b">
        <v>1</v>
      </c>
      <c r="AF102" s="29" t="b">
        <v>0</v>
      </c>
      <c r="AG102" s="245">
        <v>328</v>
      </c>
      <c r="AH102" s="569" t="s">
        <v>13</v>
      </c>
      <c r="AI102" s="570" t="s">
        <v>13</v>
      </c>
      <c r="AJ102" s="567"/>
      <c r="AK102" s="567"/>
      <c r="AL102" s="568"/>
      <c r="AM102" s="567"/>
      <c r="AN102" s="567"/>
      <c r="AO102" s="568"/>
      <c r="AP102" s="567"/>
      <c r="AQ102" s="567"/>
      <c r="AR102" s="568"/>
      <c r="AS102" s="567"/>
      <c r="AT102" s="567"/>
      <c r="AU102" s="568"/>
      <c r="AV102" s="567"/>
      <c r="AW102" s="567"/>
      <c r="AX102" s="568"/>
      <c r="AY102" s="567"/>
      <c r="AZ102" s="567"/>
      <c r="BA102" s="568"/>
      <c r="BB102" s="567"/>
      <c r="BC102" s="567"/>
      <c r="BD102" s="568"/>
      <c r="BE102" s="567"/>
      <c r="BF102" s="567"/>
      <c r="BG102" s="568"/>
      <c r="BH102" s="567"/>
      <c r="BI102" s="567"/>
      <c r="BJ102" s="568"/>
      <c r="BK102" s="567"/>
      <c r="BL102" s="567"/>
      <c r="BM102" s="568"/>
      <c r="BN102" s="567"/>
      <c r="BO102" s="567"/>
      <c r="BP102" s="568"/>
      <c r="BQ102" s="567"/>
      <c r="BR102" s="567"/>
      <c r="BS102" s="568"/>
      <c r="BT102" s="567"/>
      <c r="BU102" s="567"/>
      <c r="BV102" s="568"/>
      <c r="BW102" s="567"/>
      <c r="BX102" s="567"/>
      <c r="BY102" s="568"/>
      <c r="BZ102" s="567"/>
      <c r="CA102" s="567"/>
      <c r="CB102" s="567"/>
      <c r="CC102" s="583"/>
      <c r="CD102" s="555" t="e">
        <f t="shared" ref="CD102:CF102" si="506">MEDIAN(AM102,AP102,AS102,AY102,BB102,AV102,AA102,BE102,BK102,BZ102,BH102,BN102,BQ102,BT102,BW102)</f>
        <v>#DIV/0!</v>
      </c>
      <c r="CE102" s="555" t="e">
        <f t="shared" si="506"/>
        <v>#DIV/0!</v>
      </c>
      <c r="CF102" s="556" t="e">
        <f t="shared" si="506"/>
        <v>#DIV/0!</v>
      </c>
      <c r="CG102" s="555" t="e">
        <f t="shared" ref="CG102:CI102" si="507">MAX(AP102,AS102,AV102,BB102,BE102,AY102,CD102,BK102,BZ102,AA102)-MIN(AP102,AS102,AV102,BB102,BE102,AY102,CD102,BK102,BZ102,AA102)</f>
        <v>#DIV/0!</v>
      </c>
      <c r="CH102" s="555" t="e">
        <f t="shared" si="507"/>
        <v>#DIV/0!</v>
      </c>
      <c r="CI102" s="556" t="e">
        <f t="shared" si="507"/>
        <v>#DIV/0!</v>
      </c>
      <c r="CJ102" s="555" t="e">
        <f t="shared" ref="CJ102:CL102" si="508">STDEV(AS102,AV102,AY102,BE102,BK102,BB102,CG102,BZ102,AA102,CD102)</f>
        <v>#DIV/0!</v>
      </c>
      <c r="CK102" s="555" t="e">
        <f t="shared" si="508"/>
        <v>#DIV/0!</v>
      </c>
      <c r="CL102" s="556" t="e">
        <f t="shared" si="508"/>
        <v>#DIV/0!</v>
      </c>
      <c r="CM102" s="555" t="e">
        <f t="shared" ref="CM102:CO102" si="509">CJ102/AA102</f>
        <v>#DIV/0!</v>
      </c>
      <c r="CN102" s="555" t="e">
        <f t="shared" si="509"/>
        <v>#DIV/0!</v>
      </c>
      <c r="CO102" s="556" t="e">
        <f t="shared" si="509"/>
        <v>#DIV/0!</v>
      </c>
      <c r="CP102" s="29" t="s">
        <v>120</v>
      </c>
      <c r="CQ102" s="535">
        <f t="shared" ref="CQ102:CQ121" si="510">W102</f>
        <v>2</v>
      </c>
      <c r="CR102" s="29" t="s">
        <v>120</v>
      </c>
      <c r="CS102" s="29" t="s">
        <v>120</v>
      </c>
      <c r="CT102" s="29" t="s">
        <v>120</v>
      </c>
      <c r="CU102" s="29" t="s">
        <v>120</v>
      </c>
      <c r="CV102" s="29" t="s">
        <v>120</v>
      </c>
    </row>
    <row r="103" customHeight="1" spans="1:100">
      <c r="A103" s="29" t="s">
        <v>316</v>
      </c>
      <c r="B103" s="541"/>
      <c r="C103" s="29" t="s">
        <v>1038</v>
      </c>
      <c r="F103" s="308"/>
      <c r="G103" s="308"/>
      <c r="H103" s="29" t="b">
        <v>0</v>
      </c>
      <c r="I103" s="29" t="b">
        <v>0</v>
      </c>
      <c r="J103" s="29" t="b">
        <v>0</v>
      </c>
      <c r="K103" s="29" t="b">
        <v>0</v>
      </c>
      <c r="L103" s="29" t="b">
        <v>0</v>
      </c>
      <c r="M103" s="29" t="b">
        <v>0</v>
      </c>
      <c r="P103" s="29" t="b">
        <v>0</v>
      </c>
      <c r="Q103" s="29" t="b">
        <v>0</v>
      </c>
      <c r="R103" s="29" t="b">
        <v>0</v>
      </c>
      <c r="S103" s="29" t="b">
        <v>0</v>
      </c>
      <c r="T103" s="29" t="b">
        <f t="shared" si="0"/>
        <v>0</v>
      </c>
      <c r="U103" s="29" t="s">
        <v>1077</v>
      </c>
      <c r="W103" s="29">
        <v>2</v>
      </c>
      <c r="X103" s="29" t="s">
        <v>1049</v>
      </c>
      <c r="Y103" s="16" t="s">
        <v>1041</v>
      </c>
      <c r="Z103" s="208" t="s">
        <v>1042</v>
      </c>
      <c r="AA103" s="554" t="e">
        <f t="shared" ref="AA103:AC103" si="511">AVERAGE(AJ103,AM103,AP103,AV103,AY103,AS103,BZ103,BB103,BE103,BH103,BK103,BN103,BQ103,BT103)</f>
        <v>#DIV/0!</v>
      </c>
      <c r="AB103" s="555" t="e">
        <f t="shared" si="511"/>
        <v>#DIV/0!</v>
      </c>
      <c r="AC103" s="556" t="e">
        <f t="shared" si="511"/>
        <v>#DIV/0!</v>
      </c>
      <c r="AD103" s="29" t="b">
        <v>0</v>
      </c>
      <c r="AE103" s="29" t="b">
        <v>1</v>
      </c>
      <c r="AF103" s="29" t="b">
        <v>0</v>
      </c>
      <c r="AG103" s="567"/>
      <c r="AH103" s="567"/>
      <c r="AI103" s="568"/>
      <c r="AJ103" s="567"/>
      <c r="AK103" s="567"/>
      <c r="AL103" s="568"/>
      <c r="AM103" s="567"/>
      <c r="AN103" s="567"/>
      <c r="AO103" s="568"/>
      <c r="AP103" s="567"/>
      <c r="AQ103" s="567"/>
      <c r="AR103" s="568"/>
      <c r="AS103" s="567"/>
      <c r="AT103" s="567"/>
      <c r="AU103" s="568"/>
      <c r="AV103" s="567"/>
      <c r="AW103" s="567"/>
      <c r="AX103" s="568"/>
      <c r="AY103" s="567"/>
      <c r="AZ103" s="567"/>
      <c r="BA103" s="568"/>
      <c r="BB103" s="567"/>
      <c r="BC103" s="567"/>
      <c r="BD103" s="568"/>
      <c r="BE103" s="567"/>
      <c r="BF103" s="567"/>
      <c r="BG103" s="568"/>
      <c r="BH103" s="567"/>
      <c r="BI103" s="567"/>
      <c r="BJ103" s="568"/>
      <c r="BK103" s="567"/>
      <c r="BL103" s="567"/>
      <c r="BM103" s="568"/>
      <c r="BN103" s="567"/>
      <c r="BO103" s="567"/>
      <c r="BP103" s="568"/>
      <c r="BQ103" s="567"/>
      <c r="BR103" s="567"/>
      <c r="BS103" s="568"/>
      <c r="BT103" s="567"/>
      <c r="BU103" s="567"/>
      <c r="BV103" s="568"/>
      <c r="BW103" s="567"/>
      <c r="BX103" s="567"/>
      <c r="BY103" s="568"/>
      <c r="BZ103" s="567"/>
      <c r="CA103" s="567"/>
      <c r="CB103" s="567"/>
      <c r="CC103" s="583"/>
      <c r="CD103" s="555" t="e">
        <f t="shared" ref="CD103:CF103" si="512">MEDIAN(AM103,AP103,AS103,AY103,BB103,AV103,AA103,BE103,BK103,BZ103,BH103,BN103,BQ103,BT103,BW103)</f>
        <v>#DIV/0!</v>
      </c>
      <c r="CE103" s="555" t="e">
        <f t="shared" si="512"/>
        <v>#DIV/0!</v>
      </c>
      <c r="CF103" s="556" t="e">
        <f t="shared" si="512"/>
        <v>#DIV/0!</v>
      </c>
      <c r="CG103" s="555" t="e">
        <f t="shared" ref="CG103:CI103" si="513">MAX(AP103,AS103,AV103,BB103,BE103,AY103,CD103,BK103,BZ103,AA103)-MIN(AP103,AS103,AV103,BB103,BE103,AY103,CD103,BK103,BZ103,AA103)</f>
        <v>#DIV/0!</v>
      </c>
      <c r="CH103" s="555" t="e">
        <f t="shared" si="513"/>
        <v>#DIV/0!</v>
      </c>
      <c r="CI103" s="556" t="e">
        <f t="shared" si="513"/>
        <v>#DIV/0!</v>
      </c>
      <c r="CJ103" s="555" t="e">
        <f t="shared" ref="CJ103:CL103" si="514">STDEV(AS103,AV103,AY103,BE103,BK103,BB103,CG103,BZ103,AA103,CD103)</f>
        <v>#DIV/0!</v>
      </c>
      <c r="CK103" s="555" t="e">
        <f t="shared" si="514"/>
        <v>#DIV/0!</v>
      </c>
      <c r="CL103" s="556" t="e">
        <f t="shared" si="514"/>
        <v>#DIV/0!</v>
      </c>
      <c r="CM103" s="555" t="e">
        <f t="shared" ref="CM103:CO103" si="515">CJ103/AA103</f>
        <v>#DIV/0!</v>
      </c>
      <c r="CN103" s="555" t="e">
        <f t="shared" si="515"/>
        <v>#DIV/0!</v>
      </c>
      <c r="CO103" s="556" t="e">
        <f t="shared" si="515"/>
        <v>#DIV/0!</v>
      </c>
      <c r="CP103" s="29" t="s">
        <v>120</v>
      </c>
      <c r="CQ103" s="535">
        <f t="shared" si="510"/>
        <v>2</v>
      </c>
      <c r="CR103" s="29" t="s">
        <v>120</v>
      </c>
      <c r="CS103" s="29"/>
      <c r="CT103" s="29"/>
      <c r="CU103" s="29"/>
      <c r="CV103" s="29"/>
    </row>
    <row r="104" customHeight="1" spans="1:100">
      <c r="A104" s="29" t="s">
        <v>317</v>
      </c>
      <c r="B104" s="541"/>
      <c r="C104" s="29" t="s">
        <v>1038</v>
      </c>
      <c r="F104" s="308"/>
      <c r="G104" s="308"/>
      <c r="H104" s="29" t="b">
        <v>0</v>
      </c>
      <c r="I104" s="29" t="b">
        <v>0</v>
      </c>
      <c r="J104" s="29" t="b">
        <v>1</v>
      </c>
      <c r="K104" s="29" t="b">
        <v>0</v>
      </c>
      <c r="L104" s="29" t="b">
        <v>0</v>
      </c>
      <c r="M104" s="29" t="b">
        <v>0</v>
      </c>
      <c r="P104" s="29" t="b">
        <v>0</v>
      </c>
      <c r="Q104" s="29" t="b">
        <v>0</v>
      </c>
      <c r="R104" s="29" t="b">
        <v>0</v>
      </c>
      <c r="S104" s="29" t="b">
        <v>0</v>
      </c>
      <c r="T104" s="29" t="b">
        <f t="shared" si="0"/>
        <v>0</v>
      </c>
      <c r="U104" s="29" t="s">
        <v>1077</v>
      </c>
      <c r="W104" s="29">
        <v>2</v>
      </c>
      <c r="X104" s="29" t="s">
        <v>1049</v>
      </c>
      <c r="Y104" s="16" t="s">
        <v>1041</v>
      </c>
      <c r="Z104" s="29" t="s">
        <v>1042</v>
      </c>
      <c r="AA104" s="554" t="e">
        <f t="shared" ref="AA104:AC104" si="516">AVERAGE(AJ104,AM104,AP104,AV104,AY104,AS104,BZ104,BB104,BE104,BH104,BK104,BN104,BQ104,BT104)</f>
        <v>#DIV/0!</v>
      </c>
      <c r="AB104" s="555" t="e">
        <f t="shared" si="516"/>
        <v>#DIV/0!</v>
      </c>
      <c r="AC104" s="556" t="e">
        <f t="shared" si="516"/>
        <v>#DIV/0!</v>
      </c>
      <c r="AD104" s="29" t="b">
        <v>0</v>
      </c>
      <c r="AE104" s="29" t="b">
        <v>1</v>
      </c>
      <c r="AF104" s="29" t="b">
        <v>0</v>
      </c>
      <c r="AG104" s="566"/>
      <c r="AH104" s="567"/>
      <c r="AI104" s="568"/>
      <c r="AJ104" s="567"/>
      <c r="AK104" s="567"/>
      <c r="AL104" s="568"/>
      <c r="AM104" s="567"/>
      <c r="AN104" s="567"/>
      <c r="AO104" s="568"/>
      <c r="AP104" s="567"/>
      <c r="AQ104" s="567"/>
      <c r="AR104" s="568"/>
      <c r="AS104" s="567"/>
      <c r="AT104" s="567"/>
      <c r="AU104" s="568"/>
      <c r="AV104" s="567"/>
      <c r="AW104" s="567"/>
      <c r="AX104" s="568"/>
      <c r="AY104" s="567"/>
      <c r="AZ104" s="567"/>
      <c r="BA104" s="568"/>
      <c r="BB104" s="567"/>
      <c r="BC104" s="567"/>
      <c r="BD104" s="568"/>
      <c r="BE104" s="567"/>
      <c r="BF104" s="567"/>
      <c r="BG104" s="568"/>
      <c r="BH104" s="567"/>
      <c r="BI104" s="567"/>
      <c r="BJ104" s="568"/>
      <c r="BK104" s="567"/>
      <c r="BL104" s="567"/>
      <c r="BM104" s="568"/>
      <c r="BN104" s="567"/>
      <c r="BO104" s="567"/>
      <c r="BP104" s="568"/>
      <c r="BQ104" s="567"/>
      <c r="BR104" s="567"/>
      <c r="BS104" s="568"/>
      <c r="BT104" s="567"/>
      <c r="BU104" s="567"/>
      <c r="BV104" s="568"/>
      <c r="BW104" s="567"/>
      <c r="BX104" s="567"/>
      <c r="BY104" s="568"/>
      <c r="BZ104" s="567"/>
      <c r="CA104" s="567"/>
      <c r="CB104" s="567"/>
      <c r="CC104" s="583"/>
      <c r="CD104" s="555" t="e">
        <f t="shared" ref="CD104:CF104" si="517">MEDIAN(AM104,AP104,AS104,AY104,BB104,AV104,AA104,BE104,BK104,BZ104,BH104,BN104,BQ104,BT104,BW104)</f>
        <v>#DIV/0!</v>
      </c>
      <c r="CE104" s="555" t="e">
        <f t="shared" si="517"/>
        <v>#DIV/0!</v>
      </c>
      <c r="CF104" s="556" t="e">
        <f t="shared" si="517"/>
        <v>#DIV/0!</v>
      </c>
      <c r="CG104" s="555" t="e">
        <f t="shared" ref="CG104:CI104" si="518">MAX(AP104,AS104,AV104,BB104,BE104,AY104,CD104,BK104,BZ104,AA104)-MIN(AP104,AS104,AV104,BB104,BE104,AY104,CD104,BK104,BZ104,AA104)</f>
        <v>#DIV/0!</v>
      </c>
      <c r="CH104" s="555" t="e">
        <f t="shared" si="518"/>
        <v>#DIV/0!</v>
      </c>
      <c r="CI104" s="556" t="e">
        <f t="shared" si="518"/>
        <v>#DIV/0!</v>
      </c>
      <c r="CJ104" s="555" t="e">
        <f t="shared" ref="CJ104:CL104" si="519">STDEV(AS104,AV104,AY104,BE104,BK104,BB104,CG104,BZ104,AA104,CD104)</f>
        <v>#DIV/0!</v>
      </c>
      <c r="CK104" s="555" t="e">
        <f t="shared" si="519"/>
        <v>#DIV/0!</v>
      </c>
      <c r="CL104" s="556" t="e">
        <f t="shared" si="519"/>
        <v>#DIV/0!</v>
      </c>
      <c r="CM104" s="555" t="e">
        <f t="shared" ref="CM104:CO104" si="520">CJ104/AA104</f>
        <v>#DIV/0!</v>
      </c>
      <c r="CN104" s="555" t="e">
        <f t="shared" si="520"/>
        <v>#DIV/0!</v>
      </c>
      <c r="CO104" s="556" t="e">
        <f t="shared" si="520"/>
        <v>#DIV/0!</v>
      </c>
      <c r="CP104" s="29" t="s">
        <v>120</v>
      </c>
      <c r="CQ104" s="535">
        <f t="shared" si="510"/>
        <v>2</v>
      </c>
      <c r="CR104" s="29" t="s">
        <v>120</v>
      </c>
      <c r="CS104" s="29"/>
      <c r="CT104" s="29"/>
      <c r="CU104" s="29"/>
      <c r="CV104" s="29"/>
    </row>
    <row r="105" customHeight="1" spans="1:100">
      <c r="A105" s="29" t="s">
        <v>318</v>
      </c>
      <c r="B105" s="541"/>
      <c r="C105" s="29" t="s">
        <v>1038</v>
      </c>
      <c r="F105" s="308"/>
      <c r="G105" s="308"/>
      <c r="H105" s="29" t="b">
        <v>0</v>
      </c>
      <c r="I105" s="29" t="b">
        <v>0</v>
      </c>
      <c r="J105" s="29" t="b">
        <v>1</v>
      </c>
      <c r="K105" s="29" t="b">
        <v>0</v>
      </c>
      <c r="L105" s="29" t="b">
        <v>0</v>
      </c>
      <c r="M105" s="29" t="b">
        <v>0</v>
      </c>
      <c r="P105" s="29" t="b">
        <v>0</v>
      </c>
      <c r="Q105" s="29" t="b">
        <v>0</v>
      </c>
      <c r="R105" s="29" t="b">
        <v>0</v>
      </c>
      <c r="S105" s="29" t="b">
        <v>0</v>
      </c>
      <c r="T105" s="29" t="b">
        <f t="shared" si="0"/>
        <v>0</v>
      </c>
      <c r="U105" s="29" t="s">
        <v>1077</v>
      </c>
      <c r="W105" s="29">
        <v>2</v>
      </c>
      <c r="X105" s="29" t="s">
        <v>1049</v>
      </c>
      <c r="Y105" s="16" t="s">
        <v>1041</v>
      </c>
      <c r="Z105" s="208" t="s">
        <v>1042</v>
      </c>
      <c r="AA105" s="554" t="e">
        <f t="shared" ref="AA105:AC105" si="521">AVERAGE(AJ105,AM105,AP105,AV105,AY105,AS105,BZ105,BB105,BE105,BH105,BK105,BN105,BQ105,BT105)</f>
        <v>#DIV/0!</v>
      </c>
      <c r="AB105" s="555" t="e">
        <f t="shared" si="521"/>
        <v>#DIV/0!</v>
      </c>
      <c r="AC105" s="556" t="e">
        <f t="shared" si="521"/>
        <v>#DIV/0!</v>
      </c>
      <c r="AD105" s="29" t="b">
        <v>0</v>
      </c>
      <c r="AE105" s="29" t="b">
        <v>1</v>
      </c>
      <c r="AF105" s="29" t="b">
        <v>0</v>
      </c>
      <c r="AG105" s="567"/>
      <c r="AH105" s="567"/>
      <c r="AI105" s="568"/>
      <c r="AJ105" s="567"/>
      <c r="AK105" s="567"/>
      <c r="AL105" s="568"/>
      <c r="AM105" s="567"/>
      <c r="AN105" s="567"/>
      <c r="AO105" s="568"/>
      <c r="AP105" s="567"/>
      <c r="AQ105" s="567"/>
      <c r="AR105" s="568"/>
      <c r="AS105" s="567"/>
      <c r="AT105" s="567"/>
      <c r="AU105" s="568"/>
      <c r="AV105" s="567"/>
      <c r="AW105" s="567"/>
      <c r="AX105" s="568"/>
      <c r="AY105" s="567"/>
      <c r="AZ105" s="567"/>
      <c r="BA105" s="568"/>
      <c r="BB105" s="567"/>
      <c r="BC105" s="567"/>
      <c r="BD105" s="568"/>
      <c r="BE105" s="567"/>
      <c r="BF105" s="567"/>
      <c r="BG105" s="568"/>
      <c r="BH105" s="567"/>
      <c r="BI105" s="567"/>
      <c r="BJ105" s="568"/>
      <c r="BK105" s="567"/>
      <c r="BL105" s="567"/>
      <c r="BM105" s="568"/>
      <c r="BN105" s="567"/>
      <c r="BO105" s="567"/>
      <c r="BP105" s="568"/>
      <c r="BQ105" s="567"/>
      <c r="BR105" s="567"/>
      <c r="BS105" s="568"/>
      <c r="BT105" s="567"/>
      <c r="BU105" s="567"/>
      <c r="BV105" s="568"/>
      <c r="BW105" s="567"/>
      <c r="BX105" s="567"/>
      <c r="BY105" s="568"/>
      <c r="BZ105" s="567"/>
      <c r="CA105" s="567"/>
      <c r="CB105" s="567"/>
      <c r="CC105" s="583"/>
      <c r="CD105" s="555" t="e">
        <f t="shared" ref="CD105:CF105" si="522">MEDIAN(AM105,AP105,AS105,AY105,BB105,AV105,AA105,BE105,BK105,BZ105,BH105,BN105,BQ105,BT105,BW105)</f>
        <v>#DIV/0!</v>
      </c>
      <c r="CE105" s="555" t="e">
        <f t="shared" si="522"/>
        <v>#DIV/0!</v>
      </c>
      <c r="CF105" s="556" t="e">
        <f t="shared" si="522"/>
        <v>#DIV/0!</v>
      </c>
      <c r="CG105" s="555" t="e">
        <f t="shared" ref="CG105:CI105" si="523">MAX(AP105,AS105,AV105,BB105,BE105,AY105,CD105,BK105,BZ105,AA105)-MIN(AP105,AS105,AV105,BB105,BE105,AY105,CD105,BK105,BZ105,AA105)</f>
        <v>#DIV/0!</v>
      </c>
      <c r="CH105" s="555" t="e">
        <f t="shared" si="523"/>
        <v>#DIV/0!</v>
      </c>
      <c r="CI105" s="556" t="e">
        <f t="shared" si="523"/>
        <v>#DIV/0!</v>
      </c>
      <c r="CJ105" s="555" t="e">
        <f t="shared" ref="CJ105:CL105" si="524">STDEV(AS105,AV105,AY105,BE105,BK105,BB105,CG105,BZ105,AA105,CD105)</f>
        <v>#DIV/0!</v>
      </c>
      <c r="CK105" s="555" t="e">
        <f t="shared" si="524"/>
        <v>#DIV/0!</v>
      </c>
      <c r="CL105" s="556" t="e">
        <f t="shared" si="524"/>
        <v>#DIV/0!</v>
      </c>
      <c r="CM105" s="555" t="e">
        <f t="shared" ref="CM105:CO105" si="525">CJ105/AA105</f>
        <v>#DIV/0!</v>
      </c>
      <c r="CN105" s="555" t="e">
        <f t="shared" si="525"/>
        <v>#DIV/0!</v>
      </c>
      <c r="CO105" s="556" t="e">
        <f t="shared" si="525"/>
        <v>#DIV/0!</v>
      </c>
      <c r="CP105" s="29" t="s">
        <v>120</v>
      </c>
      <c r="CQ105" s="535">
        <f t="shared" si="510"/>
        <v>2</v>
      </c>
      <c r="CR105" s="29" t="s">
        <v>120</v>
      </c>
      <c r="CS105" s="29"/>
      <c r="CT105" s="29"/>
      <c r="CU105" s="29"/>
      <c r="CV105" s="29"/>
    </row>
    <row r="106" customHeight="1" spans="1:100">
      <c r="A106" s="29" t="s">
        <v>320</v>
      </c>
      <c r="B106" s="541"/>
      <c r="C106" s="29" t="s">
        <v>1038</v>
      </c>
      <c r="F106" s="308"/>
      <c r="G106" s="308"/>
      <c r="H106" s="29" t="b">
        <v>0</v>
      </c>
      <c r="I106" s="29" t="b">
        <v>0</v>
      </c>
      <c r="J106" s="29" t="b">
        <v>1</v>
      </c>
      <c r="K106" s="29" t="b">
        <v>0</v>
      </c>
      <c r="L106" s="29" t="b">
        <v>0</v>
      </c>
      <c r="M106" s="29" t="b">
        <v>0</v>
      </c>
      <c r="N106" s="29" t="s">
        <v>322</v>
      </c>
      <c r="P106" s="29" t="b">
        <v>0</v>
      </c>
      <c r="Q106" s="29" t="b">
        <v>0</v>
      </c>
      <c r="R106" s="29" t="b">
        <v>0</v>
      </c>
      <c r="S106" s="29" t="b">
        <v>0</v>
      </c>
      <c r="T106" s="29" t="b">
        <f t="shared" si="0"/>
        <v>0</v>
      </c>
      <c r="U106" s="29" t="s">
        <v>1077</v>
      </c>
      <c r="W106" s="29">
        <v>2</v>
      </c>
      <c r="X106" s="29" t="s">
        <v>1064</v>
      </c>
      <c r="Y106" s="16" t="s">
        <v>1041</v>
      </c>
      <c r="Z106" s="29" t="s">
        <v>1052</v>
      </c>
      <c r="AA106" s="554" t="e">
        <f t="shared" ref="AA106:AC106" si="526">AVERAGE(AJ106,AM106,AP106,AV106,AY106,AS106,BZ106,BB106,BE106,BH106,BK106,BN106,BQ106,BT106)</f>
        <v>#DIV/0!</v>
      </c>
      <c r="AB106" s="555" t="e">
        <f t="shared" si="526"/>
        <v>#DIV/0!</v>
      </c>
      <c r="AC106" s="556" t="e">
        <f t="shared" si="526"/>
        <v>#DIV/0!</v>
      </c>
      <c r="AD106" s="29" t="b">
        <v>0</v>
      </c>
      <c r="AE106" s="29" t="b">
        <v>1</v>
      </c>
      <c r="AF106" s="29" t="b">
        <v>0</v>
      </c>
      <c r="AG106" s="566"/>
      <c r="AH106" s="567"/>
      <c r="AI106" s="568"/>
      <c r="AJ106" s="567"/>
      <c r="AK106" s="567"/>
      <c r="AL106" s="568"/>
      <c r="AM106" s="567"/>
      <c r="AN106" s="567"/>
      <c r="AO106" s="568"/>
      <c r="AP106" s="567"/>
      <c r="AQ106" s="567"/>
      <c r="AR106" s="568"/>
      <c r="AS106" s="567"/>
      <c r="AT106" s="567"/>
      <c r="AU106" s="568"/>
      <c r="AV106" s="567"/>
      <c r="AW106" s="567"/>
      <c r="AX106" s="568"/>
      <c r="AY106" s="567"/>
      <c r="AZ106" s="567"/>
      <c r="BA106" s="568"/>
      <c r="BB106" s="567"/>
      <c r="BC106" s="567"/>
      <c r="BD106" s="568"/>
      <c r="BE106" s="567"/>
      <c r="BF106" s="567"/>
      <c r="BG106" s="568"/>
      <c r="BH106" s="567"/>
      <c r="BI106" s="567"/>
      <c r="BJ106" s="568"/>
      <c r="BK106" s="567"/>
      <c r="BL106" s="567"/>
      <c r="BM106" s="568"/>
      <c r="BN106" s="567"/>
      <c r="BO106" s="567"/>
      <c r="BP106" s="568"/>
      <c r="BQ106" s="567"/>
      <c r="BR106" s="567"/>
      <c r="BS106" s="568"/>
      <c r="BT106" s="567"/>
      <c r="BU106" s="567"/>
      <c r="BV106" s="568"/>
      <c r="BW106" s="567"/>
      <c r="BX106" s="567"/>
      <c r="BY106" s="568"/>
      <c r="BZ106" s="567"/>
      <c r="CA106" s="567"/>
      <c r="CB106" s="567"/>
      <c r="CC106" s="583"/>
      <c r="CD106" s="555" t="e">
        <f t="shared" ref="CD106:CF106" si="527">MEDIAN(AM106,AP106,AS106,AY106,BB106,AV106,AA106,BE106,BK106,BZ106,BH106,BN106,BQ106,BT106,BW106)</f>
        <v>#DIV/0!</v>
      </c>
      <c r="CE106" s="555" t="e">
        <f t="shared" si="527"/>
        <v>#DIV/0!</v>
      </c>
      <c r="CF106" s="556" t="e">
        <f t="shared" si="527"/>
        <v>#DIV/0!</v>
      </c>
      <c r="CG106" s="555" t="e">
        <f t="shared" ref="CG106:CI106" si="528">MAX(AP106,AS106,AV106,BB106,BE106,AY106,CD106,BK106,BZ106,AA106)-MIN(AP106,AS106,AV106,BB106,BE106,AY106,CD106,BK106,BZ106,AA106)</f>
        <v>#DIV/0!</v>
      </c>
      <c r="CH106" s="555" t="e">
        <f t="shared" si="528"/>
        <v>#DIV/0!</v>
      </c>
      <c r="CI106" s="556" t="e">
        <f t="shared" si="528"/>
        <v>#DIV/0!</v>
      </c>
      <c r="CJ106" s="555" t="e">
        <f t="shared" ref="CJ106:CL106" si="529">STDEV(AS106,AV106,AY106,BE106,BK106,BB106,CG106,BZ106,AA106,CD106)</f>
        <v>#DIV/0!</v>
      </c>
      <c r="CK106" s="555" t="e">
        <f t="shared" si="529"/>
        <v>#DIV/0!</v>
      </c>
      <c r="CL106" s="556" t="e">
        <f t="shared" si="529"/>
        <v>#DIV/0!</v>
      </c>
      <c r="CM106" s="555" t="e">
        <f t="shared" ref="CM106:CO106" si="530">CJ106/AA106</f>
        <v>#DIV/0!</v>
      </c>
      <c r="CN106" s="555" t="e">
        <f t="shared" si="530"/>
        <v>#DIV/0!</v>
      </c>
      <c r="CO106" s="556" t="e">
        <f t="shared" si="530"/>
        <v>#DIV/0!</v>
      </c>
      <c r="CP106" s="29" t="s">
        <v>120</v>
      </c>
      <c r="CQ106" s="535">
        <f t="shared" si="510"/>
        <v>2</v>
      </c>
      <c r="CR106" s="29" t="s">
        <v>120</v>
      </c>
      <c r="CS106" s="29"/>
      <c r="CT106" s="29"/>
      <c r="CU106" s="29"/>
      <c r="CV106" s="29"/>
    </row>
    <row r="107" customHeight="1" spans="1:100">
      <c r="A107" s="29" t="s">
        <v>323</v>
      </c>
      <c r="B107" s="541"/>
      <c r="C107" s="29" t="s">
        <v>1038</v>
      </c>
      <c r="F107" s="308"/>
      <c r="G107" s="308"/>
      <c r="H107" s="29" t="b">
        <v>0</v>
      </c>
      <c r="I107" s="29" t="b">
        <v>0</v>
      </c>
      <c r="J107" s="29" t="b">
        <v>1</v>
      </c>
      <c r="K107" s="29" t="b">
        <v>0</v>
      </c>
      <c r="L107" s="29" t="b">
        <v>0</v>
      </c>
      <c r="M107" s="29" t="b">
        <v>0</v>
      </c>
      <c r="P107" s="29" t="b">
        <v>0</v>
      </c>
      <c r="Q107" s="29" t="b">
        <v>0</v>
      </c>
      <c r="R107" s="29" t="b">
        <v>0</v>
      </c>
      <c r="S107" s="29" t="b">
        <v>0</v>
      </c>
      <c r="T107" s="29" t="b">
        <f t="shared" si="0"/>
        <v>0</v>
      </c>
      <c r="U107" s="29" t="s">
        <v>1077</v>
      </c>
      <c r="W107" s="29">
        <v>2</v>
      </c>
      <c r="X107" s="29" t="s">
        <v>1064</v>
      </c>
      <c r="Y107" s="16" t="s">
        <v>1041</v>
      </c>
      <c r="Z107" s="29" t="s">
        <v>1052</v>
      </c>
      <c r="AA107" s="554" t="e">
        <f t="shared" ref="AA107:AC107" si="531">AVERAGE(AJ107,AM107,AP107,AV107,AY107,AS107,BZ107,BB107,BE107,BH107,BK107,BN107,BQ107,BT107)</f>
        <v>#DIV/0!</v>
      </c>
      <c r="AB107" s="555" t="e">
        <f t="shared" si="531"/>
        <v>#DIV/0!</v>
      </c>
      <c r="AC107" s="556" t="e">
        <f t="shared" si="531"/>
        <v>#DIV/0!</v>
      </c>
      <c r="AD107" s="29" t="b">
        <v>0</v>
      </c>
      <c r="AE107" s="29" t="b">
        <v>1</v>
      </c>
      <c r="AF107" s="29" t="b">
        <v>0</v>
      </c>
      <c r="AG107" s="566"/>
      <c r="AH107" s="567"/>
      <c r="AI107" s="568"/>
      <c r="AJ107" s="567"/>
      <c r="AK107" s="567"/>
      <c r="AL107" s="568"/>
      <c r="AM107" s="567"/>
      <c r="AN107" s="567"/>
      <c r="AO107" s="568"/>
      <c r="AP107" s="567"/>
      <c r="AQ107" s="567"/>
      <c r="AR107" s="568"/>
      <c r="AS107" s="567"/>
      <c r="AT107" s="567"/>
      <c r="AU107" s="568"/>
      <c r="AV107" s="567"/>
      <c r="AW107" s="567"/>
      <c r="AX107" s="568"/>
      <c r="AY107" s="567"/>
      <c r="AZ107" s="567"/>
      <c r="BA107" s="568"/>
      <c r="BB107" s="567"/>
      <c r="BC107" s="567"/>
      <c r="BD107" s="568"/>
      <c r="BE107" s="567"/>
      <c r="BF107" s="567"/>
      <c r="BG107" s="568"/>
      <c r="BH107" s="567"/>
      <c r="BI107" s="567"/>
      <c r="BJ107" s="568"/>
      <c r="BK107" s="567"/>
      <c r="BL107" s="567"/>
      <c r="BM107" s="568"/>
      <c r="BN107" s="567"/>
      <c r="BO107" s="567"/>
      <c r="BP107" s="568"/>
      <c r="BQ107" s="567"/>
      <c r="BR107" s="567"/>
      <c r="BS107" s="568"/>
      <c r="BT107" s="567"/>
      <c r="BU107" s="567"/>
      <c r="BV107" s="568"/>
      <c r="BW107" s="567"/>
      <c r="BX107" s="567"/>
      <c r="BY107" s="568"/>
      <c r="BZ107" s="567"/>
      <c r="CA107" s="567"/>
      <c r="CB107" s="567"/>
      <c r="CC107" s="583"/>
      <c r="CD107" s="555" t="e">
        <f t="shared" ref="CD107:CF107" si="532">MEDIAN(AM107,AP107,AS107,AY107,BB107,AV107,AA107,BE107,BK107,BZ107,BH107,BN107,BQ107,BT107,BW107)</f>
        <v>#DIV/0!</v>
      </c>
      <c r="CE107" s="555" t="e">
        <f t="shared" si="532"/>
        <v>#DIV/0!</v>
      </c>
      <c r="CF107" s="556" t="e">
        <f t="shared" si="532"/>
        <v>#DIV/0!</v>
      </c>
      <c r="CG107" s="555" t="e">
        <f t="shared" ref="CG107:CI107" si="533">MAX(AP107,AS107,AV107,BB107,BE107,AY107,CD107,BK107,BZ107,AA107)-MIN(AP107,AS107,AV107,BB107,BE107,AY107,CD107,BK107,BZ107,AA107)</f>
        <v>#DIV/0!</v>
      </c>
      <c r="CH107" s="555" t="e">
        <f t="shared" si="533"/>
        <v>#DIV/0!</v>
      </c>
      <c r="CI107" s="556" t="e">
        <f t="shared" si="533"/>
        <v>#DIV/0!</v>
      </c>
      <c r="CJ107" s="555" t="e">
        <f t="shared" ref="CJ107:CL107" si="534">STDEV(AS107,AV107,AY107,BE107,BK107,BB107,CG107,BZ107,AA107,CD107)</f>
        <v>#DIV/0!</v>
      </c>
      <c r="CK107" s="555" t="e">
        <f t="shared" si="534"/>
        <v>#DIV/0!</v>
      </c>
      <c r="CL107" s="556" t="e">
        <f t="shared" si="534"/>
        <v>#DIV/0!</v>
      </c>
      <c r="CM107" s="555" t="e">
        <f t="shared" ref="CM107:CO107" si="535">CJ107/AA107</f>
        <v>#DIV/0!</v>
      </c>
      <c r="CN107" s="555" t="e">
        <f t="shared" si="535"/>
        <v>#DIV/0!</v>
      </c>
      <c r="CO107" s="556" t="e">
        <f t="shared" si="535"/>
        <v>#DIV/0!</v>
      </c>
      <c r="CP107" s="29" t="s">
        <v>120</v>
      </c>
      <c r="CQ107" s="535">
        <f t="shared" si="510"/>
        <v>2</v>
      </c>
      <c r="CR107" s="29" t="s">
        <v>120</v>
      </c>
      <c r="CS107" s="29"/>
      <c r="CT107" s="29"/>
      <c r="CU107" s="29"/>
      <c r="CV107" s="29"/>
    </row>
    <row r="108" customHeight="1" spans="1:100">
      <c r="A108" s="29" t="s">
        <v>324</v>
      </c>
      <c r="B108" s="541"/>
      <c r="C108" s="29" t="s">
        <v>1038</v>
      </c>
      <c r="F108" s="308"/>
      <c r="G108" s="308"/>
      <c r="H108" s="29" t="b">
        <v>0</v>
      </c>
      <c r="I108" s="29" t="b">
        <v>0</v>
      </c>
      <c r="J108" s="29" t="b">
        <v>1</v>
      </c>
      <c r="K108" s="29" t="b">
        <v>0</v>
      </c>
      <c r="L108" s="29" t="b">
        <v>0</v>
      </c>
      <c r="M108" s="29" t="b">
        <v>0</v>
      </c>
      <c r="P108" s="29" t="b">
        <v>0</v>
      </c>
      <c r="Q108" s="29" t="b">
        <v>0</v>
      </c>
      <c r="R108" s="29" t="b">
        <v>0</v>
      </c>
      <c r="S108" s="29" t="b">
        <v>0</v>
      </c>
      <c r="T108" s="29" t="b">
        <f t="shared" si="0"/>
        <v>0</v>
      </c>
      <c r="U108" s="29" t="s">
        <v>1077</v>
      </c>
      <c r="W108" s="29">
        <v>2</v>
      </c>
      <c r="X108" s="29" t="s">
        <v>1064</v>
      </c>
      <c r="Y108" s="16" t="s">
        <v>1041</v>
      </c>
      <c r="Z108" s="29" t="s">
        <v>1052</v>
      </c>
      <c r="AA108" s="554" t="e">
        <f t="shared" ref="AA108:AC108" si="536">AVERAGE(AJ108,AM108,AP108,AV108,AY108,AS108,BZ108,BB108,BE108,BH108,BK108,BN108,BQ108,BT108)</f>
        <v>#DIV/0!</v>
      </c>
      <c r="AB108" s="555" t="e">
        <f t="shared" si="536"/>
        <v>#DIV/0!</v>
      </c>
      <c r="AC108" s="556" t="e">
        <f t="shared" si="536"/>
        <v>#DIV/0!</v>
      </c>
      <c r="AD108" s="29" t="b">
        <v>0</v>
      </c>
      <c r="AE108" s="29" t="b">
        <v>1</v>
      </c>
      <c r="AF108" s="29" t="b">
        <v>0</v>
      </c>
      <c r="AG108" s="566"/>
      <c r="AH108" s="567"/>
      <c r="AI108" s="568"/>
      <c r="AJ108" s="567"/>
      <c r="AK108" s="567"/>
      <c r="AL108" s="568"/>
      <c r="AM108" s="567"/>
      <c r="AN108" s="567"/>
      <c r="AO108" s="568"/>
      <c r="AP108" s="567"/>
      <c r="AQ108" s="567"/>
      <c r="AR108" s="568"/>
      <c r="AS108" s="567"/>
      <c r="AT108" s="567"/>
      <c r="AU108" s="568"/>
      <c r="AV108" s="567"/>
      <c r="AW108" s="567"/>
      <c r="AX108" s="568"/>
      <c r="AY108" s="567"/>
      <c r="AZ108" s="567"/>
      <c r="BA108" s="568"/>
      <c r="BB108" s="567"/>
      <c r="BC108" s="567"/>
      <c r="BD108" s="568"/>
      <c r="BE108" s="567"/>
      <c r="BF108" s="567"/>
      <c r="BG108" s="568"/>
      <c r="BH108" s="567"/>
      <c r="BI108" s="567"/>
      <c r="BJ108" s="568"/>
      <c r="BK108" s="567"/>
      <c r="BL108" s="567"/>
      <c r="BM108" s="568"/>
      <c r="BN108" s="567"/>
      <c r="BO108" s="567"/>
      <c r="BP108" s="568"/>
      <c r="BQ108" s="567"/>
      <c r="BR108" s="567"/>
      <c r="BS108" s="568"/>
      <c r="BT108" s="567"/>
      <c r="BU108" s="567"/>
      <c r="BV108" s="568"/>
      <c r="BW108" s="567"/>
      <c r="BX108" s="567"/>
      <c r="BY108" s="568"/>
      <c r="BZ108" s="567"/>
      <c r="CA108" s="567"/>
      <c r="CB108" s="567"/>
      <c r="CC108" s="583"/>
      <c r="CD108" s="555" t="e">
        <f t="shared" ref="CD108:CF108" si="537">MEDIAN(AM108,AP108,AS108,AY108,BB108,AV108,AA108,BE108,BK108,BZ108,BH108,BN108,BQ108,BT108,BW108)</f>
        <v>#DIV/0!</v>
      </c>
      <c r="CE108" s="555" t="e">
        <f t="shared" si="537"/>
        <v>#DIV/0!</v>
      </c>
      <c r="CF108" s="556" t="e">
        <f t="shared" si="537"/>
        <v>#DIV/0!</v>
      </c>
      <c r="CG108" s="555" t="e">
        <f t="shared" ref="CG108:CI108" si="538">MAX(AP108,AS108,AV108,BB108,BE108,AY108,CD108,BK108,BZ108,AA108)-MIN(AP108,AS108,AV108,BB108,BE108,AY108,CD108,BK108,BZ108,AA108)</f>
        <v>#DIV/0!</v>
      </c>
      <c r="CH108" s="555" t="e">
        <f t="shared" si="538"/>
        <v>#DIV/0!</v>
      </c>
      <c r="CI108" s="556" t="e">
        <f t="shared" si="538"/>
        <v>#DIV/0!</v>
      </c>
      <c r="CJ108" s="555" t="e">
        <f t="shared" ref="CJ108:CL108" si="539">STDEV(AS108,AV108,AY108,BE108,BK108,BB108,CG108,BZ108,AA108,CD108)</f>
        <v>#DIV/0!</v>
      </c>
      <c r="CK108" s="555" t="e">
        <f t="shared" si="539"/>
        <v>#DIV/0!</v>
      </c>
      <c r="CL108" s="556" t="e">
        <f t="shared" si="539"/>
        <v>#DIV/0!</v>
      </c>
      <c r="CM108" s="555" t="e">
        <f t="shared" ref="CM108:CO108" si="540">CJ108/AA108</f>
        <v>#DIV/0!</v>
      </c>
      <c r="CN108" s="555" t="e">
        <f t="shared" si="540"/>
        <v>#DIV/0!</v>
      </c>
      <c r="CO108" s="556" t="e">
        <f t="shared" si="540"/>
        <v>#DIV/0!</v>
      </c>
      <c r="CP108" s="29" t="s">
        <v>120</v>
      </c>
      <c r="CQ108" s="535">
        <f t="shared" si="510"/>
        <v>2</v>
      </c>
      <c r="CR108" s="29" t="s">
        <v>120</v>
      </c>
      <c r="CS108" s="29"/>
      <c r="CT108" s="29"/>
      <c r="CU108" s="29"/>
      <c r="CV108" s="29"/>
    </row>
    <row r="109" customHeight="1" spans="1:100">
      <c r="A109" s="29" t="s">
        <v>325</v>
      </c>
      <c r="B109" s="541"/>
      <c r="C109" s="29" t="s">
        <v>1038</v>
      </c>
      <c r="F109" s="308"/>
      <c r="G109" s="308"/>
      <c r="H109" s="29" t="b">
        <v>0</v>
      </c>
      <c r="I109" s="29" t="b">
        <v>0</v>
      </c>
      <c r="J109" s="29" t="b">
        <v>1</v>
      </c>
      <c r="K109" s="29" t="b">
        <v>0</v>
      </c>
      <c r="L109" s="29" t="b">
        <v>0</v>
      </c>
      <c r="M109" s="29" t="b">
        <v>0</v>
      </c>
      <c r="P109" s="29" t="b">
        <v>0</v>
      </c>
      <c r="Q109" s="29" t="b">
        <v>0</v>
      </c>
      <c r="R109" s="29" t="b">
        <v>0</v>
      </c>
      <c r="S109" s="29" t="b">
        <v>0</v>
      </c>
      <c r="T109" s="29" t="b">
        <f t="shared" si="0"/>
        <v>0</v>
      </c>
      <c r="U109" s="29" t="s">
        <v>1077</v>
      </c>
      <c r="W109" s="29">
        <v>2</v>
      </c>
      <c r="X109" s="29" t="s">
        <v>1064</v>
      </c>
      <c r="Y109" s="16" t="s">
        <v>1041</v>
      </c>
      <c r="Z109" s="29" t="s">
        <v>1052</v>
      </c>
      <c r="AA109" s="554" t="e">
        <f t="shared" ref="AA109:AC109" si="541">AVERAGE(AJ109,AM109,AP109,AV109,AY109,AS109,BZ109,BB109,BE109,BH109,BK109,BN109,BQ109,BT109)</f>
        <v>#DIV/0!</v>
      </c>
      <c r="AB109" s="555" t="e">
        <f t="shared" si="541"/>
        <v>#DIV/0!</v>
      </c>
      <c r="AC109" s="556" t="e">
        <f t="shared" si="541"/>
        <v>#DIV/0!</v>
      </c>
      <c r="AD109" s="29" t="b">
        <v>0</v>
      </c>
      <c r="AE109" s="29" t="b">
        <v>1</v>
      </c>
      <c r="AF109" s="29" t="b">
        <v>0</v>
      </c>
      <c r="AG109" s="566"/>
      <c r="AH109" s="567"/>
      <c r="AI109" s="568"/>
      <c r="AJ109" s="567"/>
      <c r="AK109" s="567"/>
      <c r="AL109" s="568"/>
      <c r="AM109" s="567"/>
      <c r="AN109" s="567"/>
      <c r="AO109" s="568"/>
      <c r="AP109" s="567"/>
      <c r="AQ109" s="567"/>
      <c r="AR109" s="568"/>
      <c r="AS109" s="567"/>
      <c r="AT109" s="567"/>
      <c r="AU109" s="568"/>
      <c r="AV109" s="567"/>
      <c r="AW109" s="567"/>
      <c r="AX109" s="568"/>
      <c r="AY109" s="567"/>
      <c r="AZ109" s="567"/>
      <c r="BA109" s="568"/>
      <c r="BB109" s="567"/>
      <c r="BC109" s="567"/>
      <c r="BD109" s="568"/>
      <c r="BE109" s="567"/>
      <c r="BF109" s="567"/>
      <c r="BG109" s="568"/>
      <c r="BH109" s="567"/>
      <c r="BI109" s="567"/>
      <c r="BJ109" s="568"/>
      <c r="BK109" s="567"/>
      <c r="BL109" s="567"/>
      <c r="BM109" s="568"/>
      <c r="BN109" s="567"/>
      <c r="BO109" s="567"/>
      <c r="BP109" s="568"/>
      <c r="BQ109" s="567"/>
      <c r="BR109" s="567"/>
      <c r="BS109" s="568"/>
      <c r="BT109" s="567"/>
      <c r="BU109" s="567"/>
      <c r="BV109" s="568"/>
      <c r="BW109" s="567"/>
      <c r="BX109" s="567"/>
      <c r="BY109" s="568"/>
      <c r="BZ109" s="567"/>
      <c r="CA109" s="567"/>
      <c r="CB109" s="567"/>
      <c r="CC109" s="583"/>
      <c r="CD109" s="555" t="e">
        <f t="shared" ref="CD109:CF109" si="542">MEDIAN(AM109,AP109,AS109,AY109,BB109,AV109,AA109,BE109,BK109,BZ109,BH109,BN109,BQ109,BT109,BW109)</f>
        <v>#DIV/0!</v>
      </c>
      <c r="CE109" s="555" t="e">
        <f t="shared" si="542"/>
        <v>#DIV/0!</v>
      </c>
      <c r="CF109" s="556" t="e">
        <f t="shared" si="542"/>
        <v>#DIV/0!</v>
      </c>
      <c r="CG109" s="555" t="e">
        <f t="shared" ref="CG109:CI109" si="543">MAX(AP109,AS109,AV109,BB109,BE109,AY109,CD109,BK109,BZ109,AA109)-MIN(AP109,AS109,AV109,BB109,BE109,AY109,CD109,BK109,BZ109,AA109)</f>
        <v>#DIV/0!</v>
      </c>
      <c r="CH109" s="555" t="e">
        <f t="shared" si="543"/>
        <v>#DIV/0!</v>
      </c>
      <c r="CI109" s="556" t="e">
        <f t="shared" si="543"/>
        <v>#DIV/0!</v>
      </c>
      <c r="CJ109" s="555" t="e">
        <f t="shared" ref="CJ109:CL109" si="544">STDEV(AS109,AV109,AY109,BE109,BK109,BB109,CG109,BZ109,AA109,CD109)</f>
        <v>#DIV/0!</v>
      </c>
      <c r="CK109" s="555" t="e">
        <f t="shared" si="544"/>
        <v>#DIV/0!</v>
      </c>
      <c r="CL109" s="556" t="e">
        <f t="shared" si="544"/>
        <v>#DIV/0!</v>
      </c>
      <c r="CM109" s="555" t="e">
        <f t="shared" ref="CM109:CO109" si="545">CJ109/AA109</f>
        <v>#DIV/0!</v>
      </c>
      <c r="CN109" s="555" t="e">
        <f t="shared" si="545"/>
        <v>#DIV/0!</v>
      </c>
      <c r="CO109" s="556" t="e">
        <f t="shared" si="545"/>
        <v>#DIV/0!</v>
      </c>
      <c r="CP109" s="29" t="s">
        <v>120</v>
      </c>
      <c r="CQ109" s="535">
        <f t="shared" si="510"/>
        <v>2</v>
      </c>
      <c r="CR109" s="29" t="s">
        <v>120</v>
      </c>
      <c r="CS109" s="29"/>
      <c r="CT109" s="29"/>
      <c r="CU109" s="29"/>
      <c r="CV109" s="29"/>
    </row>
    <row r="110" customHeight="1" spans="1:100">
      <c r="A110" s="29" t="s">
        <v>326</v>
      </c>
      <c r="B110" s="541"/>
      <c r="C110" s="29" t="s">
        <v>1038</v>
      </c>
      <c r="F110" s="308"/>
      <c r="G110" s="308"/>
      <c r="H110" s="29" t="b">
        <v>0</v>
      </c>
      <c r="I110" s="29" t="b">
        <v>0</v>
      </c>
      <c r="J110" s="29" t="b">
        <v>1</v>
      </c>
      <c r="K110" s="29" t="b">
        <v>0</v>
      </c>
      <c r="L110" s="29" t="b">
        <v>0</v>
      </c>
      <c r="M110" s="29" t="b">
        <v>0</v>
      </c>
      <c r="P110" s="29" t="b">
        <v>0</v>
      </c>
      <c r="Q110" s="29" t="b">
        <v>0</v>
      </c>
      <c r="R110" s="29" t="b">
        <v>0</v>
      </c>
      <c r="S110" s="29" t="b">
        <v>0</v>
      </c>
      <c r="T110" s="29" t="b">
        <f t="shared" si="0"/>
        <v>0</v>
      </c>
      <c r="U110" s="29" t="s">
        <v>1077</v>
      </c>
      <c r="W110" s="29">
        <v>2</v>
      </c>
      <c r="X110" s="29" t="s">
        <v>1064</v>
      </c>
      <c r="Y110" s="16" t="s">
        <v>1041</v>
      </c>
      <c r="Z110" s="29" t="s">
        <v>1052</v>
      </c>
      <c r="AA110" s="554" t="e">
        <f t="shared" ref="AA110:AC110" si="546">AVERAGE(AJ110,AM110,AP110,AV110,AY110,AS110,BZ110,BB110,BE110,BH110,BK110,BN110,BQ110,BT110)</f>
        <v>#DIV/0!</v>
      </c>
      <c r="AB110" s="555" t="e">
        <f t="shared" si="546"/>
        <v>#DIV/0!</v>
      </c>
      <c r="AC110" s="556" t="e">
        <f t="shared" si="546"/>
        <v>#DIV/0!</v>
      </c>
      <c r="AD110" s="29" t="b">
        <v>0</v>
      </c>
      <c r="AE110" s="29" t="b">
        <v>1</v>
      </c>
      <c r="AF110" s="29" t="b">
        <v>0</v>
      </c>
      <c r="AG110" s="566"/>
      <c r="AH110" s="567"/>
      <c r="AI110" s="568"/>
      <c r="AJ110" s="567"/>
      <c r="AK110" s="567"/>
      <c r="AL110" s="568"/>
      <c r="AM110" s="567"/>
      <c r="AN110" s="567"/>
      <c r="AO110" s="568"/>
      <c r="AP110" s="567"/>
      <c r="AQ110" s="567"/>
      <c r="AR110" s="568"/>
      <c r="AS110" s="567"/>
      <c r="AT110" s="567"/>
      <c r="AU110" s="568"/>
      <c r="AV110" s="567"/>
      <c r="AW110" s="567"/>
      <c r="AX110" s="568"/>
      <c r="AY110" s="567"/>
      <c r="AZ110" s="567"/>
      <c r="BA110" s="568"/>
      <c r="BB110" s="567"/>
      <c r="BC110" s="567"/>
      <c r="BD110" s="568"/>
      <c r="BE110" s="567"/>
      <c r="BF110" s="567"/>
      <c r="BG110" s="568"/>
      <c r="BH110" s="567"/>
      <c r="BI110" s="567"/>
      <c r="BJ110" s="568"/>
      <c r="BK110" s="567"/>
      <c r="BL110" s="567"/>
      <c r="BM110" s="568"/>
      <c r="BN110" s="567"/>
      <c r="BO110" s="567"/>
      <c r="BP110" s="568"/>
      <c r="BQ110" s="567"/>
      <c r="BR110" s="567"/>
      <c r="BS110" s="568"/>
      <c r="BT110" s="567"/>
      <c r="BU110" s="567"/>
      <c r="BV110" s="568"/>
      <c r="BW110" s="567"/>
      <c r="BX110" s="567"/>
      <c r="BY110" s="568"/>
      <c r="BZ110" s="567"/>
      <c r="CA110" s="567"/>
      <c r="CB110" s="567"/>
      <c r="CC110" s="583"/>
      <c r="CD110" s="555" t="e">
        <f t="shared" ref="CD110:CF110" si="547">MEDIAN(AM110,AP110,AS110,AY110,BB110,AV110,AA110,BE110,BK110,BZ110,BH110,BN110,BQ110,BT110,BW110)</f>
        <v>#DIV/0!</v>
      </c>
      <c r="CE110" s="555" t="e">
        <f t="shared" si="547"/>
        <v>#DIV/0!</v>
      </c>
      <c r="CF110" s="556" t="e">
        <f t="shared" si="547"/>
        <v>#DIV/0!</v>
      </c>
      <c r="CG110" s="555" t="e">
        <f t="shared" ref="CG110:CI110" si="548">MAX(AP110,AS110,AV110,BB110,BE110,AY110,CD110,BK110,BZ110,AA110)-MIN(AP110,AS110,AV110,BB110,BE110,AY110,CD110,BK110,BZ110,AA110)</f>
        <v>#DIV/0!</v>
      </c>
      <c r="CH110" s="555" t="e">
        <f t="shared" si="548"/>
        <v>#DIV/0!</v>
      </c>
      <c r="CI110" s="556" t="e">
        <f t="shared" si="548"/>
        <v>#DIV/0!</v>
      </c>
      <c r="CJ110" s="555" t="e">
        <f t="shared" ref="CJ110:CL110" si="549">STDEV(AS110,AV110,AY110,BE110,BK110,BB110,CG110,BZ110,AA110,CD110)</f>
        <v>#DIV/0!</v>
      </c>
      <c r="CK110" s="555" t="e">
        <f t="shared" si="549"/>
        <v>#DIV/0!</v>
      </c>
      <c r="CL110" s="556" t="e">
        <f t="shared" si="549"/>
        <v>#DIV/0!</v>
      </c>
      <c r="CM110" s="555" t="e">
        <f t="shared" ref="CM110:CO110" si="550">CJ110/AA110</f>
        <v>#DIV/0!</v>
      </c>
      <c r="CN110" s="555" t="e">
        <f t="shared" si="550"/>
        <v>#DIV/0!</v>
      </c>
      <c r="CO110" s="556" t="e">
        <f t="shared" si="550"/>
        <v>#DIV/0!</v>
      </c>
      <c r="CP110" s="29" t="s">
        <v>120</v>
      </c>
      <c r="CQ110" s="535">
        <f t="shared" si="510"/>
        <v>2</v>
      </c>
      <c r="CR110" s="29" t="s">
        <v>120</v>
      </c>
      <c r="CS110" s="29"/>
      <c r="CT110" s="29"/>
      <c r="CU110" s="29"/>
      <c r="CV110" s="29"/>
    </row>
    <row r="111" customHeight="1" spans="1:100">
      <c r="A111" s="29" t="s">
        <v>327</v>
      </c>
      <c r="B111" s="541"/>
      <c r="C111" s="29" t="s">
        <v>1038</v>
      </c>
      <c r="F111" s="308"/>
      <c r="G111" s="308"/>
      <c r="H111" s="29" t="b">
        <v>0</v>
      </c>
      <c r="I111" s="29" t="b">
        <v>0</v>
      </c>
      <c r="J111" s="29" t="b">
        <v>1</v>
      </c>
      <c r="K111" s="29" t="b">
        <v>0</v>
      </c>
      <c r="L111" s="29" t="b">
        <v>0</v>
      </c>
      <c r="M111" s="29" t="b">
        <v>0</v>
      </c>
      <c r="P111" s="29" t="b">
        <v>0</v>
      </c>
      <c r="Q111" s="29" t="b">
        <v>0</v>
      </c>
      <c r="R111" s="29" t="b">
        <v>0</v>
      </c>
      <c r="S111" s="29" t="b">
        <v>0</v>
      </c>
      <c r="T111" s="29" t="b">
        <f t="shared" si="0"/>
        <v>0</v>
      </c>
      <c r="U111" s="29" t="s">
        <v>1077</v>
      </c>
      <c r="W111" s="29">
        <v>2</v>
      </c>
      <c r="X111" s="29" t="s">
        <v>1064</v>
      </c>
      <c r="Y111" s="16" t="s">
        <v>1041</v>
      </c>
      <c r="Z111" s="29" t="s">
        <v>1052</v>
      </c>
      <c r="AA111" s="554" t="e">
        <f t="shared" ref="AA111:AC111" si="551">AVERAGE(AJ111,AM111,AP111,AV111,AY111,AS111,BZ111,BB111,BE111,BH111,BK111,BN111,BQ111,BT111)</f>
        <v>#DIV/0!</v>
      </c>
      <c r="AB111" s="555" t="e">
        <f t="shared" si="551"/>
        <v>#DIV/0!</v>
      </c>
      <c r="AC111" s="556" t="e">
        <f t="shared" si="551"/>
        <v>#DIV/0!</v>
      </c>
      <c r="AD111" s="29" t="b">
        <v>0</v>
      </c>
      <c r="AE111" s="29" t="b">
        <v>1</v>
      </c>
      <c r="AF111" s="29" t="b">
        <v>0</v>
      </c>
      <c r="AG111" s="566"/>
      <c r="AH111" s="567"/>
      <c r="AI111" s="568"/>
      <c r="AJ111" s="567"/>
      <c r="AK111" s="567"/>
      <c r="AL111" s="568"/>
      <c r="AM111" s="567"/>
      <c r="AN111" s="567"/>
      <c r="AO111" s="568"/>
      <c r="AP111" s="567"/>
      <c r="AQ111" s="567"/>
      <c r="AR111" s="568"/>
      <c r="AS111" s="567"/>
      <c r="AT111" s="567"/>
      <c r="AU111" s="568"/>
      <c r="AV111" s="567"/>
      <c r="AW111" s="567"/>
      <c r="AX111" s="568"/>
      <c r="AY111" s="567"/>
      <c r="AZ111" s="567"/>
      <c r="BA111" s="568"/>
      <c r="BB111" s="567"/>
      <c r="BC111" s="567"/>
      <c r="BD111" s="568"/>
      <c r="BE111" s="567"/>
      <c r="BF111" s="567"/>
      <c r="BG111" s="568"/>
      <c r="BH111" s="567"/>
      <c r="BI111" s="567"/>
      <c r="BJ111" s="568"/>
      <c r="BK111" s="567"/>
      <c r="BL111" s="567"/>
      <c r="BM111" s="568"/>
      <c r="BN111" s="567"/>
      <c r="BO111" s="567"/>
      <c r="BP111" s="568"/>
      <c r="BQ111" s="567"/>
      <c r="BR111" s="567"/>
      <c r="BS111" s="568"/>
      <c r="BT111" s="567"/>
      <c r="BU111" s="567"/>
      <c r="BV111" s="568"/>
      <c r="BW111" s="567"/>
      <c r="BX111" s="567"/>
      <c r="BY111" s="568"/>
      <c r="BZ111" s="567"/>
      <c r="CA111" s="567"/>
      <c r="CB111" s="567"/>
      <c r="CC111" s="583"/>
      <c r="CD111" s="555" t="e">
        <f t="shared" ref="CD111:CF111" si="552">MEDIAN(AM111,AP111,AS111,AY111,BB111,AV111,AA111,BE111,BK111,BZ111,BH111,BN111,BQ111,BT111,BW111)</f>
        <v>#DIV/0!</v>
      </c>
      <c r="CE111" s="555" t="e">
        <f t="shared" si="552"/>
        <v>#DIV/0!</v>
      </c>
      <c r="CF111" s="556" t="e">
        <f t="shared" si="552"/>
        <v>#DIV/0!</v>
      </c>
      <c r="CG111" s="555" t="e">
        <f t="shared" ref="CG111:CI111" si="553">MAX(AP111,AS111,AV111,BB111,BE111,AY111,CD111,BK111,BZ111,AA111)-MIN(AP111,AS111,AV111,BB111,BE111,AY111,CD111,BK111,BZ111,AA111)</f>
        <v>#DIV/0!</v>
      </c>
      <c r="CH111" s="555" t="e">
        <f t="shared" si="553"/>
        <v>#DIV/0!</v>
      </c>
      <c r="CI111" s="556" t="e">
        <f t="shared" si="553"/>
        <v>#DIV/0!</v>
      </c>
      <c r="CJ111" s="555" t="e">
        <f t="shared" ref="CJ111:CL111" si="554">STDEV(AS111,AV111,AY111,BE111,BK111,BB111,CG111,BZ111,AA111,CD111)</f>
        <v>#DIV/0!</v>
      </c>
      <c r="CK111" s="555" t="e">
        <f t="shared" si="554"/>
        <v>#DIV/0!</v>
      </c>
      <c r="CL111" s="556" t="e">
        <f t="shared" si="554"/>
        <v>#DIV/0!</v>
      </c>
      <c r="CM111" s="555" t="e">
        <f t="shared" ref="CM111:CO111" si="555">CJ111/AA111</f>
        <v>#DIV/0!</v>
      </c>
      <c r="CN111" s="555" t="e">
        <f t="shared" si="555"/>
        <v>#DIV/0!</v>
      </c>
      <c r="CO111" s="556" t="e">
        <f t="shared" si="555"/>
        <v>#DIV/0!</v>
      </c>
      <c r="CP111" s="29" t="s">
        <v>120</v>
      </c>
      <c r="CQ111" s="535">
        <f t="shared" si="510"/>
        <v>2</v>
      </c>
      <c r="CR111" s="29" t="s">
        <v>120</v>
      </c>
      <c r="CS111" s="29"/>
      <c r="CT111" s="29"/>
      <c r="CU111" s="29"/>
      <c r="CV111" s="29"/>
    </row>
    <row r="112" customHeight="1" spans="1:100">
      <c r="A112" s="29" t="s">
        <v>328</v>
      </c>
      <c r="B112" s="541"/>
      <c r="C112" s="29" t="s">
        <v>1038</v>
      </c>
      <c r="F112" s="308"/>
      <c r="G112" s="308"/>
      <c r="H112" s="29" t="b">
        <v>0</v>
      </c>
      <c r="I112" s="29" t="b">
        <v>0</v>
      </c>
      <c r="J112" s="29" t="b">
        <v>1</v>
      </c>
      <c r="K112" s="29" t="b">
        <v>0</v>
      </c>
      <c r="L112" s="29" t="b">
        <v>0</v>
      </c>
      <c r="M112" s="29" t="b">
        <v>0</v>
      </c>
      <c r="P112" s="29" t="b">
        <v>0</v>
      </c>
      <c r="Q112" s="29" t="b">
        <v>0</v>
      </c>
      <c r="R112" s="29" t="b">
        <v>0</v>
      </c>
      <c r="S112" s="29" t="b">
        <v>0</v>
      </c>
      <c r="T112" s="29" t="b">
        <f t="shared" si="0"/>
        <v>0</v>
      </c>
      <c r="U112" s="29" t="s">
        <v>1077</v>
      </c>
      <c r="W112" s="29">
        <v>2</v>
      </c>
      <c r="X112" s="29" t="s">
        <v>1064</v>
      </c>
      <c r="Y112" s="16" t="s">
        <v>1041</v>
      </c>
      <c r="Z112" s="29" t="s">
        <v>1052</v>
      </c>
      <c r="AA112" s="554" t="e">
        <f t="shared" ref="AA112:AC112" si="556">AVERAGE(AJ112,AM112,AP112,AV112,AY112,AS112,BZ112,BB112,BE112,BH112,BK112,BN112,BQ112,BT112)</f>
        <v>#DIV/0!</v>
      </c>
      <c r="AB112" s="555" t="e">
        <f t="shared" si="556"/>
        <v>#DIV/0!</v>
      </c>
      <c r="AC112" s="556" t="e">
        <f t="shared" si="556"/>
        <v>#DIV/0!</v>
      </c>
      <c r="AD112" s="29" t="b">
        <v>0</v>
      </c>
      <c r="AE112" s="29" t="b">
        <v>1</v>
      </c>
      <c r="AF112" s="29" t="b">
        <v>0</v>
      </c>
      <c r="AG112" s="566"/>
      <c r="AH112" s="567"/>
      <c r="AI112" s="568"/>
      <c r="AJ112" s="567"/>
      <c r="AK112" s="567"/>
      <c r="AL112" s="568"/>
      <c r="AM112" s="567"/>
      <c r="AN112" s="567"/>
      <c r="AO112" s="568"/>
      <c r="AP112" s="567"/>
      <c r="AQ112" s="567"/>
      <c r="AR112" s="568"/>
      <c r="AS112" s="567"/>
      <c r="AT112" s="567"/>
      <c r="AU112" s="568"/>
      <c r="AV112" s="567"/>
      <c r="AW112" s="567"/>
      <c r="AX112" s="568"/>
      <c r="AY112" s="567"/>
      <c r="AZ112" s="567"/>
      <c r="BA112" s="568"/>
      <c r="BB112" s="567"/>
      <c r="BC112" s="567"/>
      <c r="BD112" s="568"/>
      <c r="BE112" s="567"/>
      <c r="BF112" s="567"/>
      <c r="BG112" s="568"/>
      <c r="BH112" s="567"/>
      <c r="BI112" s="567"/>
      <c r="BJ112" s="568"/>
      <c r="BK112" s="567"/>
      <c r="BL112" s="567"/>
      <c r="BM112" s="568"/>
      <c r="BN112" s="567"/>
      <c r="BO112" s="567"/>
      <c r="BP112" s="568"/>
      <c r="BQ112" s="567"/>
      <c r="BR112" s="567"/>
      <c r="BS112" s="568"/>
      <c r="BT112" s="567"/>
      <c r="BU112" s="567"/>
      <c r="BV112" s="568"/>
      <c r="BW112" s="567"/>
      <c r="BX112" s="567"/>
      <c r="BY112" s="568"/>
      <c r="BZ112" s="567"/>
      <c r="CA112" s="567"/>
      <c r="CB112" s="567"/>
      <c r="CC112" s="583"/>
      <c r="CD112" s="555" t="e">
        <f t="shared" ref="CD112:CF112" si="557">MEDIAN(AM112,AP112,AS112,AY112,BB112,AV112,AA112,BE112,BK112,BZ112,BH112,BN112,BQ112,BT112,BW112)</f>
        <v>#DIV/0!</v>
      </c>
      <c r="CE112" s="555" t="e">
        <f t="shared" si="557"/>
        <v>#DIV/0!</v>
      </c>
      <c r="CF112" s="556" t="e">
        <f t="shared" si="557"/>
        <v>#DIV/0!</v>
      </c>
      <c r="CG112" s="555" t="e">
        <f t="shared" ref="CG112:CI112" si="558">MAX(AP112,AS112,AV112,BB112,BE112,AY112,CD112,BK112,BZ112,AA112)-MIN(AP112,AS112,AV112,BB112,BE112,AY112,CD112,BK112,BZ112,AA112)</f>
        <v>#DIV/0!</v>
      </c>
      <c r="CH112" s="555" t="e">
        <f t="shared" si="558"/>
        <v>#DIV/0!</v>
      </c>
      <c r="CI112" s="556" t="e">
        <f t="shared" si="558"/>
        <v>#DIV/0!</v>
      </c>
      <c r="CJ112" s="555" t="e">
        <f t="shared" ref="CJ112:CL112" si="559">STDEV(AS112,AV112,AY112,BE112,BK112,BB112,CG112,BZ112,AA112,CD112)</f>
        <v>#DIV/0!</v>
      </c>
      <c r="CK112" s="555" t="e">
        <f t="shared" si="559"/>
        <v>#DIV/0!</v>
      </c>
      <c r="CL112" s="556" t="e">
        <f t="shared" si="559"/>
        <v>#DIV/0!</v>
      </c>
      <c r="CM112" s="555" t="e">
        <f t="shared" ref="CM112:CO112" si="560">CJ112/AA112</f>
        <v>#DIV/0!</v>
      </c>
      <c r="CN112" s="555" t="e">
        <f t="shared" si="560"/>
        <v>#DIV/0!</v>
      </c>
      <c r="CO112" s="556" t="e">
        <f t="shared" si="560"/>
        <v>#DIV/0!</v>
      </c>
      <c r="CP112" s="29" t="s">
        <v>120</v>
      </c>
      <c r="CQ112" s="535">
        <f t="shared" si="510"/>
        <v>2</v>
      </c>
      <c r="CR112" s="29" t="s">
        <v>120</v>
      </c>
      <c r="CS112" s="29"/>
      <c r="CT112" s="29"/>
      <c r="CU112" s="29"/>
      <c r="CV112" s="29"/>
    </row>
    <row r="113" customHeight="1" spans="1:100">
      <c r="A113" s="29" t="s">
        <v>329</v>
      </c>
      <c r="B113" s="541" t="s">
        <v>1087</v>
      </c>
      <c r="C113" s="29" t="s">
        <v>1088</v>
      </c>
      <c r="D113" s="29" t="s">
        <v>329</v>
      </c>
      <c r="E113" s="29"/>
      <c r="F113" s="29" t="s">
        <v>1044</v>
      </c>
      <c r="G113" s="29" t="s">
        <v>1039</v>
      </c>
      <c r="H113" s="29" t="b">
        <v>1</v>
      </c>
      <c r="I113" s="29" t="b">
        <v>1</v>
      </c>
      <c r="J113" s="29" t="b">
        <v>0</v>
      </c>
      <c r="K113" s="29" t="b">
        <v>0</v>
      </c>
      <c r="L113" s="29" t="b">
        <v>0</v>
      </c>
      <c r="M113" s="29" t="b">
        <v>0</v>
      </c>
      <c r="P113" s="29" t="b">
        <v>0</v>
      </c>
      <c r="Q113" s="29" t="b">
        <v>0</v>
      </c>
      <c r="R113" s="29" t="b">
        <v>1</v>
      </c>
      <c r="S113" s="29" t="b">
        <v>0</v>
      </c>
      <c r="T113" s="29" t="b">
        <f t="shared" si="0"/>
        <v>0</v>
      </c>
      <c r="U113" s="29" t="s">
        <v>1012</v>
      </c>
      <c r="W113" s="29" t="s">
        <v>119</v>
      </c>
      <c r="X113" s="29" t="s">
        <v>1049</v>
      </c>
      <c r="Y113" s="16" t="s">
        <v>1041</v>
      </c>
      <c r="Z113" s="29" t="s">
        <v>1042</v>
      </c>
      <c r="AA113" s="554">
        <f t="shared" ref="AA113:AC113" si="561">AVERAGE(AJ113,AM113,AP113,AV113,AY113,AS113,BZ113,BB113,BE113,BH113,BK113,BN113,BQ113,BT113)</f>
        <v>50</v>
      </c>
      <c r="AB113" s="555" t="e">
        <f t="shared" si="561"/>
        <v>#DIV/0!</v>
      </c>
      <c r="AC113" s="556" t="e">
        <f t="shared" si="561"/>
        <v>#DIV/0!</v>
      </c>
      <c r="AD113" s="29" t="b">
        <v>1</v>
      </c>
      <c r="AE113" s="29" t="b">
        <v>0</v>
      </c>
      <c r="AF113" s="29" t="b">
        <v>0</v>
      </c>
      <c r="AG113" s="574">
        <v>50</v>
      </c>
      <c r="AH113" s="567"/>
      <c r="AI113" s="568"/>
      <c r="AJ113" s="567"/>
      <c r="AK113" s="567"/>
      <c r="AL113" s="568"/>
      <c r="AM113" s="567"/>
      <c r="AN113" s="567"/>
      <c r="AO113" s="568"/>
      <c r="AP113" s="567"/>
      <c r="AQ113" s="567"/>
      <c r="AR113" s="568"/>
      <c r="AS113" s="567"/>
      <c r="AT113" s="567"/>
      <c r="AU113" s="568"/>
      <c r="AV113" s="567"/>
      <c r="AW113" s="567"/>
      <c r="AX113" s="568"/>
      <c r="AY113" s="567"/>
      <c r="AZ113" s="567"/>
      <c r="BA113" s="568"/>
      <c r="BB113" s="567"/>
      <c r="BC113" s="567"/>
      <c r="BD113" s="568"/>
      <c r="BE113" s="567"/>
      <c r="BF113" s="567"/>
      <c r="BG113" s="568"/>
      <c r="BH113" s="567"/>
      <c r="BI113" s="567"/>
      <c r="BJ113" s="568"/>
      <c r="BK113" s="567"/>
      <c r="BL113" s="567"/>
      <c r="BM113" s="568"/>
      <c r="BN113" s="567"/>
      <c r="BO113" s="567"/>
      <c r="BP113" s="568"/>
      <c r="BQ113" s="567"/>
      <c r="BR113" s="567"/>
      <c r="BS113" s="568"/>
      <c r="BT113" s="567"/>
      <c r="BU113" s="567"/>
      <c r="BV113" s="568"/>
      <c r="BW113" s="567"/>
      <c r="BX113" s="567"/>
      <c r="BY113" s="568"/>
      <c r="BZ113" s="569">
        <v>50</v>
      </c>
      <c r="CA113" s="572" t="s">
        <v>13</v>
      </c>
      <c r="CB113" s="569" t="s">
        <v>13</v>
      </c>
      <c r="CC113" s="583">
        <v>45340</v>
      </c>
      <c r="CD113" s="555">
        <f t="shared" ref="CD113:CF113" si="562">MEDIAN(AM113,AP113,AS113,AY113,BB113,AV113,AA113,BE113,BK113,BZ113,BH113,BN113,BQ113,BT113,BW113)</f>
        <v>50</v>
      </c>
      <c r="CE113" s="555" t="e">
        <f t="shared" si="562"/>
        <v>#DIV/0!</v>
      </c>
      <c r="CF113" s="556" t="e">
        <f t="shared" si="562"/>
        <v>#DIV/0!</v>
      </c>
      <c r="CG113" s="555">
        <f t="shared" ref="CG113:CI113" si="563">MAX(AP113,AS113,AV113,BB113,BE113,AY113,CD113,BK113,BZ113,AA113)-MIN(AP113,AS113,AV113,BB113,BE113,AY113,CD113,BK113,BZ113,AA113)</f>
        <v>0</v>
      </c>
      <c r="CH113" s="555" t="e">
        <f t="shared" si="563"/>
        <v>#DIV/0!</v>
      </c>
      <c r="CI113" s="556" t="e">
        <f t="shared" si="563"/>
        <v>#DIV/0!</v>
      </c>
      <c r="CJ113" s="555">
        <f t="shared" ref="CJ113:CL113" si="564">STDEV(AS113,AV113,AY113,BE113,BK113,BB113,CG113,BZ113,AA113,CD113)</f>
        <v>25</v>
      </c>
      <c r="CK113" s="555" t="e">
        <f t="shared" si="564"/>
        <v>#DIV/0!</v>
      </c>
      <c r="CL113" s="556" t="e">
        <f t="shared" si="564"/>
        <v>#DIV/0!</v>
      </c>
      <c r="CM113" s="555">
        <f t="shared" ref="CM113:CO113" si="565">CJ113/AA113</f>
        <v>0.5</v>
      </c>
      <c r="CN113" s="555" t="e">
        <f t="shared" si="565"/>
        <v>#DIV/0!</v>
      </c>
      <c r="CO113" s="556" t="e">
        <f t="shared" si="565"/>
        <v>#DIV/0!</v>
      </c>
      <c r="CP113" s="29" t="s">
        <v>120</v>
      </c>
      <c r="CQ113" s="535" t="str">
        <f t="shared" si="510"/>
        <v>n/a</v>
      </c>
      <c r="CR113" s="29" t="s">
        <v>120</v>
      </c>
      <c r="CS113" s="29" t="s">
        <v>120</v>
      </c>
      <c r="CT113" s="29" t="s">
        <v>120</v>
      </c>
      <c r="CU113" s="29" t="s">
        <v>120</v>
      </c>
      <c r="CV113" s="29" t="s">
        <v>120</v>
      </c>
    </row>
    <row r="114" customHeight="1" spans="1:100">
      <c r="A114" s="29" t="s">
        <v>330</v>
      </c>
      <c r="B114" s="541" t="s">
        <v>1087</v>
      </c>
      <c r="C114" s="29" t="s">
        <v>1088</v>
      </c>
      <c r="D114" s="29" t="s">
        <v>330</v>
      </c>
      <c r="E114" s="29"/>
      <c r="F114" s="29" t="s">
        <v>1044</v>
      </c>
      <c r="G114" s="29" t="s">
        <v>1039</v>
      </c>
      <c r="H114" s="29" t="b">
        <v>1</v>
      </c>
      <c r="I114" s="29" t="b">
        <v>1</v>
      </c>
      <c r="J114" s="29" t="b">
        <v>0</v>
      </c>
      <c r="K114" s="29" t="b">
        <v>0</v>
      </c>
      <c r="L114" s="29" t="b">
        <v>0</v>
      </c>
      <c r="M114" s="29" t="b">
        <v>0</v>
      </c>
      <c r="P114" s="29" t="b">
        <v>0</v>
      </c>
      <c r="Q114" s="29" t="b">
        <v>0</v>
      </c>
      <c r="R114" s="29" t="b">
        <v>0</v>
      </c>
      <c r="S114" s="29" t="b">
        <v>0</v>
      </c>
      <c r="T114" s="29" t="b">
        <f t="shared" si="0"/>
        <v>0</v>
      </c>
      <c r="U114" s="29" t="s">
        <v>999</v>
      </c>
      <c r="W114" s="29" t="s">
        <v>119</v>
      </c>
      <c r="X114" s="29" t="s">
        <v>1064</v>
      </c>
      <c r="Y114" s="16" t="s">
        <v>1041</v>
      </c>
      <c r="Z114" s="29" t="s">
        <v>1052</v>
      </c>
      <c r="AA114" s="554">
        <f t="shared" ref="AA114:AC114" si="566">AVERAGE(AJ114,AM114,AP114,AV114,AY114,AS114,BZ114,BB114,BE114,BH114,BK114,BN114,BQ114,BT114)</f>
        <v>0.111666666666667</v>
      </c>
      <c r="AB114" s="555" t="e">
        <f t="shared" si="566"/>
        <v>#DIV/0!</v>
      </c>
      <c r="AC114" s="556" t="e">
        <f t="shared" si="566"/>
        <v>#DIV/0!</v>
      </c>
      <c r="AD114" s="29" t="b">
        <v>1</v>
      </c>
      <c r="AE114" s="29" t="b">
        <v>0</v>
      </c>
      <c r="AF114" s="29" t="b">
        <v>0</v>
      </c>
      <c r="AG114" s="574">
        <v>0.11</v>
      </c>
      <c r="AH114" s="567"/>
      <c r="AI114" s="568"/>
      <c r="AJ114" s="567"/>
      <c r="AK114" s="567"/>
      <c r="AL114" s="568"/>
      <c r="AM114" s="567">
        <f>6.7/60</f>
        <v>0.111666666666667</v>
      </c>
      <c r="AN114" s="567"/>
      <c r="AO114" s="568"/>
      <c r="AP114" s="567"/>
      <c r="AQ114" s="567"/>
      <c r="AR114" s="568"/>
      <c r="AS114" s="567"/>
      <c r="AT114" s="567"/>
      <c r="AU114" s="568"/>
      <c r="AV114" s="567"/>
      <c r="AW114" s="567"/>
      <c r="AX114" s="568"/>
      <c r="AY114" s="567"/>
      <c r="AZ114" s="567"/>
      <c r="BA114" s="568"/>
      <c r="BB114" s="567"/>
      <c r="BC114" s="567"/>
      <c r="BD114" s="568"/>
      <c r="BE114" s="567"/>
      <c r="BF114" s="567"/>
      <c r="BG114" s="568"/>
      <c r="BH114" s="567"/>
      <c r="BI114" s="567"/>
      <c r="BJ114" s="568"/>
      <c r="BK114" s="567"/>
      <c r="BL114" s="567"/>
      <c r="BM114" s="568"/>
      <c r="BN114" s="567"/>
      <c r="BO114" s="567"/>
      <c r="BP114" s="568"/>
      <c r="BQ114" s="567"/>
      <c r="BR114" s="567"/>
      <c r="BS114" s="568"/>
      <c r="BT114" s="567"/>
      <c r="BU114" s="567"/>
      <c r="BV114" s="568"/>
      <c r="BW114" s="567"/>
      <c r="BX114" s="567"/>
      <c r="BY114" s="568"/>
      <c r="BZ114" s="567"/>
      <c r="CA114" s="567"/>
      <c r="CB114" s="567"/>
      <c r="CC114" s="583">
        <v>45340</v>
      </c>
      <c r="CD114" s="555">
        <f t="shared" ref="CD114:CF114" si="567">MEDIAN(AM114,AP114,AS114,AY114,BB114,AV114,AA114,BE114,BK114,BZ114,BH114,BN114,BQ114,BT114,BW114)</f>
        <v>0.111666666666667</v>
      </c>
      <c r="CE114" s="555" t="e">
        <f t="shared" si="567"/>
        <v>#DIV/0!</v>
      </c>
      <c r="CF114" s="556" t="e">
        <f t="shared" si="567"/>
        <v>#DIV/0!</v>
      </c>
      <c r="CG114" s="555">
        <f t="shared" ref="CG114:CI114" si="568">MAX(AP114,AS114,AV114,BB114,BE114,AY114,CD114,BK114,BZ114,AA114)-MIN(AP114,AS114,AV114,BB114,BE114,AY114,CD114,BK114,BZ114,AA114)</f>
        <v>0</v>
      </c>
      <c r="CH114" s="555" t="e">
        <f t="shared" si="568"/>
        <v>#DIV/0!</v>
      </c>
      <c r="CI114" s="556" t="e">
        <f t="shared" si="568"/>
        <v>#DIV/0!</v>
      </c>
      <c r="CJ114" s="555">
        <f t="shared" ref="CJ114:CL114" si="569">STDEV(AS114,AV114,AY114,BE114,BK114,BB114,CG114,BZ114,AA114,CD114)</f>
        <v>0.0644707800595082</v>
      </c>
      <c r="CK114" s="555" t="e">
        <f t="shared" si="569"/>
        <v>#DIV/0!</v>
      </c>
      <c r="CL114" s="556" t="e">
        <f t="shared" si="569"/>
        <v>#DIV/0!</v>
      </c>
      <c r="CM114" s="555">
        <f t="shared" ref="CM114:CO114" si="570">CJ114/AA114</f>
        <v>0.577350269189626</v>
      </c>
      <c r="CN114" s="555" t="e">
        <f t="shared" si="570"/>
        <v>#DIV/0!</v>
      </c>
      <c r="CO114" s="556" t="e">
        <f t="shared" si="570"/>
        <v>#DIV/0!</v>
      </c>
      <c r="CP114" s="29" t="s">
        <v>120</v>
      </c>
      <c r="CQ114" s="535" t="str">
        <f t="shared" si="510"/>
        <v>n/a</v>
      </c>
      <c r="CR114" s="29" t="s">
        <v>120</v>
      </c>
      <c r="CS114" s="29"/>
      <c r="CT114" s="29"/>
      <c r="CU114" s="29"/>
      <c r="CV114" s="29"/>
    </row>
    <row r="115" customHeight="1" spans="1:100">
      <c r="A115" s="29" t="s">
        <v>331</v>
      </c>
      <c r="B115" s="541" t="s">
        <v>1087</v>
      </c>
      <c r="C115" s="29" t="s">
        <v>1088</v>
      </c>
      <c r="D115" s="29" t="s">
        <v>332</v>
      </c>
      <c r="E115" s="29"/>
      <c r="F115" s="29" t="s">
        <v>1044</v>
      </c>
      <c r="G115" s="29" t="s">
        <v>1039</v>
      </c>
      <c r="H115" s="29" t="b">
        <v>1</v>
      </c>
      <c r="I115" s="29" t="b">
        <v>1</v>
      </c>
      <c r="J115" s="29" t="b">
        <v>0</v>
      </c>
      <c r="K115" s="29" t="b">
        <v>0</v>
      </c>
      <c r="L115" s="29" t="b">
        <v>0</v>
      </c>
      <c r="M115" s="29" t="b">
        <v>0</v>
      </c>
      <c r="P115" s="29" t="b">
        <v>0</v>
      </c>
      <c r="Q115" s="29" t="b">
        <v>0</v>
      </c>
      <c r="R115" s="29" t="b">
        <v>0</v>
      </c>
      <c r="S115" s="29" t="b">
        <v>0</v>
      </c>
      <c r="T115" s="29" t="b">
        <f t="shared" si="0"/>
        <v>0</v>
      </c>
      <c r="U115" s="29" t="s">
        <v>999</v>
      </c>
      <c r="W115" s="29">
        <v>1</v>
      </c>
      <c r="X115" s="29" t="s">
        <v>1064</v>
      </c>
      <c r="Y115" s="16" t="s">
        <v>1041</v>
      </c>
      <c r="Z115" s="29" t="s">
        <v>1052</v>
      </c>
      <c r="AA115" s="554" t="e">
        <f t="shared" ref="AA115:AC115" si="571">AVERAGE(AJ115,AM115,AP115,AV115,AY115,AS115,BZ115,BB115,BE115,BH115,BK115,BN115,BQ115,BT115)</f>
        <v>#DIV/0!</v>
      </c>
      <c r="AB115" s="555" t="e">
        <f t="shared" si="571"/>
        <v>#DIV/0!</v>
      </c>
      <c r="AC115" s="556" t="e">
        <f t="shared" si="571"/>
        <v>#DIV/0!</v>
      </c>
      <c r="AD115" s="29" t="b">
        <v>1</v>
      </c>
      <c r="AE115" s="29" t="b">
        <v>0</v>
      </c>
      <c r="AF115" s="29" t="b">
        <v>0</v>
      </c>
      <c r="AG115" s="591">
        <v>0.01</v>
      </c>
      <c r="AH115" s="567"/>
      <c r="AI115" s="568"/>
      <c r="AJ115" s="567"/>
      <c r="AK115" s="567"/>
      <c r="AL115" s="567"/>
      <c r="AM115" s="569"/>
      <c r="AN115" s="567"/>
      <c r="AO115" s="568"/>
      <c r="AP115" s="569"/>
      <c r="AQ115" s="567"/>
      <c r="AR115" s="568"/>
      <c r="AS115" s="567"/>
      <c r="AT115" s="567"/>
      <c r="AU115" s="568"/>
      <c r="AV115" s="567"/>
      <c r="AW115" s="567"/>
      <c r="AX115" s="568"/>
      <c r="AY115" s="567"/>
      <c r="AZ115" s="567"/>
      <c r="BA115" s="568"/>
      <c r="BB115" s="567"/>
      <c r="BC115" s="567"/>
      <c r="BD115" s="568"/>
      <c r="BE115" s="567"/>
      <c r="BF115" s="567"/>
      <c r="BG115" s="568"/>
      <c r="BH115" s="569"/>
      <c r="BI115" s="567"/>
      <c r="BJ115" s="568"/>
      <c r="BK115" s="567"/>
      <c r="BL115" s="567"/>
      <c r="BM115" s="568"/>
      <c r="BN115" s="567"/>
      <c r="BO115" s="567"/>
      <c r="BP115" s="568"/>
      <c r="BQ115" s="567"/>
      <c r="BR115" s="567"/>
      <c r="BS115" s="568"/>
      <c r="BT115" s="569"/>
      <c r="BU115" s="567"/>
      <c r="BV115" s="568"/>
      <c r="BW115" s="567"/>
      <c r="BX115" s="567"/>
      <c r="BY115" s="568"/>
      <c r="BZ115" s="567"/>
      <c r="CA115" s="567"/>
      <c r="CB115" s="567"/>
      <c r="CC115" s="583">
        <v>45340</v>
      </c>
      <c r="CD115" s="555" t="e">
        <f t="shared" ref="CD115:CF115" si="572">MEDIAN(AM115,AP115,AS115,AY115,BB115,AV115,AA115,BE115,BK115,BZ115,BH115,BN115,BQ115,BT115,BW115)</f>
        <v>#DIV/0!</v>
      </c>
      <c r="CE115" s="555" t="e">
        <f t="shared" si="572"/>
        <v>#DIV/0!</v>
      </c>
      <c r="CF115" s="556" t="e">
        <f t="shared" si="572"/>
        <v>#DIV/0!</v>
      </c>
      <c r="CG115" s="555" t="e">
        <f t="shared" ref="CG115:CI115" si="573">MAX(AP115,AS115,AV115,BB115,BE115,AY115,CD115,BK115,BZ115,AA115)-MIN(AP115,AS115,AV115,BB115,BE115,AY115,CD115,BK115,BZ115,AA115)</f>
        <v>#DIV/0!</v>
      </c>
      <c r="CH115" s="555" t="e">
        <f t="shared" si="573"/>
        <v>#DIV/0!</v>
      </c>
      <c r="CI115" s="556" t="e">
        <f t="shared" si="573"/>
        <v>#DIV/0!</v>
      </c>
      <c r="CJ115" s="555" t="e">
        <f t="shared" ref="CJ115:CL115" si="574">STDEV(AS115,AV115,AY115,BE115,BK115,BB115,CG115,BZ115,AA115,CD115)</f>
        <v>#DIV/0!</v>
      </c>
      <c r="CK115" s="555" t="e">
        <f t="shared" si="574"/>
        <v>#DIV/0!</v>
      </c>
      <c r="CL115" s="556" t="e">
        <f t="shared" si="574"/>
        <v>#DIV/0!</v>
      </c>
      <c r="CM115" s="555" t="e">
        <f t="shared" ref="CM115:CO115" si="575">CJ115/AA115</f>
        <v>#DIV/0!</v>
      </c>
      <c r="CN115" s="555" t="e">
        <f t="shared" si="575"/>
        <v>#DIV/0!</v>
      </c>
      <c r="CO115" s="556" t="e">
        <f t="shared" si="575"/>
        <v>#DIV/0!</v>
      </c>
      <c r="CP115" s="29" t="s">
        <v>120</v>
      </c>
      <c r="CQ115" s="535">
        <f t="shared" si="510"/>
        <v>1</v>
      </c>
      <c r="CR115" s="29" t="s">
        <v>120</v>
      </c>
      <c r="CS115" s="29"/>
      <c r="CT115" s="29"/>
      <c r="CU115" s="29"/>
      <c r="CV115" s="29"/>
    </row>
    <row r="116" customHeight="1" spans="1:100">
      <c r="A116" s="29" t="s">
        <v>333</v>
      </c>
      <c r="B116" s="541" t="s">
        <v>1087</v>
      </c>
      <c r="C116" s="29" t="s">
        <v>1088</v>
      </c>
      <c r="D116" s="29" t="s">
        <v>333</v>
      </c>
      <c r="E116" s="29"/>
      <c r="F116" s="29" t="s">
        <v>1044</v>
      </c>
      <c r="G116" s="29" t="s">
        <v>1039</v>
      </c>
      <c r="H116" s="29" t="b">
        <v>1</v>
      </c>
      <c r="I116" s="29" t="b">
        <v>1</v>
      </c>
      <c r="J116" s="29" t="b">
        <v>0</v>
      </c>
      <c r="K116" s="29" t="b">
        <v>0</v>
      </c>
      <c r="L116" s="29" t="b">
        <v>0</v>
      </c>
      <c r="M116" s="29" t="b">
        <v>0</v>
      </c>
      <c r="P116" s="29" t="b">
        <v>0</v>
      </c>
      <c r="Q116" s="29" t="b">
        <v>0</v>
      </c>
      <c r="R116" s="29" t="b">
        <v>0</v>
      </c>
      <c r="S116" s="29" t="b">
        <v>0</v>
      </c>
      <c r="T116" s="29" t="b">
        <f t="shared" si="0"/>
        <v>0</v>
      </c>
      <c r="U116" s="29" t="s">
        <v>999</v>
      </c>
      <c r="W116" s="29" t="s">
        <v>119</v>
      </c>
      <c r="X116" s="29" t="s">
        <v>1040</v>
      </c>
      <c r="Y116" s="16" t="s">
        <v>1041</v>
      </c>
      <c r="Z116" s="29" t="s">
        <v>1042</v>
      </c>
      <c r="AA116" s="554">
        <f t="shared" ref="AA116:AC116" si="576">AVERAGE(AJ116,AM116,AP116,AV116,AY116,AS116,BZ116,BB116,BE116,BH116,BK116,BN116,BQ116,BT116)</f>
        <v>514.285714285714</v>
      </c>
      <c r="AB116" s="555" t="e">
        <f t="shared" si="576"/>
        <v>#DIV/0!</v>
      </c>
      <c r="AC116" s="556" t="e">
        <f t="shared" si="576"/>
        <v>#DIV/0!</v>
      </c>
      <c r="AD116" s="29" t="b">
        <v>1</v>
      </c>
      <c r="AE116" s="29" t="b">
        <v>0</v>
      </c>
      <c r="AF116" s="29" t="b">
        <v>0</v>
      </c>
      <c r="AG116" s="574">
        <v>550</v>
      </c>
      <c r="AH116" s="569" t="s">
        <v>13</v>
      </c>
      <c r="AI116" s="570" t="s">
        <v>13</v>
      </c>
      <c r="AJ116" s="569" t="s">
        <v>13</v>
      </c>
      <c r="AK116" s="569" t="s">
        <v>13</v>
      </c>
      <c r="AL116" s="569" t="s">
        <v>13</v>
      </c>
      <c r="AM116" s="569">
        <v>600</v>
      </c>
      <c r="AN116" s="569" t="s">
        <v>13</v>
      </c>
      <c r="AO116" s="569" t="s">
        <v>13</v>
      </c>
      <c r="AP116" s="569">
        <v>500</v>
      </c>
      <c r="AQ116" s="569" t="s">
        <v>13</v>
      </c>
      <c r="AR116" s="570" t="s">
        <v>13</v>
      </c>
      <c r="AS116" s="569" t="s">
        <v>13</v>
      </c>
      <c r="AT116" s="569" t="s">
        <v>13</v>
      </c>
      <c r="AU116" s="570" t="s">
        <v>13</v>
      </c>
      <c r="AV116" s="569" t="s">
        <v>13</v>
      </c>
      <c r="AW116" s="569" t="s">
        <v>13</v>
      </c>
      <c r="AX116" s="570" t="s">
        <v>13</v>
      </c>
      <c r="AY116" s="569" t="s">
        <v>13</v>
      </c>
      <c r="AZ116" s="569" t="s">
        <v>13</v>
      </c>
      <c r="BA116" s="570" t="s">
        <v>13</v>
      </c>
      <c r="BB116" s="569" t="s">
        <v>13</v>
      </c>
      <c r="BC116" s="569" t="s">
        <v>13</v>
      </c>
      <c r="BD116" s="570" t="s">
        <v>13</v>
      </c>
      <c r="BE116" s="569">
        <v>500</v>
      </c>
      <c r="BF116" s="569" t="s">
        <v>13</v>
      </c>
      <c r="BG116" s="570" t="s">
        <v>13</v>
      </c>
      <c r="BH116" s="569">
        <v>500</v>
      </c>
      <c r="BI116" s="569" t="s">
        <v>13</v>
      </c>
      <c r="BJ116" s="570" t="s">
        <v>13</v>
      </c>
      <c r="BK116" s="569">
        <v>500</v>
      </c>
      <c r="BL116" s="569" t="s">
        <v>13</v>
      </c>
      <c r="BM116" s="570" t="s">
        <v>13</v>
      </c>
      <c r="BN116" s="569" t="s">
        <v>13</v>
      </c>
      <c r="BO116" s="569" t="s">
        <v>13</v>
      </c>
      <c r="BP116" s="570" t="s">
        <v>13</v>
      </c>
      <c r="BQ116" s="569">
        <v>500</v>
      </c>
      <c r="BR116" s="569" t="s">
        <v>13</v>
      </c>
      <c r="BS116" s="570" t="s">
        <v>13</v>
      </c>
      <c r="BT116" s="569">
        <v>500</v>
      </c>
      <c r="BU116" s="569" t="s">
        <v>13</v>
      </c>
      <c r="BV116" s="570" t="s">
        <v>13</v>
      </c>
      <c r="BW116" s="569">
        <v>529</v>
      </c>
      <c r="BX116" s="569" t="s">
        <v>13</v>
      </c>
      <c r="BY116" s="570" t="s">
        <v>13</v>
      </c>
      <c r="BZ116" s="569" t="s">
        <v>13</v>
      </c>
      <c r="CA116" s="569" t="s">
        <v>13</v>
      </c>
      <c r="CB116" s="569" t="s">
        <v>13</v>
      </c>
      <c r="CC116" s="583">
        <v>45340</v>
      </c>
      <c r="CD116" s="555">
        <f t="shared" ref="CD116:CF116" si="577">MEDIAN(AM116,AP116,AS116,AY116,BB116,AV116,AA116,BE116,BK116,BZ116,BH116,BN116,BQ116,BT116,BW116)</f>
        <v>500</v>
      </c>
      <c r="CE116" s="555" t="e">
        <f t="shared" si="577"/>
        <v>#DIV/0!</v>
      </c>
      <c r="CF116" s="556" t="e">
        <f t="shared" si="577"/>
        <v>#DIV/0!</v>
      </c>
      <c r="CG116" s="555">
        <f t="shared" ref="CG116:CI116" si="578">MAX(AP116,AS116,AV116,BB116,BE116,AY116,CD116,BK116,BZ116,AA116)-MIN(AP116,AS116,AV116,BB116,BE116,AY116,CD116,BK116,BZ116,AA116)</f>
        <v>14.2857142857143</v>
      </c>
      <c r="CH116" s="555" t="e">
        <f t="shared" si="578"/>
        <v>#DIV/0!</v>
      </c>
      <c r="CI116" s="556" t="e">
        <f t="shared" si="578"/>
        <v>#DIV/0!</v>
      </c>
      <c r="CJ116" s="555">
        <f t="shared" ref="CJ116:CL116" si="579">STDEV(AS116,AV116,AY116,BE116,BK116,BB116,CG116,BZ116,AA116,CD116)</f>
        <v>218.902643535748</v>
      </c>
      <c r="CK116" s="555" t="e">
        <f t="shared" si="579"/>
        <v>#DIV/0!</v>
      </c>
      <c r="CL116" s="556" t="e">
        <f t="shared" si="579"/>
        <v>#DIV/0!</v>
      </c>
      <c r="CM116" s="555">
        <f t="shared" ref="CM116:CO116" si="580">CJ116/AA116</f>
        <v>0.425644029097288</v>
      </c>
      <c r="CN116" s="555" t="e">
        <f t="shared" si="580"/>
        <v>#DIV/0!</v>
      </c>
      <c r="CO116" s="556" t="e">
        <f t="shared" si="580"/>
        <v>#DIV/0!</v>
      </c>
      <c r="CP116" s="29" t="s">
        <v>120</v>
      </c>
      <c r="CQ116" s="535" t="str">
        <f t="shared" si="510"/>
        <v>n/a</v>
      </c>
      <c r="CR116" s="29" t="s">
        <v>120</v>
      </c>
      <c r="CS116" s="29"/>
      <c r="CT116" s="29"/>
      <c r="CU116" s="29"/>
      <c r="CV116" s="29"/>
    </row>
    <row r="117" customHeight="1" spans="1:100">
      <c r="A117" s="29" t="s">
        <v>1089</v>
      </c>
      <c r="B117" s="541" t="s">
        <v>1087</v>
      </c>
      <c r="C117" s="29" t="s">
        <v>1088</v>
      </c>
      <c r="D117" s="29" t="s">
        <v>1090</v>
      </c>
      <c r="E117" s="29"/>
      <c r="F117" s="29" t="s">
        <v>1044</v>
      </c>
      <c r="G117" s="29" t="s">
        <v>1039</v>
      </c>
      <c r="H117" s="29" t="b">
        <v>0</v>
      </c>
      <c r="I117" s="29" t="b">
        <v>0</v>
      </c>
      <c r="J117" s="29" t="b">
        <v>1</v>
      </c>
      <c r="K117" s="29" t="b">
        <v>0</v>
      </c>
      <c r="L117" s="29" t="b">
        <v>0</v>
      </c>
      <c r="M117" s="29" t="b">
        <v>0</v>
      </c>
      <c r="P117" s="29" t="b">
        <v>0</v>
      </c>
      <c r="Q117" s="29" t="b">
        <v>0</v>
      </c>
      <c r="R117" s="29" t="b">
        <v>0</v>
      </c>
      <c r="S117" s="29" t="b">
        <v>0</v>
      </c>
      <c r="T117" s="29" t="b">
        <f t="shared" si="0"/>
        <v>0</v>
      </c>
      <c r="U117" s="29" t="s">
        <v>999</v>
      </c>
      <c r="W117" s="29" t="s">
        <v>119</v>
      </c>
      <c r="X117" s="29" t="s">
        <v>1040</v>
      </c>
      <c r="Y117" s="16" t="s">
        <v>1041</v>
      </c>
      <c r="Z117" s="29" t="s">
        <v>1042</v>
      </c>
      <c r="AA117" s="554" t="e">
        <f t="shared" ref="AA117:AC117" si="581">AVERAGE(AJ117,AM117,AP117,AV117,AY117,AS117,BZ117,BB117,BE117,BH117,BK117,BN117,BQ117,BT117)</f>
        <v>#DIV/0!</v>
      </c>
      <c r="AB117" s="555" t="e">
        <f t="shared" si="581"/>
        <v>#DIV/0!</v>
      </c>
      <c r="AC117" s="556" t="e">
        <f t="shared" si="581"/>
        <v>#DIV/0!</v>
      </c>
      <c r="AD117" s="29" t="b">
        <v>1</v>
      </c>
      <c r="AE117" s="29" t="b">
        <v>0</v>
      </c>
      <c r="AF117" s="29" t="b">
        <v>0</v>
      </c>
      <c r="AG117" s="574">
        <v>40</v>
      </c>
      <c r="AH117" s="569">
        <v>30</v>
      </c>
      <c r="AI117" s="570">
        <v>15</v>
      </c>
      <c r="AJ117" s="569"/>
      <c r="AK117" s="569"/>
      <c r="AL117" s="569"/>
      <c r="AM117" s="569"/>
      <c r="AN117" s="569"/>
      <c r="AO117" s="569"/>
      <c r="AP117" s="569"/>
      <c r="AQ117" s="569"/>
      <c r="AR117" s="570"/>
      <c r="AS117" s="569"/>
      <c r="AT117" s="569"/>
      <c r="AU117" s="570"/>
      <c r="AV117" s="569"/>
      <c r="AW117" s="569"/>
      <c r="AX117" s="570"/>
      <c r="AY117" s="569"/>
      <c r="AZ117" s="569"/>
      <c r="BA117" s="570"/>
      <c r="BB117" s="569"/>
      <c r="BC117" s="569"/>
      <c r="BD117" s="570"/>
      <c r="BE117" s="569"/>
      <c r="BF117" s="569"/>
      <c r="BG117" s="570"/>
      <c r="BH117" s="569"/>
      <c r="BI117" s="569"/>
      <c r="BJ117" s="570"/>
      <c r="BK117" s="569"/>
      <c r="BL117" s="569"/>
      <c r="BM117" s="570"/>
      <c r="BN117" s="569"/>
      <c r="BO117" s="569"/>
      <c r="BP117" s="570"/>
      <c r="BQ117" s="569"/>
      <c r="BR117" s="569"/>
      <c r="BS117" s="570"/>
      <c r="BT117" s="569"/>
      <c r="BU117" s="569"/>
      <c r="BV117" s="570"/>
      <c r="BW117" s="569"/>
      <c r="BX117" s="569"/>
      <c r="BY117" s="570"/>
      <c r="BZ117" s="569"/>
      <c r="CA117" s="569"/>
      <c r="CB117" s="569"/>
      <c r="CC117" s="583">
        <v>45342</v>
      </c>
      <c r="CD117" s="555" t="e">
        <f t="shared" ref="CD117:CF117" si="582">MEDIAN(AM117,AP117,AS117,AY117,BB117,AV117,AA117,BE117,BK117,BZ117,BH117,BN117,BQ117,BT117,BW117)</f>
        <v>#DIV/0!</v>
      </c>
      <c r="CE117" s="555" t="e">
        <f t="shared" si="582"/>
        <v>#DIV/0!</v>
      </c>
      <c r="CF117" s="556" t="e">
        <f t="shared" si="582"/>
        <v>#DIV/0!</v>
      </c>
      <c r="CG117" s="555" t="e">
        <f t="shared" ref="CG117:CI117" si="583">MAX(AP117,AS117,AV117,BB117,BE117,AY117,CD117,BK117,BZ117,AA117)-MIN(AP117,AS117,AV117,BB117,BE117,AY117,CD117,BK117,BZ117,AA117)</f>
        <v>#DIV/0!</v>
      </c>
      <c r="CH117" s="555" t="e">
        <f t="shared" si="583"/>
        <v>#DIV/0!</v>
      </c>
      <c r="CI117" s="556" t="e">
        <f t="shared" si="583"/>
        <v>#DIV/0!</v>
      </c>
      <c r="CJ117" s="555" t="e">
        <f t="shared" ref="CJ117:CL117" si="584">STDEV(AS117,AV117,AY117,BE117,BK117,BB117,CG117,BZ117,AA117,CD117)</f>
        <v>#DIV/0!</v>
      </c>
      <c r="CK117" s="555" t="e">
        <f t="shared" si="584"/>
        <v>#DIV/0!</v>
      </c>
      <c r="CL117" s="556" t="e">
        <f t="shared" si="584"/>
        <v>#DIV/0!</v>
      </c>
      <c r="CM117" s="555" t="e">
        <f t="shared" ref="CM117:CO117" si="585">CJ117/AA117</f>
        <v>#DIV/0!</v>
      </c>
      <c r="CN117" s="555" t="e">
        <f t="shared" si="585"/>
        <v>#DIV/0!</v>
      </c>
      <c r="CO117" s="556" t="e">
        <f t="shared" si="585"/>
        <v>#DIV/0!</v>
      </c>
      <c r="CP117" s="29" t="s">
        <v>120</v>
      </c>
      <c r="CQ117" s="535" t="str">
        <f t="shared" si="510"/>
        <v>n/a</v>
      </c>
      <c r="CR117" s="29" t="s">
        <v>120</v>
      </c>
      <c r="CS117" s="29"/>
      <c r="CT117" s="29"/>
      <c r="CU117" s="29"/>
      <c r="CV117" s="29"/>
    </row>
    <row r="118" customHeight="1" spans="1:100">
      <c r="A118" s="29" t="s">
        <v>1091</v>
      </c>
      <c r="B118" s="541" t="s">
        <v>1087</v>
      </c>
      <c r="C118" s="29" t="s">
        <v>1088</v>
      </c>
      <c r="D118" s="29" t="s">
        <v>1092</v>
      </c>
      <c r="E118" s="29"/>
      <c r="F118" s="29" t="s">
        <v>1044</v>
      </c>
      <c r="G118" s="29" t="s">
        <v>1039</v>
      </c>
      <c r="H118" s="29" t="b">
        <v>0</v>
      </c>
      <c r="I118" s="29" t="b">
        <v>0</v>
      </c>
      <c r="J118" s="29" t="b">
        <v>1</v>
      </c>
      <c r="K118" s="29" t="b">
        <v>0</v>
      </c>
      <c r="L118" s="29" t="b">
        <v>0</v>
      </c>
      <c r="M118" s="29" t="b">
        <v>0</v>
      </c>
      <c r="P118" s="29" t="b">
        <v>0</v>
      </c>
      <c r="Q118" s="29" t="b">
        <v>0</v>
      </c>
      <c r="R118" s="29" t="b">
        <v>0</v>
      </c>
      <c r="S118" s="29" t="b">
        <v>0</v>
      </c>
      <c r="T118" s="29" t="b">
        <f t="shared" si="0"/>
        <v>0</v>
      </c>
      <c r="U118" s="29" t="s">
        <v>999</v>
      </c>
      <c r="W118" s="29" t="s">
        <v>119</v>
      </c>
      <c r="X118" s="29" t="s">
        <v>1046</v>
      </c>
      <c r="Y118" s="16" t="s">
        <v>1041</v>
      </c>
      <c r="Z118" s="29" t="s">
        <v>1042</v>
      </c>
      <c r="AA118" s="554" t="e">
        <f t="shared" ref="AA118:AC118" si="586">AVERAGE(AJ118,AM118,AP118,AV118,AY118,AS118,BZ118,BB118,BE118,BH118,BK118,BN118,BQ118,BT118)</f>
        <v>#DIV/0!</v>
      </c>
      <c r="AB118" s="555" t="e">
        <f t="shared" si="586"/>
        <v>#DIV/0!</v>
      </c>
      <c r="AC118" s="556" t="e">
        <f t="shared" si="586"/>
        <v>#DIV/0!</v>
      </c>
      <c r="AD118" s="29" t="b">
        <v>1</v>
      </c>
      <c r="AE118" s="29" t="b">
        <v>0</v>
      </c>
      <c r="AF118" s="29" t="b">
        <v>0</v>
      </c>
      <c r="AG118" s="569">
        <v>40</v>
      </c>
      <c r="AH118" s="569">
        <v>30</v>
      </c>
      <c r="AI118" s="570">
        <v>15</v>
      </c>
      <c r="AJ118" s="569"/>
      <c r="AK118" s="569"/>
      <c r="AL118" s="569"/>
      <c r="AM118" s="569"/>
      <c r="AN118" s="569"/>
      <c r="AO118" s="570"/>
      <c r="AP118" s="569"/>
      <c r="AQ118" s="569"/>
      <c r="AR118" s="570"/>
      <c r="AS118" s="569"/>
      <c r="AT118" s="569"/>
      <c r="AU118" s="570"/>
      <c r="AV118" s="569"/>
      <c r="AW118" s="569"/>
      <c r="AX118" s="570"/>
      <c r="AY118" s="569"/>
      <c r="AZ118" s="569"/>
      <c r="BA118" s="570"/>
      <c r="BB118" s="569"/>
      <c r="BC118" s="569"/>
      <c r="BD118" s="570"/>
      <c r="BE118" s="569"/>
      <c r="BF118" s="569"/>
      <c r="BG118" s="570"/>
      <c r="BH118" s="569"/>
      <c r="BI118" s="569"/>
      <c r="BJ118" s="570"/>
      <c r="BK118" s="569"/>
      <c r="BL118" s="569"/>
      <c r="BM118" s="570"/>
      <c r="BN118" s="569"/>
      <c r="BO118" s="569"/>
      <c r="BP118" s="570"/>
      <c r="BQ118" s="569"/>
      <c r="BR118" s="569"/>
      <c r="BS118" s="570"/>
      <c r="BT118" s="569"/>
      <c r="BU118" s="569"/>
      <c r="BV118" s="570"/>
      <c r="BW118" s="569"/>
      <c r="BX118" s="569"/>
      <c r="BY118" s="570"/>
      <c r="BZ118" s="569"/>
      <c r="CA118" s="569"/>
      <c r="CB118" s="569"/>
      <c r="CC118" s="583">
        <v>45342</v>
      </c>
      <c r="CD118" s="555" t="e">
        <f t="shared" ref="CD118:CF118" si="587">MEDIAN(AM118,AP118,AS118,AY118,BB118,AV118,AA118,BE118,BK118,BZ118,BH118,BN118,BQ118,BT118,BW118)</f>
        <v>#DIV/0!</v>
      </c>
      <c r="CE118" s="555" t="e">
        <f t="shared" si="587"/>
        <v>#DIV/0!</v>
      </c>
      <c r="CF118" s="556" t="e">
        <f t="shared" si="587"/>
        <v>#DIV/0!</v>
      </c>
      <c r="CG118" s="555" t="e">
        <f t="shared" ref="CG118:CI118" si="588">MAX(AP118,AS118,AV118,BB118,BE118,AY118,CD118,BK118,BZ118,AA118)-MIN(AP118,AS118,AV118,BB118,BE118,AY118,CD118,BK118,BZ118,AA118)</f>
        <v>#DIV/0!</v>
      </c>
      <c r="CH118" s="555" t="e">
        <f t="shared" si="588"/>
        <v>#DIV/0!</v>
      </c>
      <c r="CI118" s="556" t="e">
        <f t="shared" si="588"/>
        <v>#DIV/0!</v>
      </c>
      <c r="CJ118" s="555" t="e">
        <f t="shared" ref="CJ118:CL118" si="589">STDEV(AS118,AV118,AY118,BE118,BK118,BB118,CG118,BZ118,AA118,CD118)</f>
        <v>#DIV/0!</v>
      </c>
      <c r="CK118" s="555" t="e">
        <f t="shared" si="589"/>
        <v>#DIV/0!</v>
      </c>
      <c r="CL118" s="556" t="e">
        <f t="shared" si="589"/>
        <v>#DIV/0!</v>
      </c>
      <c r="CM118" s="555" t="e">
        <f t="shared" ref="CM118:CO118" si="590">CJ118/AA118</f>
        <v>#DIV/0!</v>
      </c>
      <c r="CN118" s="555" t="e">
        <f t="shared" si="590"/>
        <v>#DIV/0!</v>
      </c>
      <c r="CO118" s="556" t="e">
        <f t="shared" si="590"/>
        <v>#DIV/0!</v>
      </c>
      <c r="CP118" s="29" t="s">
        <v>120</v>
      </c>
      <c r="CQ118" s="535" t="str">
        <f t="shared" si="510"/>
        <v>n/a</v>
      </c>
      <c r="CR118" s="29" t="s">
        <v>120</v>
      </c>
      <c r="CS118" s="29"/>
      <c r="CT118" s="29"/>
      <c r="CU118" s="29"/>
      <c r="CV118" s="29"/>
    </row>
    <row r="119" customHeight="1" spans="1:100">
      <c r="A119" s="29" t="s">
        <v>334</v>
      </c>
      <c r="B119" s="541" t="s">
        <v>1087</v>
      </c>
      <c r="C119" s="29" t="s">
        <v>1088</v>
      </c>
      <c r="D119" s="29" t="s">
        <v>334</v>
      </c>
      <c r="E119" s="29"/>
      <c r="F119" s="29" t="s">
        <v>1044</v>
      </c>
      <c r="G119" s="29" t="s">
        <v>1039</v>
      </c>
      <c r="H119" s="29" t="b">
        <v>1</v>
      </c>
      <c r="I119" s="29" t="b">
        <v>1</v>
      </c>
      <c r="J119" s="29" t="b">
        <v>0</v>
      </c>
      <c r="K119" s="29" t="b">
        <v>0</v>
      </c>
      <c r="L119" s="29" t="b">
        <v>0</v>
      </c>
      <c r="M119" s="29" t="b">
        <v>0</v>
      </c>
      <c r="P119" s="29" t="b">
        <v>0</v>
      </c>
      <c r="Q119" s="29" t="b">
        <v>0</v>
      </c>
      <c r="R119" s="29" t="b">
        <v>0</v>
      </c>
      <c r="S119" s="29" t="b">
        <v>0</v>
      </c>
      <c r="T119" s="29" t="b">
        <f t="shared" si="0"/>
        <v>0</v>
      </c>
      <c r="U119" s="29" t="s">
        <v>999</v>
      </c>
      <c r="W119" s="29" t="s">
        <v>119</v>
      </c>
      <c r="X119" s="29" t="s">
        <v>1064</v>
      </c>
      <c r="Y119" s="16" t="s">
        <v>1041</v>
      </c>
      <c r="Z119" s="29" t="s">
        <v>1052</v>
      </c>
      <c r="AA119" s="554">
        <f t="shared" ref="AA119:AC119" si="591">AVERAGE(AJ119,AM119,AP119,AV119,AY119,AS119,BZ119,BB119,BE119,BH119,BK119,BN119,BQ119,BT119)</f>
        <v>2</v>
      </c>
      <c r="AB119" s="555" t="e">
        <f t="shared" si="591"/>
        <v>#DIV/0!</v>
      </c>
      <c r="AC119" s="556" t="e">
        <f t="shared" si="591"/>
        <v>#DIV/0!</v>
      </c>
      <c r="AD119" s="29" t="b">
        <v>1</v>
      </c>
      <c r="AE119" s="29" t="b">
        <v>0</v>
      </c>
      <c r="AF119" s="29" t="b">
        <v>0</v>
      </c>
      <c r="AG119" s="569">
        <v>1.25</v>
      </c>
      <c r="AH119" s="567"/>
      <c r="AI119" s="568"/>
      <c r="AJ119" s="567"/>
      <c r="AK119" s="567"/>
      <c r="AL119" s="567"/>
      <c r="AM119" s="569">
        <v>2</v>
      </c>
      <c r="AN119" s="569" t="s">
        <v>13</v>
      </c>
      <c r="AO119" s="570" t="s">
        <v>13</v>
      </c>
      <c r="AP119" s="567"/>
      <c r="AQ119" s="567"/>
      <c r="AR119" s="568"/>
      <c r="AS119" s="567"/>
      <c r="AT119" s="567"/>
      <c r="AU119" s="568"/>
      <c r="AV119" s="567"/>
      <c r="AW119" s="567"/>
      <c r="AX119" s="568"/>
      <c r="AY119" s="567"/>
      <c r="AZ119" s="567"/>
      <c r="BA119" s="568"/>
      <c r="BB119" s="567"/>
      <c r="BC119" s="567"/>
      <c r="BD119" s="568"/>
      <c r="BE119" s="567"/>
      <c r="BF119" s="567"/>
      <c r="BG119" s="568"/>
      <c r="BH119" s="567"/>
      <c r="BI119" s="567"/>
      <c r="BJ119" s="568"/>
      <c r="BK119" s="567"/>
      <c r="BL119" s="567"/>
      <c r="BM119" s="568"/>
      <c r="BN119" s="567"/>
      <c r="BO119" s="567"/>
      <c r="BP119" s="568"/>
      <c r="BQ119" s="567"/>
      <c r="BR119" s="567"/>
      <c r="BS119" s="568"/>
      <c r="BT119" s="567"/>
      <c r="BU119" s="567"/>
      <c r="BV119" s="568"/>
      <c r="BW119" s="567"/>
      <c r="BX119" s="567"/>
      <c r="BY119" s="568"/>
      <c r="BZ119" s="567"/>
      <c r="CA119" s="567"/>
      <c r="CB119" s="567"/>
      <c r="CC119" s="583">
        <v>45340</v>
      </c>
      <c r="CD119" s="555">
        <f t="shared" ref="CD119:CF119" si="592">MEDIAN(AM119,AP119,AS119,AY119,BB119,AV119,AA119,BE119,BK119,BZ119,BH119,BN119,BQ119,BT119,BW119)</f>
        <v>2</v>
      </c>
      <c r="CE119" s="555" t="e">
        <f t="shared" si="592"/>
        <v>#DIV/0!</v>
      </c>
      <c r="CF119" s="556" t="e">
        <f t="shared" si="592"/>
        <v>#DIV/0!</v>
      </c>
      <c r="CG119" s="555">
        <f t="shared" ref="CG119:CI119" si="593">MAX(AP119,AS119,AV119,BB119,BE119,AY119,CD119,BK119,BZ119,AA119)-MIN(AP119,AS119,AV119,BB119,BE119,AY119,CD119,BK119,BZ119,AA119)</f>
        <v>0</v>
      </c>
      <c r="CH119" s="555" t="e">
        <f t="shared" si="593"/>
        <v>#DIV/0!</v>
      </c>
      <c r="CI119" s="556" t="e">
        <f t="shared" si="593"/>
        <v>#DIV/0!</v>
      </c>
      <c r="CJ119" s="555">
        <f t="shared" ref="CJ119:CL119" si="594">STDEV(AS119,AV119,AY119,BE119,BK119,BB119,CG119,BZ119,AA119,CD119)</f>
        <v>1.15470053837925</v>
      </c>
      <c r="CK119" s="555" t="e">
        <f t="shared" si="594"/>
        <v>#DIV/0!</v>
      </c>
      <c r="CL119" s="556" t="e">
        <f t="shared" si="594"/>
        <v>#DIV/0!</v>
      </c>
      <c r="CM119" s="555">
        <f t="shared" ref="CM119:CO119" si="595">CJ119/AA119</f>
        <v>0.577350269189626</v>
      </c>
      <c r="CN119" s="555" t="e">
        <f t="shared" si="595"/>
        <v>#DIV/0!</v>
      </c>
      <c r="CO119" s="556" t="e">
        <f t="shared" si="595"/>
        <v>#DIV/0!</v>
      </c>
      <c r="CP119" s="29" t="s">
        <v>120</v>
      </c>
      <c r="CQ119" s="535" t="str">
        <f t="shared" si="510"/>
        <v>n/a</v>
      </c>
      <c r="CR119" s="29" t="s">
        <v>120</v>
      </c>
      <c r="CS119" s="29"/>
      <c r="CT119" s="29"/>
      <c r="CU119" s="29"/>
      <c r="CV119" s="29"/>
    </row>
    <row r="120" customHeight="1" spans="1:100">
      <c r="A120" s="29" t="s">
        <v>335</v>
      </c>
      <c r="B120" s="541" t="s">
        <v>1087</v>
      </c>
      <c r="C120" s="29" t="s">
        <v>1088</v>
      </c>
      <c r="D120" s="29" t="s">
        <v>335</v>
      </c>
      <c r="E120" s="29"/>
      <c r="F120" s="29" t="s">
        <v>1044</v>
      </c>
      <c r="G120" s="29" t="s">
        <v>1039</v>
      </c>
      <c r="H120" s="29" t="b">
        <v>1</v>
      </c>
      <c r="I120" s="29" t="b">
        <v>1</v>
      </c>
      <c r="J120" s="29" t="b">
        <v>0</v>
      </c>
      <c r="K120" s="29" t="b">
        <v>0</v>
      </c>
      <c r="L120" s="29" t="b">
        <v>0</v>
      </c>
      <c r="M120" s="29" t="b">
        <v>0</v>
      </c>
      <c r="P120" s="29" t="b">
        <v>0</v>
      </c>
      <c r="Q120" s="29" t="b">
        <v>0</v>
      </c>
      <c r="R120" s="29" t="b">
        <v>0</v>
      </c>
      <c r="S120" s="29" t="b">
        <v>0</v>
      </c>
      <c r="T120" s="29" t="b">
        <f t="shared" si="0"/>
        <v>0</v>
      </c>
      <c r="U120" s="29" t="s">
        <v>999</v>
      </c>
      <c r="W120" s="29" t="s">
        <v>119</v>
      </c>
      <c r="X120" s="29" t="s">
        <v>1040</v>
      </c>
      <c r="Y120" s="16" t="s">
        <v>1041</v>
      </c>
      <c r="Z120" s="29" t="s">
        <v>1042</v>
      </c>
      <c r="AA120" s="554">
        <f t="shared" ref="AA120:AC120" si="596">AVERAGE(AJ120,AM120,AP120,AV120,AY120,AS120,BZ120,BB120,BE120,BH120,BK120,BN120,BQ120,BT120)</f>
        <v>750</v>
      </c>
      <c r="AB120" s="555" t="e">
        <f t="shared" si="596"/>
        <v>#DIV/0!</v>
      </c>
      <c r="AC120" s="556" t="e">
        <f t="shared" si="596"/>
        <v>#DIV/0!</v>
      </c>
      <c r="AD120" s="29" t="b">
        <v>1</v>
      </c>
      <c r="AE120" s="29" t="b">
        <v>0</v>
      </c>
      <c r="AF120" s="29" t="b">
        <v>0</v>
      </c>
      <c r="AG120" s="569">
        <v>750</v>
      </c>
      <c r="AH120" s="567"/>
      <c r="AI120" s="567"/>
      <c r="AJ120" s="567"/>
      <c r="AK120" s="567"/>
      <c r="AL120" s="567"/>
      <c r="AM120" s="569">
        <v>750</v>
      </c>
      <c r="AN120" s="569" t="s">
        <v>13</v>
      </c>
      <c r="AO120" s="570" t="s">
        <v>13</v>
      </c>
      <c r="AP120" s="567"/>
      <c r="AQ120" s="567"/>
      <c r="AR120" s="568"/>
      <c r="AS120" s="567"/>
      <c r="AT120" s="567"/>
      <c r="AU120" s="568"/>
      <c r="AV120" s="567"/>
      <c r="AW120" s="567"/>
      <c r="AX120" s="568"/>
      <c r="AY120" s="567"/>
      <c r="AZ120" s="567"/>
      <c r="BA120" s="568"/>
      <c r="BB120" s="567"/>
      <c r="BC120" s="567"/>
      <c r="BD120" s="568"/>
      <c r="BE120" s="567"/>
      <c r="BF120" s="567"/>
      <c r="BG120" s="568"/>
      <c r="BH120" s="567"/>
      <c r="BI120" s="567"/>
      <c r="BJ120" s="568"/>
      <c r="BK120" s="567"/>
      <c r="BL120" s="567"/>
      <c r="BM120" s="568"/>
      <c r="BN120" s="567"/>
      <c r="BO120" s="567"/>
      <c r="BP120" s="568"/>
      <c r="BQ120" s="567"/>
      <c r="BR120" s="567"/>
      <c r="BS120" s="568"/>
      <c r="BT120" s="567"/>
      <c r="BU120" s="567"/>
      <c r="BV120" s="568"/>
      <c r="BW120" s="567"/>
      <c r="BX120" s="567"/>
      <c r="BY120" s="568"/>
      <c r="BZ120" s="567"/>
      <c r="CA120" s="567"/>
      <c r="CB120" s="567"/>
      <c r="CC120" s="583">
        <v>45340</v>
      </c>
      <c r="CD120" s="555">
        <f t="shared" ref="CD120:CF120" si="597">MEDIAN(AM120,AP120,AS120,AY120,BB120,AV120,AA120,BE120,BK120,BZ120,BH120,BN120,BQ120,BT120,BW120)</f>
        <v>750</v>
      </c>
      <c r="CE120" s="555" t="e">
        <f t="shared" si="597"/>
        <v>#DIV/0!</v>
      </c>
      <c r="CF120" s="556" t="e">
        <f t="shared" si="597"/>
        <v>#DIV/0!</v>
      </c>
      <c r="CG120" s="555">
        <f t="shared" ref="CG120:CI120" si="598">MAX(AP120,AS120,AV120,BB120,BE120,AY120,CD120,BK120,BZ120,AA120)-MIN(AP120,AS120,AV120,BB120,BE120,AY120,CD120,BK120,BZ120,AA120)</f>
        <v>0</v>
      </c>
      <c r="CH120" s="555" t="e">
        <f t="shared" si="598"/>
        <v>#DIV/0!</v>
      </c>
      <c r="CI120" s="556" t="e">
        <f t="shared" si="598"/>
        <v>#DIV/0!</v>
      </c>
      <c r="CJ120" s="555">
        <f t="shared" ref="CJ120:CL120" si="599">STDEV(AS120,AV120,AY120,BE120,BK120,BB120,CG120,BZ120,AA120,CD120)</f>
        <v>433.012701892219</v>
      </c>
      <c r="CK120" s="555" t="e">
        <f t="shared" si="599"/>
        <v>#DIV/0!</v>
      </c>
      <c r="CL120" s="556" t="e">
        <f t="shared" si="599"/>
        <v>#DIV/0!</v>
      </c>
      <c r="CM120" s="555">
        <f t="shared" ref="CM120:CO120" si="600">CJ120/AA120</f>
        <v>0.577350269189626</v>
      </c>
      <c r="CN120" s="555" t="e">
        <f t="shared" si="600"/>
        <v>#DIV/0!</v>
      </c>
      <c r="CO120" s="556" t="e">
        <f t="shared" si="600"/>
        <v>#DIV/0!</v>
      </c>
      <c r="CP120" s="29" t="s">
        <v>120</v>
      </c>
      <c r="CQ120" s="535" t="str">
        <f t="shared" si="510"/>
        <v>n/a</v>
      </c>
      <c r="CR120" s="29" t="s">
        <v>120</v>
      </c>
      <c r="CS120" s="29"/>
      <c r="CT120" s="29"/>
      <c r="CU120" s="29"/>
      <c r="CV120" s="29"/>
    </row>
    <row r="121" customHeight="1" spans="1:100">
      <c r="A121" s="29" t="s">
        <v>336</v>
      </c>
      <c r="B121" s="541" t="s">
        <v>1087</v>
      </c>
      <c r="C121" s="29" t="s">
        <v>1088</v>
      </c>
      <c r="D121" s="29" t="s">
        <v>336</v>
      </c>
      <c r="E121" s="29"/>
      <c r="F121" s="29" t="s">
        <v>1044</v>
      </c>
      <c r="G121" s="29" t="s">
        <v>1039</v>
      </c>
      <c r="H121" s="29" t="b">
        <v>0</v>
      </c>
      <c r="I121" s="29" t="b">
        <v>0</v>
      </c>
      <c r="J121" s="29" t="b">
        <v>1</v>
      </c>
      <c r="K121" s="29" t="b">
        <v>0</v>
      </c>
      <c r="L121" s="29" t="b">
        <v>0</v>
      </c>
      <c r="M121" s="29" t="b">
        <v>0</v>
      </c>
      <c r="P121" s="29" t="b">
        <v>0</v>
      </c>
      <c r="Q121" s="29" t="b">
        <v>0</v>
      </c>
      <c r="R121" s="29" t="b">
        <v>0</v>
      </c>
      <c r="S121" s="29" t="b">
        <v>0</v>
      </c>
      <c r="T121" s="29" t="b">
        <f t="shared" si="0"/>
        <v>0</v>
      </c>
      <c r="U121" s="29" t="s">
        <v>999</v>
      </c>
      <c r="W121" s="29" t="s">
        <v>119</v>
      </c>
      <c r="X121" s="29" t="s">
        <v>1040</v>
      </c>
      <c r="Y121" s="16" t="s">
        <v>1041</v>
      </c>
      <c r="Z121" s="29" t="s">
        <v>1042</v>
      </c>
      <c r="AA121" s="554">
        <f t="shared" ref="AA121:AC121" si="601">AVERAGE(AJ121,AM121,AP121,AV121,AY121,AS121,BZ121,BB121,BE121,BH121,BK121,BN121,BQ121,BT121)</f>
        <v>44.3333333333333</v>
      </c>
      <c r="AB121" s="555" t="e">
        <f t="shared" si="601"/>
        <v>#DIV/0!</v>
      </c>
      <c r="AC121" s="556" t="e">
        <f t="shared" si="601"/>
        <v>#DIV/0!</v>
      </c>
      <c r="AD121" s="29" t="b">
        <v>1</v>
      </c>
      <c r="AE121" s="29" t="b">
        <v>0</v>
      </c>
      <c r="AF121" s="29" t="b">
        <v>0</v>
      </c>
      <c r="AG121" s="574">
        <v>50</v>
      </c>
      <c r="AH121" s="569" t="s">
        <v>13</v>
      </c>
      <c r="AI121" s="570" t="s">
        <v>13</v>
      </c>
      <c r="AJ121" s="567"/>
      <c r="AK121" s="567"/>
      <c r="AL121" s="567"/>
      <c r="AM121" s="569">
        <v>40</v>
      </c>
      <c r="AN121" s="569" t="s">
        <v>13</v>
      </c>
      <c r="AO121" s="570" t="s">
        <v>13</v>
      </c>
      <c r="AP121" s="569">
        <v>50</v>
      </c>
      <c r="AQ121" s="569"/>
      <c r="AR121" s="570"/>
      <c r="AS121" s="567"/>
      <c r="AT121" s="567"/>
      <c r="AU121" s="568"/>
      <c r="AV121" s="569">
        <v>43</v>
      </c>
      <c r="AW121" s="567"/>
      <c r="AX121" s="568"/>
      <c r="AY121" s="567"/>
      <c r="AZ121" s="567"/>
      <c r="BA121" s="568"/>
      <c r="BB121" s="567"/>
      <c r="BC121" s="567"/>
      <c r="BD121" s="568"/>
      <c r="BE121" s="567"/>
      <c r="BF121" s="567"/>
      <c r="BG121" s="568"/>
      <c r="BH121" s="567"/>
      <c r="BI121" s="567"/>
      <c r="BJ121" s="568"/>
      <c r="BK121" s="567"/>
      <c r="BL121" s="567"/>
      <c r="BM121" s="568"/>
      <c r="BN121" s="567"/>
      <c r="BO121" s="567"/>
      <c r="BP121" s="568"/>
      <c r="BQ121" s="567"/>
      <c r="BR121" s="567"/>
      <c r="BS121" s="568"/>
      <c r="BT121" s="567"/>
      <c r="BU121" s="567"/>
      <c r="BV121" s="568"/>
      <c r="BW121" s="567"/>
      <c r="BX121" s="567"/>
      <c r="BY121" s="568"/>
      <c r="BZ121" s="567"/>
      <c r="CA121" s="567"/>
      <c r="CB121" s="567"/>
      <c r="CC121" s="583">
        <v>45340</v>
      </c>
      <c r="CD121" s="555">
        <f t="shared" ref="CD121:CF121" si="602">MEDIAN(AM121,AP121,AS121,AY121,BB121,AV121,AA121,BE121,BK121,BZ121,BH121,BN121,BQ121,BT121,BW121)</f>
        <v>43.6666666666667</v>
      </c>
      <c r="CE121" s="555" t="e">
        <f t="shared" si="602"/>
        <v>#DIV/0!</v>
      </c>
      <c r="CF121" s="556" t="e">
        <f t="shared" si="602"/>
        <v>#DIV/0!</v>
      </c>
      <c r="CG121" s="555">
        <f t="shared" ref="CG121:CI121" si="603">MAX(AP121,AS121,AV121,BB121,BE121,AY121,CD121,BK121,BZ121,AA121)-MIN(AP121,AS121,AV121,BB121,BE121,AY121,CD121,BK121,BZ121,AA121)</f>
        <v>7</v>
      </c>
      <c r="CH121" s="555" t="e">
        <f t="shared" si="603"/>
        <v>#DIV/0!</v>
      </c>
      <c r="CI121" s="556" t="e">
        <f t="shared" si="603"/>
        <v>#DIV/0!</v>
      </c>
      <c r="CJ121" s="555">
        <f t="shared" ref="CJ121:CL121" si="604">STDEV(AS121,AV121,AY121,BE121,BK121,BB121,CG121,BZ121,AA121,CD121)</f>
        <v>18.3414123613043</v>
      </c>
      <c r="CK121" s="555" t="e">
        <f t="shared" si="604"/>
        <v>#DIV/0!</v>
      </c>
      <c r="CL121" s="556" t="e">
        <f t="shared" si="604"/>
        <v>#DIV/0!</v>
      </c>
      <c r="CM121" s="555">
        <f t="shared" ref="CM121:CO121" si="605">CJ121/AA121</f>
        <v>0.413716068300098</v>
      </c>
      <c r="CN121" s="555" t="e">
        <f t="shared" si="605"/>
        <v>#DIV/0!</v>
      </c>
      <c r="CO121" s="556" t="e">
        <f t="shared" si="605"/>
        <v>#DIV/0!</v>
      </c>
      <c r="CP121" s="29" t="s">
        <v>120</v>
      </c>
      <c r="CQ121" s="535" t="str">
        <f t="shared" si="510"/>
        <v>n/a</v>
      </c>
      <c r="CR121" s="29" t="s">
        <v>120</v>
      </c>
      <c r="CS121" s="29"/>
      <c r="CT121" s="29"/>
      <c r="CU121" s="29"/>
      <c r="CV121" s="29"/>
    </row>
    <row r="122" customHeight="1" spans="1:100">
      <c r="A122" s="29" t="s">
        <v>337</v>
      </c>
      <c r="B122" s="541" t="s">
        <v>1087</v>
      </c>
      <c r="C122" s="29" t="s">
        <v>1088</v>
      </c>
      <c r="D122" s="29" t="s">
        <v>337</v>
      </c>
      <c r="E122" s="29"/>
      <c r="F122" s="29" t="s">
        <v>1044</v>
      </c>
      <c r="G122" s="29" t="s">
        <v>1039</v>
      </c>
      <c r="H122" s="29" t="b">
        <v>1</v>
      </c>
      <c r="I122" s="29" t="b">
        <v>1</v>
      </c>
      <c r="J122" s="29" t="b">
        <v>0</v>
      </c>
      <c r="K122" s="29" t="b">
        <v>0</v>
      </c>
      <c r="L122" s="29" t="b">
        <v>1</v>
      </c>
      <c r="M122" s="29" t="b">
        <v>1</v>
      </c>
      <c r="P122" s="29" t="b">
        <v>1</v>
      </c>
      <c r="Q122" s="29" t="b">
        <v>1</v>
      </c>
      <c r="R122" s="29" t="b">
        <v>1</v>
      </c>
      <c r="S122" s="29" t="b">
        <v>1</v>
      </c>
      <c r="T122" s="29" t="b">
        <f t="shared" si="0"/>
        <v>1</v>
      </c>
      <c r="U122" s="29" t="s">
        <v>997</v>
      </c>
      <c r="V122" s="29" t="s">
        <v>181</v>
      </c>
      <c r="W122" s="29" t="s">
        <v>119</v>
      </c>
      <c r="X122" s="29" t="s">
        <v>1045</v>
      </c>
      <c r="Y122" s="16" t="s">
        <v>1041</v>
      </c>
      <c r="Z122" s="29" t="s">
        <v>1049</v>
      </c>
      <c r="AA122" s="554" t="e">
        <f t="shared" ref="AA122:AC122" si="606">AVERAGE(AJ122,AM122,AP122,AV122,AY122,AS122,BZ122,BB122,BE122,BH122,BK122,BN122,BQ122,BT122)</f>
        <v>#DIV/0!</v>
      </c>
      <c r="AB122" s="555" t="e">
        <f t="shared" si="606"/>
        <v>#DIV/0!</v>
      </c>
      <c r="AC122" s="556" t="e">
        <f t="shared" si="606"/>
        <v>#DIV/0!</v>
      </c>
      <c r="AD122" s="29" t="b">
        <v>1</v>
      </c>
      <c r="AE122" s="29" t="b">
        <v>0</v>
      </c>
      <c r="AF122" s="29" t="b">
        <v>0</v>
      </c>
      <c r="AG122" s="522">
        <v>13</v>
      </c>
      <c r="AH122" s="569" t="s">
        <v>13</v>
      </c>
      <c r="AI122" s="570" t="s">
        <v>13</v>
      </c>
      <c r="AJ122" s="567"/>
      <c r="AK122" s="567"/>
      <c r="AL122" s="567"/>
      <c r="AM122" s="569"/>
      <c r="AN122" s="569"/>
      <c r="AO122" s="568"/>
      <c r="AP122" s="569"/>
      <c r="AQ122" s="569"/>
      <c r="AR122" s="570"/>
      <c r="AS122" s="567"/>
      <c r="AT122" s="567"/>
      <c r="AU122" s="568"/>
      <c r="AV122" s="567"/>
      <c r="AW122" s="567"/>
      <c r="AX122" s="568"/>
      <c r="AY122" s="567"/>
      <c r="AZ122" s="567"/>
      <c r="BA122" s="568"/>
      <c r="BB122" s="567"/>
      <c r="BC122" s="567"/>
      <c r="BD122" s="568"/>
      <c r="BE122" s="567"/>
      <c r="BF122" s="567"/>
      <c r="BG122" s="568"/>
      <c r="BH122" s="567"/>
      <c r="BI122" s="567"/>
      <c r="BJ122" s="568"/>
      <c r="BK122" s="567"/>
      <c r="BL122" s="567"/>
      <c r="BM122" s="568"/>
      <c r="BN122" s="567"/>
      <c r="BO122" s="567"/>
      <c r="BP122" s="568"/>
      <c r="BQ122" s="567"/>
      <c r="BR122" s="567"/>
      <c r="BS122" s="568"/>
      <c r="BT122" s="567"/>
      <c r="BU122" s="567"/>
      <c r="BV122" s="568"/>
      <c r="BW122" s="567"/>
      <c r="BX122" s="567"/>
      <c r="BY122" s="568"/>
      <c r="BZ122" s="567"/>
      <c r="CA122" s="567"/>
      <c r="CB122" s="567"/>
      <c r="CC122" s="583">
        <v>45340</v>
      </c>
      <c r="CD122" s="555" t="e">
        <f t="shared" ref="CD122:CF122" si="607">MEDIAN(AM122,AP122,AS122,AY122,BB122,AV122,AA122,BE122,BK122,BZ122,BH122,BN122,BQ122,BT122,BW122)</f>
        <v>#DIV/0!</v>
      </c>
      <c r="CE122" s="555" t="e">
        <f t="shared" si="607"/>
        <v>#DIV/0!</v>
      </c>
      <c r="CF122" s="556" t="e">
        <f t="shared" si="607"/>
        <v>#DIV/0!</v>
      </c>
      <c r="CG122" s="555" t="e">
        <f t="shared" ref="CG122:CI122" si="608">MAX(AP122,AS122,AV122,BB122,BE122,AY122,CD122,BK122,BZ122,AA122)-MIN(AP122,AS122,AV122,BB122,BE122,AY122,CD122,BK122,BZ122,AA122)</f>
        <v>#DIV/0!</v>
      </c>
      <c r="CH122" s="555" t="e">
        <f t="shared" si="608"/>
        <v>#DIV/0!</v>
      </c>
      <c r="CI122" s="556" t="e">
        <f t="shared" si="608"/>
        <v>#DIV/0!</v>
      </c>
      <c r="CJ122" s="555" t="e">
        <f t="shared" ref="CJ122:CL122" si="609">STDEV(AS122,AV122,AY122,BE122,BK122,BB122,CG122,BZ122,AA122,CD122)</f>
        <v>#DIV/0!</v>
      </c>
      <c r="CK122" s="555" t="e">
        <f t="shared" si="609"/>
        <v>#DIV/0!</v>
      </c>
      <c r="CL122" s="556" t="e">
        <f t="shared" si="609"/>
        <v>#DIV/0!</v>
      </c>
      <c r="CM122" s="555" t="e">
        <f t="shared" ref="CM122:CO122" si="610">CJ122/AA122</f>
        <v>#DIV/0!</v>
      </c>
      <c r="CN122" s="555" t="e">
        <f t="shared" si="610"/>
        <v>#DIV/0!</v>
      </c>
      <c r="CO122" s="556" t="e">
        <f t="shared" si="610"/>
        <v>#DIV/0!</v>
      </c>
      <c r="CP122" s="29"/>
      <c r="CQ122" s="535"/>
      <c r="CR122" s="29"/>
      <c r="CS122" s="29"/>
      <c r="CT122" s="29"/>
      <c r="CU122" s="29"/>
      <c r="CV122" s="29"/>
    </row>
    <row r="123" customHeight="1" spans="1:100">
      <c r="A123" s="29" t="s">
        <v>338</v>
      </c>
      <c r="B123" s="541" t="s">
        <v>1087</v>
      </c>
      <c r="C123" s="29" t="s">
        <v>1088</v>
      </c>
      <c r="D123" s="29" t="s">
        <v>338</v>
      </c>
      <c r="E123" s="29"/>
      <c r="F123" s="29" t="s">
        <v>1044</v>
      </c>
      <c r="G123" s="29" t="s">
        <v>1039</v>
      </c>
      <c r="H123" s="29" t="b">
        <v>1</v>
      </c>
      <c r="I123" s="29" t="b">
        <v>1</v>
      </c>
      <c r="J123" s="29" t="b">
        <v>0</v>
      </c>
      <c r="K123" s="29" t="b">
        <v>0</v>
      </c>
      <c r="L123" s="29" t="b">
        <v>1</v>
      </c>
      <c r="M123" s="29" t="b">
        <v>1</v>
      </c>
      <c r="P123" s="29" t="b">
        <v>1</v>
      </c>
      <c r="Q123" s="29" t="b">
        <v>1</v>
      </c>
      <c r="R123" s="29" t="b">
        <v>1</v>
      </c>
      <c r="S123" s="29" t="b">
        <v>1</v>
      </c>
      <c r="T123" s="29" t="b">
        <f t="shared" si="0"/>
        <v>1</v>
      </c>
      <c r="U123" s="29" t="s">
        <v>997</v>
      </c>
      <c r="V123" s="29" t="s">
        <v>181</v>
      </c>
      <c r="W123" s="29" t="s">
        <v>119</v>
      </c>
      <c r="X123" s="29" t="s">
        <v>1045</v>
      </c>
      <c r="Y123" s="16" t="s">
        <v>1041</v>
      </c>
      <c r="Z123" s="29" t="s">
        <v>1049</v>
      </c>
      <c r="AA123" s="554" t="e">
        <f t="shared" ref="AA123:AC123" si="611">AVERAGE(AJ123,AM123,AP123,AV123,AY123,AS123,BZ123,BB123,BE123,BH123,BK123,BN123,BQ123,BT123)</f>
        <v>#DIV/0!</v>
      </c>
      <c r="AB123" s="555" t="e">
        <f t="shared" si="611"/>
        <v>#DIV/0!</v>
      </c>
      <c r="AC123" s="556" t="e">
        <f t="shared" si="611"/>
        <v>#DIV/0!</v>
      </c>
      <c r="AD123" s="29" t="b">
        <v>1</v>
      </c>
      <c r="AE123" s="29" t="b">
        <v>0</v>
      </c>
      <c r="AF123" s="29" t="b">
        <v>0</v>
      </c>
      <c r="AG123" s="522">
        <v>25</v>
      </c>
      <c r="AH123" s="569" t="s">
        <v>13</v>
      </c>
      <c r="AI123" s="570" t="s">
        <v>13</v>
      </c>
      <c r="AJ123" s="567"/>
      <c r="AK123" s="567"/>
      <c r="AL123" s="567"/>
      <c r="AM123" s="569"/>
      <c r="AN123" s="569"/>
      <c r="AO123" s="568"/>
      <c r="AP123" s="569"/>
      <c r="AQ123" s="569"/>
      <c r="AR123" s="570"/>
      <c r="AS123" s="567"/>
      <c r="AT123" s="567"/>
      <c r="AU123" s="568"/>
      <c r="AV123" s="567"/>
      <c r="AW123" s="567"/>
      <c r="AX123" s="568"/>
      <c r="AY123" s="567"/>
      <c r="AZ123" s="567"/>
      <c r="BA123" s="568"/>
      <c r="BB123" s="567"/>
      <c r="BC123" s="567"/>
      <c r="BD123" s="568"/>
      <c r="BE123" s="567"/>
      <c r="BF123" s="567"/>
      <c r="BG123" s="568"/>
      <c r="BH123" s="567"/>
      <c r="BI123" s="567"/>
      <c r="BJ123" s="568"/>
      <c r="BK123" s="567"/>
      <c r="BL123" s="567"/>
      <c r="BM123" s="568"/>
      <c r="BN123" s="567"/>
      <c r="BO123" s="567"/>
      <c r="BP123" s="568"/>
      <c r="BQ123" s="567"/>
      <c r="BR123" s="567"/>
      <c r="BS123" s="568"/>
      <c r="BT123" s="567"/>
      <c r="BU123" s="567"/>
      <c r="BV123" s="568"/>
      <c r="BW123" s="567"/>
      <c r="BX123" s="567"/>
      <c r="BY123" s="568"/>
      <c r="BZ123" s="567"/>
      <c r="CA123" s="567"/>
      <c r="CB123" s="567"/>
      <c r="CC123" s="583">
        <v>45340</v>
      </c>
      <c r="CD123" s="555" t="e">
        <f t="shared" ref="CD123:CF123" si="612">MEDIAN(AM123,AP123,AS123,AY123,BB123,AV123,AA123,BE123,BK123,BZ123,BH123,BN123,BQ123,BT123,BW123)</f>
        <v>#DIV/0!</v>
      </c>
      <c r="CE123" s="555" t="e">
        <f t="shared" si="612"/>
        <v>#DIV/0!</v>
      </c>
      <c r="CF123" s="556" t="e">
        <f t="shared" si="612"/>
        <v>#DIV/0!</v>
      </c>
      <c r="CG123" s="555" t="e">
        <f t="shared" ref="CG123:CI123" si="613">MAX(AP123,AS123,AV123,BB123,BE123,AY123,CD123,BK123,BZ123,AA123)-MIN(AP123,AS123,AV123,BB123,BE123,AY123,CD123,BK123,BZ123,AA123)</f>
        <v>#DIV/0!</v>
      </c>
      <c r="CH123" s="555" t="e">
        <f t="shared" si="613"/>
        <v>#DIV/0!</v>
      </c>
      <c r="CI123" s="556" t="e">
        <f t="shared" si="613"/>
        <v>#DIV/0!</v>
      </c>
      <c r="CJ123" s="555" t="e">
        <f t="shared" ref="CJ123:CL123" si="614">STDEV(AS123,AV123,AY123,BE123,BK123,BB123,CG123,BZ123,AA123,CD123)</f>
        <v>#DIV/0!</v>
      </c>
      <c r="CK123" s="555" t="e">
        <f t="shared" si="614"/>
        <v>#DIV/0!</v>
      </c>
      <c r="CL123" s="556" t="e">
        <f t="shared" si="614"/>
        <v>#DIV/0!</v>
      </c>
      <c r="CM123" s="555" t="e">
        <f t="shared" ref="CM123:CO123" si="615">CJ123/AA123</f>
        <v>#DIV/0!</v>
      </c>
      <c r="CN123" s="555" t="e">
        <f t="shared" si="615"/>
        <v>#DIV/0!</v>
      </c>
      <c r="CO123" s="556" t="e">
        <f t="shared" si="615"/>
        <v>#DIV/0!</v>
      </c>
      <c r="CP123" s="29"/>
      <c r="CQ123" s="535"/>
      <c r="CR123" s="29"/>
      <c r="CS123" s="29"/>
      <c r="CT123" s="29"/>
      <c r="CU123" s="29"/>
      <c r="CV123" s="29"/>
    </row>
    <row r="124" customHeight="1" spans="1:100">
      <c r="A124" s="29" t="s">
        <v>137</v>
      </c>
      <c r="B124" s="541" t="s">
        <v>1093</v>
      </c>
      <c r="C124" s="29" t="s">
        <v>1094</v>
      </c>
      <c r="D124" s="29" t="s">
        <v>138</v>
      </c>
      <c r="E124" s="29"/>
      <c r="F124" s="29" t="s">
        <v>1044</v>
      </c>
      <c r="G124" s="29" t="s">
        <v>1039</v>
      </c>
      <c r="H124" s="29" t="b">
        <v>1</v>
      </c>
      <c r="I124" s="29" t="b">
        <v>1</v>
      </c>
      <c r="J124" s="29" t="b">
        <v>0</v>
      </c>
      <c r="K124" s="29" t="b">
        <v>0</v>
      </c>
      <c r="L124" s="29" t="b">
        <v>1</v>
      </c>
      <c r="M124" s="29" t="b">
        <v>1</v>
      </c>
      <c r="P124" s="29" t="b">
        <v>0</v>
      </c>
      <c r="Q124" s="29" t="b">
        <v>0</v>
      </c>
      <c r="R124" s="29" t="b">
        <v>0</v>
      </c>
      <c r="S124" s="29" t="b">
        <v>1</v>
      </c>
      <c r="T124" s="29" t="b">
        <f t="shared" si="0"/>
        <v>0</v>
      </c>
      <c r="U124" s="29" t="s">
        <v>998</v>
      </c>
      <c r="V124" s="29" t="s">
        <v>140</v>
      </c>
      <c r="W124" s="29">
        <v>1</v>
      </c>
      <c r="X124" s="29" t="s">
        <v>1046</v>
      </c>
      <c r="Y124" s="16" t="s">
        <v>1041</v>
      </c>
      <c r="Z124" s="29" t="s">
        <v>1042</v>
      </c>
      <c r="AA124" s="554">
        <f t="shared" ref="AA124:AC124" si="616">AVERAGE(AJ124,AM124,AP124,AV124,AY124,AS124,BZ124,BB124,BE124,BH124,BK124,BN124,BQ124,BT124)</f>
        <v>157.875</v>
      </c>
      <c r="AB124" s="555">
        <f t="shared" si="616"/>
        <v>112.5</v>
      </c>
      <c r="AC124" s="556">
        <f t="shared" si="616"/>
        <v>81.77</v>
      </c>
      <c r="AD124" s="29" t="b">
        <v>1</v>
      </c>
      <c r="AE124" s="29" t="b">
        <v>0</v>
      </c>
      <c r="AF124" s="29" t="b">
        <v>0</v>
      </c>
      <c r="AG124" s="574">
        <v>200</v>
      </c>
      <c r="AH124" s="569">
        <v>120</v>
      </c>
      <c r="AI124" s="570">
        <v>75</v>
      </c>
      <c r="AJ124" s="569">
        <v>125</v>
      </c>
      <c r="AK124" s="569">
        <v>100</v>
      </c>
      <c r="AL124" s="569">
        <v>75</v>
      </c>
      <c r="AM124" s="567">
        <f>(325+350)/2/1.8</f>
        <v>187.5</v>
      </c>
      <c r="AN124" s="567">
        <f t="shared" ref="AN124:AO124" si="617">AM124/(1+(AM124/375))</f>
        <v>125</v>
      </c>
      <c r="AO124" s="568">
        <f t="shared" si="617"/>
        <v>93.75</v>
      </c>
      <c r="AP124" s="569">
        <v>200</v>
      </c>
      <c r="AQ124" s="569">
        <v>125</v>
      </c>
      <c r="AR124" s="570">
        <v>83.33</v>
      </c>
      <c r="AS124" s="567"/>
      <c r="AT124" s="567"/>
      <c r="AU124" s="568"/>
      <c r="AV124" s="567"/>
      <c r="AW124" s="567"/>
      <c r="AX124" s="568"/>
      <c r="AY124" s="569">
        <v>125</v>
      </c>
      <c r="AZ124" s="569">
        <v>100</v>
      </c>
      <c r="BA124" s="570">
        <v>75</v>
      </c>
      <c r="BB124" s="569">
        <v>107</v>
      </c>
      <c r="BC124" s="569"/>
      <c r="BD124" s="570"/>
      <c r="BE124" s="569">
        <v>200</v>
      </c>
      <c r="BF124" s="569"/>
      <c r="BG124" s="570"/>
      <c r="BH124" s="569">
        <v>200</v>
      </c>
      <c r="BI124" s="569"/>
      <c r="BJ124" s="570"/>
      <c r="BK124" s="569">
        <v>175</v>
      </c>
      <c r="BL124" s="569"/>
      <c r="BM124" s="570"/>
      <c r="BN124" s="569">
        <v>100</v>
      </c>
      <c r="BO124" s="569"/>
      <c r="BP124" s="570"/>
      <c r="BQ124" s="569">
        <v>175</v>
      </c>
      <c r="BR124" s="569"/>
      <c r="BS124" s="570"/>
      <c r="BT124" s="569">
        <v>200</v>
      </c>
      <c r="BU124" s="569"/>
      <c r="BV124" s="570"/>
      <c r="BW124" s="569">
        <v>186</v>
      </c>
      <c r="BX124" s="569"/>
      <c r="BY124" s="570"/>
      <c r="BZ124" s="569">
        <v>100</v>
      </c>
      <c r="CA124" s="569"/>
      <c r="CB124" s="569"/>
      <c r="CC124" s="583">
        <v>45340</v>
      </c>
      <c r="CD124" s="555">
        <f t="shared" ref="CD124:CF124" si="618">MEDIAN(AM124,AP124,AS124,AY124,BB124,AV124,AA124,BE124,BK124,BZ124,BH124,BN124,BQ124,BT124,BW124)</f>
        <v>175</v>
      </c>
      <c r="CE124" s="555">
        <f t="shared" si="618"/>
        <v>118.75</v>
      </c>
      <c r="CF124" s="556">
        <f t="shared" si="618"/>
        <v>82.55</v>
      </c>
      <c r="CG124" s="555">
        <f t="shared" ref="CG124:CI124" si="619">MAX(AP124,AS124,AV124,BB124,BE124,AY124,CD124,BK124,BZ124,AA124)-MIN(AP124,AS124,AV124,BB124,BE124,AY124,CD124,BK124,BZ124,AA124)</f>
        <v>100</v>
      </c>
      <c r="CH124" s="555">
        <f t="shared" si="619"/>
        <v>25</v>
      </c>
      <c r="CI124" s="556">
        <f t="shared" si="619"/>
        <v>8.33</v>
      </c>
      <c r="CJ124" s="555">
        <f t="shared" ref="CJ124:CL124" si="620">STDEV(AS124,AV124,AY124,BE124,BK124,BB124,CG124,BZ124,AA124,CD124)</f>
        <v>39.3412518354735</v>
      </c>
      <c r="CK124" s="555">
        <f t="shared" si="620"/>
        <v>43.4138874670306</v>
      </c>
      <c r="CL124" s="556">
        <f t="shared" si="620"/>
        <v>35.8821853431476</v>
      </c>
      <c r="CM124" s="555">
        <f t="shared" ref="CM124:CO124" si="621">CJ124/AA124</f>
        <v>0.249192410676</v>
      </c>
      <c r="CN124" s="555">
        <f t="shared" si="621"/>
        <v>0.385901221929161</v>
      </c>
      <c r="CO124" s="556">
        <f t="shared" si="621"/>
        <v>0.438818458397305</v>
      </c>
      <c r="CP124" s="29" t="s">
        <v>142</v>
      </c>
      <c r="CQ124" s="535">
        <f t="shared" ref="CQ124:CQ181" si="622">W124</f>
        <v>1</v>
      </c>
      <c r="CR124" s="29" t="s">
        <v>120</v>
      </c>
      <c r="CS124" s="29" t="s">
        <v>120</v>
      </c>
      <c r="CT124" s="29" t="s">
        <v>120</v>
      </c>
      <c r="CU124" s="29" t="s">
        <v>120</v>
      </c>
      <c r="CV124" s="29" t="s">
        <v>120</v>
      </c>
    </row>
    <row r="125" customHeight="1" spans="1:100">
      <c r="A125" s="29" t="s">
        <v>339</v>
      </c>
      <c r="B125" s="541" t="s">
        <v>1093</v>
      </c>
      <c r="C125" s="29" t="s">
        <v>1094</v>
      </c>
      <c r="D125" s="29" t="s">
        <v>340</v>
      </c>
      <c r="E125" s="29"/>
      <c r="F125" s="29" t="s">
        <v>1044</v>
      </c>
      <c r="G125" s="29" t="s">
        <v>1039</v>
      </c>
      <c r="H125" s="29" t="b">
        <v>1</v>
      </c>
      <c r="I125" s="29" t="b">
        <v>1</v>
      </c>
      <c r="J125" s="29" t="b">
        <v>0</v>
      </c>
      <c r="K125" s="29" t="b">
        <v>1</v>
      </c>
      <c r="L125" s="29" t="b">
        <v>1</v>
      </c>
      <c r="M125" s="29" t="b">
        <v>1</v>
      </c>
      <c r="P125" s="29" t="b">
        <v>0</v>
      </c>
      <c r="Q125" s="29" t="b">
        <v>0</v>
      </c>
      <c r="R125" s="29" t="b">
        <v>0</v>
      </c>
      <c r="S125" s="29" t="b">
        <v>1</v>
      </c>
      <c r="T125" s="29" t="b">
        <f t="shared" si="0"/>
        <v>0</v>
      </c>
      <c r="U125" s="29" t="s">
        <v>998</v>
      </c>
      <c r="V125" s="29" t="s">
        <v>140</v>
      </c>
      <c r="W125" s="29">
        <v>2</v>
      </c>
      <c r="X125" s="29" t="s">
        <v>1046</v>
      </c>
      <c r="Y125" s="16" t="s">
        <v>1041</v>
      </c>
      <c r="Z125" s="29" t="s">
        <v>1042</v>
      </c>
      <c r="AA125" s="554" t="e">
        <f t="shared" ref="AA125:AC125" si="623">AVERAGE(AJ125,AM125,AP125,AV125,AY125,AS125,BZ125,BB125,BE125,BH125,BK125,BN125,BQ125,BT125)</f>
        <v>#DIV/0!</v>
      </c>
      <c r="AB125" s="555" t="e">
        <f t="shared" si="623"/>
        <v>#DIV/0!</v>
      </c>
      <c r="AC125" s="556" t="e">
        <f t="shared" si="623"/>
        <v>#DIV/0!</v>
      </c>
      <c r="AD125" s="29" t="b">
        <v>0</v>
      </c>
      <c r="AE125" s="29" t="b">
        <v>1</v>
      </c>
      <c r="AF125" s="29" t="b">
        <v>1</v>
      </c>
      <c r="AG125" s="574">
        <v>110</v>
      </c>
      <c r="AH125" s="569">
        <v>70</v>
      </c>
      <c r="AI125" s="570">
        <v>50</v>
      </c>
      <c r="AJ125" s="569" t="s">
        <v>13</v>
      </c>
      <c r="AK125" s="569" t="s">
        <v>13</v>
      </c>
      <c r="AL125" s="569" t="s">
        <v>13</v>
      </c>
      <c r="AM125" s="569"/>
      <c r="AN125" s="569"/>
      <c r="AO125" s="570"/>
      <c r="AP125" s="569" t="s">
        <v>13</v>
      </c>
      <c r="AQ125" s="569" t="s">
        <v>13</v>
      </c>
      <c r="AR125" s="570" t="s">
        <v>13</v>
      </c>
      <c r="AS125" s="569" t="s">
        <v>13</v>
      </c>
      <c r="AT125" s="569" t="s">
        <v>13</v>
      </c>
      <c r="AU125" s="570" t="s">
        <v>13</v>
      </c>
      <c r="AV125" s="569" t="s">
        <v>13</v>
      </c>
      <c r="AW125" s="569" t="s">
        <v>13</v>
      </c>
      <c r="AX125" s="570" t="s">
        <v>13</v>
      </c>
      <c r="AY125" s="569" t="s">
        <v>13</v>
      </c>
      <c r="AZ125" s="569" t="s">
        <v>13</v>
      </c>
      <c r="BA125" s="570" t="s">
        <v>13</v>
      </c>
      <c r="BB125" s="569"/>
      <c r="BC125" s="569"/>
      <c r="BD125" s="570"/>
      <c r="BE125" s="569"/>
      <c r="BF125" s="569"/>
      <c r="BG125" s="570"/>
      <c r="BH125" s="569"/>
      <c r="BI125" s="569"/>
      <c r="BJ125" s="570"/>
      <c r="BK125" s="569"/>
      <c r="BL125" s="569"/>
      <c r="BM125" s="570"/>
      <c r="BN125" s="569"/>
      <c r="BO125" s="569"/>
      <c r="BP125" s="570"/>
      <c r="BQ125" s="569"/>
      <c r="BR125" s="569"/>
      <c r="BS125" s="570"/>
      <c r="BT125" s="569"/>
      <c r="BU125" s="569"/>
      <c r="BV125" s="570"/>
      <c r="BW125" s="569"/>
      <c r="BX125" s="569"/>
      <c r="BY125" s="570"/>
      <c r="BZ125" s="569" t="s">
        <v>13</v>
      </c>
      <c r="CA125" s="569" t="s">
        <v>13</v>
      </c>
      <c r="CB125" s="569" t="s">
        <v>13</v>
      </c>
      <c r="CC125" s="583"/>
      <c r="CD125" s="555" t="e">
        <f t="shared" ref="CD125:CF125" si="624">MEDIAN(AM125,AP125,AS125,AY125,BB125,AV125,AA125,BE125,BK125,BZ125,BH125,BN125,BQ125,BT125,BW125)</f>
        <v>#DIV/0!</v>
      </c>
      <c r="CE125" s="555" t="e">
        <f t="shared" si="624"/>
        <v>#DIV/0!</v>
      </c>
      <c r="CF125" s="556" t="e">
        <f t="shared" si="624"/>
        <v>#DIV/0!</v>
      </c>
      <c r="CG125" s="555" t="e">
        <f t="shared" ref="CG125:CI125" si="625">MAX(AP125,AS125,AV125,BB125,BE125,AY125,CD125,BK125,BZ125,AA125)-MIN(AP125,AS125,AV125,BB125,BE125,AY125,CD125,BK125,BZ125,AA125)</f>
        <v>#DIV/0!</v>
      </c>
      <c r="CH125" s="555" t="e">
        <f t="shared" si="625"/>
        <v>#DIV/0!</v>
      </c>
      <c r="CI125" s="556" t="e">
        <f t="shared" si="625"/>
        <v>#DIV/0!</v>
      </c>
      <c r="CJ125" s="555" t="e">
        <f t="shared" ref="CJ125:CL125" si="626">STDEV(AS125,AV125,AY125,BE125,BK125,BB125,CG125,BZ125,AA125,CD125)</f>
        <v>#DIV/0!</v>
      </c>
      <c r="CK125" s="555" t="e">
        <f t="shared" si="626"/>
        <v>#DIV/0!</v>
      </c>
      <c r="CL125" s="556" t="e">
        <f t="shared" si="626"/>
        <v>#DIV/0!</v>
      </c>
      <c r="CM125" s="555" t="e">
        <f t="shared" ref="CM125:CO125" si="627">CJ125/AA125</f>
        <v>#DIV/0!</v>
      </c>
      <c r="CN125" s="555" t="e">
        <f t="shared" si="627"/>
        <v>#DIV/0!</v>
      </c>
      <c r="CO125" s="556" t="e">
        <f t="shared" si="627"/>
        <v>#DIV/0!</v>
      </c>
      <c r="CP125" s="29" t="s">
        <v>142</v>
      </c>
      <c r="CQ125" s="535">
        <f t="shared" si="622"/>
        <v>2</v>
      </c>
      <c r="CR125" s="29" t="s">
        <v>120</v>
      </c>
      <c r="CS125" s="29" t="s">
        <v>120</v>
      </c>
      <c r="CT125" s="29" t="s">
        <v>120</v>
      </c>
      <c r="CU125" s="29" t="s">
        <v>120</v>
      </c>
      <c r="CV125" s="29" t="s">
        <v>120</v>
      </c>
    </row>
    <row r="126" customHeight="1" spans="1:100">
      <c r="A126" s="29" t="s">
        <v>341</v>
      </c>
      <c r="B126" s="541" t="s">
        <v>1093</v>
      </c>
      <c r="C126" s="29" t="s">
        <v>1094</v>
      </c>
      <c r="D126" s="29" t="s">
        <v>342</v>
      </c>
      <c r="E126" s="29"/>
      <c r="F126" s="29" t="s">
        <v>1044</v>
      </c>
      <c r="G126" s="29" t="s">
        <v>1039</v>
      </c>
      <c r="H126" s="29" t="b">
        <v>1</v>
      </c>
      <c r="I126" s="29" t="b">
        <v>1</v>
      </c>
      <c r="J126" s="29" t="b">
        <v>0</v>
      </c>
      <c r="K126" s="29" t="b">
        <v>1</v>
      </c>
      <c r="L126" s="29" t="b">
        <v>1</v>
      </c>
      <c r="M126" s="29" t="b">
        <v>1</v>
      </c>
      <c r="P126" s="29" t="b">
        <v>0</v>
      </c>
      <c r="Q126" s="29" t="b">
        <v>0</v>
      </c>
      <c r="R126" s="29" t="b">
        <v>0</v>
      </c>
      <c r="S126" s="29" t="b">
        <v>1</v>
      </c>
      <c r="T126" s="29" t="b">
        <f t="shared" si="0"/>
        <v>0</v>
      </c>
      <c r="U126" s="29" t="s">
        <v>998</v>
      </c>
      <c r="V126" s="29" t="s">
        <v>140</v>
      </c>
      <c r="W126" s="29">
        <v>2</v>
      </c>
      <c r="X126" s="29" t="s">
        <v>1045</v>
      </c>
      <c r="Y126" s="16" t="s">
        <v>1041</v>
      </c>
      <c r="Z126" s="29" t="s">
        <v>1049</v>
      </c>
      <c r="AA126" s="554" t="e">
        <f t="shared" ref="AA126:AC126" si="628">AVERAGE(AJ126,AM126,AP126,AV126,AY126,AS126,BZ126,BB126,BE126,BH126,BK126,BN126,BQ126,BT126)</f>
        <v>#DIV/0!</v>
      </c>
      <c r="AB126" s="555" t="e">
        <f t="shared" si="628"/>
        <v>#DIV/0!</v>
      </c>
      <c r="AC126" s="556" t="e">
        <f t="shared" si="628"/>
        <v>#DIV/0!</v>
      </c>
      <c r="AD126" s="29" t="b">
        <v>0</v>
      </c>
      <c r="AE126" s="29" t="b">
        <v>1</v>
      </c>
      <c r="AF126" s="29" t="b">
        <v>1</v>
      </c>
      <c r="AG126" s="522">
        <v>8</v>
      </c>
      <c r="AH126" s="245">
        <v>13</v>
      </c>
      <c r="AI126" s="570" t="s">
        <v>13</v>
      </c>
      <c r="AJ126" s="569" t="s">
        <v>13</v>
      </c>
      <c r="AK126" s="569" t="s">
        <v>13</v>
      </c>
      <c r="AL126" s="569" t="s">
        <v>13</v>
      </c>
      <c r="AM126" s="569"/>
      <c r="AN126" s="569"/>
      <c r="AO126" s="570"/>
      <c r="AP126" s="569" t="s">
        <v>13</v>
      </c>
      <c r="AQ126" s="569" t="s">
        <v>13</v>
      </c>
      <c r="AR126" s="570" t="s">
        <v>13</v>
      </c>
      <c r="AS126" s="569" t="s">
        <v>13</v>
      </c>
      <c r="AT126" s="569" t="s">
        <v>13</v>
      </c>
      <c r="AU126" s="570" t="s">
        <v>13</v>
      </c>
      <c r="AV126" s="569" t="s">
        <v>13</v>
      </c>
      <c r="AW126" s="569" t="s">
        <v>13</v>
      </c>
      <c r="AX126" s="570" t="s">
        <v>13</v>
      </c>
      <c r="AY126" s="569" t="s">
        <v>13</v>
      </c>
      <c r="AZ126" s="569" t="s">
        <v>13</v>
      </c>
      <c r="BA126" s="570" t="s">
        <v>13</v>
      </c>
      <c r="BB126" s="569"/>
      <c r="BC126" s="569"/>
      <c r="BD126" s="570"/>
      <c r="BE126" s="569"/>
      <c r="BF126" s="569"/>
      <c r="BG126" s="570"/>
      <c r="BH126" s="569"/>
      <c r="BI126" s="569"/>
      <c r="BJ126" s="570"/>
      <c r="BK126" s="569"/>
      <c r="BL126" s="569"/>
      <c r="BM126" s="570"/>
      <c r="BN126" s="569"/>
      <c r="BO126" s="569"/>
      <c r="BP126" s="570"/>
      <c r="BQ126" s="569"/>
      <c r="BR126" s="569"/>
      <c r="BS126" s="570"/>
      <c r="BT126" s="569"/>
      <c r="BU126" s="569"/>
      <c r="BV126" s="570"/>
      <c r="BW126" s="569"/>
      <c r="BX126" s="569"/>
      <c r="BY126" s="570"/>
      <c r="BZ126" s="569" t="s">
        <v>13</v>
      </c>
      <c r="CA126" s="569" t="s">
        <v>13</v>
      </c>
      <c r="CB126" s="569" t="s">
        <v>13</v>
      </c>
      <c r="CC126" s="583"/>
      <c r="CD126" s="555" t="e">
        <f t="shared" ref="CD126:CF126" si="629">MEDIAN(AM126,AP126,AS126,AY126,BB126,AV126,AA126,BE126,BK126,BZ126,BH126,BN126,BQ126,BT126,BW126)</f>
        <v>#DIV/0!</v>
      </c>
      <c r="CE126" s="555" t="e">
        <f t="shared" si="629"/>
        <v>#DIV/0!</v>
      </c>
      <c r="CF126" s="556" t="e">
        <f t="shared" si="629"/>
        <v>#DIV/0!</v>
      </c>
      <c r="CG126" s="555" t="e">
        <f t="shared" ref="CG126:CI126" si="630">MAX(AP126,AS126,AV126,BB126,BE126,AY126,CD126,BK126,BZ126,AA126)-MIN(AP126,AS126,AV126,BB126,BE126,AY126,CD126,BK126,BZ126,AA126)</f>
        <v>#DIV/0!</v>
      </c>
      <c r="CH126" s="555" t="e">
        <f t="shared" si="630"/>
        <v>#DIV/0!</v>
      </c>
      <c r="CI126" s="556" t="e">
        <f t="shared" si="630"/>
        <v>#DIV/0!</v>
      </c>
      <c r="CJ126" s="555" t="e">
        <f t="shared" ref="CJ126:CL126" si="631">STDEV(AS126,AV126,AY126,BE126,BK126,BB126,CG126,BZ126,AA126,CD126)</f>
        <v>#DIV/0!</v>
      </c>
      <c r="CK126" s="555" t="e">
        <f t="shared" si="631"/>
        <v>#DIV/0!</v>
      </c>
      <c r="CL126" s="556" t="e">
        <f t="shared" si="631"/>
        <v>#DIV/0!</v>
      </c>
      <c r="CM126" s="555" t="e">
        <f t="shared" ref="CM126:CO126" si="632">CJ126/AA126</f>
        <v>#DIV/0!</v>
      </c>
      <c r="CN126" s="555" t="e">
        <f t="shared" si="632"/>
        <v>#DIV/0!</v>
      </c>
      <c r="CO126" s="556" t="e">
        <f t="shared" si="632"/>
        <v>#DIV/0!</v>
      </c>
      <c r="CP126" s="29" t="s">
        <v>142</v>
      </c>
      <c r="CQ126" s="535">
        <f t="shared" si="622"/>
        <v>2</v>
      </c>
      <c r="CR126" s="29" t="s">
        <v>120</v>
      </c>
      <c r="CS126" s="29" t="s">
        <v>120</v>
      </c>
      <c r="CT126" s="29" t="s">
        <v>120</v>
      </c>
      <c r="CU126" s="29" t="s">
        <v>120</v>
      </c>
      <c r="CV126" s="29" t="s">
        <v>120</v>
      </c>
    </row>
    <row r="127" customHeight="1" spans="1:100">
      <c r="A127" s="29" t="s">
        <v>143</v>
      </c>
      <c r="B127" s="541" t="s">
        <v>1093</v>
      </c>
      <c r="C127" s="29" t="s">
        <v>1094</v>
      </c>
      <c r="D127" s="29" t="s">
        <v>144</v>
      </c>
      <c r="F127" s="29" t="s">
        <v>1044</v>
      </c>
      <c r="G127" s="29" t="s">
        <v>1039</v>
      </c>
      <c r="H127" s="29" t="b">
        <v>1</v>
      </c>
      <c r="I127" s="29" t="b">
        <v>1</v>
      </c>
      <c r="J127" s="29" t="b">
        <v>0</v>
      </c>
      <c r="K127" s="29" t="b">
        <v>0</v>
      </c>
      <c r="L127" s="29" t="b">
        <v>0</v>
      </c>
      <c r="M127" s="29" t="b">
        <v>0</v>
      </c>
      <c r="P127" s="29" t="b">
        <v>0</v>
      </c>
      <c r="Q127" s="29" t="b">
        <v>0</v>
      </c>
      <c r="R127" s="29" t="b">
        <v>0</v>
      </c>
      <c r="S127" s="29" t="b">
        <v>0</v>
      </c>
      <c r="T127" s="29" t="b">
        <f t="shared" si="0"/>
        <v>0</v>
      </c>
      <c r="U127" s="29" t="s">
        <v>1071</v>
      </c>
      <c r="V127" s="29" t="s">
        <v>140</v>
      </c>
      <c r="W127" s="29">
        <v>1</v>
      </c>
      <c r="X127" s="29" t="s">
        <v>1046</v>
      </c>
      <c r="Y127" s="16" t="s">
        <v>1041</v>
      </c>
      <c r="Z127" s="29" t="s">
        <v>1042</v>
      </c>
      <c r="AA127" s="554">
        <f t="shared" ref="AA127:AC127" si="633">AVERAGE(AJ127,AM127,AP127,AV127,AY127,AS127,BZ127,BB127,BE127,BH127,BK127,BN127,BQ127,BT127)</f>
        <v>125</v>
      </c>
      <c r="AB127" s="555">
        <f t="shared" si="633"/>
        <v>78.13</v>
      </c>
      <c r="AC127" s="556">
        <f t="shared" si="633"/>
        <v>52.08</v>
      </c>
      <c r="AD127" s="29" t="b">
        <v>1</v>
      </c>
      <c r="AE127" s="29" t="b">
        <v>0</v>
      </c>
      <c r="AF127" s="29" t="b">
        <v>0</v>
      </c>
      <c r="AG127" s="574">
        <v>300</v>
      </c>
      <c r="AH127" s="569" t="s">
        <v>13</v>
      </c>
      <c r="AI127" s="570" t="s">
        <v>13</v>
      </c>
      <c r="AJ127" s="567"/>
      <c r="AK127" s="567"/>
      <c r="AL127" s="567"/>
      <c r="AM127" s="567"/>
      <c r="AN127" s="567"/>
      <c r="AO127" s="568"/>
      <c r="AP127" s="569">
        <v>125</v>
      </c>
      <c r="AQ127" s="569">
        <v>78.13</v>
      </c>
      <c r="AR127" s="570">
        <v>52.08</v>
      </c>
      <c r="AS127" s="567"/>
      <c r="AT127" s="567"/>
      <c r="AU127" s="568"/>
      <c r="AV127" s="567"/>
      <c r="AW127" s="567"/>
      <c r="AX127" s="568"/>
      <c r="AY127" s="567"/>
      <c r="AZ127" s="567"/>
      <c r="BA127" s="568"/>
      <c r="BB127" s="567"/>
      <c r="BC127" s="567"/>
      <c r="BD127" s="568"/>
      <c r="BE127" s="567"/>
      <c r="BF127" s="567"/>
      <c r="BG127" s="568"/>
      <c r="BH127" s="567"/>
      <c r="BI127" s="567"/>
      <c r="BJ127" s="568"/>
      <c r="BK127" s="567"/>
      <c r="BL127" s="567"/>
      <c r="BM127" s="568"/>
      <c r="BN127" s="567"/>
      <c r="BO127" s="567"/>
      <c r="BP127" s="568"/>
      <c r="BQ127" s="567"/>
      <c r="BR127" s="567"/>
      <c r="BS127" s="568"/>
      <c r="BT127" s="567"/>
      <c r="BU127" s="567"/>
      <c r="BV127" s="568"/>
      <c r="BW127" s="567"/>
      <c r="BX127" s="567"/>
      <c r="BY127" s="568"/>
      <c r="BZ127" s="567"/>
      <c r="CA127" s="567"/>
      <c r="CB127" s="567"/>
      <c r="CC127" s="583"/>
      <c r="CD127" s="555">
        <f t="shared" ref="CD127:CF127" si="634">MEDIAN(AM127,AP127,AS127,AY127,BB127,AV127,AA127,BE127,BK127,BZ127,BH127,BN127,BQ127,BT127,BW127)</f>
        <v>125</v>
      </c>
      <c r="CE127" s="555">
        <f t="shared" si="634"/>
        <v>78.13</v>
      </c>
      <c r="CF127" s="556">
        <f t="shared" si="634"/>
        <v>52.08</v>
      </c>
      <c r="CG127" s="555">
        <f t="shared" ref="CG127:CI127" si="635">MAX(AP127,AS127,AV127,BB127,BE127,AY127,CD127,BK127,BZ127,AA127)-MIN(AP127,AS127,AV127,BB127,BE127,AY127,CD127,BK127,BZ127,AA127)</f>
        <v>0</v>
      </c>
      <c r="CH127" s="555">
        <f t="shared" si="635"/>
        <v>0</v>
      </c>
      <c r="CI127" s="556">
        <f t="shared" si="635"/>
        <v>0</v>
      </c>
      <c r="CJ127" s="555">
        <f t="shared" ref="CJ127:CL127" si="636">STDEV(AS127,AV127,AY127,BE127,BK127,BB127,CG127,BZ127,AA127,CD127)</f>
        <v>72.1687836487032</v>
      </c>
      <c r="CK127" s="555">
        <f t="shared" si="636"/>
        <v>45.1083765317855</v>
      </c>
      <c r="CL127" s="556">
        <f t="shared" si="636"/>
        <v>30.0684020193957</v>
      </c>
      <c r="CM127" s="555">
        <f t="shared" ref="CM127:CO127" si="637">CJ127/AA127</f>
        <v>0.577350269189626</v>
      </c>
      <c r="CN127" s="555">
        <f t="shared" si="637"/>
        <v>0.577350269189626</v>
      </c>
      <c r="CO127" s="556">
        <f t="shared" si="637"/>
        <v>0.577350269189626</v>
      </c>
      <c r="CP127" s="29" t="s">
        <v>120</v>
      </c>
      <c r="CQ127" s="535">
        <f t="shared" si="622"/>
        <v>1</v>
      </c>
      <c r="CR127" s="29" t="s">
        <v>120</v>
      </c>
      <c r="CS127" s="29" t="s">
        <v>120</v>
      </c>
      <c r="CT127" s="29" t="s">
        <v>120</v>
      </c>
      <c r="CU127" s="29" t="s">
        <v>120</v>
      </c>
      <c r="CV127" s="29" t="s">
        <v>120</v>
      </c>
    </row>
    <row r="128" customHeight="1" spans="1:100">
      <c r="A128" s="29" t="s">
        <v>145</v>
      </c>
      <c r="B128" s="541" t="s">
        <v>1093</v>
      </c>
      <c r="C128" s="29" t="s">
        <v>1094</v>
      </c>
      <c r="D128" s="29" t="s">
        <v>146</v>
      </c>
      <c r="F128" s="29" t="s">
        <v>1044</v>
      </c>
      <c r="G128" s="29" t="s">
        <v>1039</v>
      </c>
      <c r="H128" s="29" t="b">
        <v>1</v>
      </c>
      <c r="I128" s="29" t="b">
        <v>1</v>
      </c>
      <c r="J128" s="29" t="b">
        <v>0</v>
      </c>
      <c r="K128" s="29" t="b">
        <v>0</v>
      </c>
      <c r="L128" s="29" t="b">
        <v>0</v>
      </c>
      <c r="M128" s="29" t="b">
        <v>0</v>
      </c>
      <c r="P128" s="29" t="b">
        <v>0</v>
      </c>
      <c r="Q128" s="29" t="b">
        <v>0</v>
      </c>
      <c r="R128" s="29" t="b">
        <v>0</v>
      </c>
      <c r="S128" s="29" t="b">
        <v>0</v>
      </c>
      <c r="T128" s="29" t="b">
        <f t="shared" si="0"/>
        <v>0</v>
      </c>
      <c r="U128" s="29" t="s">
        <v>1071</v>
      </c>
      <c r="V128" s="29" t="s">
        <v>129</v>
      </c>
      <c r="W128" s="29">
        <v>1</v>
      </c>
      <c r="X128" s="29" t="s">
        <v>1046</v>
      </c>
      <c r="Y128" s="16" t="s">
        <v>1041</v>
      </c>
      <c r="Z128" s="29" t="s">
        <v>1042</v>
      </c>
      <c r="AA128" s="554">
        <f t="shared" ref="AA128:AC128" si="638">AVERAGE(AJ128,AM128,AP128,AV128,AY128,AS128,BZ128,BB128,BE128,BH128,BK128,BN128,BQ128,BT128)</f>
        <v>125</v>
      </c>
      <c r="AB128" s="555">
        <f t="shared" si="638"/>
        <v>78.13</v>
      </c>
      <c r="AC128" s="556">
        <f t="shared" si="638"/>
        <v>52.08</v>
      </c>
      <c r="AD128" s="29" t="b">
        <v>1</v>
      </c>
      <c r="AE128" s="29" t="b">
        <v>0</v>
      </c>
      <c r="AF128" s="29" t="b">
        <v>0</v>
      </c>
      <c r="AG128" s="574">
        <v>600</v>
      </c>
      <c r="AH128" s="569" t="s">
        <v>13</v>
      </c>
      <c r="AI128" s="570" t="s">
        <v>13</v>
      </c>
      <c r="AJ128" s="567"/>
      <c r="AK128" s="567"/>
      <c r="AL128" s="567"/>
      <c r="AM128" s="567"/>
      <c r="AN128" s="567"/>
      <c r="AO128" s="568"/>
      <c r="AP128" s="569">
        <v>125</v>
      </c>
      <c r="AQ128" s="569">
        <v>78.13</v>
      </c>
      <c r="AR128" s="570">
        <v>52.08</v>
      </c>
      <c r="AS128" s="567"/>
      <c r="AT128" s="567"/>
      <c r="AU128" s="568"/>
      <c r="AV128" s="567"/>
      <c r="AW128" s="567"/>
      <c r="AX128" s="568"/>
      <c r="AY128" s="567"/>
      <c r="AZ128" s="567"/>
      <c r="BA128" s="568"/>
      <c r="BB128" s="567"/>
      <c r="BC128" s="567"/>
      <c r="BD128" s="568"/>
      <c r="BE128" s="567"/>
      <c r="BF128" s="567"/>
      <c r="BG128" s="568"/>
      <c r="BH128" s="567"/>
      <c r="BI128" s="567"/>
      <c r="BJ128" s="568"/>
      <c r="BK128" s="567"/>
      <c r="BL128" s="567"/>
      <c r="BM128" s="568"/>
      <c r="BN128" s="567"/>
      <c r="BO128" s="567"/>
      <c r="BP128" s="568"/>
      <c r="BQ128" s="567"/>
      <c r="BR128" s="567"/>
      <c r="BS128" s="568"/>
      <c r="BT128" s="567"/>
      <c r="BU128" s="567"/>
      <c r="BV128" s="568"/>
      <c r="BW128" s="567"/>
      <c r="BX128" s="567"/>
      <c r="BY128" s="568"/>
      <c r="BZ128" s="567"/>
      <c r="CA128" s="567"/>
      <c r="CB128" s="567"/>
      <c r="CC128" s="583"/>
      <c r="CD128" s="555">
        <f t="shared" ref="CD128:CF128" si="639">MEDIAN(AM128,AP128,AS128,AY128,BB128,AV128,AA128,BE128,BK128,BZ128,BH128,BN128,BQ128,BT128,BW128)</f>
        <v>125</v>
      </c>
      <c r="CE128" s="555">
        <f t="shared" si="639"/>
        <v>78.13</v>
      </c>
      <c r="CF128" s="556">
        <f t="shared" si="639"/>
        <v>52.08</v>
      </c>
      <c r="CG128" s="555">
        <f t="shared" ref="CG128:CI128" si="640">MAX(AP128,AS128,AV128,BB128,BE128,AY128,CD128,BK128,BZ128,AA128)-MIN(AP128,AS128,AV128,BB128,BE128,AY128,CD128,BK128,BZ128,AA128)</f>
        <v>0</v>
      </c>
      <c r="CH128" s="555">
        <f t="shared" si="640"/>
        <v>0</v>
      </c>
      <c r="CI128" s="556">
        <f t="shared" si="640"/>
        <v>0</v>
      </c>
      <c r="CJ128" s="555">
        <f t="shared" ref="CJ128:CL128" si="641">STDEV(AS128,AV128,AY128,BE128,BK128,BB128,CG128,BZ128,AA128,CD128)</f>
        <v>72.1687836487032</v>
      </c>
      <c r="CK128" s="555">
        <f t="shared" si="641"/>
        <v>45.1083765317855</v>
      </c>
      <c r="CL128" s="556">
        <f t="shared" si="641"/>
        <v>30.0684020193957</v>
      </c>
      <c r="CM128" s="555">
        <f t="shared" ref="CM128:CO128" si="642">CJ128/AA128</f>
        <v>0.577350269189626</v>
      </c>
      <c r="CN128" s="555">
        <f t="shared" si="642"/>
        <v>0.577350269189626</v>
      </c>
      <c r="CO128" s="556">
        <f t="shared" si="642"/>
        <v>0.577350269189626</v>
      </c>
      <c r="CP128" s="29" t="s">
        <v>120</v>
      </c>
      <c r="CQ128" s="535">
        <f t="shared" si="622"/>
        <v>1</v>
      </c>
      <c r="CR128" s="29" t="s">
        <v>120</v>
      </c>
      <c r="CS128" s="29" t="s">
        <v>120</v>
      </c>
      <c r="CT128" s="29" t="s">
        <v>120</v>
      </c>
      <c r="CU128" s="29" t="s">
        <v>120</v>
      </c>
      <c r="CV128" s="29" t="s">
        <v>120</v>
      </c>
    </row>
    <row r="129" customHeight="1" spans="1:100">
      <c r="A129" s="29" t="s">
        <v>147</v>
      </c>
      <c r="B129" s="541" t="s">
        <v>1093</v>
      </c>
      <c r="C129" s="29" t="s">
        <v>1094</v>
      </c>
      <c r="D129" s="29" t="s">
        <v>148</v>
      </c>
      <c r="F129" s="29" t="s">
        <v>1044</v>
      </c>
      <c r="G129" s="29" t="s">
        <v>1039</v>
      </c>
      <c r="H129" s="29" t="b">
        <v>1</v>
      </c>
      <c r="I129" s="29" t="b">
        <v>1</v>
      </c>
      <c r="J129" s="29" t="b">
        <v>0</v>
      </c>
      <c r="K129" s="29" t="b">
        <v>0</v>
      </c>
      <c r="L129" s="29" t="b">
        <v>0</v>
      </c>
      <c r="M129" s="29" t="b">
        <v>0</v>
      </c>
      <c r="P129" s="29" t="b">
        <v>0</v>
      </c>
      <c r="Q129" s="29" t="b">
        <v>0</v>
      </c>
      <c r="R129" s="29" t="b">
        <v>0</v>
      </c>
      <c r="S129" s="29" t="b">
        <v>0</v>
      </c>
      <c r="T129" s="29" t="b">
        <f t="shared" si="0"/>
        <v>0</v>
      </c>
      <c r="U129" s="29" t="s">
        <v>1071</v>
      </c>
      <c r="V129" s="29" t="s">
        <v>129</v>
      </c>
      <c r="W129" s="29">
        <v>2</v>
      </c>
      <c r="X129" s="29" t="s">
        <v>1046</v>
      </c>
      <c r="Y129" s="16" t="s">
        <v>1041</v>
      </c>
      <c r="Z129" s="29" t="s">
        <v>1042</v>
      </c>
      <c r="AA129" s="554">
        <f t="shared" ref="AA129:AC129" si="643">AVERAGE(AJ129,AM129,AP129,AV129,AY129,AS129,BZ129,BB129,BE129,BH129,BK129,BN129,BQ129,BT129)</f>
        <v>150</v>
      </c>
      <c r="AB129" s="555">
        <f t="shared" si="643"/>
        <v>93.75</v>
      </c>
      <c r="AC129" s="556">
        <f t="shared" si="643"/>
        <v>62.5</v>
      </c>
      <c r="AD129" s="29" t="b">
        <v>0</v>
      </c>
      <c r="AE129" s="29" t="b">
        <v>1</v>
      </c>
      <c r="AF129" s="29" t="b">
        <v>0</v>
      </c>
      <c r="AG129" s="574">
        <v>150</v>
      </c>
      <c r="AH129" s="569">
        <v>93.75</v>
      </c>
      <c r="AI129" s="570">
        <v>62.5</v>
      </c>
      <c r="AJ129" s="567"/>
      <c r="AK129" s="567"/>
      <c r="AL129" s="567"/>
      <c r="AM129" s="567"/>
      <c r="AN129" s="567"/>
      <c r="AO129" s="568"/>
      <c r="AP129" s="569">
        <v>150</v>
      </c>
      <c r="AQ129" s="569">
        <v>93.75</v>
      </c>
      <c r="AR129" s="570">
        <v>62.5</v>
      </c>
      <c r="AS129" s="567"/>
      <c r="AT129" s="567"/>
      <c r="AU129" s="568"/>
      <c r="AV129" s="567"/>
      <c r="AW129" s="567"/>
      <c r="AX129" s="568"/>
      <c r="AY129" s="567"/>
      <c r="AZ129" s="567"/>
      <c r="BA129" s="568"/>
      <c r="BB129" s="567"/>
      <c r="BC129" s="567"/>
      <c r="BD129" s="568"/>
      <c r="BE129" s="567"/>
      <c r="BF129" s="567"/>
      <c r="BG129" s="568"/>
      <c r="BH129" s="567"/>
      <c r="BI129" s="567"/>
      <c r="BJ129" s="568"/>
      <c r="BK129" s="567"/>
      <c r="BL129" s="567"/>
      <c r="BM129" s="568"/>
      <c r="BN129" s="567"/>
      <c r="BO129" s="567"/>
      <c r="BP129" s="568"/>
      <c r="BQ129" s="567"/>
      <c r="BR129" s="567"/>
      <c r="BS129" s="568"/>
      <c r="BT129" s="567"/>
      <c r="BU129" s="567"/>
      <c r="BV129" s="568"/>
      <c r="BW129" s="567"/>
      <c r="BX129" s="567"/>
      <c r="BY129" s="568"/>
      <c r="BZ129" s="567"/>
      <c r="CA129" s="567"/>
      <c r="CB129" s="567"/>
      <c r="CC129" s="583"/>
      <c r="CD129" s="555">
        <f t="shared" ref="CD129:CF129" si="644">MEDIAN(AM129,AP129,AS129,AY129,BB129,AV129,AA129,BE129,BK129,BZ129,BH129,BN129,BQ129,BT129,BW129)</f>
        <v>150</v>
      </c>
      <c r="CE129" s="555">
        <f t="shared" si="644"/>
        <v>93.75</v>
      </c>
      <c r="CF129" s="556">
        <f t="shared" si="644"/>
        <v>62.5</v>
      </c>
      <c r="CG129" s="555">
        <f t="shared" ref="CG129:CI129" si="645">MAX(AP129,AS129,AV129,BB129,BE129,AY129,CD129,BK129,BZ129,AA129)-MIN(AP129,AS129,AV129,BB129,BE129,AY129,CD129,BK129,BZ129,AA129)</f>
        <v>0</v>
      </c>
      <c r="CH129" s="555">
        <f t="shared" si="645"/>
        <v>0</v>
      </c>
      <c r="CI129" s="556">
        <f t="shared" si="645"/>
        <v>0</v>
      </c>
      <c r="CJ129" s="555">
        <f t="shared" ref="CJ129:CL129" si="646">STDEV(AS129,AV129,AY129,BE129,BK129,BB129,CG129,BZ129,AA129,CD129)</f>
        <v>86.6025403784439</v>
      </c>
      <c r="CK129" s="555">
        <f t="shared" si="646"/>
        <v>54.1265877365274</v>
      </c>
      <c r="CL129" s="556">
        <f t="shared" si="646"/>
        <v>36.0843918243516</v>
      </c>
      <c r="CM129" s="555">
        <f t="shared" ref="CM129:CO129" si="647">CJ129/AA129</f>
        <v>0.577350269189626</v>
      </c>
      <c r="CN129" s="555">
        <f t="shared" si="647"/>
        <v>0.577350269189626</v>
      </c>
      <c r="CO129" s="556">
        <f t="shared" si="647"/>
        <v>0.577350269189626</v>
      </c>
      <c r="CP129" s="29" t="s">
        <v>120</v>
      </c>
      <c r="CQ129" s="535">
        <f t="shared" si="622"/>
        <v>2</v>
      </c>
      <c r="CR129" s="29" t="s">
        <v>120</v>
      </c>
      <c r="CS129" s="29" t="s">
        <v>120</v>
      </c>
      <c r="CT129" s="29" t="s">
        <v>120</v>
      </c>
      <c r="CU129" s="29" t="s">
        <v>120</v>
      </c>
      <c r="CV129" s="29" t="s">
        <v>120</v>
      </c>
    </row>
    <row r="130" customHeight="1" spans="1:100">
      <c r="A130" s="29" t="s">
        <v>343</v>
      </c>
      <c r="B130" s="541" t="s">
        <v>1093</v>
      </c>
      <c r="C130" s="29" t="s">
        <v>1094</v>
      </c>
      <c r="F130" s="29" t="s">
        <v>1044</v>
      </c>
      <c r="G130" s="29" t="s">
        <v>1039</v>
      </c>
      <c r="H130" s="29" t="b">
        <v>0</v>
      </c>
      <c r="I130" s="29" t="b">
        <v>0</v>
      </c>
      <c r="J130" s="29" t="b">
        <v>1</v>
      </c>
      <c r="K130" s="29" t="b">
        <v>0</v>
      </c>
      <c r="L130" s="29" t="b">
        <v>0</v>
      </c>
      <c r="M130" s="29" t="b">
        <v>0</v>
      </c>
      <c r="P130" s="29" t="b">
        <v>0</v>
      </c>
      <c r="Q130" s="29" t="b">
        <v>0</v>
      </c>
      <c r="R130" s="29" t="b">
        <v>0</v>
      </c>
      <c r="S130" s="29" t="b">
        <v>0</v>
      </c>
      <c r="T130" s="29" t="b">
        <f t="shared" si="0"/>
        <v>0</v>
      </c>
      <c r="U130" s="29" t="s">
        <v>1071</v>
      </c>
      <c r="V130" s="29" t="s">
        <v>140</v>
      </c>
      <c r="W130" s="29">
        <v>2</v>
      </c>
      <c r="X130" s="29" t="s">
        <v>1046</v>
      </c>
      <c r="Y130" s="16" t="s">
        <v>1041</v>
      </c>
      <c r="Z130" s="29" t="s">
        <v>1042</v>
      </c>
      <c r="AA130" s="554">
        <f t="shared" ref="AA130:AC130" si="648">AVERAGE(AJ130,AM130,AP130,AV130,AY130,AS130,BZ130,BB130,BE130,BH130,BK130,BN130,BQ130,BT130)</f>
        <v>100</v>
      </c>
      <c r="AB130" s="555">
        <f t="shared" si="648"/>
        <v>62.5</v>
      </c>
      <c r="AC130" s="556">
        <f t="shared" si="648"/>
        <v>41.67</v>
      </c>
      <c r="AD130" s="29" t="b">
        <v>0</v>
      </c>
      <c r="AE130" s="29" t="b">
        <v>1</v>
      </c>
      <c r="AF130" s="29" t="b">
        <v>0</v>
      </c>
      <c r="AG130" s="574">
        <v>100</v>
      </c>
      <c r="AH130" s="569">
        <v>62.5</v>
      </c>
      <c r="AI130" s="570">
        <v>41.67</v>
      </c>
      <c r="AJ130" s="567"/>
      <c r="AK130" s="567"/>
      <c r="AL130" s="567"/>
      <c r="AM130" s="567"/>
      <c r="AN130" s="567"/>
      <c r="AO130" s="568"/>
      <c r="AP130" s="569">
        <v>100</v>
      </c>
      <c r="AQ130" s="569">
        <v>62.5</v>
      </c>
      <c r="AR130" s="570">
        <v>41.67</v>
      </c>
      <c r="AS130" s="567"/>
      <c r="AT130" s="567"/>
      <c r="AU130" s="568"/>
      <c r="AV130" s="567"/>
      <c r="AW130" s="567"/>
      <c r="AX130" s="568"/>
      <c r="AY130" s="567"/>
      <c r="AZ130" s="567"/>
      <c r="BA130" s="568"/>
      <c r="BB130" s="567"/>
      <c r="BC130" s="567"/>
      <c r="BD130" s="568"/>
      <c r="BE130" s="567"/>
      <c r="BF130" s="567"/>
      <c r="BG130" s="568"/>
      <c r="BH130" s="567"/>
      <c r="BI130" s="567"/>
      <c r="BJ130" s="568"/>
      <c r="BK130" s="567"/>
      <c r="BL130" s="567"/>
      <c r="BM130" s="568"/>
      <c r="BN130" s="567"/>
      <c r="BO130" s="567"/>
      <c r="BP130" s="568"/>
      <c r="BQ130" s="567"/>
      <c r="BR130" s="567"/>
      <c r="BS130" s="568"/>
      <c r="BT130" s="567"/>
      <c r="BU130" s="567"/>
      <c r="BV130" s="568"/>
      <c r="BW130" s="567"/>
      <c r="BX130" s="567"/>
      <c r="BY130" s="568"/>
      <c r="BZ130" s="567"/>
      <c r="CA130" s="567"/>
      <c r="CB130" s="567"/>
      <c r="CC130" s="583"/>
      <c r="CD130" s="555">
        <f t="shared" ref="CD130:CF130" si="649">MEDIAN(AM130,AP130,AS130,AY130,BB130,AV130,AA130,BE130,BK130,BZ130,BH130,BN130,BQ130,BT130,BW130)</f>
        <v>100</v>
      </c>
      <c r="CE130" s="555">
        <f t="shared" si="649"/>
        <v>62.5</v>
      </c>
      <c r="CF130" s="556">
        <f t="shared" si="649"/>
        <v>41.67</v>
      </c>
      <c r="CG130" s="555">
        <f t="shared" ref="CG130:CI130" si="650">MAX(AP130,AS130,AV130,BB130,BE130,AY130,CD130,BK130,BZ130,AA130)-MIN(AP130,AS130,AV130,BB130,BE130,AY130,CD130,BK130,BZ130,AA130)</f>
        <v>0</v>
      </c>
      <c r="CH130" s="555">
        <f t="shared" si="650"/>
        <v>0</v>
      </c>
      <c r="CI130" s="556">
        <f t="shared" si="650"/>
        <v>0</v>
      </c>
      <c r="CJ130" s="555">
        <f t="shared" ref="CJ130:CL130" si="651">STDEV(AS130,AV130,AY130,BE130,BK130,BB130,CG130,BZ130,AA130,CD130)</f>
        <v>57.7350269189626</v>
      </c>
      <c r="CK130" s="555">
        <f t="shared" si="651"/>
        <v>36.0843918243516</v>
      </c>
      <c r="CL130" s="556">
        <f t="shared" si="651"/>
        <v>24.0581857171317</v>
      </c>
      <c r="CM130" s="555">
        <f t="shared" ref="CM130:CO130" si="652">CJ130/AA130</f>
        <v>0.577350269189626</v>
      </c>
      <c r="CN130" s="555">
        <f t="shared" si="652"/>
        <v>0.577350269189626</v>
      </c>
      <c r="CO130" s="556">
        <f t="shared" si="652"/>
        <v>0.577350269189626</v>
      </c>
      <c r="CP130" s="29" t="s">
        <v>120</v>
      </c>
      <c r="CQ130" s="535">
        <f t="shared" si="622"/>
        <v>2</v>
      </c>
      <c r="CR130" s="29" t="s">
        <v>120</v>
      </c>
      <c r="CS130" s="29" t="s">
        <v>120</v>
      </c>
      <c r="CT130" s="29" t="s">
        <v>120</v>
      </c>
      <c r="CU130" s="29" t="s">
        <v>120</v>
      </c>
      <c r="CV130" s="29" t="s">
        <v>120</v>
      </c>
    </row>
    <row r="131" customHeight="1" spans="1:100">
      <c r="A131" s="29" t="s">
        <v>344</v>
      </c>
      <c r="B131" s="541" t="s">
        <v>1093</v>
      </c>
      <c r="C131" s="29" t="s">
        <v>1094</v>
      </c>
      <c r="F131" s="29" t="s">
        <v>1044</v>
      </c>
      <c r="G131" s="29" t="s">
        <v>1039</v>
      </c>
      <c r="H131" s="29" t="b">
        <v>0</v>
      </c>
      <c r="I131" s="29" t="b">
        <v>0</v>
      </c>
      <c r="J131" s="29" t="b">
        <v>1</v>
      </c>
      <c r="K131" s="29" t="b">
        <v>0</v>
      </c>
      <c r="L131" s="29" t="b">
        <v>0</v>
      </c>
      <c r="M131" s="29" t="b">
        <v>0</v>
      </c>
      <c r="P131" s="29" t="b">
        <v>0</v>
      </c>
      <c r="Q131" s="29" t="b">
        <v>0</v>
      </c>
      <c r="R131" s="29" t="b">
        <v>0</v>
      </c>
      <c r="S131" s="29" t="b">
        <v>0</v>
      </c>
      <c r="T131" s="29" t="b">
        <f t="shared" si="0"/>
        <v>0</v>
      </c>
      <c r="U131" s="29" t="s">
        <v>1071</v>
      </c>
      <c r="V131" s="29" t="s">
        <v>345</v>
      </c>
      <c r="W131" s="29">
        <v>2</v>
      </c>
      <c r="X131" s="29" t="s">
        <v>1046</v>
      </c>
      <c r="Y131" s="16" t="s">
        <v>1041</v>
      </c>
      <c r="Z131" s="29" t="s">
        <v>1042</v>
      </c>
      <c r="AA131" s="554">
        <f t="shared" ref="AA131:AC131" si="653">AVERAGE(AJ131,AM131,AP131,AV131,AY131,AS131,BZ131,BB131,BE131,BH131,BK131,BN131,BQ131,BT131)</f>
        <v>100</v>
      </c>
      <c r="AB131" s="555">
        <f t="shared" si="653"/>
        <v>62.5</v>
      </c>
      <c r="AC131" s="556">
        <f t="shared" si="653"/>
        <v>41.67</v>
      </c>
      <c r="AD131" s="29" t="b">
        <v>0</v>
      </c>
      <c r="AE131" s="29" t="b">
        <v>1</v>
      </c>
      <c r="AF131" s="29" t="b">
        <v>0</v>
      </c>
      <c r="AG131" s="574">
        <v>100</v>
      </c>
      <c r="AH131" s="569">
        <v>62.5</v>
      </c>
      <c r="AI131" s="570">
        <v>41.67</v>
      </c>
      <c r="AJ131" s="567"/>
      <c r="AK131" s="567"/>
      <c r="AL131" s="568"/>
      <c r="AM131" s="567"/>
      <c r="AN131" s="567"/>
      <c r="AO131" s="568"/>
      <c r="AP131" s="569">
        <v>100</v>
      </c>
      <c r="AQ131" s="569">
        <v>62.5</v>
      </c>
      <c r="AR131" s="570">
        <v>41.67</v>
      </c>
      <c r="AS131" s="567"/>
      <c r="AT131" s="567"/>
      <c r="AU131" s="568"/>
      <c r="AV131" s="567"/>
      <c r="AW131" s="567"/>
      <c r="AX131" s="568"/>
      <c r="AY131" s="567"/>
      <c r="AZ131" s="567"/>
      <c r="BA131" s="568"/>
      <c r="BB131" s="567"/>
      <c r="BC131" s="567"/>
      <c r="BD131" s="568"/>
      <c r="BE131" s="567"/>
      <c r="BF131" s="567"/>
      <c r="BG131" s="568"/>
      <c r="BH131" s="567"/>
      <c r="BI131" s="567"/>
      <c r="BJ131" s="568"/>
      <c r="BK131" s="567"/>
      <c r="BL131" s="567"/>
      <c r="BM131" s="568"/>
      <c r="BN131" s="567"/>
      <c r="BO131" s="567"/>
      <c r="BP131" s="568"/>
      <c r="BQ131" s="567"/>
      <c r="BR131" s="567"/>
      <c r="BS131" s="568"/>
      <c r="BT131" s="567"/>
      <c r="BU131" s="567"/>
      <c r="BV131" s="568"/>
      <c r="BW131" s="567"/>
      <c r="BX131" s="567"/>
      <c r="BY131" s="568"/>
      <c r="BZ131" s="567"/>
      <c r="CA131" s="567"/>
      <c r="CB131" s="567"/>
      <c r="CC131" s="583"/>
      <c r="CD131" s="555">
        <f t="shared" ref="CD131:CF131" si="654">MEDIAN(AM131,AP131,AS131,AY131,BB131,AV131,AA131,BE131,BK131,BZ131,BH131,BN131,BQ131,BT131,BW131)</f>
        <v>100</v>
      </c>
      <c r="CE131" s="555">
        <f t="shared" si="654"/>
        <v>62.5</v>
      </c>
      <c r="CF131" s="556">
        <f t="shared" si="654"/>
        <v>41.67</v>
      </c>
      <c r="CG131" s="555">
        <f t="shared" ref="CG131:CI131" si="655">MAX(AP131,AS131,AV131,BB131,BE131,AY131,CD131,BK131,BZ131,AA131)-MIN(AP131,AS131,AV131,BB131,BE131,AY131,CD131,BK131,BZ131,AA131)</f>
        <v>0</v>
      </c>
      <c r="CH131" s="555">
        <f t="shared" si="655"/>
        <v>0</v>
      </c>
      <c r="CI131" s="556">
        <f t="shared" si="655"/>
        <v>0</v>
      </c>
      <c r="CJ131" s="555">
        <f t="shared" ref="CJ131:CL131" si="656">STDEV(AS131,AV131,AY131,BE131,BK131,BB131,CG131,BZ131,AA131,CD131)</f>
        <v>57.7350269189626</v>
      </c>
      <c r="CK131" s="555">
        <f t="shared" si="656"/>
        <v>36.0843918243516</v>
      </c>
      <c r="CL131" s="556">
        <f t="shared" si="656"/>
        <v>24.0581857171317</v>
      </c>
      <c r="CM131" s="555">
        <f t="shared" ref="CM131:CO131" si="657">CJ131/AA131</f>
        <v>0.577350269189626</v>
      </c>
      <c r="CN131" s="555">
        <f t="shared" si="657"/>
        <v>0.577350269189626</v>
      </c>
      <c r="CO131" s="556">
        <f t="shared" si="657"/>
        <v>0.577350269189626</v>
      </c>
      <c r="CP131" s="29" t="s">
        <v>120</v>
      </c>
      <c r="CQ131" s="535">
        <f t="shared" si="622"/>
        <v>2</v>
      </c>
      <c r="CR131" s="29" t="s">
        <v>120</v>
      </c>
      <c r="CS131" s="29" t="s">
        <v>120</v>
      </c>
      <c r="CT131" s="29" t="s">
        <v>120</v>
      </c>
      <c r="CU131" s="29" t="s">
        <v>120</v>
      </c>
      <c r="CV131" s="29" t="s">
        <v>120</v>
      </c>
    </row>
    <row r="132" customHeight="1" spans="1:100">
      <c r="A132" s="29" t="s">
        <v>346</v>
      </c>
      <c r="B132" s="541" t="s">
        <v>1093</v>
      </c>
      <c r="C132" s="29" t="s">
        <v>1094</v>
      </c>
      <c r="D132" s="29" t="s">
        <v>347</v>
      </c>
      <c r="E132" s="29"/>
      <c r="F132" s="29" t="s">
        <v>1044</v>
      </c>
      <c r="G132" s="29" t="s">
        <v>1039</v>
      </c>
      <c r="H132" s="29" t="b">
        <v>1</v>
      </c>
      <c r="I132" s="29" t="b">
        <v>1</v>
      </c>
      <c r="J132" s="29" t="b">
        <v>0</v>
      </c>
      <c r="K132" s="29" t="b">
        <v>1</v>
      </c>
      <c r="L132" s="29" t="b">
        <v>1</v>
      </c>
      <c r="M132" s="29" t="b">
        <v>1</v>
      </c>
      <c r="P132" s="29" t="b">
        <v>0</v>
      </c>
      <c r="Q132" s="29" t="b">
        <v>0</v>
      </c>
      <c r="R132" s="29" t="b">
        <v>0</v>
      </c>
      <c r="S132" s="29" t="b">
        <v>1</v>
      </c>
      <c r="T132" s="29" t="b">
        <f t="shared" si="0"/>
        <v>0</v>
      </c>
      <c r="U132" s="29" t="s">
        <v>998</v>
      </c>
      <c r="V132" s="29" t="s">
        <v>140</v>
      </c>
      <c r="W132" s="29">
        <v>2</v>
      </c>
      <c r="X132" s="29" t="s">
        <v>1046</v>
      </c>
      <c r="Y132" s="16" t="s">
        <v>1041</v>
      </c>
      <c r="Z132" s="29" t="s">
        <v>1042</v>
      </c>
      <c r="AA132" s="554">
        <f t="shared" ref="AA132:AC132" si="658">AVERAGE(AJ132,AM132,AP132,AV132,AY132,AS132,BZ132,BB132,BE132,BH132,BK132,BN132,BQ132,BT132)</f>
        <v>80</v>
      </c>
      <c r="AB132" s="555">
        <f t="shared" si="658"/>
        <v>61.0433333333333</v>
      </c>
      <c r="AC132" s="556">
        <f t="shared" si="658"/>
        <v>35.42</v>
      </c>
      <c r="AD132" s="29" t="b">
        <v>0</v>
      </c>
      <c r="AE132" s="29" t="b">
        <v>1</v>
      </c>
      <c r="AF132" s="29" t="b">
        <v>0</v>
      </c>
      <c r="AG132" s="574">
        <v>85</v>
      </c>
      <c r="AH132" s="569">
        <v>55</v>
      </c>
      <c r="AI132" s="570">
        <v>35</v>
      </c>
      <c r="AJ132" s="569" t="s">
        <v>13</v>
      </c>
      <c r="AK132" s="569">
        <v>65</v>
      </c>
      <c r="AL132" s="570" t="s">
        <v>13</v>
      </c>
      <c r="AM132" s="567"/>
      <c r="AN132" s="567"/>
      <c r="AO132" s="568"/>
      <c r="AP132" s="569">
        <v>85</v>
      </c>
      <c r="AQ132" s="569">
        <v>53.13</v>
      </c>
      <c r="AR132" s="570">
        <v>35.42</v>
      </c>
      <c r="AS132" s="567"/>
      <c r="AT132" s="567"/>
      <c r="AU132" s="568"/>
      <c r="AV132" s="567"/>
      <c r="AW132" s="567"/>
      <c r="AX132" s="568"/>
      <c r="AY132" s="569" t="s">
        <v>13</v>
      </c>
      <c r="AZ132" s="569">
        <v>65</v>
      </c>
      <c r="BA132" s="570" t="s">
        <v>13</v>
      </c>
      <c r="BB132" s="569"/>
      <c r="BC132" s="569"/>
      <c r="BD132" s="570"/>
      <c r="BE132" s="569"/>
      <c r="BF132" s="569"/>
      <c r="BG132" s="570"/>
      <c r="BH132" s="569"/>
      <c r="BI132" s="569"/>
      <c r="BJ132" s="570"/>
      <c r="BK132" s="569"/>
      <c r="BL132" s="569"/>
      <c r="BM132" s="570"/>
      <c r="BN132" s="569"/>
      <c r="BO132" s="569"/>
      <c r="BP132" s="570"/>
      <c r="BQ132" s="569"/>
      <c r="BR132" s="569"/>
      <c r="BS132" s="570"/>
      <c r="BT132" s="569"/>
      <c r="BU132" s="569"/>
      <c r="BV132" s="570"/>
      <c r="BW132" s="569"/>
      <c r="BX132" s="569"/>
      <c r="BY132" s="570"/>
      <c r="BZ132" s="569">
        <v>75</v>
      </c>
      <c r="CA132" s="569"/>
      <c r="CB132" s="569"/>
      <c r="CC132" s="583"/>
      <c r="CD132" s="555">
        <f t="shared" ref="CD132:CF132" si="659">MEDIAN(AM132,AP132,AS132,AY132,BB132,AV132,AA132,BE132,BK132,BZ132,BH132,BN132,BQ132,BT132,BW132)</f>
        <v>80</v>
      </c>
      <c r="CE132" s="555">
        <f t="shared" si="659"/>
        <v>61.0433333333333</v>
      </c>
      <c r="CF132" s="556">
        <f t="shared" si="659"/>
        <v>35.42</v>
      </c>
      <c r="CG132" s="555">
        <f t="shared" ref="CG132:CI132" si="660">MAX(AP132,AS132,AV132,BB132,BE132,AY132,CD132,BK132,BZ132,AA132)-MIN(AP132,AS132,AV132,BB132,BE132,AY132,CD132,BK132,BZ132,AA132)</f>
        <v>10</v>
      </c>
      <c r="CH132" s="555">
        <f t="shared" si="660"/>
        <v>11.87</v>
      </c>
      <c r="CI132" s="556">
        <f t="shared" si="660"/>
        <v>0</v>
      </c>
      <c r="CJ132" s="555">
        <f t="shared" ref="CJ132:CL132" si="661">STDEV(AS132,AV132,AY132,BE132,BK132,BB132,CG132,BZ132,AA132,CD132)</f>
        <v>34.2478709800575</v>
      </c>
      <c r="CK132" s="555">
        <f t="shared" si="661"/>
        <v>25.3149177766201</v>
      </c>
      <c r="CL132" s="556">
        <f t="shared" si="661"/>
        <v>20.4497465346965</v>
      </c>
      <c r="CM132" s="555">
        <f t="shared" ref="CM132:CO132" si="662">CJ132/AA132</f>
        <v>0.428098387250719</v>
      </c>
      <c r="CN132" s="555">
        <f t="shared" si="662"/>
        <v>0.414704053567741</v>
      </c>
      <c r="CO132" s="556">
        <f t="shared" si="662"/>
        <v>0.577350269189626</v>
      </c>
      <c r="CP132" s="29" t="s">
        <v>120</v>
      </c>
      <c r="CQ132" s="535">
        <f t="shared" si="622"/>
        <v>2</v>
      </c>
      <c r="CR132" s="29" t="s">
        <v>120</v>
      </c>
      <c r="CS132" s="29" t="s">
        <v>120</v>
      </c>
      <c r="CT132" s="29" t="s">
        <v>120</v>
      </c>
      <c r="CU132" s="29" t="s">
        <v>120</v>
      </c>
      <c r="CV132" s="29" t="s">
        <v>120</v>
      </c>
    </row>
    <row r="133" customHeight="1" spans="1:100">
      <c r="A133" s="29" t="s">
        <v>348</v>
      </c>
      <c r="B133" s="541" t="s">
        <v>1095</v>
      </c>
      <c r="C133" s="29" t="s">
        <v>1096</v>
      </c>
      <c r="D133" s="29" t="s">
        <v>349</v>
      </c>
      <c r="E133" s="29" t="s">
        <v>1097</v>
      </c>
      <c r="F133" s="29" t="s">
        <v>1044</v>
      </c>
      <c r="G133" s="29" t="s">
        <v>1039</v>
      </c>
      <c r="H133" s="29" t="b">
        <v>1</v>
      </c>
      <c r="I133" s="29" t="b">
        <v>1</v>
      </c>
      <c r="J133" s="29" t="b">
        <v>0</v>
      </c>
      <c r="K133" s="29" t="b">
        <v>0</v>
      </c>
      <c r="L133" s="29" t="b">
        <v>1</v>
      </c>
      <c r="M133" s="29" t="b">
        <v>1</v>
      </c>
      <c r="N133" s="29" t="s">
        <v>350</v>
      </c>
      <c r="O133" s="29" t="s">
        <v>126</v>
      </c>
      <c r="P133" s="29" t="b">
        <v>0</v>
      </c>
      <c r="Q133" s="29" t="b">
        <v>0</v>
      </c>
      <c r="R133" s="29" t="b">
        <v>0</v>
      </c>
      <c r="S133" s="29" t="b">
        <v>1</v>
      </c>
      <c r="T133" s="29" t="b">
        <f t="shared" si="0"/>
        <v>0</v>
      </c>
      <c r="U133" s="29" t="s">
        <v>998</v>
      </c>
      <c r="V133" s="29" t="s">
        <v>140</v>
      </c>
      <c r="W133" s="29">
        <v>2</v>
      </c>
      <c r="X133" s="29" t="s">
        <v>1040</v>
      </c>
      <c r="Y133" s="16" t="s">
        <v>1041</v>
      </c>
      <c r="Z133" s="29" t="s">
        <v>1042</v>
      </c>
      <c r="AA133" s="554">
        <f t="shared" ref="AA133:AC133" si="663">AVERAGE(AJ133,AM133,AP133,AV133,AY133,AS133,BZ133,BB133,BE133,BH133,BK133,BN133,BQ133,BT133)</f>
        <v>199.625</v>
      </c>
      <c r="AB133" s="555">
        <f t="shared" si="663"/>
        <v>127.220394736842</v>
      </c>
      <c r="AC133" s="556">
        <f t="shared" si="663"/>
        <v>89.9264285714286</v>
      </c>
      <c r="AD133" s="29" t="b">
        <v>1</v>
      </c>
      <c r="AE133" s="29" t="b">
        <v>0</v>
      </c>
      <c r="AF133" s="29" t="b">
        <v>0</v>
      </c>
      <c r="AG133" s="574">
        <v>240</v>
      </c>
      <c r="AH133" s="569">
        <v>155</v>
      </c>
      <c r="AI133" s="570">
        <v>105</v>
      </c>
      <c r="AJ133" s="569">
        <v>125</v>
      </c>
      <c r="AK133" s="569">
        <v>75</v>
      </c>
      <c r="AL133" s="570">
        <v>50</v>
      </c>
      <c r="AM133" s="567">
        <f>(325+350)/2</f>
        <v>337.5</v>
      </c>
      <c r="AN133" s="567">
        <f t="shared" ref="AN133:AO133" si="664">AM133/(1+(AM133/375))</f>
        <v>177.631578947368</v>
      </c>
      <c r="AO133" s="568">
        <f t="shared" si="664"/>
        <v>120.535714285714</v>
      </c>
      <c r="AP133" s="569">
        <v>250</v>
      </c>
      <c r="AQ133" s="569">
        <v>156.25</v>
      </c>
      <c r="AR133" s="570">
        <v>104.17</v>
      </c>
      <c r="AS133" s="298"/>
      <c r="AT133" s="567"/>
      <c r="AU133" s="568"/>
      <c r="AV133" s="567"/>
      <c r="AW133" s="567"/>
      <c r="AX133" s="570"/>
      <c r="AY133" s="569">
        <v>125</v>
      </c>
      <c r="AZ133" s="569">
        <v>100</v>
      </c>
      <c r="BA133" s="570">
        <v>85</v>
      </c>
      <c r="BB133" s="569">
        <v>143</v>
      </c>
      <c r="BC133" s="569"/>
      <c r="BD133" s="570"/>
      <c r="BE133" s="569">
        <v>250</v>
      </c>
      <c r="BF133" s="569"/>
      <c r="BG133" s="570"/>
      <c r="BH133" s="569">
        <v>250</v>
      </c>
      <c r="BI133" s="569"/>
      <c r="BJ133" s="570"/>
      <c r="BK133" s="569">
        <v>250</v>
      </c>
      <c r="BL133" s="569"/>
      <c r="BM133" s="570"/>
      <c r="BN133" s="569">
        <v>140</v>
      </c>
      <c r="BO133" s="569"/>
      <c r="BP133" s="570"/>
      <c r="BQ133" s="569">
        <v>165</v>
      </c>
      <c r="BR133" s="569"/>
      <c r="BS133" s="570"/>
      <c r="BT133" s="569">
        <v>150</v>
      </c>
      <c r="BU133" s="569"/>
      <c r="BV133" s="570"/>
      <c r="BW133" s="569">
        <v>215</v>
      </c>
      <c r="BX133" s="569"/>
      <c r="BY133" s="570"/>
      <c r="BZ133" s="569">
        <v>210</v>
      </c>
      <c r="CA133" s="569"/>
      <c r="CB133" s="569"/>
      <c r="CC133" s="583">
        <v>45340</v>
      </c>
      <c r="CD133" s="555">
        <f t="shared" ref="CD133:CF133" si="665">MEDIAN(AM133,AP133,AS133,AY133,BB133,AV133,AA133,BE133,BK133,BZ133,BH133,BN133,BQ133,BT133,BW133)</f>
        <v>210</v>
      </c>
      <c r="CE133" s="555">
        <f t="shared" si="665"/>
        <v>141.735197368421</v>
      </c>
      <c r="CF133" s="556">
        <f t="shared" si="665"/>
        <v>97.0482142857143</v>
      </c>
      <c r="CG133" s="555">
        <f t="shared" ref="CG133:CI133" si="666">MAX(AP133,AS133,AV133,BB133,BE133,AY133,CD133,BK133,BZ133,AA133)-MIN(AP133,AS133,AV133,BB133,BE133,AY133,CD133,BK133,BZ133,AA133)</f>
        <v>125</v>
      </c>
      <c r="CH133" s="555">
        <f t="shared" si="666"/>
        <v>56.25</v>
      </c>
      <c r="CI133" s="556">
        <f t="shared" si="666"/>
        <v>19.17</v>
      </c>
      <c r="CJ133" s="555">
        <f t="shared" ref="CJ133:CL133" si="667">STDEV(AS133,AV133,AY133,BE133,BK133,BB133,CG133,BZ133,AA133,CD133)</f>
        <v>51.7477974643435</v>
      </c>
      <c r="CK133" s="555">
        <f t="shared" si="667"/>
        <v>37.5854964078182</v>
      </c>
      <c r="CL133" s="556">
        <f t="shared" si="667"/>
        <v>36.0846531808877</v>
      </c>
      <c r="CM133" s="555">
        <f t="shared" ref="CM133:CO133" si="668">CJ133/AA133</f>
        <v>0.259225034260957</v>
      </c>
      <c r="CN133" s="555">
        <f t="shared" si="668"/>
        <v>0.295436093289637</v>
      </c>
      <c r="CO133" s="556">
        <f t="shared" si="668"/>
        <v>0.401268612065758</v>
      </c>
      <c r="CP133" s="29" t="s">
        <v>142</v>
      </c>
      <c r="CQ133" s="535">
        <f t="shared" si="622"/>
        <v>2</v>
      </c>
      <c r="CR133" s="29" t="s">
        <v>142</v>
      </c>
      <c r="CS133" s="29" t="s">
        <v>120</v>
      </c>
      <c r="CT133" s="29" t="s">
        <v>120</v>
      </c>
      <c r="CU133" s="29" t="s">
        <v>120</v>
      </c>
      <c r="CV133" s="29" t="s">
        <v>142</v>
      </c>
    </row>
    <row r="134" customHeight="1" spans="1:100">
      <c r="A134" s="29" t="s">
        <v>351</v>
      </c>
      <c r="B134" s="541" t="s">
        <v>1095</v>
      </c>
      <c r="C134" s="29" t="s">
        <v>1096</v>
      </c>
      <c r="D134" s="29" t="s">
        <v>352</v>
      </c>
      <c r="E134" s="29" t="s">
        <v>1098</v>
      </c>
      <c r="F134" s="29" t="s">
        <v>1044</v>
      </c>
      <c r="G134" s="29" t="s">
        <v>1039</v>
      </c>
      <c r="H134" s="29" t="b">
        <v>1</v>
      </c>
      <c r="I134" s="29" t="b">
        <v>1</v>
      </c>
      <c r="J134" s="29" t="b">
        <v>0</v>
      </c>
      <c r="K134" s="29" t="b">
        <v>0</v>
      </c>
      <c r="L134" s="29" t="b">
        <v>1</v>
      </c>
      <c r="M134" s="29" t="b">
        <v>1</v>
      </c>
      <c r="N134" s="29"/>
      <c r="O134" s="29" t="s">
        <v>126</v>
      </c>
      <c r="P134" s="29" t="b">
        <v>0</v>
      </c>
      <c r="Q134" s="29" t="b">
        <v>0</v>
      </c>
      <c r="R134" s="29" t="b">
        <v>0</v>
      </c>
      <c r="S134" s="29" t="b">
        <v>1</v>
      </c>
      <c r="T134" s="29" t="b">
        <f t="shared" si="0"/>
        <v>0</v>
      </c>
      <c r="U134" s="29" t="s">
        <v>998</v>
      </c>
      <c r="V134" s="29" t="s">
        <v>140</v>
      </c>
      <c r="W134" s="29">
        <v>2</v>
      </c>
      <c r="X134" s="29" t="s">
        <v>1040</v>
      </c>
      <c r="Y134" s="16" t="s">
        <v>1041</v>
      </c>
      <c r="Z134" s="29" t="s">
        <v>1042</v>
      </c>
      <c r="AA134" s="554">
        <f t="shared" ref="AA134:AC134" si="669">AVERAGE(AJ134,AM134,AP134,AV134,AY134,AS134,BZ134,BB134,BE134,BH134,BK134,BN134,BQ134,BT134)</f>
        <v>181.333333333333</v>
      </c>
      <c r="AB134" s="555">
        <f t="shared" si="669"/>
        <v>140.625</v>
      </c>
      <c r="AC134" s="556">
        <f t="shared" si="669"/>
        <v>93.796875</v>
      </c>
      <c r="AD134" s="29" t="b">
        <v>1</v>
      </c>
      <c r="AE134" s="29" t="b">
        <v>0</v>
      </c>
      <c r="AF134" s="29" t="b">
        <v>0</v>
      </c>
      <c r="AG134" s="574">
        <v>215</v>
      </c>
      <c r="AH134" s="569">
        <v>130</v>
      </c>
      <c r="AI134" s="570">
        <v>90</v>
      </c>
      <c r="AJ134" s="569"/>
      <c r="AK134" s="569"/>
      <c r="AL134" s="570"/>
      <c r="AM134" s="567"/>
      <c r="AN134" s="567"/>
      <c r="AO134" s="568"/>
      <c r="AP134" s="569">
        <v>225</v>
      </c>
      <c r="AQ134" s="569">
        <f>AP134*0.625</f>
        <v>140.625</v>
      </c>
      <c r="AR134" s="570">
        <f>AQ134*0.667</f>
        <v>93.796875</v>
      </c>
      <c r="AS134" s="567"/>
      <c r="AT134" s="567"/>
      <c r="AU134" s="568"/>
      <c r="AV134" s="567"/>
      <c r="AW134" s="567"/>
      <c r="AX134" s="570"/>
      <c r="AY134" s="569"/>
      <c r="AZ134" s="569"/>
      <c r="BA134" s="570"/>
      <c r="BB134" s="569">
        <v>143</v>
      </c>
      <c r="BC134" s="569"/>
      <c r="BD134" s="570"/>
      <c r="BE134" s="569"/>
      <c r="BF134" s="569"/>
      <c r="BG134" s="570"/>
      <c r="BH134" s="569">
        <v>200</v>
      </c>
      <c r="BI134" s="569"/>
      <c r="BJ134" s="570"/>
      <c r="BK134" s="569">
        <v>225</v>
      </c>
      <c r="BL134" s="569"/>
      <c r="BM134" s="570"/>
      <c r="BN134" s="569"/>
      <c r="BO134" s="569"/>
      <c r="BP134" s="570"/>
      <c r="BQ134" s="569">
        <v>145</v>
      </c>
      <c r="BR134" s="569"/>
      <c r="BS134" s="570"/>
      <c r="BT134" s="569">
        <v>150</v>
      </c>
      <c r="BU134" s="569"/>
      <c r="BV134" s="570"/>
      <c r="BW134" s="569">
        <v>183</v>
      </c>
      <c r="BX134" s="569"/>
      <c r="BY134" s="570"/>
      <c r="BZ134" s="569"/>
      <c r="CA134" s="569"/>
      <c r="CB134" s="569"/>
      <c r="CC134" s="583">
        <v>45340</v>
      </c>
      <c r="CD134" s="555">
        <f t="shared" ref="CD134:CF134" si="670">MEDIAN(AM134,AP134,AS134,AY134,BB134,AV134,AA134,BE134,BK134,BZ134,BH134,BN134,BQ134,BT134,BW134)</f>
        <v>182.166666666667</v>
      </c>
      <c r="CE134" s="555">
        <f t="shared" si="670"/>
        <v>140.625</v>
      </c>
      <c r="CF134" s="556">
        <f t="shared" si="670"/>
        <v>93.796875</v>
      </c>
      <c r="CG134" s="555">
        <f t="shared" ref="CG134:CI134" si="671">MAX(AP134,AS134,AV134,BB134,BE134,AY134,CD134,BK134,BZ134,AA134)-MIN(AP134,AS134,AV134,BB134,BE134,AY134,CD134,BK134,BZ134,AA134)</f>
        <v>82</v>
      </c>
      <c r="CH134" s="555">
        <f t="shared" si="671"/>
        <v>0</v>
      </c>
      <c r="CI134" s="556">
        <f t="shared" si="671"/>
        <v>0</v>
      </c>
      <c r="CJ134" s="555">
        <f t="shared" ref="CJ134:CL134" si="672">STDEV(AS134,AV134,AY134,BE134,BK134,BB134,CG134,BZ134,AA134,CD134)</f>
        <v>53.6377251154032</v>
      </c>
      <c r="CK134" s="555">
        <f t="shared" si="672"/>
        <v>81.1898816047911</v>
      </c>
      <c r="CL134" s="556">
        <f t="shared" si="672"/>
        <v>54.1536510303957</v>
      </c>
      <c r="CM134" s="555">
        <f t="shared" ref="CM134:CO134" si="673">CJ134/AA134</f>
        <v>0.295796278209944</v>
      </c>
      <c r="CN134" s="555">
        <f t="shared" si="673"/>
        <v>0.577350269189626</v>
      </c>
      <c r="CO134" s="556">
        <f t="shared" si="673"/>
        <v>0.577350269189626</v>
      </c>
      <c r="CP134" s="29" t="s">
        <v>142</v>
      </c>
      <c r="CQ134" s="535">
        <f t="shared" si="622"/>
        <v>2</v>
      </c>
      <c r="CR134" s="29" t="s">
        <v>142</v>
      </c>
      <c r="CS134" s="29" t="s">
        <v>120</v>
      </c>
      <c r="CT134" s="29" t="s">
        <v>120</v>
      </c>
      <c r="CU134" s="29" t="s">
        <v>120</v>
      </c>
      <c r="CV134" s="29" t="s">
        <v>142</v>
      </c>
    </row>
    <row r="135" customHeight="1" spans="1:100">
      <c r="A135" s="29" t="s">
        <v>353</v>
      </c>
      <c r="B135" s="541" t="s">
        <v>1095</v>
      </c>
      <c r="C135" s="29" t="s">
        <v>1096</v>
      </c>
      <c r="D135" s="29" t="s">
        <v>354</v>
      </c>
      <c r="E135" s="29" t="s">
        <v>1099</v>
      </c>
      <c r="F135" s="29" t="s">
        <v>1044</v>
      </c>
      <c r="G135" s="29" t="s">
        <v>1039</v>
      </c>
      <c r="H135" s="29" t="b">
        <v>1</v>
      </c>
      <c r="I135" s="29" t="b">
        <v>1</v>
      </c>
      <c r="J135" s="29" t="b">
        <v>0</v>
      </c>
      <c r="K135" s="29" t="b">
        <v>0</v>
      </c>
      <c r="L135" s="29" t="b">
        <v>1</v>
      </c>
      <c r="M135" s="29" t="b">
        <v>1</v>
      </c>
      <c r="N135" s="29"/>
      <c r="O135" s="29" t="s">
        <v>126</v>
      </c>
      <c r="P135" s="29" t="b">
        <v>0</v>
      </c>
      <c r="Q135" s="29" t="b">
        <v>0</v>
      </c>
      <c r="R135" s="29" t="b">
        <v>0</v>
      </c>
      <c r="S135" s="29" t="b">
        <v>0</v>
      </c>
      <c r="T135" s="29" t="b">
        <f t="shared" si="0"/>
        <v>0</v>
      </c>
      <c r="U135" s="29" t="s">
        <v>998</v>
      </c>
      <c r="V135" s="29" t="s">
        <v>140</v>
      </c>
      <c r="W135" s="29">
        <v>2</v>
      </c>
      <c r="X135" s="29" t="s">
        <v>1040</v>
      </c>
      <c r="Y135" s="16" t="s">
        <v>1041</v>
      </c>
      <c r="Z135" s="29" t="s">
        <v>1042</v>
      </c>
      <c r="AA135" s="554">
        <f t="shared" ref="AA135:AC135" si="674">AVERAGE(AJ135,AM135,AP135,AV135,AY135,AS135,BZ135,BB135,BE135,BH135,BK135,BN135,BQ135,BT135)</f>
        <v>85</v>
      </c>
      <c r="AB135" s="555">
        <f t="shared" si="674"/>
        <v>65</v>
      </c>
      <c r="AC135" s="556">
        <f t="shared" si="674"/>
        <v>45</v>
      </c>
      <c r="AD135" s="29" t="b">
        <v>1</v>
      </c>
      <c r="AE135" s="29" t="b">
        <v>0</v>
      </c>
      <c r="AF135" s="29" t="b">
        <v>0</v>
      </c>
      <c r="AG135" s="574">
        <f t="shared" ref="AG135:AI135" si="675">AG133*0.48</f>
        <v>115.2</v>
      </c>
      <c r="AH135" s="569">
        <f t="shared" si="675"/>
        <v>74.4</v>
      </c>
      <c r="AI135" s="570">
        <f t="shared" si="675"/>
        <v>50.4</v>
      </c>
      <c r="AJ135" s="569">
        <v>85</v>
      </c>
      <c r="AK135" s="569">
        <v>65</v>
      </c>
      <c r="AL135" s="570">
        <v>45</v>
      </c>
      <c r="AM135" s="569" t="s">
        <v>13</v>
      </c>
      <c r="AN135" s="569" t="s">
        <v>13</v>
      </c>
      <c r="AO135" s="570" t="s">
        <v>13</v>
      </c>
      <c r="AP135" s="569" t="s">
        <v>13</v>
      </c>
      <c r="AQ135" s="569" t="s">
        <v>13</v>
      </c>
      <c r="AR135" s="570" t="s">
        <v>13</v>
      </c>
      <c r="AS135" s="567"/>
      <c r="AT135" s="567"/>
      <c r="AU135" s="568"/>
      <c r="AV135" s="567"/>
      <c r="AW135" s="567"/>
      <c r="AX135" s="570"/>
      <c r="AY135" s="569">
        <v>85</v>
      </c>
      <c r="AZ135" s="569">
        <v>65</v>
      </c>
      <c r="BA135" s="570">
        <v>45</v>
      </c>
      <c r="BB135" s="569"/>
      <c r="BC135" s="569"/>
      <c r="BD135" s="570"/>
      <c r="BE135" s="569"/>
      <c r="BF135" s="569"/>
      <c r="BG135" s="570"/>
      <c r="BH135" s="569"/>
      <c r="BI135" s="569"/>
      <c r="BJ135" s="570"/>
      <c r="BK135" s="569"/>
      <c r="BL135" s="569"/>
      <c r="BM135" s="570"/>
      <c r="BN135" s="569"/>
      <c r="BO135" s="569"/>
      <c r="BP135" s="570"/>
      <c r="BQ135" s="569"/>
      <c r="BR135" s="569"/>
      <c r="BS135" s="570"/>
      <c r="BT135" s="569"/>
      <c r="BU135" s="569"/>
      <c r="BV135" s="570"/>
      <c r="BW135" s="569"/>
      <c r="BX135" s="569"/>
      <c r="BY135" s="570"/>
      <c r="BZ135" s="569"/>
      <c r="CA135" s="569"/>
      <c r="CB135" s="569"/>
      <c r="CC135" s="583"/>
      <c r="CD135" s="555">
        <f t="shared" ref="CD135:CF135" si="676">MEDIAN(AM135,AP135,AS135,AY135,BB135,AV135,AA135,BE135,BK135,BZ135,BH135,BN135,BQ135,BT135,BW135)</f>
        <v>85</v>
      </c>
      <c r="CE135" s="555">
        <f t="shared" si="676"/>
        <v>65</v>
      </c>
      <c r="CF135" s="556">
        <f t="shared" si="676"/>
        <v>45</v>
      </c>
      <c r="CG135" s="555">
        <f t="shared" ref="CG135:CI135" si="677">MAX(AP135,AS135,AV135,BB135,BE135,AY135,CD135,BK135,BZ135,AA135)-MIN(AP135,AS135,AV135,BB135,BE135,AY135,CD135,BK135,BZ135,AA135)</f>
        <v>0</v>
      </c>
      <c r="CH135" s="555">
        <f t="shared" si="677"/>
        <v>0</v>
      </c>
      <c r="CI135" s="556">
        <f t="shared" si="677"/>
        <v>0</v>
      </c>
      <c r="CJ135" s="555">
        <f t="shared" ref="CJ135:CL135" si="678">STDEV(AS135,AV135,AY135,BE135,BK135,BB135,CG135,BZ135,AA135,CD135)</f>
        <v>42.5</v>
      </c>
      <c r="CK135" s="555">
        <f t="shared" si="678"/>
        <v>32.5</v>
      </c>
      <c r="CL135" s="556">
        <f t="shared" si="678"/>
        <v>22.5</v>
      </c>
      <c r="CM135" s="555">
        <f t="shared" ref="CM135:CO135" si="679">CJ135/AA135</f>
        <v>0.5</v>
      </c>
      <c r="CN135" s="555">
        <f t="shared" si="679"/>
        <v>0.5</v>
      </c>
      <c r="CO135" s="556">
        <f t="shared" si="679"/>
        <v>0.5</v>
      </c>
      <c r="CP135" s="29" t="s">
        <v>142</v>
      </c>
      <c r="CQ135" s="535">
        <f t="shared" si="622"/>
        <v>2</v>
      </c>
      <c r="CR135" s="29" t="s">
        <v>142</v>
      </c>
      <c r="CS135" s="29" t="s">
        <v>120</v>
      </c>
      <c r="CT135" s="29" t="s">
        <v>120</v>
      </c>
      <c r="CU135" s="29" t="s">
        <v>120</v>
      </c>
      <c r="CV135" s="29" t="s">
        <v>120</v>
      </c>
    </row>
    <row r="136" customHeight="1" spans="1:100">
      <c r="A136" s="29" t="s">
        <v>355</v>
      </c>
      <c r="B136" s="541" t="s">
        <v>1095</v>
      </c>
      <c r="C136" s="29" t="s">
        <v>1096</v>
      </c>
      <c r="D136" s="29" t="s">
        <v>356</v>
      </c>
      <c r="E136" s="29"/>
      <c r="F136" s="29" t="s">
        <v>1044</v>
      </c>
      <c r="G136" s="29" t="s">
        <v>57</v>
      </c>
      <c r="H136" s="29" t="b">
        <v>1</v>
      </c>
      <c r="I136" s="29" t="b">
        <v>1</v>
      </c>
      <c r="J136" s="29" t="b">
        <v>0</v>
      </c>
      <c r="K136" s="29" t="b">
        <v>0</v>
      </c>
      <c r="L136" s="29" t="b">
        <v>1</v>
      </c>
      <c r="M136" s="29" t="b">
        <v>0</v>
      </c>
      <c r="P136" s="29" t="b">
        <v>0</v>
      </c>
      <c r="Q136" s="29" t="b">
        <v>0</v>
      </c>
      <c r="R136" s="29" t="b">
        <v>0</v>
      </c>
      <c r="S136" s="29" t="b">
        <v>0</v>
      </c>
      <c r="T136" s="29" t="b">
        <f t="shared" si="0"/>
        <v>0</v>
      </c>
      <c r="U136" s="29" t="s">
        <v>1071</v>
      </c>
      <c r="V136" s="29" t="s">
        <v>129</v>
      </c>
      <c r="W136" s="29">
        <v>2</v>
      </c>
      <c r="X136" s="29" t="s">
        <v>1040</v>
      </c>
      <c r="Y136" s="16" t="s">
        <v>1041</v>
      </c>
      <c r="Z136" s="29" t="s">
        <v>1042</v>
      </c>
      <c r="AA136" s="554">
        <f t="shared" ref="AA136:AC136" si="680">AVERAGE(AJ136,AM136,AP136,AV136,AY136,AS136,BZ136,BB136,BE136,BH136,BK136,BN136,BQ136,BT136)</f>
        <v>400</v>
      </c>
      <c r="AB136" s="555">
        <f t="shared" si="680"/>
        <v>218.238636363636</v>
      </c>
      <c r="AC136" s="556">
        <f t="shared" si="680"/>
        <v>147.608024691358</v>
      </c>
      <c r="AD136" s="29" t="b">
        <v>1</v>
      </c>
      <c r="AE136" s="29" t="b">
        <v>0</v>
      </c>
      <c r="AF136" s="29" t="b">
        <v>0</v>
      </c>
      <c r="AG136" s="574">
        <v>600</v>
      </c>
      <c r="AH136" s="569">
        <v>325</v>
      </c>
      <c r="AI136" s="570">
        <v>215</v>
      </c>
      <c r="AJ136" s="569" t="s">
        <v>13</v>
      </c>
      <c r="AK136" s="569" t="s">
        <v>13</v>
      </c>
      <c r="AL136" s="570" t="s">
        <v>13</v>
      </c>
      <c r="AM136" s="567">
        <f>(500+800)/2</f>
        <v>650</v>
      </c>
      <c r="AN136" s="567">
        <f t="shared" ref="AN136:AO136" si="681">AM136/(1+(AM136/725))</f>
        <v>342.727272727273</v>
      </c>
      <c r="AO136" s="568">
        <f t="shared" si="681"/>
        <v>232.716049382716</v>
      </c>
      <c r="AP136" s="569">
        <v>150</v>
      </c>
      <c r="AQ136" s="569">
        <v>93.75</v>
      </c>
      <c r="AR136" s="570">
        <v>62.5</v>
      </c>
      <c r="AS136" s="567"/>
      <c r="AT136" s="567"/>
      <c r="AU136" s="568"/>
      <c r="AV136" s="567"/>
      <c r="AW136" s="567"/>
      <c r="AX136" s="568"/>
      <c r="AY136" s="567"/>
      <c r="AZ136" s="567"/>
      <c r="BA136" s="568"/>
      <c r="BB136" s="567"/>
      <c r="BC136" s="567"/>
      <c r="BD136" s="568"/>
      <c r="BE136" s="567"/>
      <c r="BF136" s="567"/>
      <c r="BG136" s="568"/>
      <c r="BH136" s="567"/>
      <c r="BI136" s="567"/>
      <c r="BJ136" s="568"/>
      <c r="BK136" s="567"/>
      <c r="BL136" s="567"/>
      <c r="BM136" s="568"/>
      <c r="BN136" s="567"/>
      <c r="BO136" s="567"/>
      <c r="BP136" s="568"/>
      <c r="BQ136" s="567"/>
      <c r="BR136" s="567"/>
      <c r="BS136" s="568"/>
      <c r="BT136" s="567"/>
      <c r="BU136" s="567"/>
      <c r="BV136" s="568"/>
      <c r="BW136" s="567"/>
      <c r="BX136" s="567"/>
      <c r="BY136" s="568"/>
      <c r="BZ136" s="567"/>
      <c r="CA136" s="567"/>
      <c r="CB136" s="567"/>
      <c r="CC136" s="583"/>
      <c r="CD136" s="555">
        <f t="shared" ref="CD136:CF136" si="682">MEDIAN(AM136,AP136,AS136,AY136,BB136,AV136,AA136,BE136,BK136,BZ136,BH136,BN136,BQ136,BT136,BW136)</f>
        <v>400</v>
      </c>
      <c r="CE136" s="555">
        <f t="shared" si="682"/>
        <v>218.238636363636</v>
      </c>
      <c r="CF136" s="556">
        <f t="shared" si="682"/>
        <v>147.608024691358</v>
      </c>
      <c r="CG136" s="555">
        <f t="shared" ref="CG136:CI136" si="683">MAX(AP136,AS136,AV136,BB136,BE136,AY136,CD136,BK136,BZ136,AA136)-MIN(AP136,AS136,AV136,BB136,BE136,AY136,CD136,BK136,BZ136,AA136)</f>
        <v>250</v>
      </c>
      <c r="CH136" s="555">
        <f t="shared" si="683"/>
        <v>124.488636363636</v>
      </c>
      <c r="CI136" s="556">
        <f t="shared" si="683"/>
        <v>85.108024691358</v>
      </c>
      <c r="CJ136" s="555">
        <f t="shared" ref="CJ136:CL136" si="684">STDEV(AS136,AV136,AY136,BE136,BK136,BB136,CG136,BZ136,AA136,CD136)</f>
        <v>86.6025403784439</v>
      </c>
      <c r="CK136" s="555">
        <f t="shared" si="684"/>
        <v>54.1265877365274</v>
      </c>
      <c r="CL136" s="556">
        <f t="shared" si="684"/>
        <v>36.0843918243516</v>
      </c>
      <c r="CM136" s="555">
        <f t="shared" ref="CM136:CO136" si="685">CJ136/AA136</f>
        <v>0.21650635094611</v>
      </c>
      <c r="CN136" s="555">
        <f t="shared" si="685"/>
        <v>0.248015606394919</v>
      </c>
      <c r="CO136" s="556">
        <f t="shared" si="685"/>
        <v>0.244460908543438</v>
      </c>
      <c r="CP136" s="29" t="s">
        <v>142</v>
      </c>
      <c r="CQ136" s="535">
        <f t="shared" si="622"/>
        <v>2</v>
      </c>
      <c r="CR136" s="29" t="s">
        <v>120</v>
      </c>
      <c r="CS136" s="29" t="s">
        <v>120</v>
      </c>
      <c r="CT136" s="29" t="s">
        <v>120</v>
      </c>
      <c r="CU136" s="29" t="s">
        <v>120</v>
      </c>
      <c r="CV136" s="29" t="s">
        <v>120</v>
      </c>
    </row>
    <row r="137" customHeight="1" spans="1:100">
      <c r="A137" s="29" t="s">
        <v>357</v>
      </c>
      <c r="B137" s="541" t="s">
        <v>1095</v>
      </c>
      <c r="C137" s="29" t="s">
        <v>1096</v>
      </c>
      <c r="D137" s="29" t="s">
        <v>358</v>
      </c>
      <c r="E137" s="29"/>
      <c r="F137" s="29" t="s">
        <v>1044</v>
      </c>
      <c r="G137" s="29" t="s">
        <v>57</v>
      </c>
      <c r="H137" s="29" t="b">
        <v>1</v>
      </c>
      <c r="I137" s="29" t="b">
        <v>1</v>
      </c>
      <c r="J137" s="29" t="b">
        <v>0</v>
      </c>
      <c r="K137" s="29" t="b">
        <v>0</v>
      </c>
      <c r="L137" s="29" t="b">
        <v>1</v>
      </c>
      <c r="M137" s="29" t="b">
        <v>0</v>
      </c>
      <c r="P137" s="29" t="b">
        <v>0</v>
      </c>
      <c r="Q137" s="29" t="b">
        <v>0</v>
      </c>
      <c r="R137" s="29" t="b">
        <v>0</v>
      </c>
      <c r="S137" s="29" t="b">
        <v>0</v>
      </c>
      <c r="T137" s="29" t="b">
        <f t="shared" si="0"/>
        <v>0</v>
      </c>
      <c r="U137" s="29" t="s">
        <v>997</v>
      </c>
      <c r="V137" s="29" t="s">
        <v>129</v>
      </c>
      <c r="W137" s="29">
        <v>2</v>
      </c>
      <c r="X137" s="29" t="s">
        <v>1040</v>
      </c>
      <c r="Y137" s="16" t="s">
        <v>1041</v>
      </c>
      <c r="Z137" s="29" t="s">
        <v>1042</v>
      </c>
      <c r="AA137" s="554" t="e">
        <f t="shared" ref="AA137:AC137" si="686">AVERAGE(AJ137,AM137,AP137,AV137,AY137,AS137,BZ137,BB137,BE137,BH137,BK137,BN137,BQ137,BT137)</f>
        <v>#DIV/0!</v>
      </c>
      <c r="AB137" s="555" t="e">
        <f t="shared" si="686"/>
        <v>#DIV/0!</v>
      </c>
      <c r="AC137" s="556" t="e">
        <f t="shared" si="686"/>
        <v>#DIV/0!</v>
      </c>
      <c r="AD137" s="29" t="b">
        <v>1</v>
      </c>
      <c r="AE137" s="29" t="b">
        <v>0</v>
      </c>
      <c r="AF137" s="29" t="b">
        <v>0</v>
      </c>
      <c r="AG137" s="574">
        <v>305</v>
      </c>
      <c r="AH137" s="569">
        <v>175</v>
      </c>
      <c r="AI137" s="570">
        <v>100</v>
      </c>
      <c r="AJ137" s="569" t="s">
        <v>13</v>
      </c>
      <c r="AK137" s="569" t="s">
        <v>13</v>
      </c>
      <c r="AL137" s="569" t="s">
        <v>13</v>
      </c>
      <c r="AM137" s="569" t="s">
        <v>13</v>
      </c>
      <c r="AN137" s="569" t="s">
        <v>13</v>
      </c>
      <c r="AO137" s="570" t="s">
        <v>13</v>
      </c>
      <c r="AP137" s="569" t="s">
        <v>13</v>
      </c>
      <c r="AQ137" s="569" t="s">
        <v>13</v>
      </c>
      <c r="AR137" s="570" t="s">
        <v>13</v>
      </c>
      <c r="AS137" s="567"/>
      <c r="AT137" s="567"/>
      <c r="AU137" s="568"/>
      <c r="AV137" s="567"/>
      <c r="AW137" s="567"/>
      <c r="AX137" s="568"/>
      <c r="AY137" s="567"/>
      <c r="AZ137" s="567"/>
      <c r="BA137" s="568"/>
      <c r="BB137" s="567"/>
      <c r="BC137" s="567"/>
      <c r="BD137" s="568"/>
      <c r="BE137" s="567"/>
      <c r="BF137" s="567"/>
      <c r="BG137" s="568"/>
      <c r="BH137" s="567"/>
      <c r="BI137" s="567"/>
      <c r="BJ137" s="568"/>
      <c r="BK137" s="567"/>
      <c r="BL137" s="567"/>
      <c r="BM137" s="568"/>
      <c r="BN137" s="567"/>
      <c r="BO137" s="567"/>
      <c r="BP137" s="568"/>
      <c r="BQ137" s="567"/>
      <c r="BR137" s="567"/>
      <c r="BS137" s="568"/>
      <c r="BT137" s="567"/>
      <c r="BU137" s="567"/>
      <c r="BV137" s="568"/>
      <c r="BW137" s="567"/>
      <c r="BX137" s="567"/>
      <c r="BY137" s="568"/>
      <c r="BZ137" s="567"/>
      <c r="CA137" s="567"/>
      <c r="CB137" s="567"/>
      <c r="CC137" s="583"/>
      <c r="CD137" s="555" t="e">
        <f t="shared" ref="CD137:CF137" si="687">MEDIAN(AM137,AP137,AS137,AY137,BB137,AV137,AA137,BE137,BK137,BZ137,BH137,BN137,BQ137,BT137,BW137)</f>
        <v>#DIV/0!</v>
      </c>
      <c r="CE137" s="555" t="e">
        <f t="shared" si="687"/>
        <v>#DIV/0!</v>
      </c>
      <c r="CF137" s="556" t="e">
        <f t="shared" si="687"/>
        <v>#DIV/0!</v>
      </c>
      <c r="CG137" s="555" t="e">
        <f t="shared" ref="CG137:CI137" si="688">MAX(AP137,AS137,AV137,BB137,BE137,AY137,CD137,BK137,BZ137,AA137)-MIN(AP137,AS137,AV137,BB137,BE137,AY137,CD137,BK137,BZ137,AA137)</f>
        <v>#DIV/0!</v>
      </c>
      <c r="CH137" s="555" t="e">
        <f t="shared" si="688"/>
        <v>#DIV/0!</v>
      </c>
      <c r="CI137" s="556" t="e">
        <f t="shared" si="688"/>
        <v>#DIV/0!</v>
      </c>
      <c r="CJ137" s="555" t="e">
        <f t="shared" ref="CJ137:CL137" si="689">STDEV(AS137,AV137,AY137,BE137,BK137,BB137,CG137,BZ137,AA137,CD137)</f>
        <v>#DIV/0!</v>
      </c>
      <c r="CK137" s="555" t="e">
        <f t="shared" si="689"/>
        <v>#DIV/0!</v>
      </c>
      <c r="CL137" s="556" t="e">
        <f t="shared" si="689"/>
        <v>#DIV/0!</v>
      </c>
      <c r="CM137" s="555" t="e">
        <f t="shared" ref="CM137:CO137" si="690">CJ137/AA137</f>
        <v>#DIV/0!</v>
      </c>
      <c r="CN137" s="555" t="e">
        <f t="shared" si="690"/>
        <v>#DIV/0!</v>
      </c>
      <c r="CO137" s="556" t="e">
        <f t="shared" si="690"/>
        <v>#DIV/0!</v>
      </c>
      <c r="CP137" s="29" t="s">
        <v>142</v>
      </c>
      <c r="CQ137" s="535">
        <f t="shared" si="622"/>
        <v>2</v>
      </c>
      <c r="CR137" s="29" t="s">
        <v>120</v>
      </c>
      <c r="CS137" s="29" t="s">
        <v>120</v>
      </c>
      <c r="CT137" s="29" t="s">
        <v>120</v>
      </c>
      <c r="CU137" s="29" t="s">
        <v>120</v>
      </c>
      <c r="CV137" s="29" t="s">
        <v>120</v>
      </c>
    </row>
    <row r="138" customHeight="1" spans="1:100">
      <c r="A138" s="29" t="s">
        <v>359</v>
      </c>
      <c r="B138" s="541" t="s">
        <v>1095</v>
      </c>
      <c r="C138" s="29" t="s">
        <v>1096</v>
      </c>
      <c r="D138" s="29" t="s">
        <v>360</v>
      </c>
      <c r="E138" s="29"/>
      <c r="F138" s="29" t="s">
        <v>1044</v>
      </c>
      <c r="G138" s="29" t="s">
        <v>1039</v>
      </c>
      <c r="H138" s="29" t="b">
        <v>1</v>
      </c>
      <c r="I138" s="29" t="b">
        <v>1</v>
      </c>
      <c r="J138" s="29" t="b">
        <v>0</v>
      </c>
      <c r="K138" s="29" t="b">
        <v>0</v>
      </c>
      <c r="L138" s="29" t="b">
        <v>1</v>
      </c>
      <c r="M138" s="29" t="b">
        <v>0</v>
      </c>
      <c r="N138" s="29"/>
      <c r="P138" s="29" t="b">
        <v>0</v>
      </c>
      <c r="Q138" s="29" t="b">
        <v>0</v>
      </c>
      <c r="R138" s="29" t="b">
        <v>0</v>
      </c>
      <c r="S138" s="29" t="b">
        <v>0</v>
      </c>
      <c r="T138" s="29" t="b">
        <f t="shared" si="0"/>
        <v>0</v>
      </c>
      <c r="U138" s="29" t="s">
        <v>999</v>
      </c>
      <c r="V138" s="29" t="s">
        <v>140</v>
      </c>
      <c r="W138" s="29">
        <v>1</v>
      </c>
      <c r="X138" s="29" t="s">
        <v>1040</v>
      </c>
      <c r="Y138" s="16" t="s">
        <v>1041</v>
      </c>
      <c r="Z138" s="29" t="s">
        <v>1042</v>
      </c>
      <c r="AA138" s="554">
        <f t="shared" ref="AA138:AC138" si="691">AVERAGE(AJ138,AM138,AP138,AV138,AY138,AS138,BZ138,BB138,BE138,BH138,BK138,BN138,BQ138,BT138)</f>
        <v>250</v>
      </c>
      <c r="AB138" s="555">
        <f t="shared" si="691"/>
        <v>93.75</v>
      </c>
      <c r="AC138" s="556">
        <f t="shared" si="691"/>
        <v>62.5</v>
      </c>
      <c r="AD138" s="29" t="b">
        <v>1</v>
      </c>
      <c r="AE138" s="29" t="b">
        <v>0</v>
      </c>
      <c r="AF138" s="29" t="b">
        <v>0</v>
      </c>
      <c r="AG138" s="574">
        <v>350</v>
      </c>
      <c r="AH138" s="569" t="s">
        <v>13</v>
      </c>
      <c r="AI138" s="570" t="s">
        <v>13</v>
      </c>
      <c r="AJ138" s="569" t="s">
        <v>13</v>
      </c>
      <c r="AK138" s="569" t="s">
        <v>13</v>
      </c>
      <c r="AL138" s="569" t="s">
        <v>13</v>
      </c>
      <c r="AM138" s="569">
        <v>350</v>
      </c>
      <c r="AN138" s="567"/>
      <c r="AO138" s="570"/>
      <c r="AP138" s="569">
        <v>150</v>
      </c>
      <c r="AQ138" s="569">
        <v>93.75</v>
      </c>
      <c r="AR138" s="570">
        <v>62.5</v>
      </c>
      <c r="AS138" s="567"/>
      <c r="AT138" s="567"/>
      <c r="AU138" s="568"/>
      <c r="AV138" s="567"/>
      <c r="AW138" s="567"/>
      <c r="AX138" s="570"/>
      <c r="AY138" s="567"/>
      <c r="AZ138" s="567"/>
      <c r="BA138" s="570"/>
      <c r="BB138" s="567"/>
      <c r="BC138" s="567"/>
      <c r="BD138" s="570"/>
      <c r="BE138" s="567"/>
      <c r="BF138" s="567"/>
      <c r="BG138" s="570"/>
      <c r="BH138" s="567"/>
      <c r="BI138" s="567"/>
      <c r="BJ138" s="570"/>
      <c r="BK138" s="567"/>
      <c r="BL138" s="567"/>
      <c r="BM138" s="570"/>
      <c r="BN138" s="567"/>
      <c r="BO138" s="567"/>
      <c r="BP138" s="570"/>
      <c r="BQ138" s="567"/>
      <c r="BR138" s="567"/>
      <c r="BS138" s="570"/>
      <c r="BT138" s="567"/>
      <c r="BU138" s="567"/>
      <c r="BV138" s="570"/>
      <c r="BW138" s="567"/>
      <c r="BX138" s="567"/>
      <c r="BY138" s="570"/>
      <c r="BZ138" s="567"/>
      <c r="CA138" s="567"/>
      <c r="CB138" s="569"/>
      <c r="CC138" s="583"/>
      <c r="CD138" s="555">
        <f t="shared" ref="CD138:CF138" si="692">MEDIAN(AM138,AP138,AS138,AY138,BB138,AV138,AA138,BE138,BK138,BZ138,BH138,BN138,BQ138,BT138,BW138)</f>
        <v>250</v>
      </c>
      <c r="CE138" s="555">
        <f t="shared" si="692"/>
        <v>93.75</v>
      </c>
      <c r="CF138" s="556">
        <f t="shared" si="692"/>
        <v>62.5</v>
      </c>
      <c r="CG138" s="555">
        <f t="shared" ref="CG138:CI138" si="693">MAX(AP138,AS138,AV138,BB138,BE138,AY138,CD138,BK138,BZ138,AA138)-MIN(AP138,AS138,AV138,BB138,BE138,AY138,CD138,BK138,BZ138,AA138)</f>
        <v>100</v>
      </c>
      <c r="CH138" s="555">
        <f t="shared" si="693"/>
        <v>0</v>
      </c>
      <c r="CI138" s="556">
        <f t="shared" si="693"/>
        <v>0</v>
      </c>
      <c r="CJ138" s="555">
        <f t="shared" ref="CJ138:CL138" si="694">STDEV(AS138,AV138,AY138,BE138,BK138,BB138,CG138,BZ138,AA138,CD138)</f>
        <v>86.6025403784439</v>
      </c>
      <c r="CK138" s="555">
        <f t="shared" si="694"/>
        <v>54.1265877365274</v>
      </c>
      <c r="CL138" s="556">
        <f t="shared" si="694"/>
        <v>36.0843918243516</v>
      </c>
      <c r="CM138" s="555">
        <f t="shared" ref="CM138:CO138" si="695">CJ138/AA138</f>
        <v>0.346410161513775</v>
      </c>
      <c r="CN138" s="555">
        <f t="shared" si="695"/>
        <v>0.577350269189626</v>
      </c>
      <c r="CO138" s="556">
        <f t="shared" si="695"/>
        <v>0.577350269189626</v>
      </c>
      <c r="CP138" s="29" t="s">
        <v>142</v>
      </c>
      <c r="CQ138" s="535">
        <f t="shared" si="622"/>
        <v>1</v>
      </c>
      <c r="CR138" s="29" t="s">
        <v>120</v>
      </c>
      <c r="CS138" s="29" t="s">
        <v>120</v>
      </c>
      <c r="CT138" s="29" t="s">
        <v>120</v>
      </c>
      <c r="CU138" s="29" t="s">
        <v>120</v>
      </c>
      <c r="CV138" s="29" t="s">
        <v>120</v>
      </c>
    </row>
    <row r="139" customHeight="1" spans="1:100">
      <c r="A139" s="29" t="s">
        <v>361</v>
      </c>
      <c r="B139" s="541" t="s">
        <v>1095</v>
      </c>
      <c r="C139" s="29" t="s">
        <v>1096</v>
      </c>
      <c r="D139" s="29" t="s">
        <v>362</v>
      </c>
      <c r="E139" s="29"/>
      <c r="F139" s="29" t="s">
        <v>1044</v>
      </c>
      <c r="G139" s="29" t="s">
        <v>57</v>
      </c>
      <c r="H139" s="29" t="b">
        <v>1</v>
      </c>
      <c r="I139" s="29" t="b">
        <v>1</v>
      </c>
      <c r="J139" s="29" t="b">
        <v>0</v>
      </c>
      <c r="K139" s="29" t="b">
        <v>0</v>
      </c>
      <c r="L139" s="29" t="b">
        <v>1</v>
      </c>
      <c r="M139" s="29" t="b">
        <v>0</v>
      </c>
      <c r="N139" s="29"/>
      <c r="P139" s="29" t="b">
        <v>0</v>
      </c>
      <c r="Q139" s="29" t="b">
        <v>0</v>
      </c>
      <c r="R139" s="29" t="b">
        <v>0</v>
      </c>
      <c r="S139" s="29" t="b">
        <v>0</v>
      </c>
      <c r="T139" s="29" t="b">
        <f t="shared" si="0"/>
        <v>0</v>
      </c>
      <c r="U139" s="29" t="s">
        <v>999</v>
      </c>
      <c r="V139" s="29" t="s">
        <v>129</v>
      </c>
      <c r="W139" s="29">
        <v>1</v>
      </c>
      <c r="X139" s="29" t="s">
        <v>1040</v>
      </c>
      <c r="Y139" s="16" t="s">
        <v>1041</v>
      </c>
      <c r="Z139" s="29" t="s">
        <v>1042</v>
      </c>
      <c r="AA139" s="554" t="e">
        <f t="shared" ref="AA139:AC139" si="696">AVERAGE(AJ139,AM139,AP139,AV139,AY139,AS139,BZ139,BB139,BE139,BH139,BK139,BN139,BQ139,BT139)</f>
        <v>#DIV/0!</v>
      </c>
      <c r="AB139" s="555" t="e">
        <f t="shared" si="696"/>
        <v>#DIV/0!</v>
      </c>
      <c r="AC139" s="556" t="e">
        <f t="shared" si="696"/>
        <v>#DIV/0!</v>
      </c>
      <c r="AD139" s="29" t="b">
        <v>1</v>
      </c>
      <c r="AE139" s="29" t="b">
        <v>0</v>
      </c>
      <c r="AF139" s="29" t="b">
        <v>0</v>
      </c>
      <c r="AG139" s="574">
        <v>700</v>
      </c>
      <c r="AH139" s="569" t="s">
        <v>13</v>
      </c>
      <c r="AI139" s="570" t="s">
        <v>13</v>
      </c>
      <c r="AJ139" s="569" t="s">
        <v>13</v>
      </c>
      <c r="AK139" s="569" t="s">
        <v>13</v>
      </c>
      <c r="AL139" s="570" t="s">
        <v>13</v>
      </c>
      <c r="AM139" s="567"/>
      <c r="AN139" s="567"/>
      <c r="AO139" s="570"/>
      <c r="AP139" s="569"/>
      <c r="AQ139" s="569"/>
      <c r="AR139" s="570"/>
      <c r="AS139" s="567"/>
      <c r="AT139" s="567"/>
      <c r="AU139" s="568"/>
      <c r="AV139" s="567"/>
      <c r="AW139" s="567"/>
      <c r="AX139" s="570"/>
      <c r="AY139" s="567"/>
      <c r="AZ139" s="567"/>
      <c r="BA139" s="570"/>
      <c r="BB139" s="567"/>
      <c r="BC139" s="567"/>
      <c r="BD139" s="570"/>
      <c r="BE139" s="567"/>
      <c r="BF139" s="567"/>
      <c r="BG139" s="570"/>
      <c r="BH139" s="567"/>
      <c r="BI139" s="567"/>
      <c r="BJ139" s="570"/>
      <c r="BK139" s="567"/>
      <c r="BL139" s="567"/>
      <c r="BM139" s="570"/>
      <c r="BN139" s="567"/>
      <c r="BO139" s="567"/>
      <c r="BP139" s="570"/>
      <c r="BQ139" s="567"/>
      <c r="BR139" s="567"/>
      <c r="BS139" s="570"/>
      <c r="BT139" s="567"/>
      <c r="BU139" s="567"/>
      <c r="BV139" s="570"/>
      <c r="BW139" s="567"/>
      <c r="BX139" s="567"/>
      <c r="BY139" s="570"/>
      <c r="BZ139" s="567"/>
      <c r="CA139" s="567"/>
      <c r="CB139" s="569"/>
      <c r="CC139" s="583"/>
      <c r="CD139" s="555" t="e">
        <f t="shared" ref="CD139:CF139" si="697">MEDIAN(AM139,AP139,AS139,AY139,BB139,AV139,AA139,BE139,BK139,BZ139,BH139,BN139,BQ139,BT139,BW139)</f>
        <v>#DIV/0!</v>
      </c>
      <c r="CE139" s="555" t="e">
        <f t="shared" si="697"/>
        <v>#DIV/0!</v>
      </c>
      <c r="CF139" s="556" t="e">
        <f t="shared" si="697"/>
        <v>#DIV/0!</v>
      </c>
      <c r="CG139" s="555" t="e">
        <f t="shared" ref="CG139:CI139" si="698">MAX(AP139,AS139,AV139,BB139,BE139,AY139,CD139,BK139,BZ139,AA139)-MIN(AP139,AS139,AV139,BB139,BE139,AY139,CD139,BK139,BZ139,AA139)</f>
        <v>#DIV/0!</v>
      </c>
      <c r="CH139" s="555" t="e">
        <f t="shared" si="698"/>
        <v>#DIV/0!</v>
      </c>
      <c r="CI139" s="556" t="e">
        <f t="shared" si="698"/>
        <v>#DIV/0!</v>
      </c>
      <c r="CJ139" s="555" t="e">
        <f t="shared" ref="CJ139:CL139" si="699">STDEV(AS139,AV139,AY139,BE139,BK139,BB139,CG139,BZ139,AA139,CD139)</f>
        <v>#DIV/0!</v>
      </c>
      <c r="CK139" s="555" t="e">
        <f t="shared" si="699"/>
        <v>#DIV/0!</v>
      </c>
      <c r="CL139" s="556" t="e">
        <f t="shared" si="699"/>
        <v>#DIV/0!</v>
      </c>
      <c r="CM139" s="555" t="e">
        <f t="shared" ref="CM139:CO139" si="700">CJ139/AA139</f>
        <v>#DIV/0!</v>
      </c>
      <c r="CN139" s="555" t="e">
        <f t="shared" si="700"/>
        <v>#DIV/0!</v>
      </c>
      <c r="CO139" s="556" t="e">
        <f t="shared" si="700"/>
        <v>#DIV/0!</v>
      </c>
      <c r="CP139" s="29" t="s">
        <v>142</v>
      </c>
      <c r="CQ139" s="535">
        <f t="shared" si="622"/>
        <v>1</v>
      </c>
      <c r="CR139" s="29" t="s">
        <v>120</v>
      </c>
      <c r="CS139" s="29" t="s">
        <v>120</v>
      </c>
      <c r="CT139" s="29" t="s">
        <v>120</v>
      </c>
      <c r="CU139" s="29" t="s">
        <v>120</v>
      </c>
      <c r="CV139" s="29" t="s">
        <v>120</v>
      </c>
    </row>
    <row r="140" customHeight="1" spans="1:100">
      <c r="A140" s="29" t="s">
        <v>363</v>
      </c>
      <c r="B140" s="541" t="s">
        <v>1095</v>
      </c>
      <c r="C140" s="29" t="s">
        <v>1096</v>
      </c>
      <c r="D140" s="29" t="s">
        <v>364</v>
      </c>
      <c r="E140" s="29"/>
      <c r="F140" s="29" t="s">
        <v>1044</v>
      </c>
      <c r="G140" s="29" t="s">
        <v>1039</v>
      </c>
      <c r="H140" s="29" t="b">
        <v>1</v>
      </c>
      <c r="I140" s="29" t="b">
        <v>1</v>
      </c>
      <c r="J140" s="29" t="b">
        <v>0</v>
      </c>
      <c r="K140" s="29" t="b">
        <v>0</v>
      </c>
      <c r="L140" s="29" t="b">
        <v>1</v>
      </c>
      <c r="M140" s="29" t="b">
        <v>0</v>
      </c>
      <c r="N140" s="29"/>
      <c r="P140" s="29" t="b">
        <v>0</v>
      </c>
      <c r="Q140" s="29" t="b">
        <v>0</v>
      </c>
      <c r="R140" s="29" t="b">
        <v>0</v>
      </c>
      <c r="S140" s="29" t="b">
        <v>0</v>
      </c>
      <c r="T140" s="29" t="b">
        <f t="shared" si="0"/>
        <v>0</v>
      </c>
      <c r="U140" s="29" t="s">
        <v>1071</v>
      </c>
      <c r="V140" s="29" t="s">
        <v>140</v>
      </c>
      <c r="W140" s="29">
        <v>1</v>
      </c>
      <c r="X140" s="29" t="s">
        <v>1040</v>
      </c>
      <c r="Y140" s="16" t="s">
        <v>1041</v>
      </c>
      <c r="Z140" s="29" t="s">
        <v>1042</v>
      </c>
      <c r="AA140" s="554" t="e">
        <f t="shared" ref="AA140:AC140" si="701">AVERAGE(AJ140,AM140,AP140,AV140,AY140,AS140,BZ140,BB140,BE140,BH140,BK140,BN140,BQ140,BT140)</f>
        <v>#DIV/0!</v>
      </c>
      <c r="AB140" s="555" t="e">
        <f t="shared" si="701"/>
        <v>#DIV/0!</v>
      </c>
      <c r="AC140" s="556" t="e">
        <f t="shared" si="701"/>
        <v>#DIV/0!</v>
      </c>
      <c r="AD140" s="29" t="b">
        <v>1</v>
      </c>
      <c r="AE140" s="29" t="b">
        <v>0</v>
      </c>
      <c r="AF140" s="29" t="b">
        <v>0</v>
      </c>
      <c r="AG140" s="574">
        <v>175</v>
      </c>
      <c r="AH140" s="569" t="s">
        <v>13</v>
      </c>
      <c r="AI140" s="570" t="s">
        <v>13</v>
      </c>
      <c r="AJ140" s="569" t="s">
        <v>13</v>
      </c>
      <c r="AK140" s="569" t="s">
        <v>13</v>
      </c>
      <c r="AL140" s="570" t="s">
        <v>13</v>
      </c>
      <c r="AM140" s="569" t="s">
        <v>13</v>
      </c>
      <c r="AN140" s="569" t="s">
        <v>13</v>
      </c>
      <c r="AO140" s="570" t="s">
        <v>13</v>
      </c>
      <c r="AP140" s="569" t="s">
        <v>13</v>
      </c>
      <c r="AQ140" s="569" t="s">
        <v>13</v>
      </c>
      <c r="AR140" s="570" t="s">
        <v>13</v>
      </c>
      <c r="AS140" s="567"/>
      <c r="AT140" s="567"/>
      <c r="AU140" s="568"/>
      <c r="AV140" s="567"/>
      <c r="AW140" s="567"/>
      <c r="AX140" s="570"/>
      <c r="AY140" s="567"/>
      <c r="AZ140" s="567"/>
      <c r="BA140" s="570"/>
      <c r="BB140" s="567"/>
      <c r="BC140" s="567"/>
      <c r="BD140" s="570"/>
      <c r="BE140" s="567"/>
      <c r="BF140" s="567"/>
      <c r="BG140" s="570"/>
      <c r="BH140" s="567"/>
      <c r="BI140" s="567"/>
      <c r="BJ140" s="570"/>
      <c r="BK140" s="567"/>
      <c r="BL140" s="567"/>
      <c r="BM140" s="570"/>
      <c r="BN140" s="567"/>
      <c r="BO140" s="567"/>
      <c r="BP140" s="570"/>
      <c r="BQ140" s="567"/>
      <c r="BR140" s="567"/>
      <c r="BS140" s="570"/>
      <c r="BT140" s="567"/>
      <c r="BU140" s="567"/>
      <c r="BV140" s="570"/>
      <c r="BW140" s="567"/>
      <c r="BX140" s="567"/>
      <c r="BY140" s="570"/>
      <c r="BZ140" s="567"/>
      <c r="CA140" s="567"/>
      <c r="CB140" s="569"/>
      <c r="CC140" s="583"/>
      <c r="CD140" s="555" t="e">
        <f t="shared" ref="CD140:CF140" si="702">MEDIAN(AM140,AP140,AS140,AY140,BB140,AV140,AA140,BE140,BK140,BZ140,BH140,BN140,BQ140,BT140,BW140)</f>
        <v>#DIV/0!</v>
      </c>
      <c r="CE140" s="555" t="e">
        <f t="shared" si="702"/>
        <v>#DIV/0!</v>
      </c>
      <c r="CF140" s="556" t="e">
        <f t="shared" si="702"/>
        <v>#DIV/0!</v>
      </c>
      <c r="CG140" s="555" t="e">
        <f t="shared" ref="CG140:CI140" si="703">MAX(AP140,AS140,AV140,BB140,BE140,AY140,CD140,BK140,BZ140,AA140)-MIN(AP140,AS140,AV140,BB140,BE140,AY140,CD140,BK140,BZ140,AA140)</f>
        <v>#DIV/0!</v>
      </c>
      <c r="CH140" s="555" t="e">
        <f t="shared" si="703"/>
        <v>#DIV/0!</v>
      </c>
      <c r="CI140" s="556" t="e">
        <f t="shared" si="703"/>
        <v>#DIV/0!</v>
      </c>
      <c r="CJ140" s="555" t="e">
        <f t="shared" ref="CJ140:CL140" si="704">STDEV(AS140,AV140,AY140,BE140,BK140,BB140,CG140,BZ140,AA140,CD140)</f>
        <v>#DIV/0!</v>
      </c>
      <c r="CK140" s="555" t="e">
        <f t="shared" si="704"/>
        <v>#DIV/0!</v>
      </c>
      <c r="CL140" s="556" t="e">
        <f t="shared" si="704"/>
        <v>#DIV/0!</v>
      </c>
      <c r="CM140" s="555" t="e">
        <f t="shared" ref="CM140:CO140" si="705">CJ140/AA140</f>
        <v>#DIV/0!</v>
      </c>
      <c r="CN140" s="555" t="e">
        <f t="shared" si="705"/>
        <v>#DIV/0!</v>
      </c>
      <c r="CO140" s="556" t="e">
        <f t="shared" si="705"/>
        <v>#DIV/0!</v>
      </c>
      <c r="CP140" s="29" t="s">
        <v>142</v>
      </c>
      <c r="CQ140" s="535">
        <f t="shared" si="622"/>
        <v>1</v>
      </c>
      <c r="CR140" s="29" t="s">
        <v>120</v>
      </c>
      <c r="CS140" s="29" t="s">
        <v>120</v>
      </c>
      <c r="CT140" s="29" t="s">
        <v>120</v>
      </c>
      <c r="CU140" s="29" t="s">
        <v>120</v>
      </c>
      <c r="CV140" s="29" t="s">
        <v>120</v>
      </c>
    </row>
    <row r="141" customHeight="1" spans="1:100">
      <c r="A141" s="29" t="s">
        <v>365</v>
      </c>
      <c r="B141" s="541" t="s">
        <v>1095</v>
      </c>
      <c r="C141" s="29" t="s">
        <v>1096</v>
      </c>
      <c r="D141" s="29" t="s">
        <v>366</v>
      </c>
      <c r="E141" s="29"/>
      <c r="F141" s="29" t="s">
        <v>1044</v>
      </c>
      <c r="G141" s="29" t="s">
        <v>57</v>
      </c>
      <c r="H141" s="29" t="b">
        <v>1</v>
      </c>
      <c r="I141" s="29" t="b">
        <v>1</v>
      </c>
      <c r="J141" s="29" t="b">
        <v>0</v>
      </c>
      <c r="K141" s="29" t="b">
        <v>0</v>
      </c>
      <c r="L141" s="29" t="b">
        <v>1</v>
      </c>
      <c r="M141" s="29" t="b">
        <v>0</v>
      </c>
      <c r="N141" s="29"/>
      <c r="P141" s="29" t="b">
        <v>0</v>
      </c>
      <c r="Q141" s="29" t="b">
        <v>0</v>
      </c>
      <c r="R141" s="29" t="b">
        <v>0</v>
      </c>
      <c r="S141" s="29" t="b">
        <v>0</v>
      </c>
      <c r="T141" s="29" t="b">
        <f t="shared" si="0"/>
        <v>0</v>
      </c>
      <c r="U141" s="29" t="s">
        <v>1071</v>
      </c>
      <c r="V141" s="29" t="s">
        <v>129</v>
      </c>
      <c r="W141" s="29">
        <v>1</v>
      </c>
      <c r="X141" s="29" t="s">
        <v>1040</v>
      </c>
      <c r="Y141" s="16" t="s">
        <v>1041</v>
      </c>
      <c r="Z141" s="29" t="s">
        <v>1042</v>
      </c>
      <c r="AA141" s="554" t="e">
        <f t="shared" ref="AA141:AC141" si="706">AVERAGE(AJ141,AM141,AP141,AV141,AY141,AS141,BZ141,BB141,BE141,BH141,BK141,BN141,BQ141,BT141)</f>
        <v>#DIV/0!</v>
      </c>
      <c r="AB141" s="555" t="e">
        <f t="shared" si="706"/>
        <v>#DIV/0!</v>
      </c>
      <c r="AC141" s="556" t="e">
        <f t="shared" si="706"/>
        <v>#DIV/0!</v>
      </c>
      <c r="AD141" s="29" t="b">
        <v>1</v>
      </c>
      <c r="AE141" s="29" t="b">
        <v>0</v>
      </c>
      <c r="AF141" s="29" t="b">
        <v>0</v>
      </c>
      <c r="AG141" s="574">
        <v>400</v>
      </c>
      <c r="AH141" s="569" t="s">
        <v>13</v>
      </c>
      <c r="AI141" s="570" t="s">
        <v>13</v>
      </c>
      <c r="AJ141" s="569" t="s">
        <v>13</v>
      </c>
      <c r="AK141" s="569" t="s">
        <v>13</v>
      </c>
      <c r="AL141" s="570" t="s">
        <v>13</v>
      </c>
      <c r="AM141" s="569" t="s">
        <v>13</v>
      </c>
      <c r="AN141" s="569" t="s">
        <v>13</v>
      </c>
      <c r="AO141" s="570" t="s">
        <v>13</v>
      </c>
      <c r="AP141" s="569" t="s">
        <v>13</v>
      </c>
      <c r="AQ141" s="569" t="s">
        <v>13</v>
      </c>
      <c r="AR141" s="570" t="s">
        <v>13</v>
      </c>
      <c r="AS141" s="567"/>
      <c r="AT141" s="567"/>
      <c r="AU141" s="568"/>
      <c r="AV141" s="567"/>
      <c r="AW141" s="567"/>
      <c r="AX141" s="570"/>
      <c r="AY141" s="567"/>
      <c r="AZ141" s="567"/>
      <c r="BA141" s="570"/>
      <c r="BB141" s="567"/>
      <c r="BC141" s="567"/>
      <c r="BD141" s="570"/>
      <c r="BE141" s="567"/>
      <c r="BF141" s="567"/>
      <c r="BG141" s="570"/>
      <c r="BH141" s="567"/>
      <c r="BI141" s="567"/>
      <c r="BJ141" s="570"/>
      <c r="BK141" s="567"/>
      <c r="BL141" s="567"/>
      <c r="BM141" s="570"/>
      <c r="BN141" s="567"/>
      <c r="BO141" s="567"/>
      <c r="BP141" s="570"/>
      <c r="BQ141" s="567"/>
      <c r="BR141" s="567"/>
      <c r="BS141" s="570"/>
      <c r="BT141" s="567"/>
      <c r="BU141" s="567"/>
      <c r="BV141" s="570"/>
      <c r="BW141" s="567"/>
      <c r="BX141" s="567"/>
      <c r="BY141" s="570"/>
      <c r="BZ141" s="567"/>
      <c r="CA141" s="567"/>
      <c r="CB141" s="569"/>
      <c r="CC141" s="583"/>
      <c r="CD141" s="555" t="e">
        <f t="shared" ref="CD141:CF141" si="707">MEDIAN(AM141,AP141,AS141,AY141,BB141,AV141,AA141,BE141,BK141,BZ141,BH141,BN141,BQ141,BT141,BW141)</f>
        <v>#DIV/0!</v>
      </c>
      <c r="CE141" s="555" t="e">
        <f t="shared" si="707"/>
        <v>#DIV/0!</v>
      </c>
      <c r="CF141" s="556" t="e">
        <f t="shared" si="707"/>
        <v>#DIV/0!</v>
      </c>
      <c r="CG141" s="555" t="e">
        <f t="shared" ref="CG141:CI141" si="708">MAX(AP141,AS141,AV141,BB141,BE141,AY141,CD141,BK141,BZ141,AA141)-MIN(AP141,AS141,AV141,BB141,BE141,AY141,CD141,BK141,BZ141,AA141)</f>
        <v>#DIV/0!</v>
      </c>
      <c r="CH141" s="555" t="e">
        <f t="shared" si="708"/>
        <v>#DIV/0!</v>
      </c>
      <c r="CI141" s="556" t="e">
        <f t="shared" si="708"/>
        <v>#DIV/0!</v>
      </c>
      <c r="CJ141" s="555" t="e">
        <f t="shared" ref="CJ141:CL141" si="709">STDEV(AS141,AV141,AY141,BE141,BK141,BB141,CG141,BZ141,AA141,CD141)</f>
        <v>#DIV/0!</v>
      </c>
      <c r="CK141" s="555" t="e">
        <f t="shared" si="709"/>
        <v>#DIV/0!</v>
      </c>
      <c r="CL141" s="556" t="e">
        <f t="shared" si="709"/>
        <v>#DIV/0!</v>
      </c>
      <c r="CM141" s="555" t="e">
        <f t="shared" ref="CM141:CO141" si="710">CJ141/AA141</f>
        <v>#DIV/0!</v>
      </c>
      <c r="CN141" s="555" t="e">
        <f t="shared" si="710"/>
        <v>#DIV/0!</v>
      </c>
      <c r="CO141" s="556" t="e">
        <f t="shared" si="710"/>
        <v>#DIV/0!</v>
      </c>
      <c r="CP141" s="29" t="s">
        <v>142</v>
      </c>
      <c r="CQ141" s="535">
        <f t="shared" si="622"/>
        <v>1</v>
      </c>
      <c r="CR141" s="29" t="s">
        <v>120</v>
      </c>
      <c r="CS141" s="29" t="s">
        <v>120</v>
      </c>
      <c r="CT141" s="29" t="s">
        <v>120</v>
      </c>
      <c r="CU141" s="29" t="s">
        <v>120</v>
      </c>
      <c r="CV141" s="29" t="s">
        <v>120</v>
      </c>
    </row>
    <row r="142" customHeight="1" spans="1:100">
      <c r="A142" s="29" t="s">
        <v>367</v>
      </c>
      <c r="B142" s="541" t="s">
        <v>1100</v>
      </c>
      <c r="C142" s="29" t="s">
        <v>1101</v>
      </c>
      <c r="F142" s="29" t="s">
        <v>1044</v>
      </c>
      <c r="G142" s="29" t="s">
        <v>1039</v>
      </c>
      <c r="H142" s="29" t="b">
        <v>1</v>
      </c>
      <c r="I142" s="29" t="b">
        <v>1</v>
      </c>
      <c r="J142" s="29" t="b">
        <v>0</v>
      </c>
      <c r="K142" s="29" t="b">
        <v>0</v>
      </c>
      <c r="L142" s="29" t="b">
        <v>0</v>
      </c>
      <c r="M142" s="29" t="b">
        <v>0</v>
      </c>
      <c r="O142" s="29">
        <v>700</v>
      </c>
      <c r="P142" s="29" t="b">
        <v>0</v>
      </c>
      <c r="Q142" s="29" t="b">
        <v>0</v>
      </c>
      <c r="R142" s="29" t="b">
        <v>0</v>
      </c>
      <c r="S142" s="29" t="b">
        <v>0</v>
      </c>
      <c r="T142" s="29" t="b">
        <f t="shared" si="0"/>
        <v>0</v>
      </c>
      <c r="U142" s="29" t="s">
        <v>1012</v>
      </c>
      <c r="V142" s="29" t="s">
        <v>140</v>
      </c>
      <c r="W142" s="29">
        <v>2</v>
      </c>
      <c r="X142" s="29" t="s">
        <v>1049</v>
      </c>
      <c r="Y142" s="16" t="s">
        <v>1041</v>
      </c>
      <c r="Z142" s="29" t="s">
        <v>1042</v>
      </c>
      <c r="AA142" s="554">
        <f t="shared" ref="AA142:AC142" si="711">AVERAGE(AJ142,AM142,AP142,AV142,AY142,AS142,BZ142,BB142,BE142,BH142,BK142,BN142,BQ142,BT142)</f>
        <v>80</v>
      </c>
      <c r="AB142" s="555">
        <f t="shared" si="711"/>
        <v>46.25</v>
      </c>
      <c r="AC142" s="556">
        <f t="shared" si="711"/>
        <v>30.835</v>
      </c>
      <c r="AD142" s="29" t="b">
        <v>1</v>
      </c>
      <c r="AE142" s="29" t="b">
        <v>0</v>
      </c>
      <c r="AF142" s="29" t="b">
        <v>0</v>
      </c>
      <c r="AG142" s="574">
        <v>85</v>
      </c>
      <c r="AH142" s="569">
        <v>55</v>
      </c>
      <c r="AI142" s="570">
        <v>35</v>
      </c>
      <c r="AJ142" s="567"/>
      <c r="AK142" s="567"/>
      <c r="AL142" s="568"/>
      <c r="AM142" s="567"/>
      <c r="AN142" s="567"/>
      <c r="AO142" s="568"/>
      <c r="AP142" s="569">
        <v>100</v>
      </c>
      <c r="AQ142" s="569">
        <v>62.5</v>
      </c>
      <c r="AR142" s="570">
        <v>41.67</v>
      </c>
      <c r="AS142" s="567"/>
      <c r="AT142" s="567"/>
      <c r="AU142" s="568"/>
      <c r="AV142" s="567"/>
      <c r="AW142" s="567"/>
      <c r="AX142" s="568"/>
      <c r="AY142" s="567"/>
      <c r="AZ142" s="567"/>
      <c r="BA142" s="568"/>
      <c r="BB142" s="567"/>
      <c r="BC142" s="567"/>
      <c r="BD142" s="568"/>
      <c r="BE142" s="567"/>
      <c r="BF142" s="567"/>
      <c r="BG142" s="568"/>
      <c r="BH142" s="567"/>
      <c r="BI142" s="567"/>
      <c r="BJ142" s="568"/>
      <c r="BK142" s="567"/>
      <c r="BL142" s="567"/>
      <c r="BM142" s="568"/>
      <c r="BN142" s="567"/>
      <c r="BO142" s="567"/>
      <c r="BP142" s="568"/>
      <c r="BQ142" s="567"/>
      <c r="BR142" s="567"/>
      <c r="BS142" s="568"/>
      <c r="BT142" s="567"/>
      <c r="BU142" s="567"/>
      <c r="BV142" s="568"/>
      <c r="BW142" s="567"/>
      <c r="BX142" s="567"/>
      <c r="BY142" s="568"/>
      <c r="BZ142" s="569">
        <v>60</v>
      </c>
      <c r="CA142" s="572">
        <f t="shared" ref="CA142:CB142" si="712">BZ142/(1+(BZ142/60))</f>
        <v>30</v>
      </c>
      <c r="CB142" s="572">
        <f t="shared" si="712"/>
        <v>20</v>
      </c>
      <c r="CC142" s="583"/>
      <c r="CD142" s="555">
        <f t="shared" ref="CD142:CF142" si="713">MEDIAN(AM142,AP142,AS142,AY142,BB142,AV142,AA142,BE142,BK142,BZ142,BH142,BN142,BQ142,BT142,BW142)</f>
        <v>80</v>
      </c>
      <c r="CE142" s="555">
        <f t="shared" si="713"/>
        <v>46.25</v>
      </c>
      <c r="CF142" s="556">
        <f t="shared" si="713"/>
        <v>30.835</v>
      </c>
      <c r="CG142" s="555">
        <f t="shared" ref="CG142:CI142" si="714">MAX(AP142,AS142,AV142,BB142,BE142,AY142,CD142,BK142,BZ142,AA142)-MIN(AP142,AS142,AV142,BB142,BE142,AY142,CD142,BK142,BZ142,AA142)</f>
        <v>40</v>
      </c>
      <c r="CH142" s="555">
        <f t="shared" si="714"/>
        <v>32.5</v>
      </c>
      <c r="CI142" s="556">
        <f t="shared" si="714"/>
        <v>21.67</v>
      </c>
      <c r="CJ142" s="555">
        <f t="shared" ref="CJ142:CL142" si="715">STDEV(AS142,AV142,AY142,BE142,BK142,BB142,CG142,BZ142,AA142,CD142)</f>
        <v>19.1485421551268</v>
      </c>
      <c r="CK142" s="555">
        <f t="shared" si="715"/>
        <v>8.72018730685681</v>
      </c>
      <c r="CL142" s="556">
        <f t="shared" si="715"/>
        <v>5.81361763448543</v>
      </c>
      <c r="CM142" s="555">
        <f t="shared" ref="CM142:CO142" si="716">CJ142/AA142</f>
        <v>0.239356776939085</v>
      </c>
      <c r="CN142" s="555">
        <f t="shared" si="716"/>
        <v>0.188544590418526</v>
      </c>
      <c r="CO142" s="556">
        <f t="shared" si="716"/>
        <v>0.18853956979035</v>
      </c>
      <c r="CP142" s="29" t="s">
        <v>120</v>
      </c>
      <c r="CQ142" s="535">
        <f t="shared" si="622"/>
        <v>2</v>
      </c>
      <c r="CR142" s="29" t="s">
        <v>120</v>
      </c>
      <c r="CS142" s="29"/>
      <c r="CT142" s="29"/>
      <c r="CU142" s="29"/>
      <c r="CV142" s="29"/>
    </row>
    <row r="143" customHeight="1" spans="1:100">
      <c r="A143" s="29" t="s">
        <v>368</v>
      </c>
      <c r="B143" s="541" t="s">
        <v>1100</v>
      </c>
      <c r="C143" s="29" t="s">
        <v>1101</v>
      </c>
      <c r="F143" s="29" t="s">
        <v>1044</v>
      </c>
      <c r="G143" s="29" t="s">
        <v>1039</v>
      </c>
      <c r="H143" s="29" t="b">
        <v>1</v>
      </c>
      <c r="I143" s="29" t="b">
        <v>1</v>
      </c>
      <c r="J143" s="29" t="b">
        <v>0</v>
      </c>
      <c r="K143" s="29" t="b">
        <v>0</v>
      </c>
      <c r="L143" s="29" t="b">
        <v>0</v>
      </c>
      <c r="M143" s="29" t="b">
        <v>0</v>
      </c>
      <c r="O143" s="29">
        <v>700</v>
      </c>
      <c r="P143" s="29" t="b">
        <v>0</v>
      </c>
      <c r="Q143" s="29" t="b">
        <v>0</v>
      </c>
      <c r="R143" s="29" t="b">
        <v>0</v>
      </c>
      <c r="S143" s="29" t="b">
        <v>0</v>
      </c>
      <c r="T143" s="29" t="b">
        <f t="shared" si="0"/>
        <v>0</v>
      </c>
      <c r="U143" s="29" t="s">
        <v>1012</v>
      </c>
      <c r="V143" s="29" t="s">
        <v>140</v>
      </c>
      <c r="W143" s="29">
        <v>2</v>
      </c>
      <c r="X143" s="29" t="s">
        <v>1049</v>
      </c>
      <c r="Y143" s="16" t="s">
        <v>1041</v>
      </c>
      <c r="Z143" s="29" t="s">
        <v>1064</v>
      </c>
      <c r="AA143" s="554">
        <f t="shared" ref="AA143:AC143" si="717">AVERAGE(AJ143,AM143,AP143,AV143,AY143,AS143,BZ143,BB143,BE143,BH143,BK143,BN143,BQ143,BT143)</f>
        <v>40</v>
      </c>
      <c r="AB143" s="555">
        <f t="shared" si="717"/>
        <v>20</v>
      </c>
      <c r="AC143" s="556">
        <f t="shared" si="717"/>
        <v>13.3333333333333</v>
      </c>
      <c r="AD143" s="29" t="b">
        <v>1</v>
      </c>
      <c r="AE143" s="29" t="b">
        <v>0</v>
      </c>
      <c r="AF143" s="29" t="b">
        <v>0</v>
      </c>
      <c r="AG143" s="569">
        <v>60</v>
      </c>
      <c r="AH143" s="569">
        <v>35</v>
      </c>
      <c r="AI143" s="570">
        <v>22</v>
      </c>
      <c r="AJ143" s="567"/>
      <c r="AK143" s="568"/>
      <c r="AL143" s="568"/>
      <c r="AM143" s="567"/>
      <c r="AN143" s="567"/>
      <c r="AO143" s="568"/>
      <c r="AP143" s="567"/>
      <c r="AQ143" s="567"/>
      <c r="AR143" s="568"/>
      <c r="AS143" s="567"/>
      <c r="AT143" s="567"/>
      <c r="AU143" s="568"/>
      <c r="AV143" s="567"/>
      <c r="AW143" s="567"/>
      <c r="AX143" s="568"/>
      <c r="AY143" s="567"/>
      <c r="AZ143" s="567"/>
      <c r="BA143" s="568"/>
      <c r="BB143" s="567"/>
      <c r="BC143" s="567"/>
      <c r="BD143" s="568"/>
      <c r="BE143" s="567"/>
      <c r="BF143" s="567"/>
      <c r="BG143" s="568"/>
      <c r="BH143" s="567"/>
      <c r="BI143" s="567"/>
      <c r="BJ143" s="568"/>
      <c r="BK143" s="567"/>
      <c r="BL143" s="567"/>
      <c r="BM143" s="568"/>
      <c r="BN143" s="567"/>
      <c r="BO143" s="567"/>
      <c r="BP143" s="568"/>
      <c r="BQ143" s="567"/>
      <c r="BR143" s="567"/>
      <c r="BS143" s="568"/>
      <c r="BT143" s="567"/>
      <c r="BU143" s="567"/>
      <c r="BV143" s="568"/>
      <c r="BW143" s="567"/>
      <c r="BX143" s="567"/>
      <c r="BY143" s="568"/>
      <c r="BZ143" s="569">
        <v>40</v>
      </c>
      <c r="CA143" s="572">
        <f t="shared" ref="CA143:CB143" si="718">BZ143/(1+(BZ143/40))</f>
        <v>20</v>
      </c>
      <c r="CB143" s="572">
        <f t="shared" si="718"/>
        <v>13.3333333333333</v>
      </c>
      <c r="CC143" s="583"/>
      <c r="CD143" s="555">
        <f t="shared" ref="CD143:CF143" si="719">MEDIAN(AM143,AP143,AS143,AY143,BB143,AV143,AA143,BE143,BK143,BZ143,BH143,BN143,BQ143,BT143,BW143)</f>
        <v>40</v>
      </c>
      <c r="CE143" s="555">
        <f t="shared" si="719"/>
        <v>20</v>
      </c>
      <c r="CF143" s="556">
        <f t="shared" si="719"/>
        <v>13.3333333333333</v>
      </c>
      <c r="CG143" s="555">
        <f t="shared" ref="CG143:CI143" si="720">MAX(AP143,AS143,AV143,BB143,BE143,AY143,CD143,BK143,BZ143,AA143)-MIN(AP143,AS143,AV143,BB143,BE143,AY143,CD143,BK143,BZ143,AA143)</f>
        <v>0</v>
      </c>
      <c r="CH143" s="555">
        <f t="shared" si="720"/>
        <v>0</v>
      </c>
      <c r="CI143" s="556">
        <f t="shared" si="720"/>
        <v>0</v>
      </c>
      <c r="CJ143" s="555">
        <f t="shared" ref="CJ143:CL143" si="721">STDEV(AS143,AV143,AY143,BE143,BK143,BB143,CG143,BZ143,AA143,CD143)</f>
        <v>20</v>
      </c>
      <c r="CK143" s="555">
        <f t="shared" si="721"/>
        <v>10</v>
      </c>
      <c r="CL143" s="556">
        <f t="shared" si="721"/>
        <v>6.66666666666667</v>
      </c>
      <c r="CM143" s="555">
        <f t="shared" ref="CM143:CO143" si="722">CJ143/AA143</f>
        <v>0.5</v>
      </c>
      <c r="CN143" s="555">
        <f t="shared" si="722"/>
        <v>0.5</v>
      </c>
      <c r="CO143" s="556">
        <f t="shared" si="722"/>
        <v>0.5</v>
      </c>
      <c r="CP143" s="29" t="s">
        <v>120</v>
      </c>
      <c r="CQ143" s="535">
        <f t="shared" si="622"/>
        <v>2</v>
      </c>
      <c r="CR143" s="29" t="s">
        <v>120</v>
      </c>
      <c r="CS143" s="29"/>
      <c r="CT143" s="29"/>
      <c r="CU143" s="29"/>
      <c r="CV143" s="29"/>
    </row>
    <row r="144" customHeight="1" spans="1:100">
      <c r="A144" s="29" t="s">
        <v>369</v>
      </c>
      <c r="B144" s="541" t="s">
        <v>1100</v>
      </c>
      <c r="C144" s="29" t="s">
        <v>1101</v>
      </c>
      <c r="D144" s="29"/>
      <c r="E144" s="29"/>
      <c r="F144" s="29" t="s">
        <v>1044</v>
      </c>
      <c r="G144" s="29" t="s">
        <v>1039</v>
      </c>
      <c r="H144" s="29" t="b">
        <v>0</v>
      </c>
      <c r="I144" s="29" t="b">
        <v>0</v>
      </c>
      <c r="J144" s="29" t="b">
        <v>1</v>
      </c>
      <c r="K144" s="29" t="b">
        <v>0</v>
      </c>
      <c r="L144" s="29" t="b">
        <v>0</v>
      </c>
      <c r="M144" s="29" t="b">
        <v>0</v>
      </c>
      <c r="O144" s="29">
        <v>700</v>
      </c>
      <c r="P144" s="29" t="b">
        <v>0</v>
      </c>
      <c r="Q144" s="29" t="b">
        <v>0</v>
      </c>
      <c r="R144" s="29" t="b">
        <v>0</v>
      </c>
      <c r="S144" s="29" t="b">
        <v>0</v>
      </c>
      <c r="T144" s="29" t="b">
        <f t="shared" si="0"/>
        <v>0</v>
      </c>
      <c r="U144" s="29" t="s">
        <v>1071</v>
      </c>
      <c r="V144" s="29" t="s">
        <v>140</v>
      </c>
      <c r="W144" s="29">
        <v>2</v>
      </c>
      <c r="X144" s="29" t="s">
        <v>1049</v>
      </c>
      <c r="Y144" s="16" t="s">
        <v>1041</v>
      </c>
      <c r="Z144" s="29" t="s">
        <v>1064</v>
      </c>
      <c r="AA144" s="554">
        <f t="shared" ref="AA144:AC144" si="723">AVERAGE(AJ144,AM144,AP144,AV144,AY144,AS144,BZ144,BB144,BE144,BH144,BK144,BN144,BQ144,BT144)</f>
        <v>8</v>
      </c>
      <c r="AB144" s="555">
        <f t="shared" si="723"/>
        <v>5</v>
      </c>
      <c r="AC144" s="556">
        <f t="shared" si="723"/>
        <v>3.33</v>
      </c>
      <c r="AD144" s="29" t="b">
        <v>0</v>
      </c>
      <c r="AE144" s="29" t="b">
        <v>1</v>
      </c>
      <c r="AF144" s="29" t="b">
        <v>0</v>
      </c>
      <c r="AG144" s="569" t="s">
        <v>370</v>
      </c>
      <c r="AH144" s="567"/>
      <c r="AI144" s="568"/>
      <c r="AJ144" s="567"/>
      <c r="AK144" s="568"/>
      <c r="AL144" s="568"/>
      <c r="AM144" s="569" t="s">
        <v>13</v>
      </c>
      <c r="AN144" s="569" t="s">
        <v>13</v>
      </c>
      <c r="AO144" s="570" t="s">
        <v>13</v>
      </c>
      <c r="AP144" s="569">
        <v>8</v>
      </c>
      <c r="AQ144" s="569">
        <v>5</v>
      </c>
      <c r="AR144" s="570">
        <v>3.33</v>
      </c>
      <c r="AS144" s="567"/>
      <c r="AT144" s="567"/>
      <c r="AU144" s="568"/>
      <c r="AV144" s="567"/>
      <c r="AW144" s="567"/>
      <c r="AX144" s="568"/>
      <c r="AY144" s="567"/>
      <c r="AZ144" s="567"/>
      <c r="BA144" s="568"/>
      <c r="BB144" s="567"/>
      <c r="BC144" s="567"/>
      <c r="BD144" s="568"/>
      <c r="BE144" s="567"/>
      <c r="BF144" s="567"/>
      <c r="BG144" s="568"/>
      <c r="BH144" s="567"/>
      <c r="BI144" s="567"/>
      <c r="BJ144" s="568"/>
      <c r="BK144" s="567"/>
      <c r="BL144" s="567"/>
      <c r="BM144" s="568"/>
      <c r="BN144" s="567"/>
      <c r="BO144" s="567"/>
      <c r="BP144" s="568"/>
      <c r="BQ144" s="567"/>
      <c r="BR144" s="567"/>
      <c r="BS144" s="568"/>
      <c r="BT144" s="567"/>
      <c r="BU144" s="567"/>
      <c r="BV144" s="568"/>
      <c r="BW144" s="567"/>
      <c r="BX144" s="567"/>
      <c r="BY144" s="568"/>
      <c r="BZ144" s="567"/>
      <c r="CA144" s="567"/>
      <c r="CB144" s="567"/>
      <c r="CC144" s="583"/>
      <c r="CD144" s="555">
        <f t="shared" ref="CD144:CF144" si="724">MEDIAN(AM144,AP144,AS144,AY144,BB144,AV144,AA144,BE144,BK144,BZ144,BH144,BN144,BQ144,BT144,BW144)</f>
        <v>8</v>
      </c>
      <c r="CE144" s="555">
        <f t="shared" si="724"/>
        <v>5</v>
      </c>
      <c r="CF144" s="556">
        <f t="shared" si="724"/>
        <v>3.33</v>
      </c>
      <c r="CG144" s="555">
        <f t="shared" ref="CG144:CI144" si="725">MAX(AP144,AS144,AV144,BB144,BE144,AY144,CD144,BK144,BZ144,AA144)-MIN(AP144,AS144,AV144,BB144,BE144,AY144,CD144,BK144,BZ144,AA144)</f>
        <v>0</v>
      </c>
      <c r="CH144" s="555">
        <f t="shared" si="725"/>
        <v>0</v>
      </c>
      <c r="CI144" s="556">
        <f t="shared" si="725"/>
        <v>0</v>
      </c>
      <c r="CJ144" s="555">
        <f t="shared" ref="CJ144:CL144" si="726">STDEV(AS144,AV144,AY144,BE144,BK144,BB144,CG144,BZ144,AA144,CD144)</f>
        <v>4.61880215351701</v>
      </c>
      <c r="CK144" s="555">
        <f t="shared" si="726"/>
        <v>2.88675134594813</v>
      </c>
      <c r="CL144" s="556">
        <f t="shared" si="726"/>
        <v>1.92257639640145</v>
      </c>
      <c r="CM144" s="555">
        <f t="shared" ref="CM144:CO144" si="727">CJ144/AA144</f>
        <v>0.577350269189626</v>
      </c>
      <c r="CN144" s="555">
        <f t="shared" si="727"/>
        <v>0.577350269189626</v>
      </c>
      <c r="CO144" s="556">
        <f t="shared" si="727"/>
        <v>0.577350269189626</v>
      </c>
      <c r="CP144" s="29" t="s">
        <v>120</v>
      </c>
      <c r="CQ144" s="535">
        <f t="shared" si="622"/>
        <v>2</v>
      </c>
      <c r="CR144" s="29" t="s">
        <v>120</v>
      </c>
      <c r="CS144" s="29" t="s">
        <v>120</v>
      </c>
      <c r="CT144" s="29" t="s">
        <v>120</v>
      </c>
      <c r="CU144" s="29" t="s">
        <v>120</v>
      </c>
      <c r="CV144" s="29" t="s">
        <v>120</v>
      </c>
    </row>
    <row r="145" customHeight="1" spans="1:100">
      <c r="A145" s="29" t="s">
        <v>371</v>
      </c>
      <c r="B145" s="541" t="s">
        <v>1100</v>
      </c>
      <c r="C145" s="29" t="s">
        <v>1101</v>
      </c>
      <c r="D145" s="29"/>
      <c r="E145" s="29"/>
      <c r="F145" s="29" t="s">
        <v>1044</v>
      </c>
      <c r="G145" s="29" t="s">
        <v>1039</v>
      </c>
      <c r="H145" s="29" t="b">
        <v>0</v>
      </c>
      <c r="I145" s="29" t="b">
        <v>0</v>
      </c>
      <c r="J145" s="29" t="b">
        <v>1</v>
      </c>
      <c r="K145" s="29" t="b">
        <v>0</v>
      </c>
      <c r="L145" s="29" t="b">
        <v>0</v>
      </c>
      <c r="M145" s="29" t="b">
        <v>0</v>
      </c>
      <c r="O145" s="29">
        <v>700</v>
      </c>
      <c r="P145" s="29" t="b">
        <v>0</v>
      </c>
      <c r="Q145" s="29" t="b">
        <v>0</v>
      </c>
      <c r="R145" s="29" t="b">
        <v>0</v>
      </c>
      <c r="S145" s="29" t="b">
        <v>0</v>
      </c>
      <c r="T145" s="29" t="b">
        <f t="shared" si="0"/>
        <v>0</v>
      </c>
      <c r="U145" s="29" t="s">
        <v>1071</v>
      </c>
      <c r="V145" s="29" t="s">
        <v>140</v>
      </c>
      <c r="W145" s="29">
        <v>2</v>
      </c>
      <c r="X145" s="29" t="s">
        <v>1049</v>
      </c>
      <c r="Y145" s="16" t="s">
        <v>1041</v>
      </c>
      <c r="Z145" s="208" t="s">
        <v>1064</v>
      </c>
      <c r="AA145" s="554">
        <f t="shared" ref="AA145:AC145" si="728">AVERAGE(AJ145,AM145,AP145,AV145,AY145,AS145,BZ145,BB145,BE145,BH145,BK145,BN145,BQ145,BT145)</f>
        <v>48</v>
      </c>
      <c r="AB145" s="555">
        <f t="shared" si="728"/>
        <v>30</v>
      </c>
      <c r="AC145" s="556">
        <f t="shared" si="728"/>
        <v>20</v>
      </c>
      <c r="AD145" s="29" t="b">
        <v>0</v>
      </c>
      <c r="AE145" s="29" t="b">
        <v>1</v>
      </c>
      <c r="AF145" s="29" t="b">
        <v>0</v>
      </c>
      <c r="AG145" s="569" t="s">
        <v>370</v>
      </c>
      <c r="AH145" s="567"/>
      <c r="AI145" s="567"/>
      <c r="AJ145" s="567"/>
      <c r="AK145" s="568"/>
      <c r="AL145" s="568"/>
      <c r="AM145" s="569" t="s">
        <v>13</v>
      </c>
      <c r="AN145" s="569" t="s">
        <v>13</v>
      </c>
      <c r="AO145" s="570" t="s">
        <v>13</v>
      </c>
      <c r="AP145" s="569">
        <v>48</v>
      </c>
      <c r="AQ145" s="569">
        <v>30</v>
      </c>
      <c r="AR145" s="570">
        <v>20</v>
      </c>
      <c r="AS145" s="567"/>
      <c r="AT145" s="567"/>
      <c r="AU145" s="568"/>
      <c r="AV145" s="567"/>
      <c r="AW145" s="567"/>
      <c r="AX145" s="568"/>
      <c r="AY145" s="567"/>
      <c r="AZ145" s="567"/>
      <c r="BA145" s="568"/>
      <c r="BB145" s="567"/>
      <c r="BC145" s="567"/>
      <c r="BD145" s="568"/>
      <c r="BE145" s="567"/>
      <c r="BF145" s="567"/>
      <c r="BG145" s="568"/>
      <c r="BH145" s="567"/>
      <c r="BI145" s="567"/>
      <c r="BJ145" s="568"/>
      <c r="BK145" s="567"/>
      <c r="BL145" s="567"/>
      <c r="BM145" s="568"/>
      <c r="BN145" s="567"/>
      <c r="BO145" s="567"/>
      <c r="BP145" s="568"/>
      <c r="BQ145" s="567"/>
      <c r="BR145" s="567"/>
      <c r="BS145" s="568"/>
      <c r="BT145" s="567"/>
      <c r="BU145" s="567"/>
      <c r="BV145" s="568"/>
      <c r="BW145" s="567"/>
      <c r="BX145" s="567"/>
      <c r="BY145" s="568"/>
      <c r="BZ145" s="567"/>
      <c r="CA145" s="567"/>
      <c r="CB145" s="567"/>
      <c r="CC145" s="583"/>
      <c r="CD145" s="555">
        <f t="shared" ref="CD145:CF145" si="729">MEDIAN(AM145,AP145,AS145,AY145,BB145,AV145,AA145,BE145,BK145,BZ145,BH145,BN145,BQ145,BT145,BW145)</f>
        <v>48</v>
      </c>
      <c r="CE145" s="555">
        <f t="shared" si="729"/>
        <v>30</v>
      </c>
      <c r="CF145" s="556">
        <f t="shared" si="729"/>
        <v>20</v>
      </c>
      <c r="CG145" s="555">
        <f t="shared" ref="CG145:CI145" si="730">MAX(AP145,AS145,AV145,BB145,BE145,AY145,CD145,BK145,BZ145,AA145)-MIN(AP145,AS145,AV145,BB145,BE145,AY145,CD145,BK145,BZ145,AA145)</f>
        <v>0</v>
      </c>
      <c r="CH145" s="555">
        <f t="shared" si="730"/>
        <v>0</v>
      </c>
      <c r="CI145" s="556">
        <f t="shared" si="730"/>
        <v>0</v>
      </c>
      <c r="CJ145" s="555">
        <f t="shared" ref="CJ145:CL145" si="731">STDEV(AS145,AV145,AY145,BE145,BK145,BB145,CG145,BZ145,AA145,CD145)</f>
        <v>27.712812921102</v>
      </c>
      <c r="CK145" s="555">
        <f t="shared" si="731"/>
        <v>17.3205080756888</v>
      </c>
      <c r="CL145" s="556">
        <f t="shared" si="731"/>
        <v>11.5470053837925</v>
      </c>
      <c r="CM145" s="555">
        <f t="shared" ref="CM145:CO145" si="732">CJ145/AA145</f>
        <v>0.577350269189626</v>
      </c>
      <c r="CN145" s="555">
        <f t="shared" si="732"/>
        <v>0.577350269189626</v>
      </c>
      <c r="CO145" s="556">
        <f t="shared" si="732"/>
        <v>0.577350269189626</v>
      </c>
      <c r="CP145" s="29" t="s">
        <v>120</v>
      </c>
      <c r="CQ145" s="535">
        <f t="shared" si="622"/>
        <v>2</v>
      </c>
      <c r="CR145" s="29" t="s">
        <v>120</v>
      </c>
      <c r="CS145" s="29" t="s">
        <v>120</v>
      </c>
      <c r="CT145" s="29" t="s">
        <v>120</v>
      </c>
      <c r="CU145" s="29" t="s">
        <v>120</v>
      </c>
      <c r="CV145" s="29" t="s">
        <v>120</v>
      </c>
    </row>
    <row r="146" customHeight="1" spans="1:100">
      <c r="A146" s="29" t="s">
        <v>372</v>
      </c>
      <c r="B146" s="541" t="s">
        <v>1078</v>
      </c>
      <c r="C146" s="29" t="s">
        <v>1102</v>
      </c>
      <c r="F146" s="29" t="s">
        <v>1044</v>
      </c>
      <c r="G146" s="29" t="s">
        <v>1039</v>
      </c>
      <c r="H146" s="29" t="b">
        <v>0</v>
      </c>
      <c r="I146" s="29" t="b">
        <v>0</v>
      </c>
      <c r="J146" s="29" t="b">
        <v>1</v>
      </c>
      <c r="K146" s="29" t="b">
        <v>0</v>
      </c>
      <c r="L146" s="29" t="b">
        <v>0</v>
      </c>
      <c r="M146" s="29" t="b">
        <v>0</v>
      </c>
      <c r="P146" s="29" t="b">
        <v>0</v>
      </c>
      <c r="Q146" s="29" t="b">
        <v>0</v>
      </c>
      <c r="R146" s="29" t="b">
        <v>0</v>
      </c>
      <c r="S146" s="29" t="b">
        <v>0</v>
      </c>
      <c r="T146" s="29" t="b">
        <f t="shared" si="0"/>
        <v>0</v>
      </c>
      <c r="U146" s="29" t="s">
        <v>1071</v>
      </c>
      <c r="W146" s="29">
        <v>2</v>
      </c>
      <c r="X146" s="308"/>
      <c r="Y146" s="16" t="s">
        <v>1041</v>
      </c>
      <c r="Z146" s="579"/>
      <c r="AA146" s="554">
        <f t="shared" ref="AA146:AC146" si="733">AVERAGE(AJ146,AM146,AP146,AV146,AY146,AS146,BZ146,BB146,BE146,BH146,BK146,BN146,BQ146,BT146)</f>
        <v>4</v>
      </c>
      <c r="AB146" s="555">
        <f t="shared" si="733"/>
        <v>2.5</v>
      </c>
      <c r="AC146" s="556">
        <f t="shared" si="733"/>
        <v>1.67</v>
      </c>
      <c r="AD146" s="29" t="b">
        <v>0</v>
      </c>
      <c r="AE146" s="29" t="b">
        <v>1</v>
      </c>
      <c r="AF146" s="29" t="b">
        <v>0</v>
      </c>
      <c r="AG146" s="569">
        <v>4</v>
      </c>
      <c r="AH146" s="569">
        <v>2.5</v>
      </c>
      <c r="AI146" s="569">
        <v>1.67</v>
      </c>
      <c r="AJ146" s="567"/>
      <c r="AK146" s="568"/>
      <c r="AL146" s="568"/>
      <c r="AM146" s="567"/>
      <c r="AN146" s="567"/>
      <c r="AO146" s="568"/>
      <c r="AP146" s="569">
        <v>4</v>
      </c>
      <c r="AQ146" s="569">
        <v>2.5</v>
      </c>
      <c r="AR146" s="570">
        <v>1.67</v>
      </c>
      <c r="AS146" s="567"/>
      <c r="AT146" s="567"/>
      <c r="AU146" s="568"/>
      <c r="AV146" s="567"/>
      <c r="AW146" s="567"/>
      <c r="AX146" s="568"/>
      <c r="AY146" s="567"/>
      <c r="AZ146" s="567"/>
      <c r="BA146" s="568"/>
      <c r="BB146" s="567"/>
      <c r="BC146" s="567"/>
      <c r="BD146" s="568"/>
      <c r="BE146" s="567"/>
      <c r="BF146" s="567"/>
      <c r="BG146" s="568"/>
      <c r="BH146" s="567"/>
      <c r="BI146" s="567"/>
      <c r="BJ146" s="568"/>
      <c r="BK146" s="567"/>
      <c r="BL146" s="567"/>
      <c r="BM146" s="568"/>
      <c r="BN146" s="567"/>
      <c r="BO146" s="567"/>
      <c r="BP146" s="568"/>
      <c r="BQ146" s="567"/>
      <c r="BR146" s="567"/>
      <c r="BS146" s="568"/>
      <c r="BT146" s="567"/>
      <c r="BU146" s="567"/>
      <c r="BV146" s="568"/>
      <c r="BW146" s="567"/>
      <c r="BX146" s="567"/>
      <c r="BY146" s="568"/>
      <c r="BZ146" s="567"/>
      <c r="CA146" s="567"/>
      <c r="CB146" s="567"/>
      <c r="CC146" s="583"/>
      <c r="CD146" s="555">
        <f t="shared" ref="CD146:CF146" si="734">MEDIAN(AM146,AP146,AS146,AY146,BB146,AV146,AA146,BE146,BK146,BZ146,BH146,BN146,BQ146,BT146,BW146)</f>
        <v>4</v>
      </c>
      <c r="CE146" s="555">
        <f t="shared" si="734"/>
        <v>2.5</v>
      </c>
      <c r="CF146" s="556">
        <f t="shared" si="734"/>
        <v>1.67</v>
      </c>
      <c r="CG146" s="555">
        <f t="shared" ref="CG146:CI146" si="735">MAX(AP146,AS146,AV146,BB146,BE146,AY146,CD146,BK146,BZ146,AA146)-MIN(AP146,AS146,AV146,BB146,BE146,AY146,CD146,BK146,BZ146,AA146)</f>
        <v>0</v>
      </c>
      <c r="CH146" s="555">
        <f t="shared" si="735"/>
        <v>0</v>
      </c>
      <c r="CI146" s="556">
        <f t="shared" si="735"/>
        <v>0</v>
      </c>
      <c r="CJ146" s="555">
        <f t="shared" ref="CJ146:CL146" si="736">STDEV(AS146,AV146,AY146,BE146,BK146,BB146,CG146,BZ146,AA146,CD146)</f>
        <v>2.3094010767585</v>
      </c>
      <c r="CK146" s="555">
        <f t="shared" si="736"/>
        <v>1.44337567297406</v>
      </c>
      <c r="CL146" s="556">
        <f t="shared" si="736"/>
        <v>0.964174949546675</v>
      </c>
      <c r="CM146" s="555">
        <f t="shared" ref="CM146:CO146" si="737">CJ146/AA146</f>
        <v>0.577350269189626</v>
      </c>
      <c r="CN146" s="555">
        <f t="shared" si="737"/>
        <v>0.577350269189626</v>
      </c>
      <c r="CO146" s="556">
        <f t="shared" si="737"/>
        <v>0.577350269189626</v>
      </c>
      <c r="CP146" s="29" t="s">
        <v>120</v>
      </c>
      <c r="CQ146" s="535">
        <f t="shared" si="622"/>
        <v>2</v>
      </c>
      <c r="CR146" s="29" t="s">
        <v>120</v>
      </c>
      <c r="CS146" s="29" t="s">
        <v>120</v>
      </c>
      <c r="CT146" s="29" t="s">
        <v>120</v>
      </c>
      <c r="CU146" s="29" t="s">
        <v>120</v>
      </c>
      <c r="CV146" s="29" t="s">
        <v>120</v>
      </c>
    </row>
    <row r="147" customHeight="1" spans="1:100">
      <c r="A147" s="29" t="s">
        <v>373</v>
      </c>
      <c r="B147" s="541" t="s">
        <v>1078</v>
      </c>
      <c r="C147" s="29" t="s">
        <v>1102</v>
      </c>
      <c r="F147" s="29" t="s">
        <v>1044</v>
      </c>
      <c r="G147" s="29" t="s">
        <v>1039</v>
      </c>
      <c r="H147" s="29" t="b">
        <v>0</v>
      </c>
      <c r="I147" s="29" t="b">
        <v>0</v>
      </c>
      <c r="J147" s="29" t="b">
        <v>1</v>
      </c>
      <c r="K147" s="29" t="b">
        <v>0</v>
      </c>
      <c r="L147" s="29" t="b">
        <v>0</v>
      </c>
      <c r="M147" s="29" t="b">
        <v>0</v>
      </c>
      <c r="P147" s="29" t="b">
        <v>0</v>
      </c>
      <c r="Q147" s="29" t="b">
        <v>0</v>
      </c>
      <c r="R147" s="29" t="b">
        <v>0</v>
      </c>
      <c r="S147" s="29" t="b">
        <v>0</v>
      </c>
      <c r="T147" s="29" t="b">
        <f t="shared" si="0"/>
        <v>0</v>
      </c>
      <c r="U147" s="29" t="s">
        <v>1071</v>
      </c>
      <c r="W147" s="29">
        <v>2</v>
      </c>
      <c r="X147" s="308"/>
      <c r="Y147" s="16" t="s">
        <v>1041</v>
      </c>
      <c r="Z147" s="579"/>
      <c r="AA147" s="554">
        <f t="shared" ref="AA147:AC147" si="738">AVERAGE(AJ147,AM147,AP147,AV147,AY147,AS147,BZ147,BB147,BE147,BH147,BK147,BN147,BQ147,BT147)</f>
        <v>3.33</v>
      </c>
      <c r="AB147" s="555">
        <f t="shared" si="738"/>
        <v>2.08</v>
      </c>
      <c r="AC147" s="556">
        <f t="shared" si="738"/>
        <v>1.39</v>
      </c>
      <c r="AD147" s="29" t="b">
        <v>0</v>
      </c>
      <c r="AE147" s="29" t="b">
        <v>1</v>
      </c>
      <c r="AF147" s="29" t="b">
        <v>0</v>
      </c>
      <c r="AG147" s="569">
        <v>3.33</v>
      </c>
      <c r="AH147" s="569">
        <v>2.08</v>
      </c>
      <c r="AI147" s="570">
        <v>1.39</v>
      </c>
      <c r="AJ147" s="567"/>
      <c r="AK147" s="568"/>
      <c r="AL147" s="568"/>
      <c r="AM147" s="567"/>
      <c r="AN147" s="567"/>
      <c r="AO147" s="568"/>
      <c r="AP147" s="569">
        <v>3.33</v>
      </c>
      <c r="AQ147" s="569">
        <v>2.08</v>
      </c>
      <c r="AR147" s="570">
        <v>1.39</v>
      </c>
      <c r="AS147" s="567"/>
      <c r="AT147" s="567"/>
      <c r="AU147" s="568"/>
      <c r="AV147" s="567"/>
      <c r="AW147" s="567"/>
      <c r="AX147" s="568"/>
      <c r="AY147" s="567"/>
      <c r="AZ147" s="567"/>
      <c r="BA147" s="568"/>
      <c r="BB147" s="567"/>
      <c r="BC147" s="567"/>
      <c r="BD147" s="568"/>
      <c r="BE147" s="567"/>
      <c r="BF147" s="567"/>
      <c r="BG147" s="568"/>
      <c r="BH147" s="567"/>
      <c r="BI147" s="567"/>
      <c r="BJ147" s="568"/>
      <c r="BK147" s="567"/>
      <c r="BL147" s="567"/>
      <c r="BM147" s="568"/>
      <c r="BN147" s="567"/>
      <c r="BO147" s="567"/>
      <c r="BP147" s="568"/>
      <c r="BQ147" s="567"/>
      <c r="BR147" s="567"/>
      <c r="BS147" s="568"/>
      <c r="BT147" s="567"/>
      <c r="BU147" s="567"/>
      <c r="BV147" s="568"/>
      <c r="BW147" s="567"/>
      <c r="BX147" s="567"/>
      <c r="BY147" s="568"/>
      <c r="BZ147" s="567"/>
      <c r="CA147" s="567"/>
      <c r="CB147" s="567"/>
      <c r="CC147" s="583"/>
      <c r="CD147" s="555">
        <f t="shared" ref="CD147:CF147" si="739">MEDIAN(AM147,AP147,AS147,AY147,BB147,AV147,AA147,BE147,BK147,BZ147,BH147,BN147,BQ147,BT147,BW147)</f>
        <v>3.33</v>
      </c>
      <c r="CE147" s="555">
        <f t="shared" si="739"/>
        <v>2.08</v>
      </c>
      <c r="CF147" s="556">
        <f t="shared" si="739"/>
        <v>1.39</v>
      </c>
      <c r="CG147" s="555">
        <f t="shared" ref="CG147:CI147" si="740">MAX(AP147,AS147,AV147,BB147,BE147,AY147,CD147,BK147,BZ147,AA147)-MIN(AP147,AS147,AV147,BB147,BE147,AY147,CD147,BK147,BZ147,AA147)</f>
        <v>0</v>
      </c>
      <c r="CH147" s="555">
        <f t="shared" si="740"/>
        <v>0</v>
      </c>
      <c r="CI147" s="556">
        <f t="shared" si="740"/>
        <v>0</v>
      </c>
      <c r="CJ147" s="555">
        <f t="shared" ref="CJ147:CL147" si="741">STDEV(AS147,AV147,AY147,BE147,BK147,BB147,CG147,BZ147,AA147,CD147)</f>
        <v>1.92257639640145</v>
      </c>
      <c r="CK147" s="555">
        <f t="shared" si="741"/>
        <v>1.20088855991442</v>
      </c>
      <c r="CL147" s="556">
        <f t="shared" si="741"/>
        <v>0.80251687417358</v>
      </c>
      <c r="CM147" s="555">
        <f t="shared" ref="CM147:CO147" si="742">CJ147/AA147</f>
        <v>0.577350269189626</v>
      </c>
      <c r="CN147" s="555">
        <f t="shared" si="742"/>
        <v>0.577350269189626</v>
      </c>
      <c r="CO147" s="556">
        <f t="shared" si="742"/>
        <v>0.577350269189626</v>
      </c>
      <c r="CP147" s="29" t="s">
        <v>120</v>
      </c>
      <c r="CQ147" s="535">
        <f t="shared" si="622"/>
        <v>2</v>
      </c>
      <c r="CR147" s="29" t="s">
        <v>120</v>
      </c>
      <c r="CS147" s="29" t="s">
        <v>120</v>
      </c>
      <c r="CT147" s="29" t="s">
        <v>120</v>
      </c>
      <c r="CU147" s="29" t="s">
        <v>120</v>
      </c>
      <c r="CV147" s="29" t="s">
        <v>120</v>
      </c>
    </row>
    <row r="148" customHeight="1" spans="1:100">
      <c r="A148" s="29" t="s">
        <v>374</v>
      </c>
      <c r="B148" s="541" t="s">
        <v>1078</v>
      </c>
      <c r="C148" s="29" t="s">
        <v>1102</v>
      </c>
      <c r="F148" s="29" t="s">
        <v>1044</v>
      </c>
      <c r="G148" s="29" t="s">
        <v>1039</v>
      </c>
      <c r="H148" s="29" t="b">
        <v>0</v>
      </c>
      <c r="I148" s="29" t="b">
        <v>0</v>
      </c>
      <c r="J148" s="29" t="b">
        <v>1</v>
      </c>
      <c r="K148" s="29" t="b">
        <v>0</v>
      </c>
      <c r="L148" s="29" t="b">
        <v>0</v>
      </c>
      <c r="M148" s="29" t="b">
        <v>0</v>
      </c>
      <c r="P148" s="29" t="b">
        <v>0</v>
      </c>
      <c r="Q148" s="29" t="b">
        <v>0</v>
      </c>
      <c r="R148" s="29" t="b">
        <v>0</v>
      </c>
      <c r="S148" s="29" t="b">
        <v>0</v>
      </c>
      <c r="T148" s="29" t="b">
        <f t="shared" si="0"/>
        <v>0</v>
      </c>
      <c r="U148" s="29" t="s">
        <v>1071</v>
      </c>
      <c r="W148" s="29">
        <v>2</v>
      </c>
      <c r="X148" s="308"/>
      <c r="Y148" s="16" t="s">
        <v>1041</v>
      </c>
      <c r="Z148" s="579"/>
      <c r="AA148" s="554">
        <f t="shared" ref="AA148:AC148" si="743">AVERAGE(AJ148,AM148,AP148,AV148,AY148,AS148,BZ148,BB148,BE148,BH148,BK148,BN148,BQ148,BT148)</f>
        <v>6</v>
      </c>
      <c r="AB148" s="555">
        <f t="shared" si="743"/>
        <v>3.75</v>
      </c>
      <c r="AC148" s="556">
        <f t="shared" si="743"/>
        <v>2.5</v>
      </c>
      <c r="AD148" s="29" t="b">
        <v>0</v>
      </c>
      <c r="AE148" s="29" t="b">
        <v>1</v>
      </c>
      <c r="AF148" s="29" t="b">
        <v>0</v>
      </c>
      <c r="AG148" s="569">
        <v>6</v>
      </c>
      <c r="AH148" s="569">
        <v>3.75</v>
      </c>
      <c r="AI148" s="570">
        <v>2.5</v>
      </c>
      <c r="AJ148" s="567"/>
      <c r="AK148" s="568"/>
      <c r="AL148" s="568"/>
      <c r="AM148" s="567"/>
      <c r="AN148" s="567"/>
      <c r="AO148" s="568"/>
      <c r="AP148" s="569">
        <v>6</v>
      </c>
      <c r="AQ148" s="569">
        <v>3.75</v>
      </c>
      <c r="AR148" s="570">
        <v>2.5</v>
      </c>
      <c r="AS148" s="567"/>
      <c r="AT148" s="567"/>
      <c r="AU148" s="568"/>
      <c r="AV148" s="567"/>
      <c r="AW148" s="567"/>
      <c r="AX148" s="568"/>
      <c r="AY148" s="567"/>
      <c r="AZ148" s="567"/>
      <c r="BA148" s="568"/>
      <c r="BB148" s="567"/>
      <c r="BC148" s="567"/>
      <c r="BD148" s="568"/>
      <c r="BE148" s="567"/>
      <c r="BF148" s="567"/>
      <c r="BG148" s="568"/>
      <c r="BH148" s="567"/>
      <c r="BI148" s="567"/>
      <c r="BJ148" s="568"/>
      <c r="BK148" s="567"/>
      <c r="BL148" s="567"/>
      <c r="BM148" s="568"/>
      <c r="BN148" s="567"/>
      <c r="BO148" s="567"/>
      <c r="BP148" s="568"/>
      <c r="BQ148" s="567"/>
      <c r="BR148" s="567"/>
      <c r="BS148" s="568"/>
      <c r="BT148" s="567"/>
      <c r="BU148" s="567"/>
      <c r="BV148" s="568"/>
      <c r="BW148" s="567"/>
      <c r="BX148" s="567"/>
      <c r="BY148" s="568"/>
      <c r="BZ148" s="567"/>
      <c r="CA148" s="567"/>
      <c r="CB148" s="567"/>
      <c r="CC148" s="583"/>
      <c r="CD148" s="555">
        <f t="shared" ref="CD148:CF148" si="744">MEDIAN(AM148,AP148,AS148,AY148,BB148,AV148,AA148,BE148,BK148,BZ148,BH148,BN148,BQ148,BT148,BW148)</f>
        <v>6</v>
      </c>
      <c r="CE148" s="555">
        <f t="shared" si="744"/>
        <v>3.75</v>
      </c>
      <c r="CF148" s="556">
        <f t="shared" si="744"/>
        <v>2.5</v>
      </c>
      <c r="CG148" s="555">
        <f t="shared" ref="CG148:CI148" si="745">MAX(AP148,AS148,AV148,BB148,BE148,AY148,CD148,BK148,BZ148,AA148)-MIN(AP148,AS148,AV148,BB148,BE148,AY148,CD148,BK148,BZ148,AA148)</f>
        <v>0</v>
      </c>
      <c r="CH148" s="555">
        <f t="shared" si="745"/>
        <v>0</v>
      </c>
      <c r="CI148" s="556">
        <f t="shared" si="745"/>
        <v>0</v>
      </c>
      <c r="CJ148" s="555">
        <f t="shared" ref="CJ148:CL148" si="746">STDEV(AS148,AV148,AY148,BE148,BK148,BB148,CG148,BZ148,AA148,CD148)</f>
        <v>3.46410161513775</v>
      </c>
      <c r="CK148" s="555">
        <f t="shared" si="746"/>
        <v>2.1650635094611</v>
      </c>
      <c r="CL148" s="556">
        <f t="shared" si="746"/>
        <v>1.44337567297406</v>
      </c>
      <c r="CM148" s="555">
        <f t="shared" ref="CM148:CO148" si="747">CJ148/AA148</f>
        <v>0.577350269189626</v>
      </c>
      <c r="CN148" s="555">
        <f t="shared" si="747"/>
        <v>0.577350269189626</v>
      </c>
      <c r="CO148" s="556">
        <f t="shared" si="747"/>
        <v>0.577350269189626</v>
      </c>
      <c r="CP148" s="29" t="s">
        <v>120</v>
      </c>
      <c r="CQ148" s="535">
        <f t="shared" si="622"/>
        <v>2</v>
      </c>
      <c r="CR148" s="29" t="s">
        <v>120</v>
      </c>
      <c r="CS148" s="29" t="s">
        <v>120</v>
      </c>
      <c r="CT148" s="29" t="s">
        <v>120</v>
      </c>
      <c r="CU148" s="29" t="s">
        <v>120</v>
      </c>
      <c r="CV148" s="29" t="s">
        <v>120</v>
      </c>
    </row>
    <row r="149" customHeight="1" spans="1:100">
      <c r="A149" s="29" t="s">
        <v>375</v>
      </c>
      <c r="B149" s="541" t="s">
        <v>1078</v>
      </c>
      <c r="C149" s="29" t="s">
        <v>1102</v>
      </c>
      <c r="F149" s="29" t="s">
        <v>1044</v>
      </c>
      <c r="G149" s="29" t="s">
        <v>1039</v>
      </c>
      <c r="H149" s="29" t="b">
        <v>0</v>
      </c>
      <c r="I149" s="29" t="b">
        <v>0</v>
      </c>
      <c r="J149" s="29" t="b">
        <v>1</v>
      </c>
      <c r="K149" s="29" t="b">
        <v>0</v>
      </c>
      <c r="L149" s="29" t="b">
        <v>0</v>
      </c>
      <c r="M149" s="29" t="b">
        <v>0</v>
      </c>
      <c r="P149" s="29" t="b">
        <v>0</v>
      </c>
      <c r="Q149" s="29" t="b">
        <v>0</v>
      </c>
      <c r="R149" s="29" t="b">
        <v>0</v>
      </c>
      <c r="S149" s="29" t="b">
        <v>0</v>
      </c>
      <c r="T149" s="29" t="b">
        <f t="shared" si="0"/>
        <v>0</v>
      </c>
      <c r="U149" s="29" t="s">
        <v>1071</v>
      </c>
      <c r="W149" s="29">
        <v>2</v>
      </c>
      <c r="X149" s="308"/>
      <c r="Y149" s="16" t="s">
        <v>1041</v>
      </c>
      <c r="Z149" s="579"/>
      <c r="AA149" s="554">
        <f t="shared" ref="AA149:AC149" si="748">AVERAGE(AJ149,AM149,AP149,AV149,AY149,AS149,BZ149,BB149,BE149,BH149,BK149,BN149,BQ149,BT149)</f>
        <v>20</v>
      </c>
      <c r="AB149" s="555">
        <f t="shared" si="748"/>
        <v>12.5</v>
      </c>
      <c r="AC149" s="556">
        <f t="shared" si="748"/>
        <v>8.33</v>
      </c>
      <c r="AD149" s="29" t="b">
        <v>0</v>
      </c>
      <c r="AE149" s="29" t="b">
        <v>1</v>
      </c>
      <c r="AF149" s="29" t="b">
        <v>0</v>
      </c>
      <c r="AG149" s="569">
        <v>20</v>
      </c>
      <c r="AH149" s="569">
        <v>12.5</v>
      </c>
      <c r="AI149" s="570">
        <v>8.33</v>
      </c>
      <c r="AJ149" s="567"/>
      <c r="AK149" s="567"/>
      <c r="AL149" s="568"/>
      <c r="AM149" s="567"/>
      <c r="AN149" s="567"/>
      <c r="AO149" s="568"/>
      <c r="AP149" s="569">
        <v>20</v>
      </c>
      <c r="AQ149" s="569">
        <v>12.5</v>
      </c>
      <c r="AR149" s="570">
        <v>8.33</v>
      </c>
      <c r="AS149" s="567"/>
      <c r="AT149" s="567"/>
      <c r="AU149" s="568"/>
      <c r="AV149" s="567"/>
      <c r="AW149" s="567"/>
      <c r="AX149" s="568"/>
      <c r="AY149" s="567"/>
      <c r="AZ149" s="567"/>
      <c r="BA149" s="568"/>
      <c r="BB149" s="567"/>
      <c r="BC149" s="567"/>
      <c r="BD149" s="568"/>
      <c r="BE149" s="567"/>
      <c r="BF149" s="567"/>
      <c r="BG149" s="568"/>
      <c r="BH149" s="567"/>
      <c r="BI149" s="567"/>
      <c r="BJ149" s="568"/>
      <c r="BK149" s="567"/>
      <c r="BL149" s="567"/>
      <c r="BM149" s="568"/>
      <c r="BN149" s="567"/>
      <c r="BO149" s="567"/>
      <c r="BP149" s="568"/>
      <c r="BQ149" s="567"/>
      <c r="BR149" s="567"/>
      <c r="BS149" s="568"/>
      <c r="BT149" s="567"/>
      <c r="BU149" s="567"/>
      <c r="BV149" s="568"/>
      <c r="BW149" s="567"/>
      <c r="BX149" s="567"/>
      <c r="BY149" s="568"/>
      <c r="BZ149" s="567"/>
      <c r="CA149" s="567"/>
      <c r="CB149" s="567"/>
      <c r="CC149" s="583"/>
      <c r="CD149" s="555">
        <f t="shared" ref="CD149:CF149" si="749">MEDIAN(AM149,AP149,AS149,AY149,BB149,AV149,AA149,BE149,BK149,BZ149,BH149,BN149,BQ149,BT149,BW149)</f>
        <v>20</v>
      </c>
      <c r="CE149" s="555">
        <f t="shared" si="749"/>
        <v>12.5</v>
      </c>
      <c r="CF149" s="556">
        <f t="shared" si="749"/>
        <v>8.33</v>
      </c>
      <c r="CG149" s="555">
        <f t="shared" ref="CG149:CI149" si="750">MAX(AP149,AS149,AV149,BB149,BE149,AY149,CD149,BK149,BZ149,AA149)-MIN(AP149,AS149,AV149,BB149,BE149,AY149,CD149,BK149,BZ149,AA149)</f>
        <v>0</v>
      </c>
      <c r="CH149" s="555">
        <f t="shared" si="750"/>
        <v>0</v>
      </c>
      <c r="CI149" s="556">
        <f t="shared" si="750"/>
        <v>0</v>
      </c>
      <c r="CJ149" s="555">
        <f t="shared" ref="CJ149:CL149" si="751">STDEV(AS149,AV149,AY149,BE149,BK149,BB149,CG149,BZ149,AA149,CD149)</f>
        <v>11.5470053837925</v>
      </c>
      <c r="CK149" s="555">
        <f t="shared" si="751"/>
        <v>7.21687836487032</v>
      </c>
      <c r="CL149" s="556">
        <f t="shared" si="751"/>
        <v>4.80932774234958</v>
      </c>
      <c r="CM149" s="555">
        <f t="shared" ref="CM149:CO149" si="752">CJ149/AA149</f>
        <v>0.577350269189626</v>
      </c>
      <c r="CN149" s="555">
        <f t="shared" si="752"/>
        <v>0.577350269189626</v>
      </c>
      <c r="CO149" s="556">
        <f t="shared" si="752"/>
        <v>0.577350269189626</v>
      </c>
      <c r="CP149" s="29" t="s">
        <v>120</v>
      </c>
      <c r="CQ149" s="535">
        <f t="shared" si="622"/>
        <v>2</v>
      </c>
      <c r="CR149" s="29" t="s">
        <v>120</v>
      </c>
      <c r="CS149" s="29" t="s">
        <v>120</v>
      </c>
      <c r="CT149" s="29" t="s">
        <v>120</v>
      </c>
      <c r="CU149" s="29" t="s">
        <v>120</v>
      </c>
      <c r="CV149" s="29" t="s">
        <v>120</v>
      </c>
    </row>
    <row r="150" customHeight="1" spans="1:100">
      <c r="A150" s="29" t="s">
        <v>376</v>
      </c>
      <c r="B150" s="541" t="s">
        <v>1078</v>
      </c>
      <c r="C150" s="29" t="s">
        <v>1102</v>
      </c>
      <c r="F150" s="29" t="s">
        <v>1044</v>
      </c>
      <c r="G150" s="29" t="s">
        <v>1039</v>
      </c>
      <c r="H150" s="29" t="b">
        <v>0</v>
      </c>
      <c r="I150" s="29" t="b">
        <v>0</v>
      </c>
      <c r="J150" s="29" t="b">
        <v>1</v>
      </c>
      <c r="K150" s="29" t="b">
        <v>0</v>
      </c>
      <c r="L150" s="29" t="b">
        <v>0</v>
      </c>
      <c r="M150" s="29" t="b">
        <v>0</v>
      </c>
      <c r="P150" s="29" t="b">
        <v>0</v>
      </c>
      <c r="Q150" s="29" t="b">
        <v>0</v>
      </c>
      <c r="R150" s="29" t="b">
        <v>0</v>
      </c>
      <c r="S150" s="29" t="b">
        <v>0</v>
      </c>
      <c r="T150" s="29" t="b">
        <f t="shared" si="0"/>
        <v>0</v>
      </c>
      <c r="U150" s="29" t="s">
        <v>1071</v>
      </c>
      <c r="W150" s="29">
        <v>2</v>
      </c>
      <c r="X150" s="308"/>
      <c r="Y150" s="16" t="s">
        <v>1041</v>
      </c>
      <c r="Z150" s="579"/>
      <c r="AA150" s="554">
        <f t="shared" ref="AA150:AC150" si="753">AVERAGE(AJ150,AM150,AP150,AV150,AY150,AS150,BZ150,BB150,BE150,BH150,BK150,BN150,BQ150,BT150)</f>
        <v>2</v>
      </c>
      <c r="AB150" s="555">
        <f t="shared" si="753"/>
        <v>1.25</v>
      </c>
      <c r="AC150" s="556">
        <f t="shared" si="753"/>
        <v>0.83</v>
      </c>
      <c r="AD150" s="29" t="b">
        <v>0</v>
      </c>
      <c r="AE150" s="29" t="b">
        <v>1</v>
      </c>
      <c r="AF150" s="29" t="b">
        <v>0</v>
      </c>
      <c r="AG150" s="569">
        <v>2</v>
      </c>
      <c r="AH150" s="569">
        <v>1.25</v>
      </c>
      <c r="AI150" s="570">
        <v>0.83</v>
      </c>
      <c r="AJ150" s="567"/>
      <c r="AK150" s="567"/>
      <c r="AL150" s="568"/>
      <c r="AM150" s="567"/>
      <c r="AN150" s="567"/>
      <c r="AO150" s="568"/>
      <c r="AP150" s="569">
        <v>2</v>
      </c>
      <c r="AQ150" s="569">
        <v>1.25</v>
      </c>
      <c r="AR150" s="570">
        <v>0.83</v>
      </c>
      <c r="AS150" s="567"/>
      <c r="AT150" s="567"/>
      <c r="AU150" s="568"/>
      <c r="AV150" s="567"/>
      <c r="AW150" s="567"/>
      <c r="AX150" s="568"/>
      <c r="AY150" s="567"/>
      <c r="AZ150" s="567"/>
      <c r="BA150" s="568"/>
      <c r="BB150" s="567"/>
      <c r="BC150" s="567"/>
      <c r="BD150" s="568"/>
      <c r="BE150" s="567"/>
      <c r="BF150" s="567"/>
      <c r="BG150" s="568"/>
      <c r="BH150" s="567"/>
      <c r="BI150" s="567"/>
      <c r="BJ150" s="568"/>
      <c r="BK150" s="567"/>
      <c r="BL150" s="567"/>
      <c r="BM150" s="568"/>
      <c r="BN150" s="567"/>
      <c r="BO150" s="567"/>
      <c r="BP150" s="568"/>
      <c r="BQ150" s="567"/>
      <c r="BR150" s="567"/>
      <c r="BS150" s="568"/>
      <c r="BT150" s="567"/>
      <c r="BU150" s="567"/>
      <c r="BV150" s="568"/>
      <c r="BW150" s="567"/>
      <c r="BX150" s="567"/>
      <c r="BY150" s="568"/>
      <c r="BZ150" s="567"/>
      <c r="CA150" s="567"/>
      <c r="CB150" s="567"/>
      <c r="CC150" s="583"/>
      <c r="CD150" s="555">
        <f t="shared" ref="CD150:CF150" si="754">MEDIAN(AM150,AP150,AS150,AY150,BB150,AV150,AA150,BE150,BK150,BZ150,BH150,BN150,BQ150,BT150,BW150)</f>
        <v>2</v>
      </c>
      <c r="CE150" s="555">
        <f t="shared" si="754"/>
        <v>1.25</v>
      </c>
      <c r="CF150" s="556">
        <f t="shared" si="754"/>
        <v>0.83</v>
      </c>
      <c r="CG150" s="555">
        <f t="shared" ref="CG150:CI150" si="755">MAX(AP150,AS150,AV150,BB150,BE150,AY150,CD150,BK150,BZ150,AA150)-MIN(AP150,AS150,AV150,BB150,BE150,AY150,CD150,BK150,BZ150,AA150)</f>
        <v>0</v>
      </c>
      <c r="CH150" s="555">
        <f t="shared" si="755"/>
        <v>0</v>
      </c>
      <c r="CI150" s="556">
        <f t="shared" si="755"/>
        <v>0</v>
      </c>
      <c r="CJ150" s="555">
        <f t="shared" ref="CJ150:CL150" si="756">STDEV(AS150,AV150,AY150,BE150,BK150,BB150,CG150,BZ150,AA150,CD150)</f>
        <v>1.15470053837925</v>
      </c>
      <c r="CK150" s="555">
        <f t="shared" si="756"/>
        <v>0.721687836487032</v>
      </c>
      <c r="CL150" s="556">
        <f t="shared" si="756"/>
        <v>0.479200723427389</v>
      </c>
      <c r="CM150" s="555">
        <f t="shared" ref="CM150:CO150" si="757">CJ150/AA150</f>
        <v>0.577350269189626</v>
      </c>
      <c r="CN150" s="555">
        <f t="shared" si="757"/>
        <v>0.577350269189626</v>
      </c>
      <c r="CO150" s="556">
        <f t="shared" si="757"/>
        <v>0.577350269189626</v>
      </c>
      <c r="CP150" s="29" t="s">
        <v>120</v>
      </c>
      <c r="CQ150" s="535">
        <f t="shared" si="622"/>
        <v>2</v>
      </c>
      <c r="CR150" s="29" t="s">
        <v>120</v>
      </c>
      <c r="CS150" s="29" t="s">
        <v>120</v>
      </c>
      <c r="CT150" s="29" t="s">
        <v>120</v>
      </c>
      <c r="CU150" s="29" t="s">
        <v>120</v>
      </c>
      <c r="CV150" s="29" t="s">
        <v>120</v>
      </c>
    </row>
    <row r="151" customHeight="1" spans="1:100">
      <c r="A151" s="29" t="s">
        <v>377</v>
      </c>
      <c r="B151" s="541" t="s">
        <v>1078</v>
      </c>
      <c r="C151" s="29" t="s">
        <v>1102</v>
      </c>
      <c r="F151" s="29" t="s">
        <v>1044</v>
      </c>
      <c r="G151" s="29" t="s">
        <v>1039</v>
      </c>
      <c r="H151" s="29" t="b">
        <v>0</v>
      </c>
      <c r="I151" s="29" t="b">
        <v>0</v>
      </c>
      <c r="J151" s="29" t="b">
        <v>1</v>
      </c>
      <c r="K151" s="29" t="b">
        <v>0</v>
      </c>
      <c r="L151" s="29" t="b">
        <v>0</v>
      </c>
      <c r="M151" s="29" t="b">
        <v>0</v>
      </c>
      <c r="P151" s="29" t="b">
        <v>0</v>
      </c>
      <c r="Q151" s="29" t="b">
        <v>0</v>
      </c>
      <c r="R151" s="29" t="b">
        <v>0</v>
      </c>
      <c r="S151" s="29" t="b">
        <v>0</v>
      </c>
      <c r="T151" s="29" t="b">
        <f t="shared" si="0"/>
        <v>0</v>
      </c>
      <c r="U151" s="29" t="s">
        <v>1071</v>
      </c>
      <c r="W151" s="29">
        <v>2</v>
      </c>
      <c r="X151" s="308"/>
      <c r="Y151" s="16" t="s">
        <v>1041</v>
      </c>
      <c r="Z151" s="579"/>
      <c r="AA151" s="554">
        <f t="shared" ref="AA151:AC151" si="758">AVERAGE(AJ151,AM151,AP151,AV151,AY151,AS151,BZ151,BB151,BE151,BH151,BK151,BN151,BQ151,BT151)</f>
        <v>12</v>
      </c>
      <c r="AB151" s="555">
        <f t="shared" si="758"/>
        <v>7.5</v>
      </c>
      <c r="AC151" s="556">
        <f t="shared" si="758"/>
        <v>5</v>
      </c>
      <c r="AD151" s="29" t="b">
        <v>0</v>
      </c>
      <c r="AE151" s="29" t="b">
        <v>1</v>
      </c>
      <c r="AF151" s="29" t="b">
        <v>0</v>
      </c>
      <c r="AG151" s="569">
        <v>12</v>
      </c>
      <c r="AH151" s="569">
        <v>7.5</v>
      </c>
      <c r="AI151" s="570">
        <v>5</v>
      </c>
      <c r="AJ151" s="567"/>
      <c r="AK151" s="567"/>
      <c r="AL151" s="568"/>
      <c r="AM151" s="567"/>
      <c r="AN151" s="567"/>
      <c r="AO151" s="568"/>
      <c r="AP151" s="569">
        <v>12</v>
      </c>
      <c r="AQ151" s="569">
        <v>7.5</v>
      </c>
      <c r="AR151" s="570">
        <v>5</v>
      </c>
      <c r="AS151" s="567"/>
      <c r="AT151" s="567"/>
      <c r="AU151" s="568"/>
      <c r="AV151" s="567"/>
      <c r="AW151" s="567"/>
      <c r="AX151" s="568"/>
      <c r="AY151" s="567"/>
      <c r="AZ151" s="567"/>
      <c r="BA151" s="568"/>
      <c r="BB151" s="567"/>
      <c r="BC151" s="567"/>
      <c r="BD151" s="568"/>
      <c r="BE151" s="567"/>
      <c r="BF151" s="567"/>
      <c r="BG151" s="568"/>
      <c r="BH151" s="567"/>
      <c r="BI151" s="567"/>
      <c r="BJ151" s="568"/>
      <c r="BK151" s="567"/>
      <c r="BL151" s="567"/>
      <c r="BM151" s="568"/>
      <c r="BN151" s="567"/>
      <c r="BO151" s="567"/>
      <c r="BP151" s="568"/>
      <c r="BQ151" s="567"/>
      <c r="BR151" s="567"/>
      <c r="BS151" s="568"/>
      <c r="BT151" s="567"/>
      <c r="BU151" s="567"/>
      <c r="BV151" s="568"/>
      <c r="BW151" s="567"/>
      <c r="BX151" s="567"/>
      <c r="BY151" s="568"/>
      <c r="BZ151" s="567"/>
      <c r="CA151" s="567"/>
      <c r="CB151" s="567"/>
      <c r="CC151" s="583"/>
      <c r="CD151" s="555">
        <f t="shared" ref="CD151:CF151" si="759">MEDIAN(AM151,AP151,AS151,AY151,BB151,AV151,AA151,BE151,BK151,BZ151,BH151,BN151,BQ151,BT151,BW151)</f>
        <v>12</v>
      </c>
      <c r="CE151" s="555">
        <f t="shared" si="759"/>
        <v>7.5</v>
      </c>
      <c r="CF151" s="556">
        <f t="shared" si="759"/>
        <v>5</v>
      </c>
      <c r="CG151" s="555">
        <f t="shared" ref="CG151:CI151" si="760">MAX(AP151,AS151,AV151,BB151,BE151,AY151,CD151,BK151,BZ151,AA151)-MIN(AP151,AS151,AV151,BB151,BE151,AY151,CD151,BK151,BZ151,AA151)</f>
        <v>0</v>
      </c>
      <c r="CH151" s="555">
        <f t="shared" si="760"/>
        <v>0</v>
      </c>
      <c r="CI151" s="556">
        <f t="shared" si="760"/>
        <v>0</v>
      </c>
      <c r="CJ151" s="555">
        <f t="shared" ref="CJ151:CL151" si="761">STDEV(AS151,AV151,AY151,BE151,BK151,BB151,CG151,BZ151,AA151,CD151)</f>
        <v>6.92820323027551</v>
      </c>
      <c r="CK151" s="555">
        <f t="shared" si="761"/>
        <v>4.33012701892219</v>
      </c>
      <c r="CL151" s="556">
        <f t="shared" si="761"/>
        <v>2.88675134594813</v>
      </c>
      <c r="CM151" s="555">
        <f t="shared" ref="CM151:CO151" si="762">CJ151/AA151</f>
        <v>0.577350269189626</v>
      </c>
      <c r="CN151" s="555">
        <f t="shared" si="762"/>
        <v>0.577350269189626</v>
      </c>
      <c r="CO151" s="556">
        <f t="shared" si="762"/>
        <v>0.577350269189626</v>
      </c>
      <c r="CP151" s="29" t="s">
        <v>120</v>
      </c>
      <c r="CQ151" s="535">
        <f t="shared" si="622"/>
        <v>2</v>
      </c>
      <c r="CR151" s="29" t="s">
        <v>120</v>
      </c>
      <c r="CS151" s="29" t="s">
        <v>120</v>
      </c>
      <c r="CT151" s="29" t="s">
        <v>120</v>
      </c>
      <c r="CU151" s="29" t="s">
        <v>120</v>
      </c>
      <c r="CV151" s="29" t="s">
        <v>120</v>
      </c>
    </row>
    <row r="152" customHeight="1" spans="1:100">
      <c r="A152" s="29" t="s">
        <v>378</v>
      </c>
      <c r="B152" s="541" t="s">
        <v>1078</v>
      </c>
      <c r="C152" s="29" t="s">
        <v>1102</v>
      </c>
      <c r="F152" s="29" t="s">
        <v>1044</v>
      </c>
      <c r="G152" s="29" t="s">
        <v>1039</v>
      </c>
      <c r="H152" s="29" t="b">
        <v>0</v>
      </c>
      <c r="I152" s="29" t="b">
        <v>0</v>
      </c>
      <c r="J152" s="29" t="b">
        <v>1</v>
      </c>
      <c r="K152" s="29" t="b">
        <v>0</v>
      </c>
      <c r="L152" s="29" t="b">
        <v>0</v>
      </c>
      <c r="M152" s="29" t="b">
        <v>0</v>
      </c>
      <c r="P152" s="29" t="b">
        <v>0</v>
      </c>
      <c r="Q152" s="29" t="b">
        <v>0</v>
      </c>
      <c r="R152" s="29" t="b">
        <v>0</v>
      </c>
      <c r="S152" s="29" t="b">
        <v>0</v>
      </c>
      <c r="T152" s="29" t="b">
        <f t="shared" si="0"/>
        <v>0</v>
      </c>
      <c r="U152" s="29" t="s">
        <v>1071</v>
      </c>
      <c r="W152" s="29">
        <v>2</v>
      </c>
      <c r="X152" s="308"/>
      <c r="Y152" s="16" t="s">
        <v>1041</v>
      </c>
      <c r="Z152" s="579"/>
      <c r="AA152" s="554">
        <f t="shared" ref="AA152:AC152" si="763">AVERAGE(AJ152,AM152,AP152,AV152,AY152,AS152,BZ152,BB152,BE152,BH152,BK152,BN152,BQ152,BT152)</f>
        <v>15</v>
      </c>
      <c r="AB152" s="555">
        <f t="shared" si="763"/>
        <v>9.38</v>
      </c>
      <c r="AC152" s="556">
        <f t="shared" si="763"/>
        <v>6.25</v>
      </c>
      <c r="AD152" s="29" t="b">
        <v>0</v>
      </c>
      <c r="AE152" s="29" t="b">
        <v>1</v>
      </c>
      <c r="AF152" s="29" t="b">
        <v>0</v>
      </c>
      <c r="AG152" s="569">
        <v>15</v>
      </c>
      <c r="AH152" s="569">
        <v>9.38</v>
      </c>
      <c r="AI152" s="570">
        <v>6.25</v>
      </c>
      <c r="AJ152" s="567"/>
      <c r="AK152" s="567"/>
      <c r="AL152" s="568"/>
      <c r="AM152" s="567"/>
      <c r="AN152" s="567"/>
      <c r="AO152" s="568"/>
      <c r="AP152" s="569">
        <v>15</v>
      </c>
      <c r="AQ152" s="569">
        <v>9.38</v>
      </c>
      <c r="AR152" s="570">
        <v>6.25</v>
      </c>
      <c r="AS152" s="567"/>
      <c r="AT152" s="567"/>
      <c r="AU152" s="568"/>
      <c r="AV152" s="567"/>
      <c r="AW152" s="567"/>
      <c r="AX152" s="568"/>
      <c r="AY152" s="567"/>
      <c r="AZ152" s="567"/>
      <c r="BA152" s="568"/>
      <c r="BB152" s="567"/>
      <c r="BC152" s="567"/>
      <c r="BD152" s="568"/>
      <c r="BE152" s="567"/>
      <c r="BF152" s="567"/>
      <c r="BG152" s="568"/>
      <c r="BH152" s="567"/>
      <c r="BI152" s="567"/>
      <c r="BJ152" s="568"/>
      <c r="BK152" s="567"/>
      <c r="BL152" s="567"/>
      <c r="BM152" s="568"/>
      <c r="BN152" s="567"/>
      <c r="BO152" s="567"/>
      <c r="BP152" s="568"/>
      <c r="BQ152" s="567"/>
      <c r="BR152" s="567"/>
      <c r="BS152" s="568"/>
      <c r="BT152" s="567"/>
      <c r="BU152" s="567"/>
      <c r="BV152" s="568"/>
      <c r="BW152" s="567"/>
      <c r="BX152" s="567"/>
      <c r="BY152" s="568"/>
      <c r="BZ152" s="567"/>
      <c r="CA152" s="567"/>
      <c r="CB152" s="567"/>
      <c r="CC152" s="583"/>
      <c r="CD152" s="555">
        <f t="shared" ref="CD152:CF152" si="764">MEDIAN(AM152,AP152,AS152,AY152,BB152,AV152,AA152,BE152,BK152,BZ152,BH152,BN152,BQ152,BT152,BW152)</f>
        <v>15</v>
      </c>
      <c r="CE152" s="555">
        <f t="shared" si="764"/>
        <v>9.38</v>
      </c>
      <c r="CF152" s="556">
        <f t="shared" si="764"/>
        <v>6.25</v>
      </c>
      <c r="CG152" s="555">
        <f t="shared" ref="CG152:CI152" si="765">MAX(AP152,AS152,AV152,BB152,BE152,AY152,CD152,BK152,BZ152,AA152)-MIN(AP152,AS152,AV152,BB152,BE152,AY152,CD152,BK152,BZ152,AA152)</f>
        <v>0</v>
      </c>
      <c r="CH152" s="555">
        <f t="shared" si="765"/>
        <v>0</v>
      </c>
      <c r="CI152" s="556">
        <f t="shared" si="765"/>
        <v>0</v>
      </c>
      <c r="CJ152" s="555">
        <f t="shared" ref="CJ152:CL152" si="766">STDEV(AS152,AV152,AY152,BE152,BK152,BB152,CG152,BZ152,AA152,CD152)</f>
        <v>8.66025403784439</v>
      </c>
      <c r="CK152" s="555">
        <f t="shared" si="766"/>
        <v>5.41554552499869</v>
      </c>
      <c r="CL152" s="556">
        <f t="shared" si="766"/>
        <v>3.60843918243516</v>
      </c>
      <c r="CM152" s="555">
        <f t="shared" ref="CM152:CO152" si="767">CJ152/AA152</f>
        <v>0.577350269189626</v>
      </c>
      <c r="CN152" s="555">
        <f t="shared" si="767"/>
        <v>0.577350269189626</v>
      </c>
      <c r="CO152" s="556">
        <f t="shared" si="767"/>
        <v>0.577350269189626</v>
      </c>
      <c r="CP152" s="29" t="s">
        <v>120</v>
      </c>
      <c r="CQ152" s="535">
        <f t="shared" si="622"/>
        <v>2</v>
      </c>
      <c r="CR152" s="29" t="s">
        <v>120</v>
      </c>
      <c r="CS152" s="29" t="s">
        <v>120</v>
      </c>
      <c r="CT152" s="29" t="s">
        <v>120</v>
      </c>
      <c r="CU152" s="29" t="s">
        <v>120</v>
      </c>
      <c r="CV152" s="29" t="s">
        <v>120</v>
      </c>
    </row>
    <row r="153" customHeight="1" spans="1:100">
      <c r="A153" s="29" t="s">
        <v>379</v>
      </c>
      <c r="B153" s="541" t="s">
        <v>1078</v>
      </c>
      <c r="C153" s="29" t="s">
        <v>1102</v>
      </c>
      <c r="D153" s="29" t="s">
        <v>380</v>
      </c>
      <c r="E153" s="29"/>
      <c r="F153" s="29" t="s">
        <v>1044</v>
      </c>
      <c r="G153" s="29" t="s">
        <v>1039</v>
      </c>
      <c r="H153" s="29" t="b">
        <v>1</v>
      </c>
      <c r="I153" s="29" t="b">
        <v>1</v>
      </c>
      <c r="J153" s="29" t="b">
        <v>0</v>
      </c>
      <c r="K153" s="29" t="b">
        <v>0</v>
      </c>
      <c r="L153" s="29" t="b">
        <v>1</v>
      </c>
      <c r="M153" s="29" t="b">
        <v>1</v>
      </c>
      <c r="N153" s="29" t="s">
        <v>382</v>
      </c>
      <c r="O153" s="569">
        <v>700</v>
      </c>
      <c r="P153" s="29" t="b">
        <v>0</v>
      </c>
      <c r="Q153" s="29" t="b">
        <v>0</v>
      </c>
      <c r="R153" s="29" t="b">
        <v>0</v>
      </c>
      <c r="S153" s="29" t="b">
        <v>0</v>
      </c>
      <c r="T153" s="29" t="b">
        <f t="shared" si="0"/>
        <v>0</v>
      </c>
      <c r="U153" s="29" t="s">
        <v>998</v>
      </c>
      <c r="V153" s="29" t="s">
        <v>381</v>
      </c>
      <c r="W153" s="29">
        <v>2</v>
      </c>
      <c r="X153" s="29" t="s">
        <v>1049</v>
      </c>
      <c r="Y153" s="16" t="s">
        <v>1041</v>
      </c>
      <c r="Z153" s="208" t="s">
        <v>1042</v>
      </c>
      <c r="AA153" s="554">
        <f t="shared" ref="AA153:AC153" si="768">AVERAGE(AJ153,AM153,AP153,AV153,AY153,AS153,BZ153,BB153,BE153,BH153,BK153,BN153,BQ153,BT153)</f>
        <v>56.1111111111111</v>
      </c>
      <c r="AB153" s="555">
        <f t="shared" si="768"/>
        <v>28.0397727272727</v>
      </c>
      <c r="AC153" s="556">
        <f t="shared" si="768"/>
        <v>25.5024635568513</v>
      </c>
      <c r="AD153" s="29" t="b">
        <v>1</v>
      </c>
      <c r="AE153" s="29" t="b">
        <v>0</v>
      </c>
      <c r="AF153" s="29" t="b">
        <v>0</v>
      </c>
      <c r="AG153" s="569">
        <v>55</v>
      </c>
      <c r="AH153" s="569">
        <v>30</v>
      </c>
      <c r="AI153" s="570">
        <v>25</v>
      </c>
      <c r="AJ153" s="569" t="s">
        <v>13</v>
      </c>
      <c r="AK153" s="569">
        <v>20</v>
      </c>
      <c r="AL153" s="570" t="s">
        <v>13</v>
      </c>
      <c r="AM153" s="569">
        <v>75</v>
      </c>
      <c r="AN153" s="569">
        <f>AM153/(1+(AM153/90))</f>
        <v>40.9090909090909</v>
      </c>
      <c r="AO153" s="570">
        <f>AN153/(1+(AN153/115))</f>
        <v>30.1749271137026</v>
      </c>
      <c r="AP153" s="569">
        <v>50</v>
      </c>
      <c r="AQ153" s="569">
        <v>31.25</v>
      </c>
      <c r="AR153" s="570">
        <v>20.83</v>
      </c>
      <c r="AS153" s="567"/>
      <c r="AT153" s="567"/>
      <c r="AU153" s="568"/>
      <c r="AV153" s="567"/>
      <c r="AW153" s="567"/>
      <c r="AX153" s="568"/>
      <c r="AY153" s="569" t="s">
        <v>13</v>
      </c>
      <c r="AZ153" s="29">
        <v>20</v>
      </c>
      <c r="BA153" s="570" t="s">
        <v>13</v>
      </c>
      <c r="BB153" s="569">
        <v>55</v>
      </c>
      <c r="BC153" s="29" t="s">
        <v>13</v>
      </c>
      <c r="BD153" s="570" t="s">
        <v>13</v>
      </c>
      <c r="BE153" s="569" t="s">
        <v>13</v>
      </c>
      <c r="BF153" s="29" t="s">
        <v>13</v>
      </c>
      <c r="BG153" s="570" t="s">
        <v>13</v>
      </c>
      <c r="BH153" s="569">
        <v>75</v>
      </c>
      <c r="BI153" s="29" t="s">
        <v>13</v>
      </c>
      <c r="BJ153" s="570" t="s">
        <v>13</v>
      </c>
      <c r="BK153" s="569">
        <v>60</v>
      </c>
      <c r="BL153" s="29" t="s">
        <v>13</v>
      </c>
      <c r="BM153" s="570" t="s">
        <v>13</v>
      </c>
      <c r="BN153" s="569">
        <v>50</v>
      </c>
      <c r="BO153" s="29" t="s">
        <v>13</v>
      </c>
      <c r="BP153" s="570" t="s">
        <v>13</v>
      </c>
      <c r="BQ153" s="569">
        <v>50</v>
      </c>
      <c r="BR153" s="29" t="s">
        <v>13</v>
      </c>
      <c r="BS153" s="570" t="s">
        <v>13</v>
      </c>
      <c r="BT153" s="569">
        <v>50</v>
      </c>
      <c r="BU153" s="29" t="s">
        <v>13</v>
      </c>
      <c r="BV153" s="570" t="s">
        <v>13</v>
      </c>
      <c r="BW153" s="569">
        <v>57</v>
      </c>
      <c r="BX153" s="29" t="s">
        <v>13</v>
      </c>
      <c r="BY153" s="570" t="s">
        <v>13</v>
      </c>
      <c r="BZ153" s="569">
        <v>40</v>
      </c>
      <c r="CA153" s="569" t="s">
        <v>13</v>
      </c>
      <c r="CB153" s="569" t="s">
        <v>13</v>
      </c>
      <c r="CC153" s="583">
        <v>45340</v>
      </c>
      <c r="CD153" s="555">
        <f t="shared" ref="CD153:CF153" si="769">MEDIAN(AM153,AP153,AS153,AY153,BB153,AV153,AA153,BE153,BK153,BZ153,BH153,BN153,BQ153,BT153,BW153)</f>
        <v>55</v>
      </c>
      <c r="CE153" s="555">
        <f t="shared" si="769"/>
        <v>29.6448863636364</v>
      </c>
      <c r="CF153" s="556">
        <f t="shared" si="769"/>
        <v>25.5024635568513</v>
      </c>
      <c r="CG153" s="555">
        <f t="shared" ref="CG153:CI153" si="770">MAX(AP153,AS153,AV153,BB153,BE153,AY153,CD153,BK153,BZ153,AA153)-MIN(AP153,AS153,AV153,BB153,BE153,AY153,CD153,BK153,BZ153,AA153)</f>
        <v>20</v>
      </c>
      <c r="CH153" s="555">
        <f t="shared" si="770"/>
        <v>11.25</v>
      </c>
      <c r="CI153" s="556">
        <f t="shared" si="770"/>
        <v>4.67246355685131</v>
      </c>
      <c r="CJ153" s="555">
        <f t="shared" ref="CJ153:CL153" si="771">STDEV(AS153,AV153,AY153,BE153,BK153,BB153,CG153,BZ153,AA153,CD153)</f>
        <v>15.1999702187276</v>
      </c>
      <c r="CK153" s="555">
        <f t="shared" si="771"/>
        <v>8.45117832427262</v>
      </c>
      <c r="CL153" s="556">
        <f t="shared" si="771"/>
        <v>12.0262061072199</v>
      </c>
      <c r="CM153" s="555">
        <f t="shared" ref="CM153:CO153" si="772">CJ153/AA153</f>
        <v>0.270890558353561</v>
      </c>
      <c r="CN153" s="555">
        <f t="shared" si="772"/>
        <v>0.30139967276028</v>
      </c>
      <c r="CO153" s="556">
        <f t="shared" si="772"/>
        <v>0.471570367325906</v>
      </c>
      <c r="CP153" s="29" t="s">
        <v>142</v>
      </c>
      <c r="CQ153" s="535">
        <f t="shared" si="622"/>
        <v>2</v>
      </c>
      <c r="CR153" s="29" t="s">
        <v>120</v>
      </c>
      <c r="CS153" s="29" t="s">
        <v>120</v>
      </c>
      <c r="CT153" s="29" t="s">
        <v>120</v>
      </c>
      <c r="CU153" s="29" t="s">
        <v>120</v>
      </c>
      <c r="CV153" s="29" t="s">
        <v>120</v>
      </c>
    </row>
    <row r="154" customHeight="1" spans="1:100">
      <c r="A154" s="29" t="s">
        <v>383</v>
      </c>
      <c r="B154" s="541" t="s">
        <v>1078</v>
      </c>
      <c r="C154" s="29" t="s">
        <v>1102</v>
      </c>
      <c r="D154" s="29" t="s">
        <v>384</v>
      </c>
      <c r="E154" s="29"/>
      <c r="F154" s="29" t="s">
        <v>1044</v>
      </c>
      <c r="G154" s="29" t="s">
        <v>1039</v>
      </c>
      <c r="H154" s="29" t="b">
        <v>1</v>
      </c>
      <c r="I154" s="29" t="b">
        <v>1</v>
      </c>
      <c r="J154" s="29" t="b">
        <v>0</v>
      </c>
      <c r="K154" s="29" t="b">
        <v>0</v>
      </c>
      <c r="L154" s="29" t="b">
        <v>0</v>
      </c>
      <c r="M154" s="29" t="b">
        <v>1</v>
      </c>
      <c r="N154" s="29" t="s">
        <v>382</v>
      </c>
      <c r="O154" s="569">
        <v>700</v>
      </c>
      <c r="P154" s="29" t="b">
        <v>0</v>
      </c>
      <c r="Q154" s="29" t="b">
        <v>0</v>
      </c>
      <c r="R154" s="29" t="b">
        <v>0</v>
      </c>
      <c r="S154" s="29" t="b">
        <v>0</v>
      </c>
      <c r="T154" s="29" t="b">
        <f t="shared" si="0"/>
        <v>0</v>
      </c>
      <c r="U154" s="29" t="s">
        <v>998</v>
      </c>
      <c r="V154" s="29" t="s">
        <v>381</v>
      </c>
      <c r="W154" s="29">
        <v>2</v>
      </c>
      <c r="X154" s="29" t="s">
        <v>1049</v>
      </c>
      <c r="Y154" s="16" t="s">
        <v>1041</v>
      </c>
      <c r="Z154" s="208" t="s">
        <v>1042</v>
      </c>
      <c r="AA154" s="554">
        <f t="shared" ref="AA154:AC154" si="773">AVERAGE(AJ154,AM154,AP154,AV154,AY154,AS154,BZ154,BB154,BE154,BH154,BK154,BN154,BQ154,BT154)</f>
        <v>30</v>
      </c>
      <c r="AB154" s="555">
        <f t="shared" si="773"/>
        <v>21.875</v>
      </c>
      <c r="AC154" s="556">
        <f t="shared" si="773"/>
        <v>12.5</v>
      </c>
      <c r="AD154" s="29" t="b">
        <v>1</v>
      </c>
      <c r="AE154" s="29" t="b">
        <v>0</v>
      </c>
      <c r="AF154" s="29" t="b">
        <v>0</v>
      </c>
      <c r="AG154" s="569">
        <v>30</v>
      </c>
      <c r="AH154" s="569">
        <v>22</v>
      </c>
      <c r="AI154" s="570">
        <v>13</v>
      </c>
      <c r="AJ154" s="569" t="s">
        <v>13</v>
      </c>
      <c r="AK154" s="569">
        <v>25</v>
      </c>
      <c r="AL154" s="570" t="s">
        <v>13</v>
      </c>
      <c r="AM154" s="567"/>
      <c r="AN154" s="567"/>
      <c r="AO154" s="568"/>
      <c r="AP154" s="569">
        <v>30</v>
      </c>
      <c r="AQ154" s="569">
        <v>18.75</v>
      </c>
      <c r="AR154" s="570">
        <v>12.5</v>
      </c>
      <c r="AS154" s="567"/>
      <c r="AT154" s="567"/>
      <c r="AU154" s="568"/>
      <c r="AV154" s="567"/>
      <c r="AW154" s="567"/>
      <c r="AX154" s="568"/>
      <c r="AY154" s="567"/>
      <c r="BA154" s="568"/>
      <c r="BB154" s="567"/>
      <c r="BD154" s="568"/>
      <c r="BE154" s="567"/>
      <c r="BG154" s="568"/>
      <c r="BH154" s="567"/>
      <c r="BJ154" s="568"/>
      <c r="BK154" s="567"/>
      <c r="BM154" s="568"/>
      <c r="BN154" s="567"/>
      <c r="BP154" s="568"/>
      <c r="BQ154" s="567"/>
      <c r="BS154" s="568"/>
      <c r="BT154" s="567"/>
      <c r="BV154" s="568"/>
      <c r="BW154" s="567"/>
      <c r="BY154" s="568"/>
      <c r="BZ154" s="567"/>
      <c r="CA154" s="569"/>
      <c r="CB154" s="567"/>
      <c r="CC154" s="583"/>
      <c r="CD154" s="555">
        <f t="shared" ref="CD154:CF154" si="774">MEDIAN(AM154,AP154,AS154,AY154,BB154,AV154,AA154,BE154,BK154,BZ154,BH154,BN154,BQ154,BT154,BW154)</f>
        <v>30</v>
      </c>
      <c r="CE154" s="555">
        <f t="shared" si="774"/>
        <v>20.3125</v>
      </c>
      <c r="CF154" s="556">
        <f t="shared" si="774"/>
        <v>12.5</v>
      </c>
      <c r="CG154" s="555">
        <f t="shared" ref="CG154:CI154" si="775">MAX(AP154,AS154,AV154,BB154,BE154,AY154,CD154,BK154,BZ154,AA154)-MIN(AP154,AS154,AV154,BB154,BE154,AY154,CD154,BK154,BZ154,AA154)</f>
        <v>0</v>
      </c>
      <c r="CH154" s="555">
        <f t="shared" si="775"/>
        <v>3.125</v>
      </c>
      <c r="CI154" s="556">
        <f t="shared" si="775"/>
        <v>0</v>
      </c>
      <c r="CJ154" s="555">
        <f t="shared" ref="CJ154:CL154" si="776">STDEV(AS154,AV154,AY154,BE154,BK154,BB154,CG154,BZ154,AA154,CD154)</f>
        <v>17.3205080756888</v>
      </c>
      <c r="CK154" s="555">
        <f t="shared" si="776"/>
        <v>10.4036376851241</v>
      </c>
      <c r="CL154" s="556">
        <f t="shared" si="776"/>
        <v>7.21687836487032</v>
      </c>
      <c r="CM154" s="555">
        <f t="shared" ref="CM154:CO154" si="777">CJ154/AA154</f>
        <v>0.577350269189626</v>
      </c>
      <c r="CN154" s="555">
        <f t="shared" si="777"/>
        <v>0.475594865605671</v>
      </c>
      <c r="CO154" s="556">
        <f t="shared" si="777"/>
        <v>0.577350269189626</v>
      </c>
      <c r="CP154" s="29" t="s">
        <v>120</v>
      </c>
      <c r="CQ154" s="535">
        <f t="shared" si="622"/>
        <v>2</v>
      </c>
      <c r="CR154" s="29" t="s">
        <v>120</v>
      </c>
      <c r="CS154" s="29" t="s">
        <v>120</v>
      </c>
      <c r="CT154" s="29" t="s">
        <v>120</v>
      </c>
      <c r="CU154" s="29" t="s">
        <v>120</v>
      </c>
      <c r="CV154" s="29" t="s">
        <v>120</v>
      </c>
    </row>
    <row r="155" customHeight="1" spans="1:100">
      <c r="A155" s="29" t="s">
        <v>385</v>
      </c>
      <c r="B155" s="541" t="s">
        <v>1078</v>
      </c>
      <c r="C155" s="29" t="s">
        <v>1102</v>
      </c>
      <c r="D155" s="29" t="s">
        <v>386</v>
      </c>
      <c r="E155" s="29"/>
      <c r="F155" s="29" t="s">
        <v>1044</v>
      </c>
      <c r="G155" s="29" t="s">
        <v>1039</v>
      </c>
      <c r="H155" s="29" t="b">
        <v>1</v>
      </c>
      <c r="I155" s="29" t="b">
        <v>1</v>
      </c>
      <c r="J155" s="29" t="b">
        <v>0</v>
      </c>
      <c r="K155" s="29" t="b">
        <v>0</v>
      </c>
      <c r="L155" s="29" t="b">
        <v>0</v>
      </c>
      <c r="M155" s="29" t="b">
        <v>1</v>
      </c>
      <c r="N155" s="29" t="s">
        <v>382</v>
      </c>
      <c r="O155" s="569">
        <v>700</v>
      </c>
      <c r="P155" s="29" t="b">
        <v>0</v>
      </c>
      <c r="Q155" s="29" t="b">
        <v>0</v>
      </c>
      <c r="R155" s="29" t="b">
        <v>0</v>
      </c>
      <c r="S155" s="29" t="b">
        <v>0</v>
      </c>
      <c r="T155" s="29" t="b">
        <f t="shared" si="0"/>
        <v>0</v>
      </c>
      <c r="U155" s="29" t="s">
        <v>998</v>
      </c>
      <c r="V155" s="29" t="s">
        <v>381</v>
      </c>
      <c r="W155" s="29">
        <v>2</v>
      </c>
      <c r="X155" s="29" t="s">
        <v>1049</v>
      </c>
      <c r="Y155" s="16" t="s">
        <v>1041</v>
      </c>
      <c r="Z155" s="29" t="s">
        <v>1042</v>
      </c>
      <c r="AA155" s="554">
        <f t="shared" ref="AA155:AC155" si="778">AVERAGE(AJ155,AM155,AP155,AV155,AY155,AS155,BZ155,BB155,BE155,BH155,BK155,BN155,BQ155,BT155)</f>
        <v>30</v>
      </c>
      <c r="AB155" s="555">
        <f t="shared" si="778"/>
        <v>21.875</v>
      </c>
      <c r="AC155" s="556">
        <f t="shared" si="778"/>
        <v>12.5</v>
      </c>
      <c r="AD155" s="29" t="b">
        <v>1</v>
      </c>
      <c r="AE155" s="29" t="b">
        <v>0</v>
      </c>
      <c r="AF155" s="29" t="b">
        <v>0</v>
      </c>
      <c r="AG155" s="574">
        <v>30</v>
      </c>
      <c r="AH155" s="569">
        <v>22</v>
      </c>
      <c r="AI155" s="570">
        <v>13</v>
      </c>
      <c r="AJ155" s="569" t="s">
        <v>13</v>
      </c>
      <c r="AK155" s="569">
        <v>25</v>
      </c>
      <c r="AL155" s="569" t="s">
        <v>13</v>
      </c>
      <c r="AM155" s="567"/>
      <c r="AN155" s="567"/>
      <c r="AO155" s="568"/>
      <c r="AP155" s="569">
        <v>30</v>
      </c>
      <c r="AQ155" s="569">
        <v>18.75</v>
      </c>
      <c r="AR155" s="570">
        <v>12.5</v>
      </c>
      <c r="AS155" s="567"/>
      <c r="AT155" s="567"/>
      <c r="AU155" s="568"/>
      <c r="AV155" s="567"/>
      <c r="AW155" s="567"/>
      <c r="AX155" s="568"/>
      <c r="AY155" s="567"/>
      <c r="BA155" s="568"/>
      <c r="BB155" s="567"/>
      <c r="BD155" s="568"/>
      <c r="BE155" s="567"/>
      <c r="BG155" s="568"/>
      <c r="BH155" s="567"/>
      <c r="BJ155" s="568"/>
      <c r="BK155" s="567"/>
      <c r="BM155" s="568"/>
      <c r="BN155" s="567"/>
      <c r="BP155" s="568"/>
      <c r="BQ155" s="567"/>
      <c r="BS155" s="568"/>
      <c r="BT155" s="567"/>
      <c r="BV155" s="568"/>
      <c r="BW155" s="567"/>
      <c r="BY155" s="568"/>
      <c r="BZ155" s="567"/>
      <c r="CA155" s="569"/>
      <c r="CB155" s="567"/>
      <c r="CC155" s="583"/>
      <c r="CD155" s="555">
        <f t="shared" ref="CD155:CF155" si="779">MEDIAN(AM155,AP155,AS155,AY155,BB155,AV155,AA155,BE155,BK155,BZ155,BH155,BN155,BQ155,BT155,BW155)</f>
        <v>30</v>
      </c>
      <c r="CE155" s="555">
        <f t="shared" si="779"/>
        <v>20.3125</v>
      </c>
      <c r="CF155" s="556">
        <f t="shared" si="779"/>
        <v>12.5</v>
      </c>
      <c r="CG155" s="555">
        <f t="shared" ref="CG155:CI155" si="780">MAX(AP155,AS155,AV155,BB155,BE155,AY155,CD155,BK155,BZ155,AA155)-MIN(AP155,AS155,AV155,BB155,BE155,AY155,CD155,BK155,BZ155,AA155)</f>
        <v>0</v>
      </c>
      <c r="CH155" s="555">
        <f t="shared" si="780"/>
        <v>3.125</v>
      </c>
      <c r="CI155" s="556">
        <f t="shared" si="780"/>
        <v>0</v>
      </c>
      <c r="CJ155" s="555">
        <f t="shared" ref="CJ155:CL155" si="781">STDEV(AS155,AV155,AY155,BE155,BK155,BB155,CG155,BZ155,AA155,CD155)</f>
        <v>17.3205080756888</v>
      </c>
      <c r="CK155" s="555">
        <f t="shared" si="781"/>
        <v>10.4036376851241</v>
      </c>
      <c r="CL155" s="556">
        <f t="shared" si="781"/>
        <v>7.21687836487032</v>
      </c>
      <c r="CM155" s="555">
        <f t="shared" ref="CM155:CO155" si="782">CJ155/AA155</f>
        <v>0.577350269189626</v>
      </c>
      <c r="CN155" s="555">
        <f t="shared" si="782"/>
        <v>0.475594865605671</v>
      </c>
      <c r="CO155" s="556">
        <f t="shared" si="782"/>
        <v>0.577350269189626</v>
      </c>
      <c r="CP155" s="29" t="s">
        <v>120</v>
      </c>
      <c r="CQ155" s="535">
        <f t="shared" si="622"/>
        <v>2</v>
      </c>
      <c r="CR155" s="29" t="s">
        <v>120</v>
      </c>
      <c r="CS155" s="29" t="s">
        <v>120</v>
      </c>
      <c r="CT155" s="29" t="s">
        <v>120</v>
      </c>
      <c r="CU155" s="29" t="s">
        <v>120</v>
      </c>
      <c r="CV155" s="29" t="s">
        <v>120</v>
      </c>
    </row>
    <row r="156" customHeight="1" spans="1:100">
      <c r="A156" s="29" t="s">
        <v>387</v>
      </c>
      <c r="B156" s="541" t="s">
        <v>1103</v>
      </c>
      <c r="C156" s="29" t="s">
        <v>1104</v>
      </c>
      <c r="D156" s="29" t="s">
        <v>388</v>
      </c>
      <c r="E156" s="29"/>
      <c r="F156" s="29" t="s">
        <v>1044</v>
      </c>
      <c r="G156" s="29" t="s">
        <v>1039</v>
      </c>
      <c r="H156" s="29" t="b">
        <v>1</v>
      </c>
      <c r="I156" s="29" t="b">
        <v>1</v>
      </c>
      <c r="J156" s="29" t="b">
        <v>0</v>
      </c>
      <c r="K156" s="29" t="b">
        <v>0</v>
      </c>
      <c r="L156" s="29" t="b">
        <v>1</v>
      </c>
      <c r="M156" s="29" t="b">
        <v>1</v>
      </c>
      <c r="O156" s="569">
        <v>0.05</v>
      </c>
      <c r="P156" s="29" t="b">
        <v>1</v>
      </c>
      <c r="Q156" s="29" t="b">
        <v>1</v>
      </c>
      <c r="R156" s="29" t="b">
        <v>1</v>
      </c>
      <c r="S156" s="29" t="b">
        <v>1</v>
      </c>
      <c r="T156" s="29" t="b">
        <f t="shared" si="0"/>
        <v>1</v>
      </c>
      <c r="U156" s="29" t="s">
        <v>997</v>
      </c>
      <c r="V156" s="29" t="s">
        <v>381</v>
      </c>
      <c r="W156" s="29">
        <v>2</v>
      </c>
      <c r="X156" s="29" t="s">
        <v>1064</v>
      </c>
      <c r="Y156" s="16" t="s">
        <v>1041</v>
      </c>
      <c r="Z156" s="29" t="s">
        <v>1052</v>
      </c>
      <c r="AA156" s="554">
        <f t="shared" ref="AA156:AC156" si="783">AVERAGE(AJ156,AM156,AP156,AV156,AY156,AS156,BZ156,BB156,BE156,BH156,BK156,BN156,BQ156,BT156)</f>
        <v>0.447278911564626</v>
      </c>
      <c r="AB156" s="555">
        <f t="shared" si="783"/>
        <v>0.584704184704185</v>
      </c>
      <c r="AC156" s="556">
        <f t="shared" si="783"/>
        <v>0.844832251082251</v>
      </c>
      <c r="AD156" s="29" t="b">
        <v>1</v>
      </c>
      <c r="AE156" s="29" t="b">
        <v>0</v>
      </c>
      <c r="AF156" s="29" t="b">
        <v>0</v>
      </c>
      <c r="AG156" s="574">
        <v>0.45</v>
      </c>
      <c r="AH156" s="569">
        <v>0.6</v>
      </c>
      <c r="AI156" s="570">
        <v>0.8</v>
      </c>
      <c r="AJ156" s="569" t="s">
        <v>13</v>
      </c>
      <c r="AK156" s="569">
        <v>0.5</v>
      </c>
      <c r="AL156" s="569" t="s">
        <v>13</v>
      </c>
      <c r="AM156" s="567">
        <f>(70/(18*2))/((70/(18*2))*(70/(18*2)))</f>
        <v>0.514285714285714</v>
      </c>
      <c r="AN156" s="567">
        <f>(110/(18*2))/((110/(18*2))*(110/(18*2)))+AM156</f>
        <v>0.841558441558442</v>
      </c>
      <c r="AO156" s="568">
        <f>((110/(18*2))/((110/(18*2))*(110/(18*2)))*2)+AM156</f>
        <v>1.16883116883117</v>
      </c>
      <c r="AP156" s="569">
        <f>20/60</f>
        <v>0.333333333333333</v>
      </c>
      <c r="AQ156" s="569">
        <f>25/60</f>
        <v>0.416666666666667</v>
      </c>
      <c r="AR156" s="568">
        <f>31.25/60</f>
        <v>0.520833333333333</v>
      </c>
      <c r="AS156" s="567"/>
      <c r="AT156" s="567"/>
      <c r="AU156" s="568"/>
      <c r="AV156" s="567"/>
      <c r="AW156" s="569">
        <v>0.5</v>
      </c>
      <c r="AX156" s="568"/>
      <c r="AY156" s="567"/>
      <c r="AZ156" s="29">
        <v>0.5</v>
      </c>
      <c r="BA156" s="568"/>
      <c r="BB156" s="569" t="s">
        <v>13</v>
      </c>
      <c r="BC156" s="29" t="s">
        <v>13</v>
      </c>
      <c r="BD156" s="570" t="s">
        <v>13</v>
      </c>
      <c r="BE156" s="569" t="s">
        <v>13</v>
      </c>
      <c r="BF156" s="29" t="s">
        <v>13</v>
      </c>
      <c r="BG156" s="570" t="s">
        <v>13</v>
      </c>
      <c r="BH156" s="567">
        <f>15/60</f>
        <v>0.25</v>
      </c>
      <c r="BI156" s="29" t="s">
        <v>13</v>
      </c>
      <c r="BJ156" s="570" t="s">
        <v>13</v>
      </c>
      <c r="BK156" s="567">
        <f>12/60</f>
        <v>0.2</v>
      </c>
      <c r="BL156" s="29" t="s">
        <v>13</v>
      </c>
      <c r="BM156" s="570" t="s">
        <v>13</v>
      </c>
      <c r="BN156" s="569">
        <v>1</v>
      </c>
      <c r="BO156" s="29" t="s">
        <v>13</v>
      </c>
      <c r="BP156" s="570" t="s">
        <v>13</v>
      </c>
      <c r="BQ156" s="569">
        <f>20/60</f>
        <v>0.333333333333333</v>
      </c>
      <c r="BR156" s="569"/>
      <c r="BS156" s="568"/>
      <c r="BT156" s="569">
        <v>0.5</v>
      </c>
      <c r="BV156" s="568"/>
      <c r="BW156" s="567">
        <f>18.75/60</f>
        <v>0.3125</v>
      </c>
      <c r="BY156" s="568"/>
      <c r="BZ156" s="569" t="s">
        <v>13</v>
      </c>
      <c r="CA156" s="569">
        <v>0.75</v>
      </c>
      <c r="CB156" s="569" t="s">
        <v>13</v>
      </c>
      <c r="CC156" s="583">
        <v>45340</v>
      </c>
      <c r="CD156" s="555">
        <f t="shared" ref="CD156:CF156" si="784">MEDIAN(AM156,AP156,AS156,AY156,BB156,AV156,AA156,BE156,BK156,BZ156,BH156,BN156,BQ156,BT156,BW156)</f>
        <v>0.333333333333333</v>
      </c>
      <c r="CE156" s="555">
        <f t="shared" si="784"/>
        <v>0.542352092352092</v>
      </c>
      <c r="CF156" s="556">
        <f t="shared" si="784"/>
        <v>0.844832251082251</v>
      </c>
      <c r="CG156" s="555">
        <f t="shared" ref="CG156:CI156" si="785">MAX(AP156,AS156,AV156,BB156,BE156,AY156,CD156,BK156,BZ156,AA156)-MIN(AP156,AS156,AV156,BB156,BE156,AY156,CD156,BK156,BZ156,AA156)</f>
        <v>0.247278911564626</v>
      </c>
      <c r="CH156" s="555">
        <f t="shared" si="785"/>
        <v>0.333333333333333</v>
      </c>
      <c r="CI156" s="556">
        <f t="shared" si="785"/>
        <v>0.323998917748918</v>
      </c>
      <c r="CJ156" s="555">
        <f t="shared" ref="CJ156:CL156" si="786">STDEV(AS156,AV156,AY156,BE156,BK156,BB156,CG156,BZ156,AA156,CD156)</f>
        <v>0.108608199377974</v>
      </c>
      <c r="CK156" s="555">
        <f t="shared" si="786"/>
        <v>0.135549974831521</v>
      </c>
      <c r="CL156" s="556">
        <f t="shared" si="786"/>
        <v>0.30070326520293</v>
      </c>
      <c r="CM156" s="555">
        <f t="shared" ref="CM156:CO156" si="787">CJ156/AA156</f>
        <v>0.242819852601707</v>
      </c>
      <c r="CN156" s="555">
        <f t="shared" si="787"/>
        <v>0.231826585780464</v>
      </c>
      <c r="CO156" s="556">
        <f t="shared" si="787"/>
        <v>0.355932511830274</v>
      </c>
      <c r="CP156" s="29" t="s">
        <v>120</v>
      </c>
      <c r="CQ156" s="535">
        <f t="shared" si="622"/>
        <v>2</v>
      </c>
      <c r="CR156" s="29" t="s">
        <v>120</v>
      </c>
      <c r="CS156" s="29" t="s">
        <v>120</v>
      </c>
      <c r="CT156" s="29" t="s">
        <v>120</v>
      </c>
      <c r="CU156" s="29" t="s">
        <v>120</v>
      </c>
      <c r="CV156" s="29" t="s">
        <v>120</v>
      </c>
    </row>
    <row r="157" customHeight="1" spans="1:100">
      <c r="A157" s="29" t="s">
        <v>389</v>
      </c>
      <c r="B157" s="541" t="s">
        <v>1103</v>
      </c>
      <c r="C157" s="29" t="s">
        <v>1104</v>
      </c>
      <c r="D157" s="29" t="s">
        <v>390</v>
      </c>
      <c r="E157" s="29"/>
      <c r="F157" s="29" t="s">
        <v>1044</v>
      </c>
      <c r="G157" s="29" t="s">
        <v>1039</v>
      </c>
      <c r="H157" s="29" t="b">
        <v>1</v>
      </c>
      <c r="I157" s="29" t="b">
        <v>1</v>
      </c>
      <c r="J157" s="29" t="b">
        <v>0</v>
      </c>
      <c r="K157" s="29" t="b">
        <v>0</v>
      </c>
      <c r="L157" s="29" t="b">
        <v>1</v>
      </c>
      <c r="M157" s="29" t="b">
        <v>1</v>
      </c>
      <c r="P157" s="29" t="b">
        <v>1</v>
      </c>
      <c r="Q157" s="29" t="b">
        <v>1</v>
      </c>
      <c r="R157" s="29" t="b">
        <v>1</v>
      </c>
      <c r="S157" s="29" t="b">
        <v>1</v>
      </c>
      <c r="T157" s="29" t="b">
        <f t="shared" si="0"/>
        <v>0</v>
      </c>
      <c r="U157" s="29" t="s">
        <v>997</v>
      </c>
      <c r="V157" s="29" t="s">
        <v>129</v>
      </c>
      <c r="W157" s="29">
        <v>2</v>
      </c>
      <c r="X157" s="29" t="s">
        <v>1064</v>
      </c>
      <c r="Y157" s="16" t="s">
        <v>1041</v>
      </c>
      <c r="Z157" s="29" t="s">
        <v>1052</v>
      </c>
      <c r="AA157" s="554">
        <f t="shared" ref="AA157:AC157" si="788">AVERAGE(AJ157,AM157,AP157,AV157,AY157,AS157,BZ157,BB157,BE157,BH157,BK157,BN157,BQ157,BT157)</f>
        <v>0.24</v>
      </c>
      <c r="AB157" s="555">
        <f t="shared" si="788"/>
        <v>0.4</v>
      </c>
      <c r="AC157" s="556">
        <f t="shared" si="788"/>
        <v>0.56</v>
      </c>
      <c r="AD157" s="29" t="b">
        <v>0</v>
      </c>
      <c r="AE157" s="29" t="b">
        <v>1</v>
      </c>
      <c r="AF157" s="29" t="b">
        <v>1</v>
      </c>
      <c r="AG157" s="574">
        <v>0.24</v>
      </c>
      <c r="AH157" s="569">
        <v>0.4</v>
      </c>
      <c r="AI157" s="570">
        <v>0.56</v>
      </c>
      <c r="AJ157" s="569" t="s">
        <v>13</v>
      </c>
      <c r="AK157" s="569" t="s">
        <v>13</v>
      </c>
      <c r="AL157" s="569" t="s">
        <v>13</v>
      </c>
      <c r="AM157" s="567">
        <f>(18*2)/150</f>
        <v>0.24</v>
      </c>
      <c r="AN157" s="569">
        <f>((18*2)/225)+AM157</f>
        <v>0.4</v>
      </c>
      <c r="AO157" s="568">
        <f>(((18*2)/225)*2)+AM157</f>
        <v>0.56</v>
      </c>
      <c r="AP157" s="567" t="s">
        <v>13</v>
      </c>
      <c r="AQ157" s="567" t="s">
        <v>13</v>
      </c>
      <c r="AR157" s="568" t="s">
        <v>13</v>
      </c>
      <c r="AS157" s="567"/>
      <c r="AT157" s="567"/>
      <c r="AU157" s="568"/>
      <c r="AV157" s="567"/>
      <c r="AW157" s="567"/>
      <c r="AX157" s="568"/>
      <c r="AY157" s="567"/>
      <c r="AZ157" s="567"/>
      <c r="BA157" s="568"/>
      <c r="BB157" s="567"/>
      <c r="BC157" s="567"/>
      <c r="BD157" s="568"/>
      <c r="BE157" s="567"/>
      <c r="BF157" s="567"/>
      <c r="BG157" s="568"/>
      <c r="BH157" s="567"/>
      <c r="BI157" s="567"/>
      <c r="BJ157" s="568"/>
      <c r="BK157" s="567"/>
      <c r="BL157" s="567"/>
      <c r="BM157" s="568"/>
      <c r="BN157" s="567"/>
      <c r="BO157" s="567"/>
      <c r="BP157" s="568"/>
      <c r="BQ157" s="567"/>
      <c r="BR157" s="567"/>
      <c r="BS157" s="568"/>
      <c r="BT157" s="567"/>
      <c r="BU157" s="567"/>
      <c r="BV157" s="568"/>
      <c r="BW157" s="567"/>
      <c r="BX157" s="567"/>
      <c r="BY157" s="568"/>
      <c r="BZ157" s="567"/>
      <c r="CA157" s="567"/>
      <c r="CB157" s="567"/>
      <c r="CC157" s="583"/>
      <c r="CD157" s="555">
        <f t="shared" ref="CD157:CF157" si="789">MEDIAN(AM157,AP157,AS157,AY157,BB157,AV157,AA157,BE157,BK157,BZ157,BH157,BN157,BQ157,BT157,BW157)</f>
        <v>0.24</v>
      </c>
      <c r="CE157" s="555">
        <f t="shared" si="789"/>
        <v>0.4</v>
      </c>
      <c r="CF157" s="556">
        <f t="shared" si="789"/>
        <v>0.56</v>
      </c>
      <c r="CG157" s="555">
        <f t="shared" ref="CG157:CI157" si="790">MAX(AP157,AS157,AV157,BB157,BE157,AY157,CD157,BK157,BZ157,AA157)-MIN(AP157,AS157,AV157,BB157,BE157,AY157,CD157,BK157,BZ157,AA157)</f>
        <v>0</v>
      </c>
      <c r="CH157" s="555">
        <f t="shared" si="790"/>
        <v>0</v>
      </c>
      <c r="CI157" s="556">
        <f t="shared" si="790"/>
        <v>0</v>
      </c>
      <c r="CJ157" s="555">
        <f t="shared" ref="CJ157:CL157" si="791">STDEV(AS157,AV157,AY157,BE157,BK157,BB157,CG157,BZ157,AA157,CD157)</f>
        <v>0.13856406460551</v>
      </c>
      <c r="CK157" s="555">
        <f t="shared" si="791"/>
        <v>0.23094010767585</v>
      </c>
      <c r="CL157" s="556">
        <f t="shared" si="791"/>
        <v>0.32331615074619</v>
      </c>
      <c r="CM157" s="555">
        <f t="shared" ref="CM157:CO157" si="792">CJ157/AA157</f>
        <v>0.577350269189626</v>
      </c>
      <c r="CN157" s="555">
        <f t="shared" si="792"/>
        <v>0.577350269189626</v>
      </c>
      <c r="CO157" s="556">
        <f t="shared" si="792"/>
        <v>0.577350269189626</v>
      </c>
      <c r="CP157" s="29" t="s">
        <v>120</v>
      </c>
      <c r="CQ157" s="535">
        <f t="shared" si="622"/>
        <v>2</v>
      </c>
      <c r="CR157" s="29" t="s">
        <v>120</v>
      </c>
      <c r="CS157" s="29" t="s">
        <v>120</v>
      </c>
      <c r="CT157" s="29" t="s">
        <v>120</v>
      </c>
      <c r="CU157" s="29" t="s">
        <v>120</v>
      </c>
      <c r="CV157" s="29" t="s">
        <v>120</v>
      </c>
    </row>
    <row r="158" customHeight="1" spans="1:100">
      <c r="A158" s="29" t="s">
        <v>391</v>
      </c>
      <c r="B158" s="541" t="s">
        <v>1103</v>
      </c>
      <c r="C158" s="29" t="s">
        <v>1104</v>
      </c>
      <c r="D158" s="29" t="s">
        <v>392</v>
      </c>
      <c r="E158" s="29"/>
      <c r="F158" s="29" t="s">
        <v>1044</v>
      </c>
      <c r="G158" s="29" t="s">
        <v>1039</v>
      </c>
      <c r="H158" s="29" t="b">
        <v>1</v>
      </c>
      <c r="I158" s="29" t="b">
        <v>1</v>
      </c>
      <c r="J158" s="29" t="b">
        <v>0</v>
      </c>
      <c r="K158" s="29" t="b">
        <v>1</v>
      </c>
      <c r="L158" s="29" t="b">
        <v>0</v>
      </c>
      <c r="M158" s="29" t="b">
        <v>0</v>
      </c>
      <c r="O158" s="567"/>
      <c r="P158" s="29" t="b">
        <v>0</v>
      </c>
      <c r="Q158" s="29" t="b">
        <v>0</v>
      </c>
      <c r="R158" s="29" t="b">
        <v>0</v>
      </c>
      <c r="S158" s="29" t="b">
        <v>0</v>
      </c>
      <c r="T158" s="29" t="b">
        <f t="shared" si="0"/>
        <v>0</v>
      </c>
      <c r="U158" s="29" t="s">
        <v>998</v>
      </c>
      <c r="V158" s="29" t="s">
        <v>381</v>
      </c>
      <c r="W158" s="29">
        <v>2</v>
      </c>
      <c r="X158" s="29" t="s">
        <v>1064</v>
      </c>
      <c r="Y158" s="16" t="s">
        <v>1041</v>
      </c>
      <c r="Z158" s="29" t="s">
        <v>1052</v>
      </c>
      <c r="AA158" s="554">
        <f t="shared" ref="AA158:AC158" si="793">AVERAGE(AJ158,AM158,AP158,AV158,AY158,AS158,BZ158,BB158,BE158,BH158,BK158,BN158,BQ158,BT158)</f>
        <v>0.253571428571429</v>
      </c>
      <c r="AB158" s="555">
        <f t="shared" si="793"/>
        <v>0.356946247047929</v>
      </c>
      <c r="AC158" s="556">
        <f t="shared" si="793"/>
        <v>0.591668510177149</v>
      </c>
      <c r="AD158" s="29" t="b">
        <v>0</v>
      </c>
      <c r="AE158" s="29" t="b">
        <v>1</v>
      </c>
      <c r="AF158" s="29" t="b">
        <v>0</v>
      </c>
      <c r="AG158" s="574">
        <v>0.25</v>
      </c>
      <c r="AH158" s="569">
        <v>0.36</v>
      </c>
      <c r="AI158" s="570">
        <v>0.59</v>
      </c>
      <c r="AJ158" s="569" t="s">
        <v>13</v>
      </c>
      <c r="AK158" s="569">
        <v>0.25</v>
      </c>
      <c r="AL158" s="570" t="s">
        <v>13</v>
      </c>
      <c r="AM158" s="567">
        <f>AM156/2</f>
        <v>0.257142857142857</v>
      </c>
      <c r="AN158" s="567">
        <f t="shared" ref="AN158:AO158" si="794">(110/18)/(6.11*6.11)+AM158</f>
        <v>0.420838741143787</v>
      </c>
      <c r="AO158" s="568">
        <f t="shared" si="794"/>
        <v>0.584534625144717</v>
      </c>
      <c r="AP158" s="569">
        <f>4/16</f>
        <v>0.25</v>
      </c>
      <c r="AQ158" s="567">
        <f>2.5/(2.5*2.5)</f>
        <v>0.4</v>
      </c>
      <c r="AR158" s="570">
        <f>1.67/(1.67*1.67)</f>
        <v>0.598802395209581</v>
      </c>
      <c r="AS158" s="567"/>
      <c r="AT158" s="567"/>
      <c r="AU158" s="568"/>
      <c r="AV158" s="567"/>
      <c r="AW158" s="567"/>
      <c r="AX158" s="568"/>
      <c r="AY158" s="567"/>
      <c r="BA158" s="568"/>
      <c r="BB158" s="567"/>
      <c r="BD158" s="568"/>
      <c r="BE158" s="567"/>
      <c r="BG158" s="568"/>
      <c r="BH158" s="567"/>
      <c r="BJ158" s="568"/>
      <c r="BK158" s="567"/>
      <c r="BM158" s="568"/>
      <c r="BN158" s="567"/>
      <c r="BP158" s="568"/>
      <c r="BQ158" s="567"/>
      <c r="BS158" s="568"/>
      <c r="BT158" s="567"/>
      <c r="BV158" s="568"/>
      <c r="BW158" s="567"/>
      <c r="BY158" s="568"/>
      <c r="BZ158" s="567"/>
      <c r="CA158" s="567"/>
      <c r="CB158" s="567"/>
      <c r="CC158" s="583"/>
      <c r="CD158" s="555">
        <f t="shared" ref="CD158:CF158" si="795">MEDIAN(AM158,AP158,AS158,AY158,BB158,AV158,AA158,BE158,BK158,BZ158,BH158,BN158,BQ158,BT158,BW158)</f>
        <v>0.253571428571429</v>
      </c>
      <c r="CE158" s="555">
        <f t="shared" si="795"/>
        <v>0.4</v>
      </c>
      <c r="CF158" s="556">
        <f t="shared" si="795"/>
        <v>0.591668510177149</v>
      </c>
      <c r="CG158" s="555">
        <f t="shared" ref="CG158:CI158" si="796">MAX(AP158,AS158,AV158,BB158,BE158,AY158,CD158,BK158,BZ158,AA158)-MIN(AP158,AS158,AV158,BB158,BE158,AY158,CD158,BK158,BZ158,AA158)</f>
        <v>0.00357142857142856</v>
      </c>
      <c r="CH158" s="555">
        <f t="shared" si="796"/>
        <v>0.043053752952071</v>
      </c>
      <c r="CI158" s="556">
        <f t="shared" si="796"/>
        <v>0.00713388503243195</v>
      </c>
      <c r="CJ158" s="555">
        <f t="shared" ref="CJ158:CL158" si="797">STDEV(AS158,AV158,AY158,BE158,BK158,BB158,CG158,BZ158,AA158,CD158)</f>
        <v>0.144337567297406</v>
      </c>
      <c r="CK158" s="555">
        <f t="shared" si="797"/>
        <v>0.194847267868356</v>
      </c>
      <c r="CL158" s="556">
        <f t="shared" si="797"/>
        <v>0.337481223177959</v>
      </c>
      <c r="CM158" s="555">
        <f t="shared" ref="CM158:CO158" si="798">CJ158/AA158</f>
        <v>0.569218575257378</v>
      </c>
      <c r="CN158" s="555">
        <f t="shared" si="798"/>
        <v>0.545872857551554</v>
      </c>
      <c r="CO158" s="556">
        <f t="shared" si="798"/>
        <v>0.570389022523635</v>
      </c>
      <c r="CP158" s="29" t="s">
        <v>120</v>
      </c>
      <c r="CQ158" s="535">
        <f t="shared" si="622"/>
        <v>2</v>
      </c>
      <c r="CR158" s="29" t="s">
        <v>120</v>
      </c>
      <c r="CS158" s="29" t="s">
        <v>120</v>
      </c>
      <c r="CT158" s="29" t="s">
        <v>120</v>
      </c>
      <c r="CU158" s="29" t="s">
        <v>120</v>
      </c>
      <c r="CV158" s="29" t="s">
        <v>120</v>
      </c>
    </row>
    <row r="159" customHeight="1" spans="1:100">
      <c r="A159" s="29" t="s">
        <v>393</v>
      </c>
      <c r="B159" s="541" t="s">
        <v>1103</v>
      </c>
      <c r="C159" s="29" t="s">
        <v>1104</v>
      </c>
      <c r="D159" s="29" t="s">
        <v>394</v>
      </c>
      <c r="E159" s="29"/>
      <c r="F159" s="29" t="s">
        <v>1044</v>
      </c>
      <c r="G159" s="29" t="s">
        <v>1039</v>
      </c>
      <c r="H159" s="29" t="b">
        <v>1</v>
      </c>
      <c r="I159" s="29" t="b">
        <v>1</v>
      </c>
      <c r="J159" s="29" t="b">
        <v>0</v>
      </c>
      <c r="K159" s="29" t="b">
        <v>1</v>
      </c>
      <c r="L159" s="29" t="b">
        <v>0</v>
      </c>
      <c r="M159" s="29" t="b">
        <v>0</v>
      </c>
      <c r="O159" s="567"/>
      <c r="P159" s="29" t="b">
        <v>0</v>
      </c>
      <c r="Q159" s="29" t="b">
        <v>0</v>
      </c>
      <c r="R159" s="29" t="b">
        <v>0</v>
      </c>
      <c r="S159" s="29" t="b">
        <v>0</v>
      </c>
      <c r="T159" s="29" t="b">
        <f t="shared" si="0"/>
        <v>0</v>
      </c>
      <c r="U159" s="29" t="s">
        <v>999</v>
      </c>
      <c r="V159" s="29" t="s">
        <v>129</v>
      </c>
      <c r="W159" s="29">
        <v>2</v>
      </c>
      <c r="X159" s="29" t="s">
        <v>1064</v>
      </c>
      <c r="Y159" s="16" t="s">
        <v>1041</v>
      </c>
      <c r="Z159" s="29" t="s">
        <v>1052</v>
      </c>
      <c r="AA159" s="554">
        <f t="shared" ref="AA159:AC159" si="799">AVERAGE(AJ159,AM159,AP159,AV159,AY159,AS159,BZ159,BB159,BE159,BH159,BK159,BN159,BQ159,BT159)</f>
        <v>0.12</v>
      </c>
      <c r="AB159" s="555">
        <f t="shared" si="799"/>
        <v>0.2</v>
      </c>
      <c r="AC159" s="556">
        <f t="shared" si="799"/>
        <v>0.28</v>
      </c>
      <c r="AD159" s="29" t="b">
        <v>0</v>
      </c>
      <c r="AE159" s="29" t="b">
        <v>1</v>
      </c>
      <c r="AF159" s="29" t="b">
        <v>0</v>
      </c>
      <c r="AG159" s="566">
        <f>(150/18)/((150/18)*(150/18))</f>
        <v>0.12</v>
      </c>
      <c r="AH159" s="567">
        <f>(225/18)/((225/18)*(225/18))+AG159</f>
        <v>0.2</v>
      </c>
      <c r="AI159" s="570">
        <v>0.3</v>
      </c>
      <c r="AJ159" s="569" t="s">
        <v>13</v>
      </c>
      <c r="AK159" s="569" t="s">
        <v>13</v>
      </c>
      <c r="AL159" s="570" t="s">
        <v>13</v>
      </c>
      <c r="AM159" s="567">
        <f>(150/18)/((150/18)*(150/18))</f>
        <v>0.12</v>
      </c>
      <c r="AN159" s="567">
        <f>(225/18)/((225/18)*(225/18))+AM159</f>
        <v>0.2</v>
      </c>
      <c r="AO159" s="568">
        <f>AO157/2</f>
        <v>0.28</v>
      </c>
      <c r="AP159" s="569" t="s">
        <v>13</v>
      </c>
      <c r="AQ159" s="569" t="s">
        <v>13</v>
      </c>
      <c r="AR159" s="570" t="s">
        <v>13</v>
      </c>
      <c r="AS159" s="567"/>
      <c r="AT159" s="567"/>
      <c r="AU159" s="568"/>
      <c r="AV159" s="567"/>
      <c r="AW159" s="567"/>
      <c r="AX159" s="568"/>
      <c r="AY159" s="567"/>
      <c r="BA159" s="568"/>
      <c r="BB159" s="567"/>
      <c r="BD159" s="568"/>
      <c r="BE159" s="567"/>
      <c r="BG159" s="568"/>
      <c r="BH159" s="567"/>
      <c r="BJ159" s="568"/>
      <c r="BK159" s="567"/>
      <c r="BM159" s="568"/>
      <c r="BN159" s="567"/>
      <c r="BP159" s="568"/>
      <c r="BQ159" s="567"/>
      <c r="BS159" s="568"/>
      <c r="BT159" s="567"/>
      <c r="BV159" s="568"/>
      <c r="BW159" s="567"/>
      <c r="BY159" s="568"/>
      <c r="BZ159" s="567"/>
      <c r="CA159" s="567"/>
      <c r="CB159" s="567"/>
      <c r="CC159" s="583"/>
      <c r="CD159" s="555">
        <f t="shared" ref="CD159:CF159" si="800">MEDIAN(AM159,AP159,AS159,AY159,BB159,AV159,AA159,BE159,BK159,BZ159,BH159,BN159,BQ159,BT159,BW159)</f>
        <v>0.12</v>
      </c>
      <c r="CE159" s="555">
        <f t="shared" si="800"/>
        <v>0.2</v>
      </c>
      <c r="CF159" s="556">
        <f t="shared" si="800"/>
        <v>0.28</v>
      </c>
      <c r="CG159" s="555">
        <f t="shared" ref="CG159:CI159" si="801">MAX(AP159,AS159,AV159,BB159,BE159,AY159,CD159,BK159,BZ159,AA159)-MIN(AP159,AS159,AV159,BB159,BE159,AY159,CD159,BK159,BZ159,AA159)</f>
        <v>0</v>
      </c>
      <c r="CH159" s="555">
        <f t="shared" si="801"/>
        <v>0</v>
      </c>
      <c r="CI159" s="556">
        <f t="shared" si="801"/>
        <v>0</v>
      </c>
      <c r="CJ159" s="555">
        <f t="shared" ref="CJ159:CL159" si="802">STDEV(AS159,AV159,AY159,BE159,BK159,BB159,CG159,BZ159,AA159,CD159)</f>
        <v>0.0692820323027551</v>
      </c>
      <c r="CK159" s="555">
        <f t="shared" si="802"/>
        <v>0.115470053837925</v>
      </c>
      <c r="CL159" s="556">
        <f t="shared" si="802"/>
        <v>0.161658075373095</v>
      </c>
      <c r="CM159" s="555">
        <f t="shared" ref="CM159:CO159" si="803">CJ159/AA159</f>
        <v>0.577350269189626</v>
      </c>
      <c r="CN159" s="555">
        <f t="shared" si="803"/>
        <v>0.577350269189626</v>
      </c>
      <c r="CO159" s="556">
        <f t="shared" si="803"/>
        <v>0.577350269189626</v>
      </c>
      <c r="CP159" s="29" t="s">
        <v>120</v>
      </c>
      <c r="CQ159" s="535">
        <f t="shared" si="622"/>
        <v>2</v>
      </c>
      <c r="CR159" s="29" t="s">
        <v>120</v>
      </c>
      <c r="CS159" s="29" t="s">
        <v>120</v>
      </c>
      <c r="CT159" s="29" t="s">
        <v>120</v>
      </c>
      <c r="CU159" s="29" t="s">
        <v>120</v>
      </c>
      <c r="CV159" s="29" t="s">
        <v>120</v>
      </c>
    </row>
    <row r="160" customHeight="1" spans="1:100">
      <c r="A160" s="29" t="s">
        <v>395</v>
      </c>
      <c r="B160" s="541" t="s">
        <v>1105</v>
      </c>
      <c r="C160" s="29" t="s">
        <v>1104</v>
      </c>
      <c r="D160" s="29" t="s">
        <v>396</v>
      </c>
      <c r="E160" s="29"/>
      <c r="F160" s="29" t="s">
        <v>1044</v>
      </c>
      <c r="G160" s="29" t="s">
        <v>1039</v>
      </c>
      <c r="H160" s="29" t="b">
        <v>1</v>
      </c>
      <c r="I160" s="29" t="b">
        <v>1</v>
      </c>
      <c r="J160" s="29" t="b">
        <v>0</v>
      </c>
      <c r="K160" s="29" t="b">
        <v>0</v>
      </c>
      <c r="L160" s="29" t="b">
        <v>1</v>
      </c>
      <c r="M160" s="29" t="b">
        <v>1</v>
      </c>
      <c r="O160" s="569">
        <v>0.15</v>
      </c>
      <c r="P160" s="29" t="b">
        <v>1</v>
      </c>
      <c r="Q160" s="29" t="b">
        <v>1</v>
      </c>
      <c r="R160" s="29" t="b">
        <v>1</v>
      </c>
      <c r="S160" s="29" t="b">
        <v>1</v>
      </c>
      <c r="T160" s="29" t="b">
        <f t="shared" si="0"/>
        <v>1</v>
      </c>
      <c r="U160" s="29" t="s">
        <v>997</v>
      </c>
      <c r="V160" s="29" t="s">
        <v>124</v>
      </c>
      <c r="W160" s="29">
        <v>2</v>
      </c>
      <c r="X160" s="29" t="s">
        <v>1064</v>
      </c>
      <c r="Y160" s="16" t="s">
        <v>1041</v>
      </c>
      <c r="Z160" s="29" t="s">
        <v>1052</v>
      </c>
      <c r="AA160" s="554">
        <f t="shared" ref="AA160:AC160" si="804">AVERAGE(AJ160,AM160,AP160,AV160,AY160,AS160,BZ160,BB160,BE160,BH160,BK160,BN160,BQ160,BT160)</f>
        <v>0.490833333333333</v>
      </c>
      <c r="AB160" s="555">
        <f t="shared" si="804"/>
        <v>0.590833333333333</v>
      </c>
      <c r="AC160" s="556">
        <f t="shared" si="804"/>
        <v>0.79375</v>
      </c>
      <c r="AD160" s="29" t="b">
        <v>1</v>
      </c>
      <c r="AE160" s="29" t="b">
        <v>0</v>
      </c>
      <c r="AF160" s="29" t="b">
        <v>0</v>
      </c>
      <c r="AG160" s="574">
        <f>20/60</f>
        <v>0.333333333333333</v>
      </c>
      <c r="AH160" s="574">
        <f>25/60</f>
        <v>0.416666666666667</v>
      </c>
      <c r="AI160" s="566">
        <f>31.25/60</f>
        <v>0.520833333333333</v>
      </c>
      <c r="AJ160" s="569" t="s">
        <v>13</v>
      </c>
      <c r="AK160" s="569"/>
      <c r="AL160" s="570" t="s">
        <v>13</v>
      </c>
      <c r="AM160" s="567">
        <f>(32*2)/150</f>
        <v>0.426666666666667</v>
      </c>
      <c r="AN160" s="567">
        <f>((32*2)/200)+AM160</f>
        <v>0.746666666666667</v>
      </c>
      <c r="AO160" s="568">
        <f>(((32*2)/200)*2)+AM160</f>
        <v>1.06666666666667</v>
      </c>
      <c r="AP160" s="569">
        <f>20/60</f>
        <v>0.333333333333333</v>
      </c>
      <c r="AQ160" s="569">
        <f>25/60</f>
        <v>0.416666666666667</v>
      </c>
      <c r="AR160" s="568">
        <f>31.25/60</f>
        <v>0.520833333333333</v>
      </c>
      <c r="AS160" s="569" t="s">
        <v>13</v>
      </c>
      <c r="AT160" s="569" t="s">
        <v>13</v>
      </c>
      <c r="AU160" s="570" t="s">
        <v>13</v>
      </c>
      <c r="AV160" s="569" t="s">
        <v>13</v>
      </c>
      <c r="AW160" s="569">
        <v>0.7</v>
      </c>
      <c r="AX160" s="570" t="s">
        <v>13</v>
      </c>
      <c r="AY160" s="569" t="s">
        <v>13</v>
      </c>
      <c r="AZ160" s="29">
        <v>0.5</v>
      </c>
      <c r="BA160" s="570" t="s">
        <v>13</v>
      </c>
      <c r="BB160" s="569" t="s">
        <v>13</v>
      </c>
      <c r="BC160" s="29" t="s">
        <v>13</v>
      </c>
      <c r="BD160" s="570" t="s">
        <v>13</v>
      </c>
      <c r="BE160" s="569" t="s">
        <v>13</v>
      </c>
      <c r="BF160" s="29" t="s">
        <v>13</v>
      </c>
      <c r="BG160" s="570" t="s">
        <v>13</v>
      </c>
      <c r="BH160" s="567">
        <f>7.5/60</f>
        <v>0.125</v>
      </c>
      <c r="BI160" s="29" t="s">
        <v>13</v>
      </c>
      <c r="BJ160" s="570" t="s">
        <v>13</v>
      </c>
      <c r="BK160" s="567">
        <f>7.5/60</f>
        <v>0.125</v>
      </c>
      <c r="BL160" s="29" t="s">
        <v>13</v>
      </c>
      <c r="BM160" s="570" t="s">
        <v>13</v>
      </c>
      <c r="BN160" s="567">
        <f>40/60</f>
        <v>0.666666666666667</v>
      </c>
      <c r="BO160" s="29" t="s">
        <v>13</v>
      </c>
      <c r="BP160" s="570" t="s">
        <v>13</v>
      </c>
      <c r="BQ160" s="567">
        <f>15/60</f>
        <v>0.25</v>
      </c>
      <c r="BR160" s="29" t="s">
        <v>13</v>
      </c>
      <c r="BS160" s="570" t="s">
        <v>13</v>
      </c>
      <c r="BT160" s="567">
        <f>30/60</f>
        <v>0.5</v>
      </c>
      <c r="BU160" s="29" t="s">
        <v>13</v>
      </c>
      <c r="BV160" s="570" t="s">
        <v>13</v>
      </c>
      <c r="BW160" s="567">
        <f>13/60</f>
        <v>0.216666666666667</v>
      </c>
      <c r="BX160" s="29" t="s">
        <v>13</v>
      </c>
      <c r="BY160" s="570" t="s">
        <v>13</v>
      </c>
      <c r="BZ160" s="567">
        <f>90/60</f>
        <v>1.5</v>
      </c>
      <c r="CA160" s="569" t="s">
        <v>13</v>
      </c>
      <c r="CB160" s="569" t="s">
        <v>13</v>
      </c>
      <c r="CC160" s="583">
        <v>45340</v>
      </c>
      <c r="CD160" s="555">
        <f t="shared" ref="CD160:CF160" si="805">MEDIAN(AM160,AP160,AS160,AY160,BB160,AV160,AA160,BE160,BK160,BZ160,BH160,BN160,BQ160,BT160,BW160)</f>
        <v>0.38</v>
      </c>
      <c r="CE160" s="555">
        <f t="shared" si="805"/>
        <v>0.590833333333333</v>
      </c>
      <c r="CF160" s="556">
        <f t="shared" si="805"/>
        <v>0.79375</v>
      </c>
      <c r="CG160" s="555">
        <f t="shared" ref="CG160:CI160" si="806">MAX(AP160,AS160,AV160,BB160,BE160,AY160,CD160,BK160,BZ160,AA160)-MIN(AP160,AS160,AV160,BB160,BE160,AY160,CD160,BK160,BZ160,AA160)</f>
        <v>1.375</v>
      </c>
      <c r="CH160" s="555">
        <f t="shared" si="806"/>
        <v>0.283333333333333</v>
      </c>
      <c r="CI160" s="556">
        <f t="shared" si="806"/>
        <v>0.272916666666667</v>
      </c>
      <c r="CJ160" s="555">
        <f t="shared" ref="CJ160:CL160" si="807">STDEV(AS160,AV160,AY160,BE160,BK160,BB160,CG160,BZ160,AA160,CD160)</f>
        <v>0.621469472746293</v>
      </c>
      <c r="CK160" s="555">
        <f t="shared" si="807"/>
        <v>0.156525423919992</v>
      </c>
      <c r="CL160" s="556">
        <f t="shared" si="807"/>
        <v>0.30070326520293</v>
      </c>
      <c r="CM160" s="555">
        <f t="shared" ref="CM160:CO160" si="808">CJ160/AA160</f>
        <v>1.26615172715713</v>
      </c>
      <c r="CN160" s="555">
        <f t="shared" si="808"/>
        <v>0.264923143447096</v>
      </c>
      <c r="CO160" s="556">
        <f t="shared" si="808"/>
        <v>0.378838759310778</v>
      </c>
      <c r="CP160" s="29" t="s">
        <v>120</v>
      </c>
      <c r="CQ160" s="535">
        <f t="shared" si="622"/>
        <v>2</v>
      </c>
      <c r="CR160" s="29" t="s">
        <v>120</v>
      </c>
      <c r="CS160" s="29" t="s">
        <v>120</v>
      </c>
      <c r="CT160" s="29" t="s">
        <v>120</v>
      </c>
      <c r="CU160" s="29" t="s">
        <v>120</v>
      </c>
      <c r="CV160" s="29" t="s">
        <v>120</v>
      </c>
    </row>
    <row r="161" customHeight="1" spans="1:100">
      <c r="A161" s="29" t="s">
        <v>397</v>
      </c>
      <c r="B161" s="541" t="s">
        <v>1106</v>
      </c>
      <c r="C161" s="29" t="s">
        <v>1104</v>
      </c>
      <c r="D161" s="29" t="s">
        <v>398</v>
      </c>
      <c r="E161" s="29"/>
      <c r="F161" s="29" t="s">
        <v>1044</v>
      </c>
      <c r="G161" s="29" t="s">
        <v>1039</v>
      </c>
      <c r="H161" s="29" t="b">
        <v>1</v>
      </c>
      <c r="I161" s="29" t="b">
        <v>1</v>
      </c>
      <c r="J161" s="29" t="b">
        <v>0</v>
      </c>
      <c r="K161" s="29" t="b">
        <v>0</v>
      </c>
      <c r="L161" s="29" t="b">
        <v>1</v>
      </c>
      <c r="M161" s="29" t="b">
        <v>1</v>
      </c>
      <c r="O161" s="594">
        <f>O160+O156</f>
        <v>0.2</v>
      </c>
      <c r="P161" s="29" t="b">
        <v>1</v>
      </c>
      <c r="Q161" s="29" t="b">
        <v>1</v>
      </c>
      <c r="R161" s="29" t="b">
        <v>1</v>
      </c>
      <c r="S161" s="29" t="b">
        <v>1</v>
      </c>
      <c r="T161" s="29" t="b">
        <f t="shared" si="0"/>
        <v>1</v>
      </c>
      <c r="U161" s="29" t="s">
        <v>997</v>
      </c>
      <c r="V161" s="29" t="s">
        <v>226</v>
      </c>
      <c r="W161" s="29">
        <v>2</v>
      </c>
      <c r="X161" s="29" t="s">
        <v>1064</v>
      </c>
      <c r="Y161" s="16" t="s">
        <v>1041</v>
      </c>
      <c r="Z161" s="29" t="s">
        <v>1052</v>
      </c>
      <c r="AA161" s="554">
        <f t="shared" ref="AA161:AC161" si="809">AVERAGE(AJ161,AM161,AP161,AV161,AY161,AS161,BZ161,BB161,BE161,BH161,BK161,BN161,BQ161,BT161)</f>
        <v>0.793945578231292</v>
      </c>
      <c r="AB161" s="555">
        <f t="shared" si="809"/>
        <v>1.02431168831169</v>
      </c>
      <c r="AC161" s="556">
        <f t="shared" si="809"/>
        <v>1.63858225108225</v>
      </c>
      <c r="AD161" s="29" t="b">
        <v>1</v>
      </c>
      <c r="AE161" s="29" t="b">
        <v>0</v>
      </c>
      <c r="AF161" s="29" t="b">
        <v>0</v>
      </c>
      <c r="AG161" s="554">
        <v>0.75</v>
      </c>
      <c r="AH161" s="555">
        <v>1</v>
      </c>
      <c r="AI161" s="596">
        <v>1.25</v>
      </c>
      <c r="AJ161" s="555"/>
      <c r="AK161" s="555">
        <f>AK160+AK156</f>
        <v>0.5</v>
      </c>
      <c r="AL161" s="596"/>
      <c r="AM161" s="555">
        <f t="shared" ref="AM161:AR161" si="810">AM160+AM156</f>
        <v>0.940952380952381</v>
      </c>
      <c r="AN161" s="555">
        <f t="shared" si="810"/>
        <v>1.58822510822511</v>
      </c>
      <c r="AO161" s="596">
        <f t="shared" si="810"/>
        <v>2.23549783549784</v>
      </c>
      <c r="AP161" s="555">
        <f t="shared" si="810"/>
        <v>0.666666666666667</v>
      </c>
      <c r="AQ161" s="555">
        <f t="shared" si="810"/>
        <v>0.833333333333333</v>
      </c>
      <c r="AR161" s="596">
        <f t="shared" si="810"/>
        <v>1.04166666666667</v>
      </c>
      <c r="AS161" s="555"/>
      <c r="AT161" s="555"/>
      <c r="AU161" s="596"/>
      <c r="AV161" s="555"/>
      <c r="AW161" s="555">
        <f>AW160+AW156</f>
        <v>1.2</v>
      </c>
      <c r="AX161" s="596"/>
      <c r="AY161" s="555"/>
      <c r="AZ161" s="555">
        <f>AZ160+AZ156</f>
        <v>1</v>
      </c>
      <c r="BA161" s="596"/>
      <c r="BB161" s="555"/>
      <c r="BC161" s="555"/>
      <c r="BD161" s="596"/>
      <c r="BE161" s="555"/>
      <c r="BF161" s="555"/>
      <c r="BG161" s="596"/>
      <c r="BH161" s="555">
        <f>BH160+BH156</f>
        <v>0.375</v>
      </c>
      <c r="BI161" s="555"/>
      <c r="BJ161" s="596"/>
      <c r="BK161" s="555">
        <f>BK160+BK156</f>
        <v>0.325</v>
      </c>
      <c r="BL161" s="555"/>
      <c r="BM161" s="596"/>
      <c r="BN161" s="555">
        <f>BN160+BN156</f>
        <v>1.66666666666667</v>
      </c>
      <c r="BO161" s="555"/>
      <c r="BP161" s="596"/>
      <c r="BQ161" s="555">
        <f>BQ160+BQ156</f>
        <v>0.583333333333333</v>
      </c>
      <c r="BR161" s="555"/>
      <c r="BS161" s="596"/>
      <c r="BT161" s="555">
        <f>BT160+BT156</f>
        <v>1</v>
      </c>
      <c r="BU161" s="555"/>
      <c r="BV161" s="596"/>
      <c r="BW161" s="555">
        <f>BW160+BW156</f>
        <v>0.529166666666667</v>
      </c>
      <c r="BX161" s="555"/>
      <c r="BY161" s="596"/>
      <c r="BZ161" s="555"/>
      <c r="CA161" s="555"/>
      <c r="CB161" s="555"/>
      <c r="CC161" s="583">
        <v>45340</v>
      </c>
      <c r="CD161" s="555">
        <f t="shared" ref="CD161:CF161" si="811">MEDIAN(AM161,AP161,AS161,AY161,BB161,AV161,AA161,BE161,BK161,BZ161,BH161,BN161,BQ161,BT161,BW161)</f>
        <v>0.666666666666667</v>
      </c>
      <c r="CE161" s="555">
        <f t="shared" si="811"/>
        <v>1.02431168831169</v>
      </c>
      <c r="CF161" s="556">
        <f t="shared" si="811"/>
        <v>1.63858225108225</v>
      </c>
      <c r="CG161" s="555">
        <f t="shared" ref="CG161:CI161" si="812">MAX(AP161,AS161,AV161,BB161,BE161,AY161,CD161,BK161,BZ161,AA161)-MIN(AP161,AS161,AV161,BB161,BE161,AY161,CD161,BK161,BZ161,AA161)</f>
        <v>0.468945578231292</v>
      </c>
      <c r="CH161" s="555">
        <f t="shared" si="812"/>
        <v>0.366666666666667</v>
      </c>
      <c r="CI161" s="556">
        <f t="shared" si="812"/>
        <v>0.596915584415585</v>
      </c>
      <c r="CJ161" s="555">
        <f t="shared" ref="CJ161:CL161" si="813">STDEV(AS161,AV161,AY161,BE161,BK161,BB161,CG161,BZ161,AA161,CD161)</f>
        <v>0.207823030903555</v>
      </c>
      <c r="CK161" s="555">
        <f t="shared" si="813"/>
        <v>0.321205883091315</v>
      </c>
      <c r="CL161" s="556">
        <f t="shared" si="813"/>
        <v>0.60140653040586</v>
      </c>
      <c r="CM161" s="555">
        <f t="shared" ref="CM161:CO161" si="814">CJ161/AA161</f>
        <v>0.261759793872184</v>
      </c>
      <c r="CN161" s="555">
        <f t="shared" si="814"/>
        <v>0.313582171087727</v>
      </c>
      <c r="CO161" s="556">
        <f t="shared" si="814"/>
        <v>0.367028588286394</v>
      </c>
      <c r="CP161" s="29" t="s">
        <v>120</v>
      </c>
      <c r="CQ161" s="535">
        <f t="shared" si="622"/>
        <v>2</v>
      </c>
      <c r="CR161" s="29" t="s">
        <v>120</v>
      </c>
      <c r="CS161" s="29" t="s">
        <v>120</v>
      </c>
      <c r="CT161" s="29" t="s">
        <v>120</v>
      </c>
      <c r="CU161" s="29" t="s">
        <v>120</v>
      </c>
      <c r="CV161" s="29" t="s">
        <v>120</v>
      </c>
    </row>
    <row r="162" customHeight="1" spans="1:100">
      <c r="A162" s="29" t="s">
        <v>399</v>
      </c>
      <c r="B162" s="541" t="s">
        <v>1105</v>
      </c>
      <c r="C162" s="29" t="s">
        <v>1104</v>
      </c>
      <c r="D162" s="29" t="s">
        <v>400</v>
      </c>
      <c r="E162" s="29"/>
      <c r="F162" s="29" t="s">
        <v>1044</v>
      </c>
      <c r="G162" s="29" t="s">
        <v>1039</v>
      </c>
      <c r="H162" s="29" t="b">
        <v>1</v>
      </c>
      <c r="I162" s="29" t="b">
        <v>1</v>
      </c>
      <c r="J162" s="29" t="b">
        <v>0</v>
      </c>
      <c r="K162" s="29" t="b">
        <v>0</v>
      </c>
      <c r="L162" s="29" t="b">
        <v>1</v>
      </c>
      <c r="M162" s="29" t="b">
        <v>1</v>
      </c>
      <c r="O162" s="569">
        <v>0.29</v>
      </c>
      <c r="P162" s="29" t="b">
        <v>1</v>
      </c>
      <c r="Q162" s="29" t="b">
        <v>1</v>
      </c>
      <c r="R162" s="29" t="b">
        <v>1</v>
      </c>
      <c r="S162" s="29" t="b">
        <v>1</v>
      </c>
      <c r="T162" s="29" t="b">
        <f t="shared" si="0"/>
        <v>0</v>
      </c>
      <c r="U162" s="29" t="s">
        <v>997</v>
      </c>
      <c r="V162" s="29" t="s">
        <v>226</v>
      </c>
      <c r="W162" s="29">
        <v>2</v>
      </c>
      <c r="X162" s="29" t="s">
        <v>1064</v>
      </c>
      <c r="Y162" s="16" t="s">
        <v>1041</v>
      </c>
      <c r="Z162" s="29" t="s">
        <v>1052</v>
      </c>
      <c r="AA162" s="554">
        <f t="shared" ref="AA162:AC162" si="815">AVERAGE(AJ162,AM162,AP162,AV162,AY162,AS162,BZ162,BB162,BE162,BH162,BK162,BN162,BQ162,BT162)</f>
        <v>0.605555555555556</v>
      </c>
      <c r="AB162" s="555">
        <f t="shared" si="815"/>
        <v>0.934163473818646</v>
      </c>
      <c r="AC162" s="556">
        <f t="shared" si="815"/>
        <v>1.29693486590038</v>
      </c>
      <c r="AD162" s="29" t="b">
        <v>0</v>
      </c>
      <c r="AE162" s="29" t="b">
        <v>1</v>
      </c>
      <c r="AF162" s="29" t="b">
        <v>1</v>
      </c>
      <c r="AG162" s="574">
        <v>0.69</v>
      </c>
      <c r="AH162" s="569">
        <v>1</v>
      </c>
      <c r="AI162" s="570">
        <v>1.6</v>
      </c>
      <c r="AJ162" s="569" t="s">
        <v>13</v>
      </c>
      <c r="AK162" s="569">
        <v>1</v>
      </c>
      <c r="AL162" s="570" t="s">
        <v>13</v>
      </c>
      <c r="AM162" s="567">
        <f>(32*2)/((70+110)/2)</f>
        <v>0.711111111111111</v>
      </c>
      <c r="AN162" s="567">
        <f>((32*2)/((110+180)/2)+AM162)</f>
        <v>1.15249042145594</v>
      </c>
      <c r="AO162" s="570">
        <f>((32*2)/(((110+180)/2))*2+AM162)</f>
        <v>1.59386973180077</v>
      </c>
      <c r="AP162" s="569">
        <v>0.5</v>
      </c>
      <c r="AQ162" s="569">
        <v>0.65</v>
      </c>
      <c r="AR162" s="570">
        <v>1</v>
      </c>
      <c r="AS162" s="567"/>
      <c r="AT162" s="567"/>
      <c r="AU162" s="568"/>
      <c r="AV162" s="567"/>
      <c r="AW162" s="567"/>
      <c r="AX162" s="568"/>
      <c r="AY162" s="567"/>
      <c r="BA162" s="568"/>
      <c r="BB162" s="567"/>
      <c r="BD162" s="568"/>
      <c r="BE162" s="567"/>
      <c r="BG162" s="568"/>
      <c r="BH162" s="567"/>
      <c r="BJ162" s="568"/>
      <c r="BK162" s="567"/>
      <c r="BM162" s="568"/>
      <c r="BN162" s="567"/>
      <c r="BP162" s="568"/>
      <c r="BQ162" s="567"/>
      <c r="BS162" s="568"/>
      <c r="BT162" s="567"/>
      <c r="BV162" s="568"/>
      <c r="BW162" s="567"/>
      <c r="BY162" s="568"/>
      <c r="BZ162" s="567"/>
      <c r="CA162" s="569"/>
      <c r="CB162" s="567"/>
      <c r="CC162" s="583"/>
      <c r="CD162" s="555">
        <f t="shared" ref="CD162:CF162" si="816">MEDIAN(AM162,AP162,AS162,AY162,BB162,AV162,AA162,BE162,BK162,BZ162,BH162,BN162,BQ162,BT162,BW162)</f>
        <v>0.605555555555556</v>
      </c>
      <c r="CE162" s="555">
        <f t="shared" si="816"/>
        <v>0.934163473818646</v>
      </c>
      <c r="CF162" s="556">
        <f t="shared" si="816"/>
        <v>1.29693486590038</v>
      </c>
      <c r="CG162" s="555">
        <f t="shared" ref="CG162:CI162" si="817">MAX(AP162,AS162,AV162,BB162,BE162,AY162,CD162,BK162,BZ162,AA162)-MIN(AP162,AS162,AV162,BB162,BE162,AY162,CD162,BK162,BZ162,AA162)</f>
        <v>0.105555555555556</v>
      </c>
      <c r="CH162" s="555">
        <f t="shared" si="817"/>
        <v>0.284163473818646</v>
      </c>
      <c r="CI162" s="556">
        <f t="shared" si="817"/>
        <v>0.296934865900383</v>
      </c>
      <c r="CJ162" s="555">
        <f t="shared" ref="CJ162:CL162" si="818">STDEV(AS162,AV162,AY162,BE162,BK162,BB162,CG162,BZ162,AA162,CD162)</f>
        <v>0.288675134594813</v>
      </c>
      <c r="CK162" s="555">
        <f t="shared" si="818"/>
        <v>0.375277674973257</v>
      </c>
      <c r="CL162" s="556">
        <f t="shared" si="818"/>
        <v>0.577350269189626</v>
      </c>
      <c r="CM162" s="555">
        <f t="shared" ref="CM162:CO162" si="819">CJ162/AA162</f>
        <v>0.476711231440975</v>
      </c>
      <c r="CN162" s="555">
        <f t="shared" si="819"/>
        <v>0.401725913601832</v>
      </c>
      <c r="CO162" s="556">
        <f t="shared" si="819"/>
        <v>0.445165200172799</v>
      </c>
      <c r="CP162" s="29" t="s">
        <v>120</v>
      </c>
      <c r="CQ162" s="535">
        <f t="shared" si="622"/>
        <v>2</v>
      </c>
      <c r="CR162" s="29" t="s">
        <v>120</v>
      </c>
      <c r="CS162" s="29" t="s">
        <v>120</v>
      </c>
      <c r="CT162" s="29" t="s">
        <v>120</v>
      </c>
      <c r="CU162" s="29" t="s">
        <v>120</v>
      </c>
      <c r="CV162" s="29" t="s">
        <v>120</v>
      </c>
    </row>
    <row r="163" customHeight="1" spans="1:100">
      <c r="A163" s="29" t="s">
        <v>401</v>
      </c>
      <c r="B163" s="541" t="s">
        <v>1106</v>
      </c>
      <c r="C163" s="29" t="s">
        <v>1104</v>
      </c>
      <c r="D163" s="29" t="s">
        <v>402</v>
      </c>
      <c r="E163" s="29"/>
      <c r="F163" s="29" t="s">
        <v>1044</v>
      </c>
      <c r="G163" s="29" t="s">
        <v>1039</v>
      </c>
      <c r="H163" s="29" t="b">
        <v>1</v>
      </c>
      <c r="I163" s="29" t="b">
        <v>1</v>
      </c>
      <c r="J163" s="29" t="b">
        <v>0</v>
      </c>
      <c r="K163" s="29" t="b">
        <v>0</v>
      </c>
      <c r="L163" s="29" t="b">
        <v>1</v>
      </c>
      <c r="M163" s="29" t="b">
        <v>1</v>
      </c>
      <c r="O163" s="594">
        <f>O162+$O$155</f>
        <v>700.29</v>
      </c>
      <c r="P163" s="29" t="b">
        <v>1</v>
      </c>
      <c r="Q163" s="29" t="b">
        <v>1</v>
      </c>
      <c r="R163" s="29" t="b">
        <v>1</v>
      </c>
      <c r="S163" s="29" t="b">
        <v>1</v>
      </c>
      <c r="T163" s="29" t="b">
        <f t="shared" si="0"/>
        <v>0</v>
      </c>
      <c r="U163" s="29" t="s">
        <v>997</v>
      </c>
      <c r="V163" s="29" t="s">
        <v>226</v>
      </c>
      <c r="W163" s="29">
        <v>2</v>
      </c>
      <c r="X163" s="29" t="s">
        <v>1064</v>
      </c>
      <c r="Y163" s="16" t="s">
        <v>1041</v>
      </c>
      <c r="Z163" s="29" t="s">
        <v>1052</v>
      </c>
      <c r="AA163" s="554">
        <f t="shared" ref="AA163:AC163" si="820">AVERAGE(AJ163,AM163,AP163,AV163,AY163,AS163,BZ163,BB163,BE163,BH163,BK163,BN163,BQ163,BT163)</f>
        <v>0.463333333333333</v>
      </c>
      <c r="AB163" s="555">
        <f t="shared" si="820"/>
        <v>0.773333333333333</v>
      </c>
      <c r="AC163" s="556">
        <f t="shared" si="820"/>
        <v>1.13574297188755</v>
      </c>
      <c r="AD163" s="29" t="b">
        <v>0</v>
      </c>
      <c r="AE163" s="29" t="b">
        <v>1</v>
      </c>
      <c r="AF163" s="29" t="b">
        <v>1</v>
      </c>
      <c r="AG163" s="554">
        <f t="shared" ref="AG163:AI163" si="821">AG162+AG156</f>
        <v>1.14</v>
      </c>
      <c r="AH163" s="554">
        <f t="shared" si="821"/>
        <v>1.6</v>
      </c>
      <c r="AI163" s="554">
        <f t="shared" si="821"/>
        <v>2.4</v>
      </c>
      <c r="AJ163" s="569" t="s">
        <v>13</v>
      </c>
      <c r="AK163" s="569" t="s">
        <v>13</v>
      </c>
      <c r="AL163" s="570" t="s">
        <v>13</v>
      </c>
      <c r="AM163" s="567">
        <f>(32*2)/150</f>
        <v>0.426666666666667</v>
      </c>
      <c r="AN163" s="567">
        <f>((32*2)/200)+AM163</f>
        <v>0.746666666666667</v>
      </c>
      <c r="AO163" s="568">
        <f>(((32*2)/200)*2)+AM163</f>
        <v>1.06666666666667</v>
      </c>
      <c r="AP163" s="567">
        <f>2/4</f>
        <v>0.5</v>
      </c>
      <c r="AQ163" s="567">
        <f>1.25/(1.25*1.25)</f>
        <v>0.8</v>
      </c>
      <c r="AR163" s="568">
        <f>0.83/(0.83*0.83)</f>
        <v>1.20481927710843</v>
      </c>
      <c r="AS163" s="567"/>
      <c r="AT163" s="567"/>
      <c r="AU163" s="568"/>
      <c r="AV163" s="567"/>
      <c r="AW163" s="567"/>
      <c r="AX163" s="568"/>
      <c r="AY163" s="567"/>
      <c r="BA163" s="568"/>
      <c r="BB163" s="567"/>
      <c r="BD163" s="568"/>
      <c r="BE163" s="567"/>
      <c r="BG163" s="568"/>
      <c r="BH163" s="567"/>
      <c r="BJ163" s="568"/>
      <c r="BK163" s="567"/>
      <c r="BM163" s="568"/>
      <c r="BN163" s="567"/>
      <c r="BP163" s="568"/>
      <c r="BQ163" s="567"/>
      <c r="BS163" s="568"/>
      <c r="BT163" s="567"/>
      <c r="BV163" s="568"/>
      <c r="BW163" s="567"/>
      <c r="BY163" s="568"/>
      <c r="BZ163" s="567"/>
      <c r="CA163" s="567"/>
      <c r="CB163" s="567"/>
      <c r="CC163" s="583"/>
      <c r="CD163" s="555">
        <f t="shared" ref="CD163:CF163" si="822">MEDIAN(AM163,AP163,AS163,AY163,BB163,AV163,AA163,BE163,BK163,BZ163,BH163,BN163,BQ163,BT163,BW163)</f>
        <v>0.463333333333333</v>
      </c>
      <c r="CE163" s="555">
        <f t="shared" si="822"/>
        <v>0.773333333333333</v>
      </c>
      <c r="CF163" s="556">
        <f t="shared" si="822"/>
        <v>1.13574297188755</v>
      </c>
      <c r="CG163" s="555">
        <f t="shared" ref="CG163:CI163" si="823">MAX(AP163,AS163,AV163,BB163,BE163,AY163,CD163,BK163,BZ163,AA163)-MIN(AP163,AS163,AV163,BB163,BE163,AY163,CD163,BK163,BZ163,AA163)</f>
        <v>0.0366666666666666</v>
      </c>
      <c r="CH163" s="555">
        <f t="shared" si="823"/>
        <v>0.0266666666666666</v>
      </c>
      <c r="CI163" s="556">
        <f t="shared" si="823"/>
        <v>0.0690763052208836</v>
      </c>
      <c r="CJ163" s="555">
        <f t="shared" ref="CJ163:CL163" si="824">STDEV(AS163,AV163,AY163,BE163,BK163,BB163,CG163,BZ163,AA163,CD163)</f>
        <v>0.24633611485424</v>
      </c>
      <c r="CK163" s="555">
        <f t="shared" si="824"/>
        <v>0.431088200994921</v>
      </c>
      <c r="CL163" s="556">
        <f t="shared" si="824"/>
        <v>0.615840287135601</v>
      </c>
      <c r="CM163" s="555">
        <f t="shared" ref="CM163:CO163" si="825">CJ163/AA163</f>
        <v>0.531660679541526</v>
      </c>
      <c r="CN163" s="555">
        <f t="shared" si="825"/>
        <v>0.55744163921757</v>
      </c>
      <c r="CO163" s="556">
        <f t="shared" si="825"/>
        <v>0.542235613496339</v>
      </c>
      <c r="CP163" s="29" t="s">
        <v>120</v>
      </c>
      <c r="CQ163" s="535">
        <f t="shared" si="622"/>
        <v>2</v>
      </c>
      <c r="CR163" s="29" t="s">
        <v>120</v>
      </c>
      <c r="CS163" s="29" t="s">
        <v>120</v>
      </c>
      <c r="CT163" s="29" t="s">
        <v>120</v>
      </c>
      <c r="CU163" s="29" t="s">
        <v>120</v>
      </c>
      <c r="CV163" s="29" t="s">
        <v>120</v>
      </c>
    </row>
    <row r="164" customHeight="1" spans="1:100">
      <c r="A164" s="312" t="s">
        <v>403</v>
      </c>
      <c r="B164" s="541" t="s">
        <v>1105</v>
      </c>
      <c r="C164" s="29" t="s">
        <v>1104</v>
      </c>
      <c r="D164" s="312" t="s">
        <v>404</v>
      </c>
      <c r="E164" s="312"/>
      <c r="F164" s="312" t="s">
        <v>1044</v>
      </c>
      <c r="G164" s="29" t="s">
        <v>1039</v>
      </c>
      <c r="H164" s="165" t="b">
        <v>1</v>
      </c>
      <c r="I164" s="165" t="b">
        <v>1</v>
      </c>
      <c r="J164" s="165" t="b">
        <v>0</v>
      </c>
      <c r="K164" s="165" t="b">
        <v>0</v>
      </c>
      <c r="L164" s="165" t="b">
        <v>1</v>
      </c>
      <c r="M164" s="165" t="b">
        <v>1</v>
      </c>
      <c r="N164" s="312"/>
      <c r="O164" s="572">
        <v>0.3</v>
      </c>
      <c r="P164" s="165" t="b">
        <v>1</v>
      </c>
      <c r="Q164" s="165" t="b">
        <v>1</v>
      </c>
      <c r="R164" s="165" t="b">
        <v>1</v>
      </c>
      <c r="S164" s="165" t="b">
        <v>1</v>
      </c>
      <c r="T164" s="29" t="b">
        <f t="shared" si="0"/>
        <v>0</v>
      </c>
      <c r="U164" s="312" t="s">
        <v>997</v>
      </c>
      <c r="V164" s="312" t="s">
        <v>226</v>
      </c>
      <c r="W164" s="313">
        <v>2</v>
      </c>
      <c r="X164" s="312" t="s">
        <v>1064</v>
      </c>
      <c r="Y164" s="165" t="s">
        <v>1041</v>
      </c>
      <c r="Z164" s="312" t="s">
        <v>1052</v>
      </c>
      <c r="AA164" s="554">
        <f t="shared" ref="AA164:AC164" si="826">AVERAGE(AJ164,AM164,AP164,AV164,AY164,AS164,BZ164,BB164,BE164,BH164,BK164,BN164,BQ164,BT164)</f>
        <v>2.38235294117647</v>
      </c>
      <c r="AB164" s="555">
        <f t="shared" si="826"/>
        <v>2.33529411764706</v>
      </c>
      <c r="AC164" s="556" t="e">
        <f t="shared" si="826"/>
        <v>#DIV/0!</v>
      </c>
      <c r="AD164" s="165" t="b">
        <v>0</v>
      </c>
      <c r="AE164" s="165" t="b">
        <v>1</v>
      </c>
      <c r="AF164" s="165" t="b">
        <v>1</v>
      </c>
      <c r="AG164" s="571">
        <v>1.63</v>
      </c>
      <c r="AH164" s="572">
        <v>2.38</v>
      </c>
      <c r="AI164" s="589">
        <v>3.26</v>
      </c>
      <c r="AJ164" s="326" t="s">
        <v>13</v>
      </c>
      <c r="AK164" s="572">
        <v>1</v>
      </c>
      <c r="AL164" s="573" t="s">
        <v>13</v>
      </c>
      <c r="AM164" s="569">
        <f>(32*2)/17</f>
        <v>3.76470588235294</v>
      </c>
      <c r="AN164" s="567">
        <f>((32*2)/17)*0.25+AM164</f>
        <v>4.70588235294118</v>
      </c>
      <c r="AO164" s="570" t="s">
        <v>13</v>
      </c>
      <c r="AP164" s="569">
        <f t="shared" ref="AP164:AQ164" si="827">AP162*2</f>
        <v>1</v>
      </c>
      <c r="AQ164" s="569">
        <f t="shared" si="827"/>
        <v>1.3</v>
      </c>
      <c r="AR164" s="570" t="s">
        <v>13</v>
      </c>
      <c r="AS164" s="326"/>
      <c r="AT164" s="326"/>
      <c r="AU164" s="573"/>
      <c r="AV164" s="326"/>
      <c r="AW164" s="326"/>
      <c r="AX164" s="573"/>
      <c r="AY164" s="326"/>
      <c r="BA164" s="573"/>
      <c r="BB164" s="326"/>
      <c r="BD164" s="573"/>
      <c r="BE164" s="326"/>
      <c r="BG164" s="573"/>
      <c r="BH164" s="326"/>
      <c r="BJ164" s="573"/>
      <c r="BK164" s="326"/>
      <c r="BM164" s="573"/>
      <c r="BN164" s="326"/>
      <c r="BP164" s="573"/>
      <c r="BQ164" s="326"/>
      <c r="BS164" s="573"/>
      <c r="BT164" s="326"/>
      <c r="BV164" s="573"/>
      <c r="BW164" s="326"/>
      <c r="BY164" s="573"/>
      <c r="BZ164" s="326"/>
      <c r="CA164" s="572"/>
      <c r="CB164" s="326"/>
      <c r="CC164" s="583"/>
      <c r="CD164" s="555">
        <f t="shared" ref="CD164:CF164" si="828">MEDIAN(AM164,AP164,AS164,AY164,BB164,AV164,AA164,BE164,BK164,BZ164,BH164,BN164,BQ164,BT164,BW164)</f>
        <v>2.38235294117647</v>
      </c>
      <c r="CE164" s="555">
        <f t="shared" si="828"/>
        <v>2.33529411764706</v>
      </c>
      <c r="CF164" s="556" t="e">
        <f t="shared" si="828"/>
        <v>#DIV/0!</v>
      </c>
      <c r="CG164" s="555">
        <f t="shared" ref="CG164:CI164" si="829">MAX(AP164,AS164,AV164,BB164,BE164,AY164,CD164,BK164,BZ164,AA164)-MIN(AP164,AS164,AV164,BB164,BE164,AY164,CD164,BK164,BZ164,AA164)</f>
        <v>1.38235294117647</v>
      </c>
      <c r="CH164" s="555">
        <f t="shared" si="829"/>
        <v>1.03529411764706</v>
      </c>
      <c r="CI164" s="556" t="e">
        <f t="shared" si="829"/>
        <v>#DIV/0!</v>
      </c>
      <c r="CJ164" s="555">
        <f t="shared" ref="CJ164:CL164" si="830">STDEV(AS164,AV164,AY164,BE164,BK164,BB164,CG164,BZ164,AA164,CD164)</f>
        <v>0.577350269189626</v>
      </c>
      <c r="CK164" s="555">
        <f t="shared" si="830"/>
        <v>0.750555349946514</v>
      </c>
      <c r="CL164" s="556" t="e">
        <f t="shared" si="830"/>
        <v>#DIV/0!</v>
      </c>
      <c r="CM164" s="555">
        <f t="shared" ref="CM164:CO164" si="831">CJ164/AA164</f>
        <v>0.242344557437621</v>
      </c>
      <c r="CN164" s="555">
        <f t="shared" si="831"/>
        <v>0.321396497458205</v>
      </c>
      <c r="CO164" s="556" t="e">
        <f t="shared" si="831"/>
        <v>#DIV/0!</v>
      </c>
      <c r="CP164" s="312" t="s">
        <v>120</v>
      </c>
      <c r="CQ164" s="313">
        <f t="shared" si="622"/>
        <v>2</v>
      </c>
      <c r="CR164" s="312" t="s">
        <v>120</v>
      </c>
      <c r="CS164" s="312" t="s">
        <v>120</v>
      </c>
      <c r="CT164" s="312" t="s">
        <v>120</v>
      </c>
      <c r="CU164" s="312" t="s">
        <v>120</v>
      </c>
      <c r="CV164" s="312" t="s">
        <v>120</v>
      </c>
    </row>
    <row r="165" customHeight="1" spans="1:100">
      <c r="A165" s="312" t="s">
        <v>405</v>
      </c>
      <c r="B165" s="541" t="s">
        <v>1106</v>
      </c>
      <c r="C165" s="29" t="s">
        <v>1104</v>
      </c>
      <c r="D165" s="312" t="s">
        <v>406</v>
      </c>
      <c r="E165" s="312"/>
      <c r="F165" s="312" t="s">
        <v>1044</v>
      </c>
      <c r="G165" s="29" t="s">
        <v>1039</v>
      </c>
      <c r="H165" s="165" t="b">
        <v>1</v>
      </c>
      <c r="I165" s="165" t="b">
        <v>1</v>
      </c>
      <c r="J165" s="165" t="b">
        <v>0</v>
      </c>
      <c r="K165" s="165" t="b">
        <v>0</v>
      </c>
      <c r="L165" s="165" t="b">
        <v>1</v>
      </c>
      <c r="M165" s="165" t="b">
        <v>1</v>
      </c>
      <c r="N165" s="312"/>
      <c r="O165" s="595">
        <f>O168+$O$99</f>
        <v>0.1</v>
      </c>
      <c r="P165" s="165" t="b">
        <v>1</v>
      </c>
      <c r="Q165" s="165" t="b">
        <v>1</v>
      </c>
      <c r="R165" s="165" t="b">
        <v>1</v>
      </c>
      <c r="S165" s="165" t="b">
        <v>1</v>
      </c>
      <c r="T165" s="29" t="b">
        <f t="shared" si="0"/>
        <v>0</v>
      </c>
      <c r="U165" s="312" t="s">
        <v>997</v>
      </c>
      <c r="V165" s="312" t="s">
        <v>226</v>
      </c>
      <c r="W165" s="313">
        <v>2</v>
      </c>
      <c r="X165" s="312" t="s">
        <v>1064</v>
      </c>
      <c r="Y165" s="165" t="s">
        <v>1041</v>
      </c>
      <c r="Z165" s="312" t="s">
        <v>1052</v>
      </c>
      <c r="AA165" s="554">
        <f t="shared" ref="AA165:AC165" si="832">AVERAGE(AJ165,AM165,AP165,AV165,AY165,AS165,BZ165,BB165,BE165,BH165,BK165,BN165,BQ165,BT165)</f>
        <v>0.463333333333333</v>
      </c>
      <c r="AB165" s="555">
        <f t="shared" si="832"/>
        <v>0.773333333333333</v>
      </c>
      <c r="AC165" s="556">
        <f t="shared" si="832"/>
        <v>1.13574297188755</v>
      </c>
      <c r="AD165" s="165" t="b">
        <v>0</v>
      </c>
      <c r="AE165" s="165" t="b">
        <v>1</v>
      </c>
      <c r="AF165" s="165" t="b">
        <v>1</v>
      </c>
      <c r="AG165" s="597">
        <f t="shared" ref="AG165:AI165" si="833">AG164+AG156</f>
        <v>2.08</v>
      </c>
      <c r="AH165" s="597">
        <f t="shared" si="833"/>
        <v>2.98</v>
      </c>
      <c r="AI165" s="597">
        <f t="shared" si="833"/>
        <v>4.06</v>
      </c>
      <c r="AJ165" s="326" t="s">
        <v>13</v>
      </c>
      <c r="AK165" s="326" t="s">
        <v>13</v>
      </c>
      <c r="AL165" s="573" t="s">
        <v>13</v>
      </c>
      <c r="AM165" s="572">
        <f>(32*2)/150</f>
        <v>0.426666666666667</v>
      </c>
      <c r="AN165" s="572">
        <f>((32*2)/200)+AM165</f>
        <v>0.746666666666667</v>
      </c>
      <c r="AO165" s="589">
        <f>(((32*2)/200)*2)+AM165</f>
        <v>1.06666666666667</v>
      </c>
      <c r="AP165" s="572">
        <f>2/4</f>
        <v>0.5</v>
      </c>
      <c r="AQ165" s="572">
        <f>1.25/(1.25*1.25)</f>
        <v>0.8</v>
      </c>
      <c r="AR165" s="589">
        <f>0.83/(0.83*0.83)</f>
        <v>1.20481927710843</v>
      </c>
      <c r="AS165" s="326"/>
      <c r="AT165" s="326"/>
      <c r="AU165" s="573"/>
      <c r="AV165" s="326"/>
      <c r="AW165" s="326"/>
      <c r="AX165" s="573"/>
      <c r="AY165" s="326"/>
      <c r="BA165" s="573"/>
      <c r="BB165" s="326"/>
      <c r="BD165" s="573"/>
      <c r="BE165" s="326"/>
      <c r="BG165" s="573"/>
      <c r="BH165" s="326"/>
      <c r="BJ165" s="573"/>
      <c r="BK165" s="326"/>
      <c r="BM165" s="573"/>
      <c r="BN165" s="326"/>
      <c r="BP165" s="573"/>
      <c r="BQ165" s="326"/>
      <c r="BS165" s="573"/>
      <c r="BT165" s="326"/>
      <c r="BV165" s="573"/>
      <c r="BW165" s="326"/>
      <c r="BY165" s="573"/>
      <c r="BZ165" s="326"/>
      <c r="CA165" s="572"/>
      <c r="CB165" s="326"/>
      <c r="CC165" s="583"/>
      <c r="CD165" s="555">
        <f t="shared" ref="CD165:CF165" si="834">MEDIAN(AM165,AP165,AS165,AY165,BB165,AV165,AA165,BE165,BK165,BZ165,BH165,BN165,BQ165,BT165,BW165)</f>
        <v>0.463333333333333</v>
      </c>
      <c r="CE165" s="555">
        <f t="shared" si="834"/>
        <v>0.773333333333333</v>
      </c>
      <c r="CF165" s="556">
        <f t="shared" si="834"/>
        <v>1.13574297188755</v>
      </c>
      <c r="CG165" s="555">
        <f t="shared" ref="CG165:CI165" si="835">MAX(AP165,AS165,AV165,BB165,BE165,AY165,CD165,BK165,BZ165,AA165)-MIN(AP165,AS165,AV165,BB165,BE165,AY165,CD165,BK165,BZ165,AA165)</f>
        <v>0.0366666666666666</v>
      </c>
      <c r="CH165" s="555">
        <f t="shared" si="835"/>
        <v>0.0266666666666666</v>
      </c>
      <c r="CI165" s="556">
        <f t="shared" si="835"/>
        <v>0.0690763052208836</v>
      </c>
      <c r="CJ165" s="555">
        <f t="shared" ref="CJ165:CL165" si="836">STDEV(AS165,AV165,AY165,BE165,BK165,BB165,CG165,BZ165,AA165,CD165)</f>
        <v>0.24633611485424</v>
      </c>
      <c r="CK165" s="555">
        <f t="shared" si="836"/>
        <v>0.431088200994921</v>
      </c>
      <c r="CL165" s="556">
        <f t="shared" si="836"/>
        <v>0.615840287135601</v>
      </c>
      <c r="CM165" s="555">
        <f t="shared" ref="CM165:CO165" si="837">CJ165/AA165</f>
        <v>0.531660679541526</v>
      </c>
      <c r="CN165" s="555">
        <f t="shared" si="837"/>
        <v>0.55744163921757</v>
      </c>
      <c r="CO165" s="556">
        <f t="shared" si="837"/>
        <v>0.542235613496339</v>
      </c>
      <c r="CP165" s="312" t="s">
        <v>120</v>
      </c>
      <c r="CQ165" s="313">
        <f t="shared" si="622"/>
        <v>2</v>
      </c>
      <c r="CR165" s="312" t="s">
        <v>120</v>
      </c>
      <c r="CS165" s="312" t="s">
        <v>120</v>
      </c>
      <c r="CT165" s="312" t="s">
        <v>120</v>
      </c>
      <c r="CU165" s="312" t="s">
        <v>120</v>
      </c>
      <c r="CV165" s="312" t="s">
        <v>120</v>
      </c>
    </row>
    <row r="166" customHeight="1" spans="1:100">
      <c r="A166" s="29" t="s">
        <v>407</v>
      </c>
      <c r="B166" s="541" t="s">
        <v>1105</v>
      </c>
      <c r="C166" s="29" t="s">
        <v>1104</v>
      </c>
      <c r="D166" s="29" t="s">
        <v>408</v>
      </c>
      <c r="E166" s="29"/>
      <c r="F166" s="29" t="s">
        <v>1044</v>
      </c>
      <c r="G166" s="29" t="s">
        <v>1039</v>
      </c>
      <c r="H166" s="29" t="b">
        <v>1</v>
      </c>
      <c r="I166" s="29" t="b">
        <v>1</v>
      </c>
      <c r="J166" s="29" t="b">
        <v>0</v>
      </c>
      <c r="K166" s="29" t="b">
        <v>0</v>
      </c>
      <c r="L166" s="29" t="b">
        <v>1</v>
      </c>
      <c r="M166" s="29" t="b">
        <v>1</v>
      </c>
      <c r="O166" s="569">
        <v>0.35</v>
      </c>
      <c r="P166" s="29" t="b">
        <v>1</v>
      </c>
      <c r="Q166" s="29" t="b">
        <v>1</v>
      </c>
      <c r="R166" s="29" t="b">
        <v>1</v>
      </c>
      <c r="S166" s="29" t="b">
        <v>1</v>
      </c>
      <c r="T166" s="29" t="b">
        <f t="shared" si="0"/>
        <v>0</v>
      </c>
      <c r="U166" s="29" t="s">
        <v>997</v>
      </c>
      <c r="V166" s="29" t="s">
        <v>124</v>
      </c>
      <c r="W166" s="29">
        <v>2</v>
      </c>
      <c r="X166" s="29" t="s">
        <v>1064</v>
      </c>
      <c r="Y166" s="16" t="s">
        <v>1041</v>
      </c>
      <c r="Z166" s="29" t="s">
        <v>1052</v>
      </c>
      <c r="AA166" s="554" t="e">
        <f t="shared" ref="AA166:AC166" si="838">AVERAGE(AJ166,AM166,AP166,AV166,AY166,AS166,BZ166,BB166,BE166,BH166,BK166,BN166,BQ166,BT166)</f>
        <v>#DIV/0!</v>
      </c>
      <c r="AB166" s="555" t="e">
        <f t="shared" si="838"/>
        <v>#DIV/0!</v>
      </c>
      <c r="AC166" s="556" t="e">
        <f t="shared" si="838"/>
        <v>#DIV/0!</v>
      </c>
      <c r="AD166" s="29" t="b">
        <v>0</v>
      </c>
      <c r="AE166" s="29" t="b">
        <v>1</v>
      </c>
      <c r="AF166" s="29" t="b">
        <v>1</v>
      </c>
      <c r="AG166" s="574">
        <f>0.46*1.3</f>
        <v>0.598</v>
      </c>
      <c r="AH166" s="569">
        <f>0.78*1.3</f>
        <v>1.014</v>
      </c>
      <c r="AI166" s="570">
        <f>1.14*1.3</f>
        <v>1.482</v>
      </c>
      <c r="AJ166" s="569" t="s">
        <v>13</v>
      </c>
      <c r="AK166" s="569" t="s">
        <v>13</v>
      </c>
      <c r="AL166" s="570" t="s">
        <v>13</v>
      </c>
      <c r="AM166" s="569" t="s">
        <v>13</v>
      </c>
      <c r="AN166" s="569" t="s">
        <v>13</v>
      </c>
      <c r="AO166" s="570" t="s">
        <v>13</v>
      </c>
      <c r="AP166" s="569" t="s">
        <v>13</v>
      </c>
      <c r="AQ166" s="569" t="s">
        <v>13</v>
      </c>
      <c r="AR166" s="570" t="s">
        <v>13</v>
      </c>
      <c r="AS166" s="567"/>
      <c r="AT166" s="567"/>
      <c r="AU166" s="568"/>
      <c r="AV166" s="567"/>
      <c r="AW166" s="567"/>
      <c r="AX166" s="568"/>
      <c r="AY166" s="567"/>
      <c r="BA166" s="568"/>
      <c r="BB166" s="567"/>
      <c r="BD166" s="568"/>
      <c r="BE166" s="567"/>
      <c r="BG166" s="568"/>
      <c r="BH166" s="567"/>
      <c r="BJ166" s="568"/>
      <c r="BK166" s="567"/>
      <c r="BM166" s="568"/>
      <c r="BN166" s="567"/>
      <c r="BP166" s="568"/>
      <c r="BQ166" s="567"/>
      <c r="BS166" s="568"/>
      <c r="BT166" s="567"/>
      <c r="BV166" s="568"/>
      <c r="BW166" s="567"/>
      <c r="BY166" s="568"/>
      <c r="BZ166" s="567"/>
      <c r="CA166" s="569"/>
      <c r="CB166" s="567"/>
      <c r="CC166" s="583"/>
      <c r="CD166" s="555" t="e">
        <f t="shared" ref="CD166:CF166" si="839">MEDIAN(AM166,AP166,AS166,AY166,BB166,AV166,AA166,BE166,BK166,BZ166,BH166,BN166,BQ166,BT166,BW166)</f>
        <v>#DIV/0!</v>
      </c>
      <c r="CE166" s="555" t="e">
        <f t="shared" si="839"/>
        <v>#DIV/0!</v>
      </c>
      <c r="CF166" s="556" t="e">
        <f t="shared" si="839"/>
        <v>#DIV/0!</v>
      </c>
      <c r="CG166" s="555" t="e">
        <f t="shared" ref="CG166:CI166" si="840">MAX(AP166,AS166,AV166,BB166,BE166,AY166,CD166,BK166,BZ166,AA166)-MIN(AP166,AS166,AV166,BB166,BE166,AY166,CD166,BK166,BZ166,AA166)</f>
        <v>#DIV/0!</v>
      </c>
      <c r="CH166" s="555" t="e">
        <f t="shared" si="840"/>
        <v>#DIV/0!</v>
      </c>
      <c r="CI166" s="556" t="e">
        <f t="shared" si="840"/>
        <v>#DIV/0!</v>
      </c>
      <c r="CJ166" s="555" t="e">
        <f t="shared" ref="CJ166:CL166" si="841">STDEV(AS166,AV166,AY166,BE166,BK166,BB166,CG166,BZ166,AA166,CD166)</f>
        <v>#DIV/0!</v>
      </c>
      <c r="CK166" s="555" t="e">
        <f t="shared" si="841"/>
        <v>#DIV/0!</v>
      </c>
      <c r="CL166" s="556" t="e">
        <f t="shared" si="841"/>
        <v>#DIV/0!</v>
      </c>
      <c r="CM166" s="555" t="e">
        <f t="shared" ref="CM166:CO166" si="842">CJ166/AA166</f>
        <v>#DIV/0!</v>
      </c>
      <c r="CN166" s="555" t="e">
        <f t="shared" si="842"/>
        <v>#DIV/0!</v>
      </c>
      <c r="CO166" s="556" t="e">
        <f t="shared" si="842"/>
        <v>#DIV/0!</v>
      </c>
      <c r="CP166" s="29" t="s">
        <v>120</v>
      </c>
      <c r="CQ166" s="535">
        <f t="shared" si="622"/>
        <v>2</v>
      </c>
      <c r="CR166" s="29" t="s">
        <v>120</v>
      </c>
      <c r="CS166" s="29" t="s">
        <v>120</v>
      </c>
      <c r="CT166" s="29" t="s">
        <v>120</v>
      </c>
      <c r="CU166" s="29" t="s">
        <v>120</v>
      </c>
      <c r="CV166" s="29" t="s">
        <v>120</v>
      </c>
    </row>
    <row r="167" customHeight="1" spans="1:100">
      <c r="A167" s="29" t="s">
        <v>409</v>
      </c>
      <c r="B167" s="541" t="s">
        <v>1106</v>
      </c>
      <c r="C167" s="29" t="s">
        <v>1104</v>
      </c>
      <c r="D167" s="29" t="s">
        <v>410</v>
      </c>
      <c r="E167" s="312"/>
      <c r="F167" s="312" t="s">
        <v>1044</v>
      </c>
      <c r="G167" s="29" t="s">
        <v>1039</v>
      </c>
      <c r="H167" s="165" t="b">
        <v>1</v>
      </c>
      <c r="I167" s="165" t="b">
        <v>1</v>
      </c>
      <c r="J167" s="165" t="b">
        <v>0</v>
      </c>
      <c r="K167" s="165" t="b">
        <v>0</v>
      </c>
      <c r="L167" s="165" t="b">
        <v>1</v>
      </c>
      <c r="M167" s="165" t="b">
        <v>1</v>
      </c>
      <c r="N167" s="312"/>
      <c r="O167" s="595">
        <f>O166+$O$99</f>
        <v>0.35</v>
      </c>
      <c r="P167" s="165" t="b">
        <v>1</v>
      </c>
      <c r="Q167" s="165" t="b">
        <v>1</v>
      </c>
      <c r="R167" s="165" t="b">
        <v>1</v>
      </c>
      <c r="S167" s="165" t="b">
        <v>1</v>
      </c>
      <c r="T167" s="29" t="b">
        <f t="shared" si="0"/>
        <v>0</v>
      </c>
      <c r="U167" s="312" t="s">
        <v>997</v>
      </c>
      <c r="V167" s="312" t="s">
        <v>226</v>
      </c>
      <c r="W167" s="313">
        <v>2</v>
      </c>
      <c r="X167" s="312" t="s">
        <v>1064</v>
      </c>
      <c r="Y167" s="165" t="s">
        <v>1041</v>
      </c>
      <c r="Z167" s="312" t="s">
        <v>1052</v>
      </c>
      <c r="AA167" s="554">
        <f t="shared" ref="AA167:AC167" si="843">AVERAGE(AJ167,AM167,AP167,AV167,AY167,AS167,BZ167,BB167,BE167,BH167,BK167,BN167,BQ167,BT167)</f>
        <v>0.463333333333333</v>
      </c>
      <c r="AB167" s="555">
        <f t="shared" si="843"/>
        <v>0.773333333333333</v>
      </c>
      <c r="AC167" s="556">
        <f t="shared" si="843"/>
        <v>1.13574297188755</v>
      </c>
      <c r="AD167" s="165" t="b">
        <v>0</v>
      </c>
      <c r="AE167" s="165" t="b">
        <v>1</v>
      </c>
      <c r="AF167" s="165" t="b">
        <v>1</v>
      </c>
      <c r="AG167" s="595">
        <f t="shared" ref="AG167:AI167" si="844">AG166+AG156</f>
        <v>1.048</v>
      </c>
      <c r="AH167" s="595">
        <f t="shared" si="844"/>
        <v>1.614</v>
      </c>
      <c r="AI167" s="598">
        <f t="shared" si="844"/>
        <v>2.282</v>
      </c>
      <c r="AJ167" s="326" t="s">
        <v>13</v>
      </c>
      <c r="AK167" s="326" t="s">
        <v>13</v>
      </c>
      <c r="AL167" s="573" t="s">
        <v>13</v>
      </c>
      <c r="AM167" s="572">
        <f>(32*2)/150</f>
        <v>0.426666666666667</v>
      </c>
      <c r="AN167" s="572">
        <f>((32*2)/200)+AM167</f>
        <v>0.746666666666667</v>
      </c>
      <c r="AO167" s="589">
        <f>(((32*2)/200)*2)+AM167</f>
        <v>1.06666666666667</v>
      </c>
      <c r="AP167" s="572">
        <f>2/4</f>
        <v>0.5</v>
      </c>
      <c r="AQ167" s="572">
        <f>1.25/(1.25*1.25)</f>
        <v>0.8</v>
      </c>
      <c r="AR167" s="589">
        <f>0.83/(0.83*0.83)</f>
        <v>1.20481927710843</v>
      </c>
      <c r="AS167" s="326"/>
      <c r="AT167" s="326"/>
      <c r="AU167" s="573"/>
      <c r="AV167" s="326"/>
      <c r="AW167" s="326"/>
      <c r="AX167" s="573"/>
      <c r="AY167" s="326"/>
      <c r="BA167" s="573"/>
      <c r="BB167" s="326"/>
      <c r="BD167" s="573"/>
      <c r="BE167" s="326"/>
      <c r="BG167" s="573"/>
      <c r="BH167" s="326"/>
      <c r="BJ167" s="573"/>
      <c r="BK167" s="326"/>
      <c r="BM167" s="573"/>
      <c r="BN167" s="326"/>
      <c r="BP167" s="573"/>
      <c r="BQ167" s="326"/>
      <c r="BS167" s="573"/>
      <c r="BT167" s="326"/>
      <c r="BV167" s="573"/>
      <c r="BW167" s="326"/>
      <c r="BY167" s="573"/>
      <c r="BZ167" s="326"/>
      <c r="CA167" s="572"/>
      <c r="CB167" s="326"/>
      <c r="CC167" s="583"/>
      <c r="CD167" s="555">
        <f t="shared" ref="CD167:CF167" si="845">MEDIAN(AM167,AP167,AS167,AY167,BB167,AV167,AA167,BE167,BK167,BZ167,BH167,BN167,BQ167,BT167,BW167)</f>
        <v>0.463333333333333</v>
      </c>
      <c r="CE167" s="555">
        <f t="shared" si="845"/>
        <v>0.773333333333333</v>
      </c>
      <c r="CF167" s="556">
        <f t="shared" si="845"/>
        <v>1.13574297188755</v>
      </c>
      <c r="CG167" s="555">
        <f t="shared" ref="CG167:CI167" si="846">MAX(AP167,AS167,AV167,BB167,BE167,AY167,CD167,BK167,BZ167,AA167)-MIN(AP167,AS167,AV167,BB167,BE167,AY167,CD167,BK167,BZ167,AA167)</f>
        <v>0.0366666666666666</v>
      </c>
      <c r="CH167" s="555">
        <f t="shared" si="846"/>
        <v>0.0266666666666666</v>
      </c>
      <c r="CI167" s="556">
        <f t="shared" si="846"/>
        <v>0.0690763052208836</v>
      </c>
      <c r="CJ167" s="555">
        <f t="shared" ref="CJ167:CL167" si="847">STDEV(AS167,AV167,AY167,BE167,BK167,BB167,CG167,BZ167,AA167,CD167)</f>
        <v>0.24633611485424</v>
      </c>
      <c r="CK167" s="555">
        <f t="shared" si="847"/>
        <v>0.431088200994921</v>
      </c>
      <c r="CL167" s="556">
        <f t="shared" si="847"/>
        <v>0.615840287135601</v>
      </c>
      <c r="CM167" s="555">
        <f t="shared" ref="CM167:CO167" si="848">CJ167/AA167</f>
        <v>0.531660679541526</v>
      </c>
      <c r="CN167" s="555">
        <f t="shared" si="848"/>
        <v>0.55744163921757</v>
      </c>
      <c r="CO167" s="556">
        <f t="shared" si="848"/>
        <v>0.542235613496339</v>
      </c>
      <c r="CP167" s="312" t="s">
        <v>120</v>
      </c>
      <c r="CQ167" s="313">
        <f t="shared" si="622"/>
        <v>2</v>
      </c>
      <c r="CR167" s="312" t="s">
        <v>120</v>
      </c>
      <c r="CS167" s="312" t="s">
        <v>120</v>
      </c>
      <c r="CT167" s="312" t="s">
        <v>120</v>
      </c>
      <c r="CU167" s="312" t="s">
        <v>120</v>
      </c>
      <c r="CV167" s="312" t="s">
        <v>120</v>
      </c>
    </row>
    <row r="168" customHeight="1" spans="1:100">
      <c r="A168" s="29" t="s">
        <v>411</v>
      </c>
      <c r="B168" s="541" t="s">
        <v>1105</v>
      </c>
      <c r="C168" s="29" t="s">
        <v>1104</v>
      </c>
      <c r="D168" s="29" t="s">
        <v>412</v>
      </c>
      <c r="E168" s="29"/>
      <c r="F168" s="29" t="s">
        <v>1044</v>
      </c>
      <c r="G168" s="29" t="s">
        <v>1039</v>
      </c>
      <c r="H168" s="29" t="b">
        <v>1</v>
      </c>
      <c r="I168" s="29" t="b">
        <v>1</v>
      </c>
      <c r="J168" s="29" t="b">
        <v>0</v>
      </c>
      <c r="K168" s="29" t="b">
        <v>1</v>
      </c>
      <c r="L168" s="29" t="b">
        <v>0</v>
      </c>
      <c r="M168" s="29" t="b">
        <v>0</v>
      </c>
      <c r="N168" s="29"/>
      <c r="O168" s="569">
        <v>0.1</v>
      </c>
      <c r="P168" s="29" t="b">
        <v>0</v>
      </c>
      <c r="Q168" s="29" t="b">
        <v>0</v>
      </c>
      <c r="R168" s="29" t="b">
        <v>0</v>
      </c>
      <c r="S168" s="29" t="b">
        <v>0</v>
      </c>
      <c r="T168" s="29" t="b">
        <f t="shared" si="0"/>
        <v>0</v>
      </c>
      <c r="U168" s="29" t="s">
        <v>997</v>
      </c>
      <c r="V168" s="29" t="s">
        <v>124</v>
      </c>
      <c r="W168" s="29">
        <v>2</v>
      </c>
      <c r="X168" s="29" t="s">
        <v>1064</v>
      </c>
      <c r="Y168" s="16" t="s">
        <v>1041</v>
      </c>
      <c r="Z168" s="29" t="s">
        <v>1052</v>
      </c>
      <c r="AA168" s="554">
        <f t="shared" ref="AA168:AC168" si="849">AVERAGE(AJ168,AM168,AP168,AV168,AY168,AS168,BZ168,BB168,BE168,BH168,BK168,BN168,BQ168,BT168)</f>
        <v>0.231666666666667</v>
      </c>
      <c r="AB168" s="555">
        <f t="shared" si="849"/>
        <v>0.386666666666667</v>
      </c>
      <c r="AC168" s="556">
        <f t="shared" si="849"/>
        <v>0.567871485943775</v>
      </c>
      <c r="AD168" s="29" t="b">
        <v>0</v>
      </c>
      <c r="AE168" s="29" t="b">
        <v>1</v>
      </c>
      <c r="AF168" s="29" t="b">
        <v>1</v>
      </c>
      <c r="AG168" s="574">
        <v>0.23</v>
      </c>
      <c r="AH168" s="569">
        <v>0.39</v>
      </c>
      <c r="AI168" s="570">
        <v>0.57</v>
      </c>
      <c r="AJ168" s="570" t="s">
        <v>13</v>
      </c>
      <c r="AK168" s="570" t="s">
        <v>13</v>
      </c>
      <c r="AL168" s="570" t="s">
        <v>13</v>
      </c>
      <c r="AM168" s="568">
        <f>(150/(32*2))/((150/(32*2))*(150/(32*2)))/2</f>
        <v>0.213333333333333</v>
      </c>
      <c r="AN168" s="568">
        <f>(200/(32*2))/((200/(32*2))*(200/(32*2)))/2+AM168</f>
        <v>0.373333333333333</v>
      </c>
      <c r="AO168" s="568">
        <f>AO160/2</f>
        <v>0.533333333333333</v>
      </c>
      <c r="AP168" s="570">
        <f>2/4/2</f>
        <v>0.25</v>
      </c>
      <c r="AQ168" s="570">
        <f>(1.25/(1.25*1.25))/2</f>
        <v>0.4</v>
      </c>
      <c r="AR168" s="570">
        <f>(0.83/(0.83*0.83))/2</f>
        <v>0.602409638554217</v>
      </c>
      <c r="AS168" s="568"/>
      <c r="AT168" s="568"/>
      <c r="AU168" s="568"/>
      <c r="AV168" s="568"/>
      <c r="AW168" s="568"/>
      <c r="AX168" s="568"/>
      <c r="AY168" s="570" t="s">
        <v>13</v>
      </c>
      <c r="AZ168" s="599"/>
      <c r="BA168" s="570" t="s">
        <v>13</v>
      </c>
      <c r="BB168" s="570"/>
      <c r="BC168" s="599"/>
      <c r="BD168" s="570"/>
      <c r="BE168" s="570"/>
      <c r="BF168" s="599"/>
      <c r="BG168" s="570"/>
      <c r="BH168" s="570"/>
      <c r="BI168" s="599"/>
      <c r="BJ168" s="570"/>
      <c r="BK168" s="570"/>
      <c r="BL168" s="599"/>
      <c r="BM168" s="570"/>
      <c r="BN168" s="570"/>
      <c r="BO168" s="599"/>
      <c r="BP168" s="570"/>
      <c r="BQ168" s="570"/>
      <c r="BR168" s="599"/>
      <c r="BS168" s="570"/>
      <c r="BT168" s="570"/>
      <c r="BU168" s="599"/>
      <c r="BV168" s="570"/>
      <c r="BW168" s="570"/>
      <c r="BX168" s="599"/>
      <c r="BY168" s="570"/>
      <c r="BZ168" s="570"/>
      <c r="CA168" s="570"/>
      <c r="CB168" s="570"/>
      <c r="CC168" s="583"/>
      <c r="CD168" s="555">
        <f t="shared" ref="CD168:CF168" si="850">MEDIAN(AM168,AP168,AS168,AY168,BB168,AV168,AA168,BE168,BK168,BZ168,BH168,BN168,BQ168,BT168,BW168)</f>
        <v>0.231666666666667</v>
      </c>
      <c r="CE168" s="555">
        <f t="shared" si="850"/>
        <v>0.386666666666667</v>
      </c>
      <c r="CF168" s="556">
        <f t="shared" si="850"/>
        <v>0.567871485943775</v>
      </c>
      <c r="CG168" s="555">
        <f t="shared" ref="CG168:CI168" si="851">MAX(AP168,AS168,AV168,BB168,BE168,AY168,CD168,BK168,BZ168,AA168)-MIN(AP168,AS168,AV168,BB168,BE168,AY168,CD168,BK168,BZ168,AA168)</f>
        <v>0.0183333333333333</v>
      </c>
      <c r="CH168" s="555">
        <f t="shared" si="851"/>
        <v>0.0133333333333333</v>
      </c>
      <c r="CI168" s="556">
        <f t="shared" si="851"/>
        <v>0.0345381526104418</v>
      </c>
      <c r="CJ168" s="555">
        <f t="shared" ref="CJ168:CL168" si="852">STDEV(AS168,AV168,AY168,BE168,BK168,BB168,CG168,BZ168,AA168,CD168)</f>
        <v>0.12316805742712</v>
      </c>
      <c r="CK168" s="555">
        <f t="shared" si="852"/>
        <v>0.21554410049746</v>
      </c>
      <c r="CL168" s="556">
        <f t="shared" si="852"/>
        <v>0.3079201435678</v>
      </c>
      <c r="CM168" s="555">
        <f t="shared" ref="CM168:CO168" si="853">CJ168/AA168</f>
        <v>0.531660679541526</v>
      </c>
      <c r="CN168" s="555">
        <f t="shared" si="853"/>
        <v>0.55744163921757</v>
      </c>
      <c r="CO168" s="556">
        <f t="shared" si="853"/>
        <v>0.542235613496339</v>
      </c>
      <c r="CP168" s="29" t="s">
        <v>120</v>
      </c>
      <c r="CQ168" s="535">
        <f t="shared" si="622"/>
        <v>2</v>
      </c>
      <c r="CR168" s="29" t="s">
        <v>120</v>
      </c>
      <c r="CS168" s="29" t="s">
        <v>120</v>
      </c>
      <c r="CT168" s="29" t="s">
        <v>120</v>
      </c>
      <c r="CU168" s="29" t="s">
        <v>120</v>
      </c>
      <c r="CV168" s="29" t="s">
        <v>120</v>
      </c>
    </row>
    <row r="169" customHeight="1" spans="1:100">
      <c r="A169" s="29" t="s">
        <v>413</v>
      </c>
      <c r="B169" s="541" t="s">
        <v>1106</v>
      </c>
      <c r="C169" s="29" t="s">
        <v>1104</v>
      </c>
      <c r="D169" s="29" t="s">
        <v>414</v>
      </c>
      <c r="E169" s="29"/>
      <c r="F169" s="29" t="s">
        <v>1044</v>
      </c>
      <c r="G169" s="29" t="s">
        <v>1039</v>
      </c>
      <c r="H169" s="29" t="b">
        <v>1</v>
      </c>
      <c r="I169" s="29" t="b">
        <v>1</v>
      </c>
      <c r="J169" s="29" t="b">
        <v>0</v>
      </c>
      <c r="K169" s="29" t="b">
        <v>0</v>
      </c>
      <c r="L169" s="29" t="b">
        <v>0</v>
      </c>
      <c r="M169" s="29" t="b">
        <v>0</v>
      </c>
      <c r="N169" s="29"/>
      <c r="O169" s="569">
        <v>0.13</v>
      </c>
      <c r="P169" s="29" t="b">
        <v>0</v>
      </c>
      <c r="Q169" s="29" t="b">
        <v>0</v>
      </c>
      <c r="R169" s="29" t="b">
        <v>0</v>
      </c>
      <c r="S169" s="29" t="b">
        <v>0</v>
      </c>
      <c r="T169" s="29" t="b">
        <f t="shared" si="0"/>
        <v>0</v>
      </c>
      <c r="U169" s="29" t="s">
        <v>997</v>
      </c>
      <c r="V169" s="29" t="s">
        <v>124</v>
      </c>
      <c r="W169" s="29">
        <v>2</v>
      </c>
      <c r="X169" s="29" t="s">
        <v>1064</v>
      </c>
      <c r="Y169" s="16" t="s">
        <v>1041</v>
      </c>
      <c r="Z169" s="29" t="s">
        <v>1052</v>
      </c>
      <c r="AA169" s="554" t="e">
        <f t="shared" ref="AA169:AC169" si="854">AVERAGE(AJ169,AM169,AP169,AV169,AY169,AS169,BZ169,BB169,BE169,BH169,BK169,BN169,BQ169,BT169)</f>
        <v>#DIV/0!</v>
      </c>
      <c r="AB169" s="555" t="e">
        <f t="shared" si="854"/>
        <v>#DIV/0!</v>
      </c>
      <c r="AC169" s="556" t="e">
        <f t="shared" si="854"/>
        <v>#DIV/0!</v>
      </c>
      <c r="AD169" s="29" t="b">
        <v>0</v>
      </c>
      <c r="AE169" s="29" t="b">
        <v>1</v>
      </c>
      <c r="AF169" s="29" t="b">
        <v>1</v>
      </c>
      <c r="AG169" s="574" t="s">
        <v>13</v>
      </c>
      <c r="AH169" s="569">
        <v>0.75</v>
      </c>
      <c r="AI169" s="570">
        <v>1</v>
      </c>
      <c r="AJ169" s="569" t="s">
        <v>13</v>
      </c>
      <c r="AK169" s="569" t="s">
        <v>13</v>
      </c>
      <c r="AL169" s="570" t="s">
        <v>13</v>
      </c>
      <c r="AM169" s="567"/>
      <c r="AN169" s="567"/>
      <c r="AO169" s="568"/>
      <c r="AP169" s="569"/>
      <c r="AQ169" s="569"/>
      <c r="AR169" s="570"/>
      <c r="AS169" s="567"/>
      <c r="AT169" s="567"/>
      <c r="AU169" s="568"/>
      <c r="AV169" s="567"/>
      <c r="AW169" s="567"/>
      <c r="AX169" s="568"/>
      <c r="AY169" s="569" t="s">
        <v>13</v>
      </c>
      <c r="BA169" s="570" t="s">
        <v>13</v>
      </c>
      <c r="BB169" s="569"/>
      <c r="BD169" s="570"/>
      <c r="BE169" s="569"/>
      <c r="BG169" s="570"/>
      <c r="BH169" s="569"/>
      <c r="BJ169" s="570"/>
      <c r="BK169" s="569"/>
      <c r="BM169" s="570"/>
      <c r="BN169" s="569"/>
      <c r="BP169" s="570"/>
      <c r="BQ169" s="569"/>
      <c r="BS169" s="570"/>
      <c r="BT169" s="569"/>
      <c r="BV169" s="570"/>
      <c r="BW169" s="569"/>
      <c r="BY169" s="570"/>
      <c r="BZ169" s="569"/>
      <c r="CA169" s="569"/>
      <c r="CB169" s="569"/>
      <c r="CC169" s="583"/>
      <c r="CD169" s="555" t="e">
        <f t="shared" ref="CD169:CF169" si="855">MEDIAN(AM169,AP169,AS169,AY169,BB169,AV169,AA169,BE169,BK169,BZ169,BH169,BN169,BQ169,BT169,BW169)</f>
        <v>#DIV/0!</v>
      </c>
      <c r="CE169" s="555" t="e">
        <f t="shared" si="855"/>
        <v>#DIV/0!</v>
      </c>
      <c r="CF169" s="556" t="e">
        <f t="shared" si="855"/>
        <v>#DIV/0!</v>
      </c>
      <c r="CG169" s="555" t="e">
        <f t="shared" ref="CG169:CI169" si="856">MAX(AP169,AS169,AV169,BB169,BE169,AY169,CD169,BK169,BZ169,AA169)-MIN(AP169,AS169,AV169,BB169,BE169,AY169,CD169,BK169,BZ169,AA169)</f>
        <v>#DIV/0!</v>
      </c>
      <c r="CH169" s="555" t="e">
        <f t="shared" si="856"/>
        <v>#DIV/0!</v>
      </c>
      <c r="CI169" s="556" t="e">
        <f t="shared" si="856"/>
        <v>#DIV/0!</v>
      </c>
      <c r="CJ169" s="555" t="e">
        <f t="shared" ref="CJ169:CL169" si="857">STDEV(AS169,AV169,AY169,BE169,BK169,BB169,CG169,BZ169,AA169,CD169)</f>
        <v>#DIV/0!</v>
      </c>
      <c r="CK169" s="555" t="e">
        <f t="shared" si="857"/>
        <v>#DIV/0!</v>
      </c>
      <c r="CL169" s="556" t="e">
        <f t="shared" si="857"/>
        <v>#DIV/0!</v>
      </c>
      <c r="CM169" s="555" t="e">
        <f t="shared" ref="CM169:CO169" si="858">CJ169/AA169</f>
        <v>#DIV/0!</v>
      </c>
      <c r="CN169" s="555" t="e">
        <f t="shared" si="858"/>
        <v>#DIV/0!</v>
      </c>
      <c r="CO169" s="556" t="e">
        <f t="shared" si="858"/>
        <v>#DIV/0!</v>
      </c>
      <c r="CP169" s="29" t="s">
        <v>120</v>
      </c>
      <c r="CQ169" s="535">
        <f t="shared" si="622"/>
        <v>2</v>
      </c>
      <c r="CR169" s="29" t="s">
        <v>120</v>
      </c>
      <c r="CS169" s="29" t="s">
        <v>120</v>
      </c>
      <c r="CT169" s="29" t="s">
        <v>120</v>
      </c>
      <c r="CU169" s="29" t="s">
        <v>120</v>
      </c>
      <c r="CV169" s="29" t="s">
        <v>120</v>
      </c>
    </row>
    <row r="170" customHeight="1" spans="1:100">
      <c r="A170" s="29" t="s">
        <v>415</v>
      </c>
      <c r="B170" s="541" t="s">
        <v>1105</v>
      </c>
      <c r="C170" s="29" t="s">
        <v>1104</v>
      </c>
      <c r="D170" s="29" t="s">
        <v>416</v>
      </c>
      <c r="E170" s="29"/>
      <c r="F170" s="29" t="s">
        <v>1044</v>
      </c>
      <c r="G170" s="29" t="s">
        <v>1039</v>
      </c>
      <c r="H170" s="29" t="b">
        <v>0</v>
      </c>
      <c r="I170" s="29" t="b">
        <v>0</v>
      </c>
      <c r="J170" s="29" t="b">
        <v>1</v>
      </c>
      <c r="K170" s="29" t="b">
        <v>1</v>
      </c>
      <c r="L170" s="29" t="b">
        <v>0</v>
      </c>
      <c r="M170" s="29" t="b">
        <v>0</v>
      </c>
      <c r="O170" s="29">
        <v>0.25</v>
      </c>
      <c r="P170" s="29" t="b">
        <v>0</v>
      </c>
      <c r="Q170" s="29" t="b">
        <v>0</v>
      </c>
      <c r="R170" s="29" t="b">
        <v>0</v>
      </c>
      <c r="S170" s="29" t="b">
        <v>0</v>
      </c>
      <c r="T170" s="29" t="b">
        <f t="shared" si="0"/>
        <v>0</v>
      </c>
      <c r="U170" s="29" t="s">
        <v>997</v>
      </c>
      <c r="V170" s="29" t="s">
        <v>124</v>
      </c>
      <c r="W170" s="29">
        <v>2</v>
      </c>
      <c r="X170" s="29" t="s">
        <v>1064</v>
      </c>
      <c r="Y170" s="16" t="s">
        <v>1041</v>
      </c>
      <c r="Z170" s="29" t="s">
        <v>1052</v>
      </c>
      <c r="AA170" s="554" t="e">
        <f t="shared" ref="AA170:AC170" si="859">AVERAGE(AJ170,AM170,AP170,AV170,AY170,AS170,BZ170,BB170,BE170,BH170,BK170,BN170,BQ170,BT170)</f>
        <v>#DIV/0!</v>
      </c>
      <c r="AB170" s="555" t="e">
        <f t="shared" si="859"/>
        <v>#DIV/0!</v>
      </c>
      <c r="AC170" s="556" t="e">
        <f t="shared" si="859"/>
        <v>#DIV/0!</v>
      </c>
      <c r="AD170" s="29" t="b">
        <v>0</v>
      </c>
      <c r="AE170" s="29" t="b">
        <v>1</v>
      </c>
      <c r="AF170" s="29" t="b">
        <v>1</v>
      </c>
      <c r="AG170" s="574">
        <f>0.23*1.3</f>
        <v>0.299</v>
      </c>
      <c r="AH170" s="569">
        <f>0.39*1.3</f>
        <v>0.507</v>
      </c>
      <c r="AI170" s="570">
        <f>0.57*1.3</f>
        <v>0.741</v>
      </c>
      <c r="AJ170" s="569" t="s">
        <v>13</v>
      </c>
      <c r="AK170" s="569" t="s">
        <v>13</v>
      </c>
      <c r="AL170" s="570" t="s">
        <v>13</v>
      </c>
      <c r="AM170" s="569" t="s">
        <v>13</v>
      </c>
      <c r="AN170" s="569" t="s">
        <v>13</v>
      </c>
      <c r="AO170" s="570" t="s">
        <v>13</v>
      </c>
      <c r="AP170" s="569" t="s">
        <v>13</v>
      </c>
      <c r="AQ170" s="569" t="s">
        <v>13</v>
      </c>
      <c r="AR170" s="570" t="s">
        <v>13</v>
      </c>
      <c r="AS170" s="569"/>
      <c r="AT170" s="569"/>
      <c r="AU170" s="570"/>
      <c r="AV170" s="569"/>
      <c r="AW170" s="567"/>
      <c r="AX170" s="568"/>
      <c r="AY170" s="567"/>
      <c r="AZ170" s="567"/>
      <c r="BA170" s="568"/>
      <c r="BB170" s="567"/>
      <c r="BC170" s="567"/>
      <c r="BD170" s="568"/>
      <c r="BE170" s="567"/>
      <c r="BF170" s="567"/>
      <c r="BG170" s="568"/>
      <c r="BH170" s="567"/>
      <c r="BI170" s="567"/>
      <c r="BJ170" s="568"/>
      <c r="BK170" s="567"/>
      <c r="BL170" s="567"/>
      <c r="BM170" s="568"/>
      <c r="BN170" s="567"/>
      <c r="BO170" s="567"/>
      <c r="BP170" s="568"/>
      <c r="BQ170" s="567"/>
      <c r="BR170" s="567"/>
      <c r="BS170" s="568"/>
      <c r="BT170" s="567"/>
      <c r="BU170" s="567"/>
      <c r="BV170" s="568"/>
      <c r="BW170" s="567"/>
      <c r="BX170" s="567"/>
      <c r="BY170" s="568"/>
      <c r="BZ170" s="567"/>
      <c r="CA170" s="567"/>
      <c r="CB170" s="567"/>
      <c r="CC170" s="583"/>
      <c r="CD170" s="555" t="e">
        <f t="shared" ref="CD170:CF170" si="860">MEDIAN(AM170,AP170,AS170,AY170,BB170,AV170,AA170,BE170,BK170,BZ170,BH170,BN170,BQ170,BT170,BW170)</f>
        <v>#DIV/0!</v>
      </c>
      <c r="CE170" s="555" t="e">
        <f t="shared" si="860"/>
        <v>#DIV/0!</v>
      </c>
      <c r="CF170" s="556" t="e">
        <f t="shared" si="860"/>
        <v>#DIV/0!</v>
      </c>
      <c r="CG170" s="555" t="e">
        <f t="shared" ref="CG170:CI170" si="861">MAX(AP170,AS170,AV170,BB170,BE170,AY170,CD170,BK170,BZ170,AA170)-MIN(AP170,AS170,AV170,BB170,BE170,AY170,CD170,BK170,BZ170,AA170)</f>
        <v>#DIV/0!</v>
      </c>
      <c r="CH170" s="555" t="e">
        <f t="shared" si="861"/>
        <v>#DIV/0!</v>
      </c>
      <c r="CI170" s="556" t="e">
        <f t="shared" si="861"/>
        <v>#DIV/0!</v>
      </c>
      <c r="CJ170" s="555" t="e">
        <f t="shared" ref="CJ170:CL170" si="862">STDEV(AS170,AV170,AY170,BE170,BK170,BB170,CG170,BZ170,AA170,CD170)</f>
        <v>#DIV/0!</v>
      </c>
      <c r="CK170" s="555" t="e">
        <f t="shared" si="862"/>
        <v>#DIV/0!</v>
      </c>
      <c r="CL170" s="556" t="e">
        <f t="shared" si="862"/>
        <v>#DIV/0!</v>
      </c>
      <c r="CM170" s="555" t="e">
        <f t="shared" ref="CM170:CO170" si="863">CJ170/AA170</f>
        <v>#DIV/0!</v>
      </c>
      <c r="CN170" s="555" t="e">
        <f t="shared" si="863"/>
        <v>#DIV/0!</v>
      </c>
      <c r="CO170" s="556" t="e">
        <f t="shared" si="863"/>
        <v>#DIV/0!</v>
      </c>
      <c r="CP170" s="29" t="s">
        <v>120</v>
      </c>
      <c r="CQ170" s="535">
        <f t="shared" si="622"/>
        <v>2</v>
      </c>
      <c r="CR170" s="29" t="s">
        <v>120</v>
      </c>
      <c r="CS170" s="29" t="s">
        <v>120</v>
      </c>
      <c r="CT170" s="29" t="s">
        <v>120</v>
      </c>
      <c r="CU170" s="29" t="s">
        <v>120</v>
      </c>
      <c r="CV170" s="29" t="s">
        <v>120</v>
      </c>
    </row>
    <row r="171" customHeight="1" spans="1:100">
      <c r="A171" s="29" t="s">
        <v>417</v>
      </c>
      <c r="B171" s="541" t="s">
        <v>1105</v>
      </c>
      <c r="C171" s="29" t="s">
        <v>1104</v>
      </c>
      <c r="D171" s="29" t="s">
        <v>418</v>
      </c>
      <c r="E171" s="29"/>
      <c r="F171" s="29" t="s">
        <v>1044</v>
      </c>
      <c r="G171" s="29" t="s">
        <v>1039</v>
      </c>
      <c r="H171" s="29" t="b">
        <v>1</v>
      </c>
      <c r="I171" s="29" t="b">
        <v>1</v>
      </c>
      <c r="J171" s="29" t="b">
        <v>0</v>
      </c>
      <c r="K171" s="29" t="b">
        <v>1</v>
      </c>
      <c r="L171" s="29" t="b">
        <v>0</v>
      </c>
      <c r="M171" s="29" t="b">
        <v>0</v>
      </c>
      <c r="N171" s="29"/>
      <c r="O171" s="29">
        <v>0.25</v>
      </c>
      <c r="P171" s="29" t="b">
        <v>0</v>
      </c>
      <c r="Q171" s="29" t="b">
        <v>0</v>
      </c>
      <c r="R171" s="29" t="b">
        <v>0</v>
      </c>
      <c r="S171" s="29" t="b">
        <v>0</v>
      </c>
      <c r="T171" s="29" t="b">
        <f t="shared" si="0"/>
        <v>0</v>
      </c>
      <c r="U171" s="29" t="s">
        <v>997</v>
      </c>
      <c r="V171" s="29" t="s">
        <v>226</v>
      </c>
      <c r="W171" s="29">
        <v>2</v>
      </c>
      <c r="X171" s="29" t="s">
        <v>1064</v>
      </c>
      <c r="Y171" s="16" t="s">
        <v>1041</v>
      </c>
      <c r="Z171" s="29" t="s">
        <v>1052</v>
      </c>
      <c r="AA171" s="554">
        <f t="shared" ref="AA171:AC171" si="864">AVERAGE(AJ171,AM171,AP171,AV171,AY171,AS171,BZ171,BB171,BE171,BH171,BK171,BN171,BQ171,BT171)</f>
        <v>0.344444444444444</v>
      </c>
      <c r="AB171" s="555">
        <f t="shared" si="864"/>
        <v>0.536053368114997</v>
      </c>
      <c r="AC171" s="556">
        <f t="shared" si="864"/>
        <v>0.795292829775588</v>
      </c>
      <c r="AD171" s="29" t="b">
        <v>0</v>
      </c>
      <c r="AE171" s="29" t="b">
        <v>1</v>
      </c>
      <c r="AF171" s="29" t="b">
        <v>1</v>
      </c>
      <c r="AG171" s="574">
        <v>0.35</v>
      </c>
      <c r="AH171" s="569">
        <v>0.55</v>
      </c>
      <c r="AI171" s="570">
        <v>0.8</v>
      </c>
      <c r="AJ171" s="569" t="s">
        <v>13</v>
      </c>
      <c r="AK171" s="569">
        <v>0.5</v>
      </c>
      <c r="AL171" s="570" t="s">
        <v>13</v>
      </c>
      <c r="AM171" s="569">
        <f t="shared" ref="AM171:AO171" si="865">AM162/2</f>
        <v>0.355555555555556</v>
      </c>
      <c r="AN171" s="567">
        <f t="shared" si="865"/>
        <v>0.576245210727969</v>
      </c>
      <c r="AO171" s="568">
        <f t="shared" si="865"/>
        <v>0.796934865900383</v>
      </c>
      <c r="AP171" s="569">
        <f>(1.5/(1.5*1.5))/2</f>
        <v>0.333333333333333</v>
      </c>
      <c r="AQ171" s="569">
        <f>(0.94/(0.94*0.94))/2</f>
        <v>0.531914893617021</v>
      </c>
      <c r="AR171" s="570">
        <f>(0.63/(0.63*0.63))/2</f>
        <v>0.793650793650794</v>
      </c>
      <c r="AS171" s="567"/>
      <c r="AT171" s="567"/>
      <c r="AU171" s="568"/>
      <c r="AV171" s="567"/>
      <c r="AW171" s="567"/>
      <c r="AX171" s="568"/>
      <c r="AY171" s="567"/>
      <c r="AZ171" s="567"/>
      <c r="BA171" s="568"/>
      <c r="BB171" s="567"/>
      <c r="BC171" s="567"/>
      <c r="BD171" s="568"/>
      <c r="BE171" s="567"/>
      <c r="BF171" s="567"/>
      <c r="BG171" s="568"/>
      <c r="BH171" s="567"/>
      <c r="BI171" s="567"/>
      <c r="BJ171" s="568"/>
      <c r="BK171" s="567"/>
      <c r="BL171" s="567"/>
      <c r="BM171" s="568"/>
      <c r="BN171" s="567"/>
      <c r="BO171" s="567"/>
      <c r="BP171" s="568"/>
      <c r="BQ171" s="567"/>
      <c r="BR171" s="567"/>
      <c r="BS171" s="568"/>
      <c r="BT171" s="567"/>
      <c r="BU171" s="567"/>
      <c r="BV171" s="568"/>
      <c r="BW171" s="567"/>
      <c r="BX171" s="567"/>
      <c r="BY171" s="568"/>
      <c r="BZ171" s="567"/>
      <c r="CA171" s="567"/>
      <c r="CB171" s="567"/>
      <c r="CC171" s="583"/>
      <c r="CD171" s="555">
        <f t="shared" ref="CD171:CF171" si="866">MEDIAN(AM171,AP171,AS171,AY171,BB171,AV171,AA171,BE171,BK171,BZ171,BH171,BN171,BQ171,BT171,BW171)</f>
        <v>0.344444444444444</v>
      </c>
      <c r="CE171" s="555">
        <f t="shared" si="866"/>
        <v>0.536053368114997</v>
      </c>
      <c r="CF171" s="556">
        <f t="shared" si="866"/>
        <v>0.795292829775588</v>
      </c>
      <c r="CG171" s="555">
        <f t="shared" ref="CG171:CI171" si="867">MAX(AP171,AS171,AV171,BB171,BE171,AY171,CD171,BK171,BZ171,AA171)-MIN(AP171,AS171,AV171,BB171,BE171,AY171,CD171,BK171,BZ171,AA171)</f>
        <v>0.0111111111111111</v>
      </c>
      <c r="CH171" s="555">
        <f t="shared" si="867"/>
        <v>0.00413847449797566</v>
      </c>
      <c r="CI171" s="556">
        <f t="shared" si="867"/>
        <v>0.00164203612479474</v>
      </c>
      <c r="CJ171" s="555">
        <f t="shared" ref="CJ171:CL171" si="868">STDEV(AS171,AV171,AY171,BE171,BK171,BB171,CG171,BZ171,AA171,CD171)</f>
        <v>0.192450089729875</v>
      </c>
      <c r="CK171" s="555">
        <f t="shared" si="868"/>
        <v>0.307101207015758</v>
      </c>
      <c r="CL171" s="556">
        <f t="shared" si="868"/>
        <v>0.458214499356846</v>
      </c>
      <c r="CM171" s="555">
        <f t="shared" ref="CM171:CO171" si="869">CJ171/AA171</f>
        <v>0.558726066957702</v>
      </c>
      <c r="CN171" s="555">
        <f t="shared" si="869"/>
        <v>0.572892971637625</v>
      </c>
      <c r="CO171" s="556">
        <f t="shared" si="869"/>
        <v>0.576158217704719</v>
      </c>
      <c r="CP171" s="29" t="s">
        <v>120</v>
      </c>
      <c r="CQ171" s="535">
        <f t="shared" si="622"/>
        <v>2</v>
      </c>
      <c r="CR171" s="29" t="s">
        <v>120</v>
      </c>
      <c r="CS171" s="29" t="s">
        <v>120</v>
      </c>
      <c r="CT171" s="29" t="s">
        <v>120</v>
      </c>
      <c r="CU171" s="29" t="s">
        <v>120</v>
      </c>
      <c r="CV171" s="29" t="s">
        <v>120</v>
      </c>
    </row>
    <row r="172" customHeight="1" spans="1:100">
      <c r="A172" s="29" t="s">
        <v>419</v>
      </c>
      <c r="B172" s="541" t="s">
        <v>1105</v>
      </c>
      <c r="C172" s="29" t="s">
        <v>1104</v>
      </c>
      <c r="D172" s="29" t="s">
        <v>420</v>
      </c>
      <c r="E172" s="29"/>
      <c r="F172" s="29" t="s">
        <v>1044</v>
      </c>
      <c r="G172" s="29" t="s">
        <v>1039</v>
      </c>
      <c r="H172" s="29" t="b">
        <v>0</v>
      </c>
      <c r="I172" s="29" t="b">
        <v>0</v>
      </c>
      <c r="J172" s="29" t="b">
        <v>1</v>
      </c>
      <c r="K172" s="29" t="b">
        <v>1</v>
      </c>
      <c r="L172" s="29" t="b">
        <v>0</v>
      </c>
      <c r="M172" s="29" t="b">
        <v>0</v>
      </c>
      <c r="N172" s="29"/>
      <c r="O172" s="29">
        <v>0.25</v>
      </c>
      <c r="P172" s="29" t="b">
        <v>0</v>
      </c>
      <c r="Q172" s="29" t="b">
        <v>0</v>
      </c>
      <c r="R172" s="29" t="b">
        <v>0</v>
      </c>
      <c r="S172" s="29" t="b">
        <v>0</v>
      </c>
      <c r="T172" s="29" t="b">
        <f t="shared" si="0"/>
        <v>0</v>
      </c>
      <c r="U172" s="29" t="s">
        <v>997</v>
      </c>
      <c r="V172" s="29" t="s">
        <v>381</v>
      </c>
      <c r="W172" s="29">
        <v>2</v>
      </c>
      <c r="X172" s="29" t="s">
        <v>1064</v>
      </c>
      <c r="Y172" s="16" t="s">
        <v>1041</v>
      </c>
      <c r="Z172" s="29" t="s">
        <v>1052</v>
      </c>
      <c r="AA172" s="554">
        <f t="shared" ref="AA172:AC172" si="870">AVERAGE(AJ172,AM172,AP172,AV172,AY172,AS172,BZ172,BB172,BE172,BH172,BK172,BN172,BQ172,BT172)</f>
        <v>1.31431079894644</v>
      </c>
      <c r="AB172" s="555">
        <f t="shared" si="870"/>
        <v>1.77170868347339</v>
      </c>
      <c r="AC172" s="556" t="e">
        <f t="shared" si="870"/>
        <v>#DIV/0!</v>
      </c>
      <c r="AD172" s="29" t="b">
        <v>0</v>
      </c>
      <c r="AE172" s="29" t="b">
        <v>1</v>
      </c>
      <c r="AF172" s="29" t="b">
        <v>1</v>
      </c>
      <c r="AG172" s="574">
        <v>1.31</v>
      </c>
      <c r="AH172" s="569">
        <v>1.77</v>
      </c>
      <c r="AI172" s="570" t="s">
        <v>13</v>
      </c>
      <c r="AJ172" s="569" t="s">
        <v>13</v>
      </c>
      <c r="AK172" s="569" t="s">
        <v>13</v>
      </c>
      <c r="AL172" s="569" t="s">
        <v>13</v>
      </c>
      <c r="AM172" s="569">
        <f>32/17</f>
        <v>1.88235294117647</v>
      </c>
      <c r="AN172" s="567">
        <f>((32)/17)*0.25+AM172</f>
        <v>2.35294117647059</v>
      </c>
      <c r="AO172" s="570" t="s">
        <v>13</v>
      </c>
      <c r="AP172" s="569">
        <f>(0.67/(0.67*0.67))/2</f>
        <v>0.746268656716418</v>
      </c>
      <c r="AQ172" s="569">
        <f>(0.42/(0.42*0.42))/2</f>
        <v>1.19047619047619</v>
      </c>
      <c r="AR172" s="570" t="s">
        <v>13</v>
      </c>
      <c r="AS172" s="567"/>
      <c r="AT172" s="567"/>
      <c r="AU172" s="568"/>
      <c r="AV172" s="567"/>
      <c r="AW172" s="567"/>
      <c r="AX172" s="568"/>
      <c r="AY172" s="567"/>
      <c r="AZ172" s="567"/>
      <c r="BA172" s="568"/>
      <c r="BB172" s="567"/>
      <c r="BC172" s="567"/>
      <c r="BD172" s="568"/>
      <c r="BE172" s="567"/>
      <c r="BF172" s="567"/>
      <c r="BG172" s="568"/>
      <c r="BH172" s="567"/>
      <c r="BI172" s="567"/>
      <c r="BJ172" s="568"/>
      <c r="BK172" s="567"/>
      <c r="BL172" s="567"/>
      <c r="BM172" s="568"/>
      <c r="BN172" s="567"/>
      <c r="BO172" s="567"/>
      <c r="BP172" s="568"/>
      <c r="BQ172" s="567"/>
      <c r="BR172" s="567"/>
      <c r="BS172" s="568"/>
      <c r="BT172" s="567"/>
      <c r="BU172" s="567"/>
      <c r="BV172" s="568"/>
      <c r="BW172" s="567"/>
      <c r="BX172" s="567"/>
      <c r="BY172" s="568"/>
      <c r="BZ172" s="567"/>
      <c r="CA172" s="567"/>
      <c r="CB172" s="567"/>
      <c r="CC172" s="583"/>
      <c r="CD172" s="555">
        <f t="shared" ref="CD172:CF172" si="871">MEDIAN(AM172,AP172,AS172,AY172,BB172,AV172,AA172,BE172,BK172,BZ172,BH172,BN172,BQ172,BT172,BW172)</f>
        <v>1.31431079894644</v>
      </c>
      <c r="CE172" s="555">
        <f t="shared" si="871"/>
        <v>1.77170868347339</v>
      </c>
      <c r="CF172" s="556" t="e">
        <f t="shared" si="871"/>
        <v>#DIV/0!</v>
      </c>
      <c r="CG172" s="555">
        <f t="shared" ref="CG172:CI172" si="872">MAX(AP172,AS172,AV172,BB172,BE172,AY172,CD172,BK172,BZ172,AA172)-MIN(AP172,AS172,AV172,BB172,BE172,AY172,CD172,BK172,BZ172,AA172)</f>
        <v>0.568042142230026</v>
      </c>
      <c r="CH172" s="555">
        <f t="shared" si="872"/>
        <v>0.581232492997199</v>
      </c>
      <c r="CI172" s="556" t="e">
        <f t="shared" si="872"/>
        <v>#DIV/0!</v>
      </c>
      <c r="CJ172" s="555">
        <f t="shared" ref="CJ172:CL172" si="873">STDEV(AS172,AV172,AY172,BE172,BK172,BB172,CG172,BZ172,AA172,CD172)</f>
        <v>0.430858409843004</v>
      </c>
      <c r="CK172" s="555">
        <f t="shared" si="873"/>
        <v>0.687321749035269</v>
      </c>
      <c r="CL172" s="556" t="e">
        <f t="shared" si="873"/>
        <v>#DIV/0!</v>
      </c>
      <c r="CM172" s="555">
        <f t="shared" ref="CM172:CO172" si="874">CJ172/AA172</f>
        <v>0.327820794129046</v>
      </c>
      <c r="CN172" s="555">
        <f t="shared" si="874"/>
        <v>0.38794286862544</v>
      </c>
      <c r="CO172" s="556" t="e">
        <f t="shared" si="874"/>
        <v>#DIV/0!</v>
      </c>
      <c r="CP172" s="29" t="s">
        <v>120</v>
      </c>
      <c r="CQ172" s="535">
        <f t="shared" si="622"/>
        <v>2</v>
      </c>
      <c r="CR172" s="29" t="s">
        <v>120</v>
      </c>
      <c r="CS172" s="29" t="s">
        <v>120</v>
      </c>
      <c r="CT172" s="29" t="s">
        <v>120</v>
      </c>
      <c r="CU172" s="29" t="s">
        <v>120</v>
      </c>
      <c r="CV172" s="29" t="s">
        <v>120</v>
      </c>
    </row>
    <row r="173" customHeight="1" spans="1:100">
      <c r="A173" s="29" t="s">
        <v>421</v>
      </c>
      <c r="B173" s="541" t="s">
        <v>1107</v>
      </c>
      <c r="C173" s="29" t="s">
        <v>1108</v>
      </c>
      <c r="D173" s="29" t="s">
        <v>422</v>
      </c>
      <c r="E173" s="29"/>
      <c r="F173" s="29" t="s">
        <v>1044</v>
      </c>
      <c r="G173" s="29" t="s">
        <v>1039</v>
      </c>
      <c r="H173" s="29" t="b">
        <v>1</v>
      </c>
      <c r="I173" s="29" t="b">
        <v>1</v>
      </c>
      <c r="J173" s="29" t="b">
        <v>0</v>
      </c>
      <c r="K173" s="29" t="b">
        <v>0</v>
      </c>
      <c r="L173" s="29" t="b">
        <v>0</v>
      </c>
      <c r="M173" s="29" t="b">
        <v>0</v>
      </c>
      <c r="N173" s="29" t="s">
        <v>350</v>
      </c>
      <c r="O173" s="29">
        <v>1</v>
      </c>
      <c r="P173" s="29" t="b">
        <v>0</v>
      </c>
      <c r="Q173" s="29" t="b">
        <v>0</v>
      </c>
      <c r="R173" s="29" t="b">
        <v>0</v>
      </c>
      <c r="S173" s="29" t="b">
        <v>0</v>
      </c>
      <c r="T173" s="29" t="b">
        <f t="shared" si="0"/>
        <v>0</v>
      </c>
      <c r="U173" s="29" t="s">
        <v>1071</v>
      </c>
      <c r="V173" s="29" t="s">
        <v>140</v>
      </c>
      <c r="W173" s="29">
        <v>1</v>
      </c>
      <c r="X173" s="29" t="s">
        <v>1064</v>
      </c>
      <c r="Y173" s="16" t="s">
        <v>1041</v>
      </c>
      <c r="Z173" s="29" t="s">
        <v>1052</v>
      </c>
      <c r="AA173" s="554" t="e">
        <f t="shared" ref="AA173:AC173" si="875">AVERAGE(AJ173,AM173,AP173,AV173,AY173,AS173,BZ173,BB173,BE173,BH173,BK173,BN173,BQ173,BT173)</f>
        <v>#DIV/0!</v>
      </c>
      <c r="AB173" s="555" t="e">
        <f t="shared" si="875"/>
        <v>#DIV/0!</v>
      </c>
      <c r="AC173" s="556" t="e">
        <f t="shared" si="875"/>
        <v>#DIV/0!</v>
      </c>
      <c r="AD173" s="29" t="b">
        <v>1</v>
      </c>
      <c r="AE173" s="29" t="b">
        <v>0</v>
      </c>
      <c r="AF173" s="29" t="b">
        <v>0</v>
      </c>
      <c r="AG173" s="574">
        <v>0.75</v>
      </c>
      <c r="AH173" s="569">
        <v>1.25</v>
      </c>
      <c r="AI173" s="568"/>
      <c r="AJ173" s="567"/>
      <c r="AK173" s="567"/>
      <c r="AL173" s="567"/>
      <c r="AM173" s="569" t="s">
        <v>13</v>
      </c>
      <c r="AN173" s="569" t="s">
        <v>13</v>
      </c>
      <c r="AO173" s="570" t="s">
        <v>13</v>
      </c>
      <c r="AP173" s="569" t="s">
        <v>13</v>
      </c>
      <c r="AQ173" s="569" t="s">
        <v>13</v>
      </c>
      <c r="AR173" s="570" t="s">
        <v>13</v>
      </c>
      <c r="AS173" s="567"/>
      <c r="AT173" s="567"/>
      <c r="AU173" s="568"/>
      <c r="AV173" s="567"/>
      <c r="AW173" s="567"/>
      <c r="AX173" s="568"/>
      <c r="AY173" s="567"/>
      <c r="AZ173" s="567"/>
      <c r="BA173" s="568"/>
      <c r="BB173" s="567"/>
      <c r="BC173" s="567"/>
      <c r="BD173" s="568"/>
      <c r="BE173" s="567"/>
      <c r="BF173" s="567"/>
      <c r="BG173" s="568"/>
      <c r="BH173" s="567"/>
      <c r="BI173" s="567"/>
      <c r="BJ173" s="568"/>
      <c r="BK173" s="567"/>
      <c r="BL173" s="567"/>
      <c r="BM173" s="568"/>
      <c r="BN173" s="567"/>
      <c r="BO173" s="567"/>
      <c r="BP173" s="568"/>
      <c r="BQ173" s="567"/>
      <c r="BR173" s="567"/>
      <c r="BS173" s="568"/>
      <c r="BT173" s="567"/>
      <c r="BU173" s="567"/>
      <c r="BV173" s="568"/>
      <c r="BW173" s="567"/>
      <c r="BX173" s="567"/>
      <c r="BY173" s="568"/>
      <c r="BZ173" s="567"/>
      <c r="CA173" s="567"/>
      <c r="CB173" s="567"/>
      <c r="CC173" s="583"/>
      <c r="CD173" s="555" t="e">
        <f t="shared" ref="CD173:CF173" si="876">MEDIAN(AM173,AP173,AS173,AY173,BB173,AV173,AA173,BE173,BK173,BZ173,BH173,BN173,BQ173,BT173,BW173)</f>
        <v>#DIV/0!</v>
      </c>
      <c r="CE173" s="555" t="e">
        <f t="shared" si="876"/>
        <v>#DIV/0!</v>
      </c>
      <c r="CF173" s="556" t="e">
        <f t="shared" si="876"/>
        <v>#DIV/0!</v>
      </c>
      <c r="CG173" s="555" t="e">
        <f t="shared" ref="CG173:CI173" si="877">MAX(AP173,AS173,AV173,BB173,BE173,AY173,CD173,BK173,BZ173,AA173)-MIN(AP173,AS173,AV173,BB173,BE173,AY173,CD173,BK173,BZ173,AA173)</f>
        <v>#DIV/0!</v>
      </c>
      <c r="CH173" s="555" t="e">
        <f t="shared" si="877"/>
        <v>#DIV/0!</v>
      </c>
      <c r="CI173" s="556" t="e">
        <f t="shared" si="877"/>
        <v>#DIV/0!</v>
      </c>
      <c r="CJ173" s="555" t="e">
        <f t="shared" ref="CJ173:CL173" si="878">STDEV(AS173,AV173,AY173,BE173,BK173,BB173,CG173,BZ173,AA173,CD173)</f>
        <v>#DIV/0!</v>
      </c>
      <c r="CK173" s="555" t="e">
        <f t="shared" si="878"/>
        <v>#DIV/0!</v>
      </c>
      <c r="CL173" s="556" t="e">
        <f t="shared" si="878"/>
        <v>#DIV/0!</v>
      </c>
      <c r="CM173" s="555" t="e">
        <f t="shared" ref="CM173:CO173" si="879">CJ173/AA173</f>
        <v>#DIV/0!</v>
      </c>
      <c r="CN173" s="555" t="e">
        <f t="shared" si="879"/>
        <v>#DIV/0!</v>
      </c>
      <c r="CO173" s="556" t="e">
        <f t="shared" si="879"/>
        <v>#DIV/0!</v>
      </c>
      <c r="CP173" s="29" t="s">
        <v>120</v>
      </c>
      <c r="CQ173" s="535">
        <f t="shared" si="622"/>
        <v>1</v>
      </c>
      <c r="CR173" s="29" t="s">
        <v>120</v>
      </c>
      <c r="CS173" s="29" t="s">
        <v>120</v>
      </c>
      <c r="CT173" s="29" t="s">
        <v>120</v>
      </c>
      <c r="CU173" s="29" t="s">
        <v>120</v>
      </c>
      <c r="CV173" s="29" t="s">
        <v>120</v>
      </c>
    </row>
    <row r="174" customHeight="1" spans="1:100">
      <c r="A174" s="29" t="s">
        <v>423</v>
      </c>
      <c r="B174" s="541" t="s">
        <v>1107</v>
      </c>
      <c r="C174" s="29" t="s">
        <v>1108</v>
      </c>
      <c r="D174" s="29" t="s">
        <v>422</v>
      </c>
      <c r="F174" s="29" t="s">
        <v>1044</v>
      </c>
      <c r="G174" s="29" t="s">
        <v>1039</v>
      </c>
      <c r="H174" s="29" t="b">
        <v>1</v>
      </c>
      <c r="I174" s="29" t="b">
        <v>1</v>
      </c>
      <c r="J174" s="29" t="b">
        <v>0</v>
      </c>
      <c r="K174" s="29" t="b">
        <v>0</v>
      </c>
      <c r="L174" s="29" t="b">
        <v>0</v>
      </c>
      <c r="M174" s="29" t="b">
        <v>0</v>
      </c>
      <c r="N174" s="29" t="s">
        <v>350</v>
      </c>
      <c r="O174" s="29">
        <v>1.25</v>
      </c>
      <c r="P174" s="29" t="b">
        <v>0</v>
      </c>
      <c r="Q174" s="29" t="b">
        <v>0</v>
      </c>
      <c r="R174" s="29" t="b">
        <v>0</v>
      </c>
      <c r="S174" s="29" t="b">
        <v>0</v>
      </c>
      <c r="T174" s="29" t="b">
        <f t="shared" si="0"/>
        <v>0</v>
      </c>
      <c r="U174" s="29" t="s">
        <v>997</v>
      </c>
      <c r="V174" s="29" t="s">
        <v>140</v>
      </c>
      <c r="W174" s="29">
        <v>1</v>
      </c>
      <c r="X174" s="29" t="s">
        <v>1064</v>
      </c>
      <c r="Y174" s="16" t="s">
        <v>1041</v>
      </c>
      <c r="Z174" s="29" t="s">
        <v>1052</v>
      </c>
      <c r="AA174" s="554" t="e">
        <f t="shared" ref="AA174:AC174" si="880">AVERAGE(AJ174,AM174,AP174,AV174,AY174,AS174,BZ174,BB174,BE174,BH174,BK174,BN174,BQ174,BT174)</f>
        <v>#DIV/0!</v>
      </c>
      <c r="AB174" s="555" t="e">
        <f t="shared" si="880"/>
        <v>#DIV/0!</v>
      </c>
      <c r="AC174" s="556" t="e">
        <f t="shared" si="880"/>
        <v>#DIV/0!</v>
      </c>
      <c r="AD174" s="29" t="b">
        <v>1</v>
      </c>
      <c r="AE174" s="29" t="b">
        <v>0</v>
      </c>
      <c r="AF174" s="29" t="b">
        <v>0</v>
      </c>
      <c r="AG174" s="574">
        <v>1.25</v>
      </c>
      <c r="AH174" s="569">
        <v>2</v>
      </c>
      <c r="AI174" s="568"/>
      <c r="AJ174" s="567"/>
      <c r="AK174" s="567"/>
      <c r="AL174" s="568"/>
      <c r="AM174" s="567"/>
      <c r="AN174" s="567"/>
      <c r="AO174" s="568"/>
      <c r="AP174" s="567"/>
      <c r="AQ174" s="567"/>
      <c r="AR174" s="568"/>
      <c r="AS174" s="567"/>
      <c r="AT174" s="567"/>
      <c r="AU174" s="568"/>
      <c r="AV174" s="567"/>
      <c r="AW174" s="567"/>
      <c r="AX174" s="568"/>
      <c r="AY174" s="567"/>
      <c r="AZ174" s="567"/>
      <c r="BA174" s="568"/>
      <c r="BB174" s="567"/>
      <c r="BC174" s="567"/>
      <c r="BD174" s="568"/>
      <c r="BE174" s="567"/>
      <c r="BF174" s="567"/>
      <c r="BG174" s="568"/>
      <c r="BH174" s="567"/>
      <c r="BI174" s="567"/>
      <c r="BJ174" s="568"/>
      <c r="BK174" s="567"/>
      <c r="BL174" s="567"/>
      <c r="BM174" s="568"/>
      <c r="BN174" s="567"/>
      <c r="BO174" s="567"/>
      <c r="BP174" s="568"/>
      <c r="BQ174" s="567"/>
      <c r="BR174" s="567"/>
      <c r="BS174" s="568"/>
      <c r="BT174" s="567"/>
      <c r="BU174" s="567"/>
      <c r="BV174" s="568"/>
      <c r="BW174" s="567"/>
      <c r="BX174" s="567"/>
      <c r="BY174" s="568"/>
      <c r="BZ174" s="567"/>
      <c r="CA174" s="567"/>
      <c r="CB174" s="567"/>
      <c r="CC174" s="583"/>
      <c r="CD174" s="555" t="e">
        <f t="shared" ref="CD174:CF174" si="881">MEDIAN(AM174,AP174,AS174,AY174,BB174,AV174,AA174,BE174,BK174,BZ174,BH174,BN174,BQ174,BT174,BW174)</f>
        <v>#DIV/0!</v>
      </c>
      <c r="CE174" s="555" t="e">
        <f t="shared" si="881"/>
        <v>#DIV/0!</v>
      </c>
      <c r="CF174" s="556" t="e">
        <f t="shared" si="881"/>
        <v>#DIV/0!</v>
      </c>
      <c r="CG174" s="555" t="e">
        <f t="shared" ref="CG174:CI174" si="882">MAX(AP174,AS174,AV174,BB174,BE174,AY174,CD174,BK174,BZ174,AA174)-MIN(AP174,AS174,AV174,BB174,BE174,AY174,CD174,BK174,BZ174,AA174)</f>
        <v>#DIV/0!</v>
      </c>
      <c r="CH174" s="555" t="e">
        <f t="shared" si="882"/>
        <v>#DIV/0!</v>
      </c>
      <c r="CI174" s="556" t="e">
        <f t="shared" si="882"/>
        <v>#DIV/0!</v>
      </c>
      <c r="CJ174" s="555" t="e">
        <f t="shared" ref="CJ174:CL174" si="883">STDEV(AS174,AV174,AY174,BE174,BK174,BB174,CG174,BZ174,AA174,CD174)</f>
        <v>#DIV/0!</v>
      </c>
      <c r="CK174" s="555" t="e">
        <f t="shared" si="883"/>
        <v>#DIV/0!</v>
      </c>
      <c r="CL174" s="556" t="e">
        <f t="shared" si="883"/>
        <v>#DIV/0!</v>
      </c>
      <c r="CM174" s="555" t="e">
        <f t="shared" ref="CM174:CO174" si="884">CJ174/AA174</f>
        <v>#DIV/0!</v>
      </c>
      <c r="CN174" s="555" t="e">
        <f t="shared" si="884"/>
        <v>#DIV/0!</v>
      </c>
      <c r="CO174" s="556" t="e">
        <f t="shared" si="884"/>
        <v>#DIV/0!</v>
      </c>
      <c r="CP174" s="29" t="s">
        <v>120</v>
      </c>
      <c r="CQ174" s="535">
        <f t="shared" si="622"/>
        <v>1</v>
      </c>
      <c r="CR174" s="29" t="s">
        <v>120</v>
      </c>
      <c r="CS174" s="29"/>
      <c r="CT174" s="29"/>
      <c r="CU174" s="29"/>
      <c r="CV174" s="29"/>
    </row>
    <row r="175" customHeight="1" spans="1:100">
      <c r="A175" s="29" t="s">
        <v>424</v>
      </c>
      <c r="B175" s="541" t="s">
        <v>1107</v>
      </c>
      <c r="C175" s="29" t="s">
        <v>1108</v>
      </c>
      <c r="D175" s="29" t="s">
        <v>425</v>
      </c>
      <c r="F175" s="29" t="s">
        <v>1044</v>
      </c>
      <c r="G175" s="29" t="s">
        <v>1039</v>
      </c>
      <c r="H175" s="29" t="b">
        <v>1</v>
      </c>
      <c r="I175" s="29" t="b">
        <v>1</v>
      </c>
      <c r="J175" s="29" t="b">
        <v>0</v>
      </c>
      <c r="K175" s="29" t="b">
        <v>0</v>
      </c>
      <c r="L175" s="29" t="b">
        <v>0</v>
      </c>
      <c r="M175" s="29" t="b">
        <v>0</v>
      </c>
      <c r="N175" s="29" t="s">
        <v>350</v>
      </c>
      <c r="O175" s="29">
        <v>2</v>
      </c>
      <c r="P175" s="29" t="b">
        <v>0</v>
      </c>
      <c r="Q175" s="29" t="b">
        <v>0</v>
      </c>
      <c r="R175" s="29" t="b">
        <v>0</v>
      </c>
      <c r="S175" s="29" t="b">
        <v>0</v>
      </c>
      <c r="T175" s="29" t="b">
        <f t="shared" si="0"/>
        <v>0</v>
      </c>
      <c r="U175" s="29" t="s">
        <v>997</v>
      </c>
      <c r="V175" s="29" t="s">
        <v>140</v>
      </c>
      <c r="W175" s="29">
        <v>1</v>
      </c>
      <c r="X175" s="29" t="s">
        <v>1064</v>
      </c>
      <c r="Y175" s="16" t="s">
        <v>1041</v>
      </c>
      <c r="Z175" s="29" t="s">
        <v>1052</v>
      </c>
      <c r="AA175" s="554">
        <f t="shared" ref="AA175:AC175" si="885">AVERAGE(AJ175,AM175,AP175,AV175,AY175,AS175,BZ175,BB175,BE175,BH175,BK175,BN175,BQ175,BT175)</f>
        <v>2</v>
      </c>
      <c r="AB175" s="555">
        <f t="shared" si="885"/>
        <v>3.25</v>
      </c>
      <c r="AC175" s="556">
        <f t="shared" si="885"/>
        <v>4.08</v>
      </c>
      <c r="AD175" s="29" t="b">
        <v>1</v>
      </c>
      <c r="AE175" s="29" t="b">
        <v>0</v>
      </c>
      <c r="AF175" s="29" t="b">
        <v>0</v>
      </c>
      <c r="AG175" s="574">
        <v>1.5</v>
      </c>
      <c r="AH175" s="569">
        <v>2.25</v>
      </c>
      <c r="AI175" s="568"/>
      <c r="AJ175" s="567"/>
      <c r="AK175" s="567"/>
      <c r="AL175" s="568"/>
      <c r="AM175" s="567"/>
      <c r="AN175" s="567"/>
      <c r="AO175" s="568"/>
      <c r="AP175" s="569">
        <v>2</v>
      </c>
      <c r="AQ175" s="569">
        <f>AP175+1.25</f>
        <v>3.25</v>
      </c>
      <c r="AR175" s="570">
        <f>AQ175+0.83</f>
        <v>4.08</v>
      </c>
      <c r="AS175" s="567"/>
      <c r="AT175" s="567"/>
      <c r="AU175" s="568"/>
      <c r="AV175" s="567"/>
      <c r="AW175" s="567"/>
      <c r="AX175" s="568"/>
      <c r="AY175" s="567"/>
      <c r="AZ175" s="567"/>
      <c r="BA175" s="568"/>
      <c r="BB175" s="567"/>
      <c r="BC175" s="567"/>
      <c r="BD175" s="568"/>
      <c r="BE175" s="567"/>
      <c r="BF175" s="567"/>
      <c r="BG175" s="568"/>
      <c r="BH175" s="567"/>
      <c r="BI175" s="567"/>
      <c r="BJ175" s="568"/>
      <c r="BK175" s="567"/>
      <c r="BL175" s="567"/>
      <c r="BM175" s="568"/>
      <c r="BN175" s="567"/>
      <c r="BO175" s="567"/>
      <c r="BP175" s="568"/>
      <c r="BQ175" s="567"/>
      <c r="BR175" s="567"/>
      <c r="BS175" s="568"/>
      <c r="BT175" s="567"/>
      <c r="BU175" s="567"/>
      <c r="BV175" s="568"/>
      <c r="BW175" s="567"/>
      <c r="BX175" s="567"/>
      <c r="BY175" s="568"/>
      <c r="BZ175" s="567"/>
      <c r="CA175" s="567"/>
      <c r="CB175" s="567"/>
      <c r="CC175" s="583"/>
      <c r="CD175" s="555">
        <f t="shared" ref="CD175:CF175" si="886">MEDIAN(AM175,AP175,AS175,AY175,BB175,AV175,AA175,BE175,BK175,BZ175,BH175,BN175,BQ175,BT175,BW175)</f>
        <v>2</v>
      </c>
      <c r="CE175" s="555">
        <f t="shared" si="886"/>
        <v>3.25</v>
      </c>
      <c r="CF175" s="556">
        <f t="shared" si="886"/>
        <v>4.08</v>
      </c>
      <c r="CG175" s="555">
        <f t="shared" ref="CG175:CI175" si="887">MAX(AP175,AS175,AV175,BB175,BE175,AY175,CD175,BK175,BZ175,AA175)-MIN(AP175,AS175,AV175,BB175,BE175,AY175,CD175,BK175,BZ175,AA175)</f>
        <v>0</v>
      </c>
      <c r="CH175" s="555">
        <f t="shared" si="887"/>
        <v>0</v>
      </c>
      <c r="CI175" s="556">
        <f t="shared" si="887"/>
        <v>0</v>
      </c>
      <c r="CJ175" s="555">
        <f t="shared" ref="CJ175:CL175" si="888">STDEV(AS175,AV175,AY175,BE175,BK175,BB175,CG175,BZ175,AA175,CD175)</f>
        <v>1.15470053837925</v>
      </c>
      <c r="CK175" s="555">
        <f t="shared" si="888"/>
        <v>1.87638837486628</v>
      </c>
      <c r="CL175" s="556">
        <f t="shared" si="888"/>
        <v>2.35558909829367</v>
      </c>
      <c r="CM175" s="555">
        <f t="shared" ref="CM175:CO175" si="889">CJ175/AA175</f>
        <v>0.577350269189626</v>
      </c>
      <c r="CN175" s="555">
        <f t="shared" si="889"/>
        <v>0.577350269189626</v>
      </c>
      <c r="CO175" s="556">
        <f t="shared" si="889"/>
        <v>0.577350269189626</v>
      </c>
      <c r="CP175" s="29" t="s">
        <v>120</v>
      </c>
      <c r="CQ175" s="535">
        <f t="shared" si="622"/>
        <v>1</v>
      </c>
      <c r="CR175" s="29" t="s">
        <v>120</v>
      </c>
      <c r="CS175" s="29"/>
      <c r="CT175" s="29"/>
      <c r="CU175" s="29"/>
      <c r="CV175" s="29"/>
    </row>
    <row r="176" customHeight="1" spans="1:100">
      <c r="A176" s="29" t="s">
        <v>426</v>
      </c>
      <c r="B176" s="541" t="s">
        <v>1107</v>
      </c>
      <c r="C176" s="29" t="s">
        <v>1108</v>
      </c>
      <c r="D176" s="29" t="s">
        <v>427</v>
      </c>
      <c r="F176" s="29" t="s">
        <v>1044</v>
      </c>
      <c r="G176" s="29" t="s">
        <v>1039</v>
      </c>
      <c r="H176" s="29" t="b">
        <v>1</v>
      </c>
      <c r="I176" s="29" t="b">
        <v>1</v>
      </c>
      <c r="J176" s="29" t="b">
        <v>0</v>
      </c>
      <c r="K176" s="29" t="b">
        <v>0</v>
      </c>
      <c r="L176" s="29" t="b">
        <v>0</v>
      </c>
      <c r="M176" s="29" t="b">
        <v>0</v>
      </c>
      <c r="N176" s="29" t="s">
        <v>350</v>
      </c>
      <c r="O176" s="29">
        <v>2.25</v>
      </c>
      <c r="P176" s="29" t="b">
        <v>0</v>
      </c>
      <c r="Q176" s="29" t="b">
        <v>0</v>
      </c>
      <c r="R176" s="29" t="b">
        <v>0</v>
      </c>
      <c r="S176" s="29" t="b">
        <v>0</v>
      </c>
      <c r="T176" s="29" t="b">
        <f t="shared" si="0"/>
        <v>0</v>
      </c>
      <c r="U176" s="29" t="s">
        <v>997</v>
      </c>
      <c r="V176" s="29" t="s">
        <v>140</v>
      </c>
      <c r="W176" s="29">
        <v>1</v>
      </c>
      <c r="X176" s="29" t="s">
        <v>1064</v>
      </c>
      <c r="Y176" s="16" t="s">
        <v>1041</v>
      </c>
      <c r="Z176" s="29" t="s">
        <v>1052</v>
      </c>
      <c r="AA176" s="554" t="e">
        <f t="shared" ref="AA176:AC176" si="890">AVERAGE(AJ176,AM176,AP176,AV176,AY176,AS176,BZ176,BB176,BE176,BH176,BK176,BN176,BQ176,BT176)</f>
        <v>#DIV/0!</v>
      </c>
      <c r="AB176" s="555" t="e">
        <f t="shared" si="890"/>
        <v>#DIV/0!</v>
      </c>
      <c r="AC176" s="556" t="e">
        <f t="shared" si="890"/>
        <v>#DIV/0!</v>
      </c>
      <c r="AD176" s="29" t="b">
        <v>1</v>
      </c>
      <c r="AE176" s="29" t="b">
        <v>0</v>
      </c>
      <c r="AF176" s="29" t="b">
        <v>0</v>
      </c>
      <c r="AG176" s="574">
        <v>2</v>
      </c>
      <c r="AH176" s="569">
        <v>2.75</v>
      </c>
      <c r="AI176" s="568"/>
      <c r="AJ176" s="567"/>
      <c r="AK176" s="567"/>
      <c r="AL176" s="567"/>
      <c r="AM176" s="567"/>
      <c r="AN176" s="567"/>
      <c r="AO176" s="568"/>
      <c r="AP176" s="567"/>
      <c r="AQ176" s="567"/>
      <c r="AR176" s="568"/>
      <c r="AS176" s="567"/>
      <c r="AT176" s="567"/>
      <c r="AU176" s="568"/>
      <c r="AV176" s="567"/>
      <c r="AW176" s="567"/>
      <c r="AX176" s="568"/>
      <c r="AY176" s="567"/>
      <c r="AZ176" s="567"/>
      <c r="BA176" s="568"/>
      <c r="BB176" s="567"/>
      <c r="BC176" s="567"/>
      <c r="BD176" s="568"/>
      <c r="BE176" s="567"/>
      <c r="BF176" s="567"/>
      <c r="BG176" s="568"/>
      <c r="BH176" s="567"/>
      <c r="BI176" s="567"/>
      <c r="BJ176" s="568"/>
      <c r="BK176" s="567"/>
      <c r="BL176" s="567"/>
      <c r="BM176" s="568"/>
      <c r="BN176" s="567"/>
      <c r="BO176" s="567"/>
      <c r="BP176" s="568"/>
      <c r="BQ176" s="567"/>
      <c r="BR176" s="567"/>
      <c r="BS176" s="568"/>
      <c r="BT176" s="567"/>
      <c r="BU176" s="567"/>
      <c r="BV176" s="568"/>
      <c r="BW176" s="567"/>
      <c r="BX176" s="567"/>
      <c r="BY176" s="568"/>
      <c r="BZ176" s="567"/>
      <c r="CA176" s="567"/>
      <c r="CB176" s="567"/>
      <c r="CC176" s="583"/>
      <c r="CD176" s="555" t="e">
        <f t="shared" ref="CD176:CF176" si="891">MEDIAN(AM176,AP176,AS176,AY176,BB176,AV176,AA176,BE176,BK176,BZ176,BH176,BN176,BQ176,BT176,BW176)</f>
        <v>#DIV/0!</v>
      </c>
      <c r="CE176" s="555" t="e">
        <f t="shared" si="891"/>
        <v>#DIV/0!</v>
      </c>
      <c r="CF176" s="556" t="e">
        <f t="shared" si="891"/>
        <v>#DIV/0!</v>
      </c>
      <c r="CG176" s="555" t="e">
        <f t="shared" ref="CG176:CI176" si="892">MAX(AP176,AS176,AV176,BB176,BE176,AY176,CD176,BK176,BZ176,AA176)-MIN(AP176,AS176,AV176,BB176,BE176,AY176,CD176,BK176,BZ176,AA176)</f>
        <v>#DIV/0!</v>
      </c>
      <c r="CH176" s="555" t="e">
        <f t="shared" si="892"/>
        <v>#DIV/0!</v>
      </c>
      <c r="CI176" s="556" t="e">
        <f t="shared" si="892"/>
        <v>#DIV/0!</v>
      </c>
      <c r="CJ176" s="555" t="e">
        <f t="shared" ref="CJ176:CL176" si="893">STDEV(AS176,AV176,AY176,BE176,BK176,BB176,CG176,BZ176,AA176,CD176)</f>
        <v>#DIV/0!</v>
      </c>
      <c r="CK176" s="555" t="e">
        <f t="shared" si="893"/>
        <v>#DIV/0!</v>
      </c>
      <c r="CL176" s="556" t="e">
        <f t="shared" si="893"/>
        <v>#DIV/0!</v>
      </c>
      <c r="CM176" s="555" t="e">
        <f t="shared" ref="CM176:CO176" si="894">CJ176/AA176</f>
        <v>#DIV/0!</v>
      </c>
      <c r="CN176" s="555" t="e">
        <f t="shared" si="894"/>
        <v>#DIV/0!</v>
      </c>
      <c r="CO176" s="556" t="e">
        <f t="shared" si="894"/>
        <v>#DIV/0!</v>
      </c>
      <c r="CP176" s="29" t="s">
        <v>120</v>
      </c>
      <c r="CQ176" s="535">
        <f t="shared" si="622"/>
        <v>1</v>
      </c>
      <c r="CR176" s="29" t="s">
        <v>120</v>
      </c>
      <c r="CS176" s="29"/>
      <c r="CT176" s="29"/>
      <c r="CU176" s="29"/>
      <c r="CV176" s="29"/>
    </row>
    <row r="177" customHeight="1" spans="1:100">
      <c r="A177" s="29" t="s">
        <v>428</v>
      </c>
      <c r="B177" s="541" t="s">
        <v>1107</v>
      </c>
      <c r="C177" s="29" t="s">
        <v>1108</v>
      </c>
      <c r="D177" s="29" t="s">
        <v>429</v>
      </c>
      <c r="F177" s="29" t="s">
        <v>1044</v>
      </c>
      <c r="G177" s="29" t="s">
        <v>1039</v>
      </c>
      <c r="H177" s="29" t="b">
        <v>1</v>
      </c>
      <c r="I177" s="29" t="b">
        <v>1</v>
      </c>
      <c r="J177" s="29" t="b">
        <v>0</v>
      </c>
      <c r="K177" s="29" t="b">
        <v>0</v>
      </c>
      <c r="L177" s="29" t="b">
        <v>0</v>
      </c>
      <c r="M177" s="29" t="b">
        <v>0</v>
      </c>
      <c r="N177" s="29" t="s">
        <v>350</v>
      </c>
      <c r="O177" s="29">
        <v>3</v>
      </c>
      <c r="P177" s="29" t="b">
        <v>0</v>
      </c>
      <c r="Q177" s="29" t="b">
        <v>0</v>
      </c>
      <c r="R177" s="29" t="b">
        <v>0</v>
      </c>
      <c r="S177" s="29" t="b">
        <v>0</v>
      </c>
      <c r="T177" s="29" t="b">
        <f t="shared" si="0"/>
        <v>0</v>
      </c>
      <c r="U177" s="29" t="s">
        <v>997</v>
      </c>
      <c r="V177" s="29" t="s">
        <v>140</v>
      </c>
      <c r="W177" s="29">
        <v>1</v>
      </c>
      <c r="X177" s="29" t="s">
        <v>1064</v>
      </c>
      <c r="Y177" s="16" t="s">
        <v>1041</v>
      </c>
      <c r="Z177" s="29" t="s">
        <v>1052</v>
      </c>
      <c r="AA177" s="554" t="e">
        <f t="shared" ref="AA177:AC177" si="895">AVERAGE(AJ177,AM177,AP177,AV177,AY177,AS177,BZ177,BB177,BE177,BH177,BK177,BN177,BQ177,BT177)</f>
        <v>#DIV/0!</v>
      </c>
      <c r="AB177" s="555" t="e">
        <f t="shared" si="895"/>
        <v>#DIV/0!</v>
      </c>
      <c r="AC177" s="556" t="e">
        <f t="shared" si="895"/>
        <v>#DIV/0!</v>
      </c>
      <c r="AD177" s="29" t="b">
        <v>1</v>
      </c>
      <c r="AE177" s="29" t="b">
        <v>0</v>
      </c>
      <c r="AF177" s="29" t="b">
        <v>0</v>
      </c>
      <c r="AG177" s="574">
        <v>2.75</v>
      </c>
      <c r="AH177" s="569">
        <v>3.25</v>
      </c>
      <c r="AI177" s="568"/>
      <c r="AJ177" s="567"/>
      <c r="AK177" s="567"/>
      <c r="AL177" s="568"/>
      <c r="AM177" s="567"/>
      <c r="AN177" s="567"/>
      <c r="AO177" s="568"/>
      <c r="AP177" s="567"/>
      <c r="AQ177" s="567"/>
      <c r="AR177" s="568"/>
      <c r="AS177" s="567"/>
      <c r="AT177" s="567"/>
      <c r="AU177" s="568"/>
      <c r="AV177" s="567"/>
      <c r="AW177" s="567"/>
      <c r="AX177" s="568"/>
      <c r="AY177" s="567"/>
      <c r="AZ177" s="567"/>
      <c r="BA177" s="568"/>
      <c r="BB177" s="567"/>
      <c r="BC177" s="567"/>
      <c r="BD177" s="568"/>
      <c r="BE177" s="567"/>
      <c r="BF177" s="567"/>
      <c r="BG177" s="568"/>
      <c r="BH177" s="567"/>
      <c r="BI177" s="567"/>
      <c r="BJ177" s="568"/>
      <c r="BK177" s="567"/>
      <c r="BL177" s="567"/>
      <c r="BM177" s="568"/>
      <c r="BN177" s="567"/>
      <c r="BO177" s="567"/>
      <c r="BP177" s="568"/>
      <c r="BQ177" s="567"/>
      <c r="BR177" s="567"/>
      <c r="BS177" s="568"/>
      <c r="BT177" s="567"/>
      <c r="BU177" s="567"/>
      <c r="BV177" s="568"/>
      <c r="BW177" s="567"/>
      <c r="BX177" s="567"/>
      <c r="BY177" s="568"/>
      <c r="BZ177" s="567"/>
      <c r="CA177" s="567"/>
      <c r="CB177" s="567"/>
      <c r="CC177" s="583"/>
      <c r="CD177" s="555" t="e">
        <f t="shared" ref="CD177:CF177" si="896">MEDIAN(AM177,AP177,AS177,AY177,BB177,AV177,AA177,BE177,BK177,BZ177,BH177,BN177,BQ177,BT177,BW177)</f>
        <v>#DIV/0!</v>
      </c>
      <c r="CE177" s="555" t="e">
        <f t="shared" si="896"/>
        <v>#DIV/0!</v>
      </c>
      <c r="CF177" s="556" t="e">
        <f t="shared" si="896"/>
        <v>#DIV/0!</v>
      </c>
      <c r="CG177" s="555" t="e">
        <f t="shared" ref="CG177:CI177" si="897">MAX(AP177,AS177,AV177,BB177,BE177,AY177,CD177,BK177,BZ177,AA177)-MIN(AP177,AS177,AV177,BB177,BE177,AY177,CD177,BK177,BZ177,AA177)</f>
        <v>#DIV/0!</v>
      </c>
      <c r="CH177" s="555" t="e">
        <f t="shared" si="897"/>
        <v>#DIV/0!</v>
      </c>
      <c r="CI177" s="556" t="e">
        <f t="shared" si="897"/>
        <v>#DIV/0!</v>
      </c>
      <c r="CJ177" s="555" t="e">
        <f t="shared" ref="CJ177:CL177" si="898">STDEV(AS177,AV177,AY177,BE177,BK177,BB177,CG177,BZ177,AA177,CD177)</f>
        <v>#DIV/0!</v>
      </c>
      <c r="CK177" s="555" t="e">
        <f t="shared" si="898"/>
        <v>#DIV/0!</v>
      </c>
      <c r="CL177" s="556" t="e">
        <f t="shared" si="898"/>
        <v>#DIV/0!</v>
      </c>
      <c r="CM177" s="555" t="e">
        <f t="shared" ref="CM177:CO177" si="899">CJ177/AA177</f>
        <v>#DIV/0!</v>
      </c>
      <c r="CN177" s="555" t="e">
        <f t="shared" si="899"/>
        <v>#DIV/0!</v>
      </c>
      <c r="CO177" s="556" t="e">
        <f t="shared" si="899"/>
        <v>#DIV/0!</v>
      </c>
      <c r="CP177" s="29" t="s">
        <v>120</v>
      </c>
      <c r="CQ177" s="535">
        <f t="shared" si="622"/>
        <v>1</v>
      </c>
      <c r="CR177" s="29" t="s">
        <v>120</v>
      </c>
      <c r="CS177" s="29"/>
      <c r="CT177" s="29"/>
      <c r="CU177" s="29"/>
      <c r="CV177" s="29"/>
    </row>
    <row r="178" customHeight="1" spans="1:100">
      <c r="A178" s="29" t="s">
        <v>430</v>
      </c>
      <c r="B178" s="541" t="s">
        <v>1107</v>
      </c>
      <c r="C178" s="29" t="s">
        <v>1108</v>
      </c>
      <c r="D178" s="29" t="s">
        <v>429</v>
      </c>
      <c r="F178" s="29" t="s">
        <v>1044</v>
      </c>
      <c r="G178" s="29" t="s">
        <v>1039</v>
      </c>
      <c r="H178" s="29" t="b">
        <v>1</v>
      </c>
      <c r="I178" s="29" t="b">
        <v>1</v>
      </c>
      <c r="J178" s="29" t="b">
        <v>0</v>
      </c>
      <c r="K178" s="29" t="b">
        <v>0</v>
      </c>
      <c r="L178" s="29" t="b">
        <v>0</v>
      </c>
      <c r="M178" s="29" t="b">
        <v>0</v>
      </c>
      <c r="N178" s="29" t="s">
        <v>350</v>
      </c>
      <c r="O178" s="29">
        <v>3.5</v>
      </c>
      <c r="P178" s="29" t="b">
        <v>0</v>
      </c>
      <c r="Q178" s="29" t="b">
        <v>0</v>
      </c>
      <c r="R178" s="29" t="b">
        <v>0</v>
      </c>
      <c r="S178" s="29" t="b">
        <v>0</v>
      </c>
      <c r="T178" s="29" t="b">
        <f t="shared" si="0"/>
        <v>0</v>
      </c>
      <c r="U178" s="29" t="s">
        <v>997</v>
      </c>
      <c r="V178" s="29" t="s">
        <v>140</v>
      </c>
      <c r="W178" s="29">
        <v>1</v>
      </c>
      <c r="X178" s="29" t="s">
        <v>1064</v>
      </c>
      <c r="Y178" s="16" t="s">
        <v>1041</v>
      </c>
      <c r="Z178" s="29" t="s">
        <v>1052</v>
      </c>
      <c r="AA178" s="554" t="e">
        <f t="shared" ref="AA178:AC178" si="900">AVERAGE(AJ178,AM178,AP178,AV178,AY178,AS178,BZ178,BB178,BE178,BH178,BK178,BN178,BQ178,BT178)</f>
        <v>#DIV/0!</v>
      </c>
      <c r="AB178" s="555" t="e">
        <f t="shared" si="900"/>
        <v>#DIV/0!</v>
      </c>
      <c r="AC178" s="556" t="e">
        <f t="shared" si="900"/>
        <v>#DIV/0!</v>
      </c>
      <c r="AD178" s="29" t="b">
        <v>1</v>
      </c>
      <c r="AE178" s="29" t="b">
        <v>0</v>
      </c>
      <c r="AF178" s="29" t="b">
        <v>0</v>
      </c>
      <c r="AG178" s="574">
        <v>3.25</v>
      </c>
      <c r="AH178" s="569">
        <v>4</v>
      </c>
      <c r="AI178" s="568"/>
      <c r="AJ178" s="567"/>
      <c r="AK178" s="567"/>
      <c r="AL178" s="568"/>
      <c r="AM178" s="567"/>
      <c r="AN178" s="567"/>
      <c r="AO178" s="568"/>
      <c r="AP178" s="567"/>
      <c r="AQ178" s="567"/>
      <c r="AR178" s="568"/>
      <c r="AS178" s="567"/>
      <c r="AT178" s="567"/>
      <c r="AU178" s="568"/>
      <c r="AV178" s="567"/>
      <c r="AW178" s="567"/>
      <c r="AX178" s="568"/>
      <c r="AY178" s="567"/>
      <c r="AZ178" s="567"/>
      <c r="BA178" s="568"/>
      <c r="BB178" s="567"/>
      <c r="BC178" s="567"/>
      <c r="BD178" s="568"/>
      <c r="BE178" s="567"/>
      <c r="BF178" s="567"/>
      <c r="BG178" s="568"/>
      <c r="BH178" s="567"/>
      <c r="BI178" s="567"/>
      <c r="BJ178" s="568"/>
      <c r="BK178" s="567"/>
      <c r="BL178" s="567"/>
      <c r="BM178" s="568"/>
      <c r="BN178" s="567"/>
      <c r="BO178" s="567"/>
      <c r="BP178" s="568"/>
      <c r="BQ178" s="567"/>
      <c r="BR178" s="567"/>
      <c r="BS178" s="568"/>
      <c r="BT178" s="567"/>
      <c r="BU178" s="567"/>
      <c r="BV178" s="568"/>
      <c r="BW178" s="567"/>
      <c r="BX178" s="567"/>
      <c r="BY178" s="568"/>
      <c r="BZ178" s="567"/>
      <c r="CA178" s="567"/>
      <c r="CB178" s="567"/>
      <c r="CC178" s="583"/>
      <c r="CD178" s="555" t="e">
        <f t="shared" ref="CD178:CF178" si="901">MEDIAN(AM178,AP178,AS178,AY178,BB178,AV178,AA178,BE178,BK178,BZ178,BH178,BN178,BQ178,BT178,BW178)</f>
        <v>#DIV/0!</v>
      </c>
      <c r="CE178" s="555" t="e">
        <f t="shared" si="901"/>
        <v>#DIV/0!</v>
      </c>
      <c r="CF178" s="556" t="e">
        <f t="shared" si="901"/>
        <v>#DIV/0!</v>
      </c>
      <c r="CG178" s="555" t="e">
        <f t="shared" ref="CG178:CI178" si="902">MAX(AP178,AS178,AV178,BB178,BE178,AY178,CD178,BK178,BZ178,AA178)-MIN(AP178,AS178,AV178,BB178,BE178,AY178,CD178,BK178,BZ178,AA178)</f>
        <v>#DIV/0!</v>
      </c>
      <c r="CH178" s="555" t="e">
        <f t="shared" si="902"/>
        <v>#DIV/0!</v>
      </c>
      <c r="CI178" s="556" t="e">
        <f t="shared" si="902"/>
        <v>#DIV/0!</v>
      </c>
      <c r="CJ178" s="555" t="e">
        <f t="shared" ref="CJ178:CL178" si="903">STDEV(AS178,AV178,AY178,BE178,BK178,BB178,CG178,BZ178,AA178,CD178)</f>
        <v>#DIV/0!</v>
      </c>
      <c r="CK178" s="555" t="e">
        <f t="shared" si="903"/>
        <v>#DIV/0!</v>
      </c>
      <c r="CL178" s="556" t="e">
        <f t="shared" si="903"/>
        <v>#DIV/0!</v>
      </c>
      <c r="CM178" s="555" t="e">
        <f t="shared" ref="CM178:CO178" si="904">CJ178/AA178</f>
        <v>#DIV/0!</v>
      </c>
      <c r="CN178" s="555" t="e">
        <f t="shared" si="904"/>
        <v>#DIV/0!</v>
      </c>
      <c r="CO178" s="556" t="e">
        <f t="shared" si="904"/>
        <v>#DIV/0!</v>
      </c>
      <c r="CP178" s="29" t="s">
        <v>120</v>
      </c>
      <c r="CQ178" s="535">
        <f t="shared" si="622"/>
        <v>1</v>
      </c>
      <c r="CR178" s="29" t="s">
        <v>120</v>
      </c>
      <c r="CS178" s="29"/>
      <c r="CT178" s="29"/>
      <c r="CU178" s="29"/>
      <c r="CV178" s="29"/>
    </row>
    <row r="179" customHeight="1" spans="1:100">
      <c r="A179" s="29" t="s">
        <v>431</v>
      </c>
      <c r="B179" s="541" t="s">
        <v>1107</v>
      </c>
      <c r="C179" s="29" t="s">
        <v>1108</v>
      </c>
      <c r="D179" s="29" t="s">
        <v>432</v>
      </c>
      <c r="E179" s="29"/>
      <c r="F179" s="29" t="s">
        <v>1044</v>
      </c>
      <c r="G179" s="29" t="s">
        <v>1039</v>
      </c>
      <c r="H179" s="29" t="b">
        <v>1</v>
      </c>
      <c r="I179" s="29" t="b">
        <v>1</v>
      </c>
      <c r="J179" s="29" t="b">
        <v>0</v>
      </c>
      <c r="K179" s="29" t="b">
        <v>0</v>
      </c>
      <c r="L179" s="29" t="b">
        <v>0</v>
      </c>
      <c r="M179" s="29" t="b">
        <v>0</v>
      </c>
      <c r="N179" s="29" t="s">
        <v>350</v>
      </c>
      <c r="O179" s="29">
        <v>700</v>
      </c>
      <c r="P179" s="29" t="b">
        <v>0</v>
      </c>
      <c r="Q179" s="29" t="b">
        <v>0</v>
      </c>
      <c r="R179" s="29" t="b">
        <v>0</v>
      </c>
      <c r="S179" s="29" t="b">
        <v>0</v>
      </c>
      <c r="T179" s="29" t="b">
        <f t="shared" si="0"/>
        <v>0</v>
      </c>
      <c r="U179" s="29" t="s">
        <v>1071</v>
      </c>
      <c r="V179" s="29" t="s">
        <v>140</v>
      </c>
      <c r="W179" s="29">
        <v>3</v>
      </c>
      <c r="X179" s="29" t="s">
        <v>1049</v>
      </c>
      <c r="Y179" s="16" t="s">
        <v>1041</v>
      </c>
      <c r="Z179" s="29" t="s">
        <v>1042</v>
      </c>
      <c r="AA179" s="554" t="e">
        <f t="shared" ref="AA179:AC179" si="905">AVERAGE(AJ179,AM179,AP179,AV179,AY179,AS179,BZ179,BB179,BE179,BH179,BK179,BN179,BQ179,BT179)</f>
        <v>#DIV/0!</v>
      </c>
      <c r="AB179" s="555" t="e">
        <f t="shared" si="905"/>
        <v>#DIV/0!</v>
      </c>
      <c r="AC179" s="556" t="e">
        <f t="shared" si="905"/>
        <v>#DIV/0!</v>
      </c>
      <c r="AD179" s="29" t="b">
        <v>1</v>
      </c>
      <c r="AE179" s="29" t="b">
        <v>0</v>
      </c>
      <c r="AF179" s="29" t="b">
        <v>0</v>
      </c>
      <c r="AG179" s="574">
        <v>13</v>
      </c>
      <c r="AH179" s="569">
        <v>16</v>
      </c>
      <c r="AI179" s="570">
        <v>20</v>
      </c>
      <c r="AJ179" s="567"/>
      <c r="AK179" s="567"/>
      <c r="AL179" s="568"/>
      <c r="AM179" s="569" t="s">
        <v>13</v>
      </c>
      <c r="AN179" s="569" t="s">
        <v>13</v>
      </c>
      <c r="AO179" s="570" t="s">
        <v>13</v>
      </c>
      <c r="AP179" s="569"/>
      <c r="AQ179" s="569"/>
      <c r="AR179" s="570"/>
      <c r="AS179" s="567"/>
      <c r="AT179" s="569"/>
      <c r="AU179" s="568"/>
      <c r="AV179" s="567"/>
      <c r="AW179" s="567"/>
      <c r="AX179" s="568"/>
      <c r="AY179" s="567"/>
      <c r="AZ179" s="567"/>
      <c r="BA179" s="568"/>
      <c r="BB179" s="567"/>
      <c r="BC179" s="567"/>
      <c r="BD179" s="568"/>
      <c r="BE179" s="567"/>
      <c r="BF179" s="567"/>
      <c r="BG179" s="568"/>
      <c r="BH179" s="567"/>
      <c r="BI179" s="567"/>
      <c r="BJ179" s="568"/>
      <c r="BK179" s="567"/>
      <c r="BL179" s="567"/>
      <c r="BM179" s="568"/>
      <c r="BN179" s="567"/>
      <c r="BO179" s="567"/>
      <c r="BP179" s="568"/>
      <c r="BQ179" s="567"/>
      <c r="BR179" s="567"/>
      <c r="BS179" s="568"/>
      <c r="BT179" s="567"/>
      <c r="BU179" s="567"/>
      <c r="BV179" s="568"/>
      <c r="BW179" s="567"/>
      <c r="BX179" s="567"/>
      <c r="BY179" s="568"/>
      <c r="BZ179" s="567"/>
      <c r="CA179" s="567"/>
      <c r="CB179" s="567"/>
      <c r="CC179" s="583"/>
      <c r="CD179" s="555" t="e">
        <f t="shared" ref="CD179:CF179" si="906">MEDIAN(AM179,AP179,AS179,AY179,BB179,AV179,AA179,BE179,BK179,BZ179,BH179,BN179,BQ179,BT179,BW179)</f>
        <v>#DIV/0!</v>
      </c>
      <c r="CE179" s="555" t="e">
        <f t="shared" si="906"/>
        <v>#DIV/0!</v>
      </c>
      <c r="CF179" s="556" t="e">
        <f t="shared" si="906"/>
        <v>#DIV/0!</v>
      </c>
      <c r="CG179" s="555" t="e">
        <f t="shared" ref="CG179:CI179" si="907">MAX(AP179,AS179,AV179,BB179,BE179,AY179,CD179,BK179,BZ179,AA179)-MIN(AP179,AS179,AV179,BB179,BE179,AY179,CD179,BK179,BZ179,AA179)</f>
        <v>#DIV/0!</v>
      </c>
      <c r="CH179" s="555" t="e">
        <f t="shared" si="907"/>
        <v>#DIV/0!</v>
      </c>
      <c r="CI179" s="556" t="e">
        <f t="shared" si="907"/>
        <v>#DIV/0!</v>
      </c>
      <c r="CJ179" s="555" t="e">
        <f t="shared" ref="CJ179:CL179" si="908">STDEV(AS179,AV179,AY179,BE179,BK179,BB179,CG179,BZ179,AA179,CD179)</f>
        <v>#DIV/0!</v>
      </c>
      <c r="CK179" s="555" t="e">
        <f t="shared" si="908"/>
        <v>#DIV/0!</v>
      </c>
      <c r="CL179" s="556" t="e">
        <f t="shared" si="908"/>
        <v>#DIV/0!</v>
      </c>
      <c r="CM179" s="555" t="e">
        <f t="shared" ref="CM179:CO179" si="909">CJ179/AA179</f>
        <v>#DIV/0!</v>
      </c>
      <c r="CN179" s="555" t="e">
        <f t="shared" si="909"/>
        <v>#DIV/0!</v>
      </c>
      <c r="CO179" s="556" t="e">
        <f t="shared" si="909"/>
        <v>#DIV/0!</v>
      </c>
      <c r="CP179" s="29" t="s">
        <v>120</v>
      </c>
      <c r="CQ179" s="535">
        <f t="shared" si="622"/>
        <v>3</v>
      </c>
      <c r="CR179" s="29" t="s">
        <v>120</v>
      </c>
      <c r="CS179" s="29" t="s">
        <v>120</v>
      </c>
      <c r="CT179" s="29" t="s">
        <v>120</v>
      </c>
      <c r="CU179" s="29" t="s">
        <v>120</v>
      </c>
      <c r="CV179" s="29" t="s">
        <v>120</v>
      </c>
    </row>
    <row r="180" customHeight="1" spans="1:100">
      <c r="A180" s="29" t="s">
        <v>433</v>
      </c>
      <c r="B180" s="541" t="s">
        <v>1109</v>
      </c>
      <c r="C180" s="29" t="s">
        <v>1110</v>
      </c>
      <c r="F180" s="29" t="s">
        <v>1022</v>
      </c>
      <c r="G180" s="29" t="s">
        <v>1039</v>
      </c>
      <c r="H180" s="29" t="b">
        <v>0</v>
      </c>
      <c r="I180" s="29" t="b">
        <v>0</v>
      </c>
      <c r="J180" s="29" t="b">
        <v>1</v>
      </c>
      <c r="K180" s="29" t="b">
        <v>0</v>
      </c>
      <c r="L180" s="29" t="b">
        <v>0</v>
      </c>
      <c r="M180" s="29" t="b">
        <v>0</v>
      </c>
      <c r="P180" s="29" t="b">
        <v>0</v>
      </c>
      <c r="Q180" s="29" t="b">
        <v>0</v>
      </c>
      <c r="R180" s="29" t="b">
        <v>0</v>
      </c>
      <c r="S180" s="29" t="b">
        <v>0</v>
      </c>
      <c r="T180" s="29" t="b">
        <f t="shared" si="0"/>
        <v>0</v>
      </c>
      <c r="U180" s="29" t="s">
        <v>1012</v>
      </c>
      <c r="W180" s="29" t="s">
        <v>119</v>
      </c>
      <c r="X180" s="29" t="s">
        <v>1049</v>
      </c>
      <c r="Y180" s="16" t="s">
        <v>1041</v>
      </c>
      <c r="Z180" s="29" t="s">
        <v>1042</v>
      </c>
      <c r="AA180" s="554">
        <f t="shared" ref="AA180:AC180" si="910">AVERAGE(AJ180,AM180,AP180,AV180,AY180,AS180,BZ180,BB180,BE180,BH180,BK180,BN180,BQ180,BT180)</f>
        <v>40</v>
      </c>
      <c r="AB180" s="555" t="e">
        <f t="shared" si="910"/>
        <v>#DIV/0!</v>
      </c>
      <c r="AC180" s="556" t="e">
        <f t="shared" si="910"/>
        <v>#DIV/0!</v>
      </c>
      <c r="AD180" s="29" t="b">
        <v>0</v>
      </c>
      <c r="AE180" s="29" t="b">
        <v>1</v>
      </c>
      <c r="AF180" s="29" t="b">
        <v>0</v>
      </c>
      <c r="AG180" s="566"/>
      <c r="AH180" s="567"/>
      <c r="AI180" s="568"/>
      <c r="AJ180" s="567"/>
      <c r="AK180" s="567"/>
      <c r="AL180" s="568"/>
      <c r="AM180" s="567"/>
      <c r="AN180" s="567"/>
      <c r="AO180" s="568"/>
      <c r="AP180" s="567"/>
      <c r="AQ180" s="567"/>
      <c r="AR180" s="568"/>
      <c r="AS180" s="567"/>
      <c r="AT180" s="567"/>
      <c r="AU180" s="568"/>
      <c r="AV180" s="567"/>
      <c r="AW180" s="567"/>
      <c r="AX180" s="568"/>
      <c r="AY180" s="567"/>
      <c r="AZ180" s="567"/>
      <c r="BA180" s="568"/>
      <c r="BB180" s="567"/>
      <c r="BC180" s="567"/>
      <c r="BD180" s="568"/>
      <c r="BE180" s="567"/>
      <c r="BF180" s="567"/>
      <c r="BG180" s="568"/>
      <c r="BH180" s="567"/>
      <c r="BI180" s="567"/>
      <c r="BJ180" s="568"/>
      <c r="BK180" s="567"/>
      <c r="BL180" s="567"/>
      <c r="BM180" s="568"/>
      <c r="BN180" s="567"/>
      <c r="BO180" s="567"/>
      <c r="BP180" s="568"/>
      <c r="BQ180" s="567"/>
      <c r="BR180" s="567"/>
      <c r="BS180" s="568"/>
      <c r="BT180" s="567"/>
      <c r="BU180" s="567"/>
      <c r="BV180" s="568"/>
      <c r="BW180" s="567"/>
      <c r="BX180" s="567"/>
      <c r="BY180" s="568"/>
      <c r="BZ180" s="569">
        <v>40</v>
      </c>
      <c r="CA180" s="572" t="s">
        <v>13</v>
      </c>
      <c r="CB180" s="569" t="s">
        <v>13</v>
      </c>
      <c r="CC180" s="583"/>
      <c r="CD180" s="555">
        <f t="shared" ref="CD180:CF180" si="911">MEDIAN(AM180,AP180,AS180,AY180,BB180,AV180,AA180,BE180,BK180,BZ180,BH180,BN180,BQ180,BT180,BW180)</f>
        <v>40</v>
      </c>
      <c r="CE180" s="555" t="e">
        <f t="shared" si="911"/>
        <v>#DIV/0!</v>
      </c>
      <c r="CF180" s="556" t="e">
        <f t="shared" si="911"/>
        <v>#DIV/0!</v>
      </c>
      <c r="CG180" s="555">
        <f t="shared" ref="CG180:CI180" si="912">MAX(AP180,AS180,AV180,BB180,BE180,AY180,CD180,BK180,BZ180,AA180)-MIN(AP180,AS180,AV180,BB180,BE180,AY180,CD180,BK180,BZ180,AA180)</f>
        <v>0</v>
      </c>
      <c r="CH180" s="555" t="e">
        <f t="shared" si="912"/>
        <v>#DIV/0!</v>
      </c>
      <c r="CI180" s="556" t="e">
        <f t="shared" si="912"/>
        <v>#DIV/0!</v>
      </c>
      <c r="CJ180" s="555">
        <f t="shared" ref="CJ180:CL180" si="913">STDEV(AS180,AV180,AY180,BE180,BK180,BB180,CG180,BZ180,AA180,CD180)</f>
        <v>20</v>
      </c>
      <c r="CK180" s="555" t="e">
        <f t="shared" si="913"/>
        <v>#DIV/0!</v>
      </c>
      <c r="CL180" s="556" t="e">
        <f t="shared" si="913"/>
        <v>#DIV/0!</v>
      </c>
      <c r="CM180" s="555">
        <f t="shared" ref="CM180:CO180" si="914">CJ180/AA180</f>
        <v>0.5</v>
      </c>
      <c r="CN180" s="555" t="e">
        <f t="shared" si="914"/>
        <v>#DIV/0!</v>
      </c>
      <c r="CO180" s="556" t="e">
        <f t="shared" si="914"/>
        <v>#DIV/0!</v>
      </c>
      <c r="CP180" s="29" t="s">
        <v>120</v>
      </c>
      <c r="CQ180" s="535" t="str">
        <f t="shared" si="622"/>
        <v>n/a</v>
      </c>
      <c r="CR180" s="29" t="s">
        <v>120</v>
      </c>
      <c r="CS180" s="29" t="s">
        <v>120</v>
      </c>
      <c r="CT180" s="29" t="s">
        <v>120</v>
      </c>
      <c r="CU180" s="29" t="s">
        <v>120</v>
      </c>
      <c r="CV180" s="29" t="s">
        <v>120</v>
      </c>
    </row>
    <row r="181" customHeight="1" spans="1:100">
      <c r="A181" s="29" t="s">
        <v>435</v>
      </c>
      <c r="B181" s="541" t="s">
        <v>1109</v>
      </c>
      <c r="C181" s="29" t="s">
        <v>1110</v>
      </c>
      <c r="F181" s="29" t="s">
        <v>1022</v>
      </c>
      <c r="G181" s="29" t="s">
        <v>1039</v>
      </c>
      <c r="H181" s="29" t="b">
        <v>0</v>
      </c>
      <c r="I181" s="29" t="b">
        <v>0</v>
      </c>
      <c r="J181" s="29" t="b">
        <v>1</v>
      </c>
      <c r="K181" s="29" t="b">
        <v>0</v>
      </c>
      <c r="L181" s="29" t="b">
        <v>0</v>
      </c>
      <c r="M181" s="29" t="b">
        <v>0</v>
      </c>
      <c r="P181" s="29" t="b">
        <v>0</v>
      </c>
      <c r="Q181" s="29" t="b">
        <v>0</v>
      </c>
      <c r="R181" s="29" t="b">
        <v>0</v>
      </c>
      <c r="S181" s="29" t="b">
        <v>0</v>
      </c>
      <c r="T181" s="29" t="b">
        <f t="shared" si="0"/>
        <v>0</v>
      </c>
      <c r="U181" s="29" t="s">
        <v>1012</v>
      </c>
      <c r="W181" s="29" t="s">
        <v>119</v>
      </c>
      <c r="X181" s="29" t="s">
        <v>1072</v>
      </c>
      <c r="Y181" s="16" t="s">
        <v>1041</v>
      </c>
      <c r="Z181" s="29" t="s">
        <v>1042</v>
      </c>
      <c r="AA181" s="554">
        <f t="shared" ref="AA181:AC181" si="915">AVERAGE(AJ181,AM181,AP181,AV181,AY181,AS181,BZ181,BB181,BE181,BH181,BK181,BN181,BQ181,BT181)</f>
        <v>250</v>
      </c>
      <c r="AB181" s="555" t="e">
        <f t="shared" si="915"/>
        <v>#DIV/0!</v>
      </c>
      <c r="AC181" s="556" t="e">
        <f t="shared" si="915"/>
        <v>#DIV/0!</v>
      </c>
      <c r="AD181" s="29" t="b">
        <v>0</v>
      </c>
      <c r="AE181" s="29" t="b">
        <v>1</v>
      </c>
      <c r="AF181" s="29" t="b">
        <v>0</v>
      </c>
      <c r="AG181" s="566"/>
      <c r="AH181" s="567"/>
      <c r="AI181" s="568"/>
      <c r="AJ181" s="567"/>
      <c r="AK181" s="567"/>
      <c r="AL181" s="568"/>
      <c r="AM181" s="567"/>
      <c r="AN181" s="567"/>
      <c r="AO181" s="568"/>
      <c r="AP181" s="567"/>
      <c r="AQ181" s="567"/>
      <c r="AR181" s="568"/>
      <c r="AS181" s="567"/>
      <c r="AT181" s="567"/>
      <c r="AU181" s="568"/>
      <c r="AV181" s="567"/>
      <c r="AW181" s="567"/>
      <c r="AX181" s="568"/>
      <c r="AY181" s="567"/>
      <c r="AZ181" s="567"/>
      <c r="BA181" s="568"/>
      <c r="BB181" s="567"/>
      <c r="BC181" s="567"/>
      <c r="BD181" s="568"/>
      <c r="BE181" s="567"/>
      <c r="BF181" s="567"/>
      <c r="BG181" s="568"/>
      <c r="BH181" s="567"/>
      <c r="BI181" s="567"/>
      <c r="BJ181" s="568"/>
      <c r="BK181" s="567"/>
      <c r="BL181" s="567"/>
      <c r="BM181" s="568"/>
      <c r="BN181" s="567"/>
      <c r="BO181" s="567"/>
      <c r="BP181" s="568"/>
      <c r="BQ181" s="567"/>
      <c r="BR181" s="567"/>
      <c r="BS181" s="568"/>
      <c r="BT181" s="567"/>
      <c r="BU181" s="567"/>
      <c r="BV181" s="568"/>
      <c r="BW181" s="567"/>
      <c r="BX181" s="567"/>
      <c r="BY181" s="568"/>
      <c r="BZ181" s="569">
        <v>250</v>
      </c>
      <c r="CA181" s="572" t="s">
        <v>13</v>
      </c>
      <c r="CB181" s="569" t="s">
        <v>13</v>
      </c>
      <c r="CC181" s="583"/>
      <c r="CD181" s="555">
        <f t="shared" ref="CD181:CF181" si="916">MEDIAN(AM181,AP181,AS181,AY181,BB181,AV181,AA181,BE181,BK181,BZ181,BH181,BN181,BQ181,BT181,BW181)</f>
        <v>250</v>
      </c>
      <c r="CE181" s="555" t="e">
        <f t="shared" si="916"/>
        <v>#DIV/0!</v>
      </c>
      <c r="CF181" s="556" t="e">
        <f t="shared" si="916"/>
        <v>#DIV/0!</v>
      </c>
      <c r="CG181" s="555">
        <f t="shared" ref="CG181:CI181" si="917">MAX(AP181,AS181,AV181,BB181,BE181,AY181,CD181,BK181,BZ181,AA181)-MIN(AP181,AS181,AV181,BB181,BE181,AY181,CD181,BK181,BZ181,AA181)</f>
        <v>0</v>
      </c>
      <c r="CH181" s="555" t="e">
        <f t="shared" si="917"/>
        <v>#DIV/0!</v>
      </c>
      <c r="CI181" s="556" t="e">
        <f t="shared" si="917"/>
        <v>#DIV/0!</v>
      </c>
      <c r="CJ181" s="555">
        <f t="shared" ref="CJ181:CL181" si="918">STDEV(AS181,AV181,AY181,BE181,BK181,BB181,CG181,BZ181,AA181,CD181)</f>
        <v>125</v>
      </c>
      <c r="CK181" s="555" t="e">
        <f t="shared" si="918"/>
        <v>#DIV/0!</v>
      </c>
      <c r="CL181" s="556" t="e">
        <f t="shared" si="918"/>
        <v>#DIV/0!</v>
      </c>
      <c r="CM181" s="555">
        <f t="shared" ref="CM181:CO181" si="919">CJ181/AA181</f>
        <v>0.5</v>
      </c>
      <c r="CN181" s="555" t="e">
        <f t="shared" si="919"/>
        <v>#DIV/0!</v>
      </c>
      <c r="CO181" s="556" t="e">
        <f t="shared" si="919"/>
        <v>#DIV/0!</v>
      </c>
      <c r="CP181" s="29" t="s">
        <v>120</v>
      </c>
      <c r="CQ181" s="535" t="str">
        <f t="shared" si="622"/>
        <v>n/a</v>
      </c>
      <c r="CR181" s="29" t="s">
        <v>120</v>
      </c>
      <c r="CS181" s="29" t="s">
        <v>120</v>
      </c>
      <c r="CT181" s="29" t="s">
        <v>120</v>
      </c>
      <c r="CU181" s="29" t="s">
        <v>120</v>
      </c>
      <c r="CV181" s="29" t="s">
        <v>120</v>
      </c>
    </row>
    <row r="182" customHeight="1" spans="1:100">
      <c r="A182" s="29" t="s">
        <v>436</v>
      </c>
      <c r="B182" s="541" t="s">
        <v>1109</v>
      </c>
      <c r="C182" s="29" t="s">
        <v>1110</v>
      </c>
      <c r="D182" s="29" t="s">
        <v>436</v>
      </c>
      <c r="E182" s="29"/>
      <c r="F182" s="29" t="s">
        <v>1022</v>
      </c>
      <c r="G182" s="29" t="s">
        <v>1039</v>
      </c>
      <c r="H182" s="29" t="b">
        <v>1</v>
      </c>
      <c r="I182" s="29" t="b">
        <v>1</v>
      </c>
      <c r="J182" s="29" t="b">
        <v>0</v>
      </c>
      <c r="K182" s="29" t="b">
        <v>0</v>
      </c>
      <c r="L182" s="29" t="b">
        <v>0</v>
      </c>
      <c r="M182" s="29" t="b">
        <v>0</v>
      </c>
      <c r="P182" s="29" t="b">
        <v>0</v>
      </c>
      <c r="Q182" s="29" t="b">
        <v>0</v>
      </c>
      <c r="R182" s="29" t="b">
        <v>0</v>
      </c>
      <c r="S182" s="29" t="b">
        <v>0</v>
      </c>
      <c r="T182" s="29" t="b">
        <v>0</v>
      </c>
      <c r="U182" s="29" t="s">
        <v>1111</v>
      </c>
      <c r="W182" s="29" t="s">
        <v>119</v>
      </c>
      <c r="X182" s="29" t="s">
        <v>1072</v>
      </c>
      <c r="Y182" s="16" t="s">
        <v>1041</v>
      </c>
      <c r="Z182" s="29" t="s">
        <v>1042</v>
      </c>
      <c r="AA182" s="554">
        <f t="shared" ref="AA182:AC182" si="920">AVERAGE(AJ182,AM182,AP182,AV182,AY182,AS182,BZ182,BB182,BE182,BH182,BK182,BN182,BQ182,BT182)</f>
        <v>4000</v>
      </c>
      <c r="AB182" s="555" t="e">
        <f t="shared" si="920"/>
        <v>#DIV/0!</v>
      </c>
      <c r="AC182" s="556" t="e">
        <f t="shared" si="920"/>
        <v>#DIV/0!</v>
      </c>
      <c r="AD182" s="29" t="b">
        <v>1</v>
      </c>
      <c r="AE182" s="29" t="b">
        <v>0</v>
      </c>
      <c r="AF182" s="29" t="b">
        <v>0</v>
      </c>
      <c r="AG182" s="574">
        <v>3500</v>
      </c>
      <c r="AH182" s="567"/>
      <c r="AI182" s="568"/>
      <c r="AJ182" s="567"/>
      <c r="AK182" s="567"/>
      <c r="AL182" s="568"/>
      <c r="AM182" s="569">
        <v>4000</v>
      </c>
      <c r="AN182" s="567"/>
      <c r="AO182" s="568"/>
      <c r="AP182" s="567"/>
      <c r="AQ182" s="567"/>
      <c r="AR182" s="568"/>
      <c r="AS182" s="567"/>
      <c r="AT182" s="567"/>
      <c r="AU182" s="568"/>
      <c r="AV182" s="567"/>
      <c r="AW182" s="567"/>
      <c r="AX182" s="568"/>
      <c r="AY182" s="567"/>
      <c r="AZ182" s="567"/>
      <c r="BA182" s="568"/>
      <c r="BB182" s="567"/>
      <c r="BC182" s="567"/>
      <c r="BD182" s="568"/>
      <c r="BE182" s="567"/>
      <c r="BF182" s="567"/>
      <c r="BG182" s="568"/>
      <c r="BH182" s="567"/>
      <c r="BI182" s="567"/>
      <c r="BJ182" s="568"/>
      <c r="BK182" s="567"/>
      <c r="BL182" s="567"/>
      <c r="BM182" s="568"/>
      <c r="BN182" s="567"/>
      <c r="BO182" s="567"/>
      <c r="BP182" s="568"/>
      <c r="BQ182" s="567"/>
      <c r="BR182" s="567"/>
      <c r="BS182" s="568"/>
      <c r="BT182" s="567"/>
      <c r="BU182" s="567"/>
      <c r="BV182" s="568"/>
      <c r="BW182" s="567"/>
      <c r="BX182" s="567"/>
      <c r="BY182" s="568"/>
      <c r="BZ182" s="569"/>
      <c r="CA182" s="572"/>
      <c r="CB182" s="572"/>
      <c r="CC182" s="583"/>
      <c r="CD182" s="555">
        <f t="shared" ref="CD182:CF182" si="921">MEDIAN(AM182,AP182,AS182,AY182,BB182,AV182,AA182,BE182,BK182,BZ182,BH182,BN182,BQ182,BT182,BW182)</f>
        <v>4000</v>
      </c>
      <c r="CE182" s="555" t="e">
        <f t="shared" si="921"/>
        <v>#DIV/0!</v>
      </c>
      <c r="CF182" s="556" t="e">
        <f t="shared" si="921"/>
        <v>#DIV/0!</v>
      </c>
      <c r="CG182" s="555">
        <f t="shared" ref="CG182:CI182" si="922">MAX(AP182,AS182,AV182,BB182,BE182,AY182,CD182,BK182,BZ182,AA182)-MIN(AP182,AS182,AV182,BB182,BE182,AY182,CD182,BK182,BZ182,AA182)</f>
        <v>0</v>
      </c>
      <c r="CH182" s="555" t="e">
        <f t="shared" si="922"/>
        <v>#DIV/0!</v>
      </c>
      <c r="CI182" s="556" t="e">
        <f t="shared" si="922"/>
        <v>#DIV/0!</v>
      </c>
      <c r="CJ182" s="555">
        <f t="shared" ref="CJ182:CL182" si="923">STDEV(AS182,AV182,AY182,BE182,BK182,BB182,CG182,BZ182,AA182,CD182)</f>
        <v>2309.4010767585</v>
      </c>
      <c r="CK182" s="555" t="e">
        <f t="shared" si="923"/>
        <v>#DIV/0!</v>
      </c>
      <c r="CL182" s="556" t="e">
        <f t="shared" si="923"/>
        <v>#DIV/0!</v>
      </c>
      <c r="CM182" s="555">
        <f t="shared" ref="CM182:CO182" si="924">CJ182/AA182</f>
        <v>0.577350269189626</v>
      </c>
      <c r="CN182" s="555" t="e">
        <f t="shared" si="924"/>
        <v>#DIV/0!</v>
      </c>
      <c r="CO182" s="556" t="e">
        <f t="shared" si="924"/>
        <v>#DIV/0!</v>
      </c>
      <c r="CP182" s="29"/>
      <c r="CQ182" s="535"/>
      <c r="CR182" s="29"/>
      <c r="CS182" s="29"/>
      <c r="CT182" s="29"/>
      <c r="CU182" s="29"/>
      <c r="CV182" s="29"/>
    </row>
    <row r="183" customHeight="1" spans="1:100">
      <c r="A183" s="29" t="s">
        <v>437</v>
      </c>
      <c r="B183" s="541" t="s">
        <v>1109</v>
      </c>
      <c r="C183" s="29" t="s">
        <v>1110</v>
      </c>
      <c r="D183" s="29" t="s">
        <v>438</v>
      </c>
      <c r="E183" s="29"/>
      <c r="F183" s="29" t="s">
        <v>1022</v>
      </c>
      <c r="G183" s="29" t="s">
        <v>1039</v>
      </c>
      <c r="H183" s="29" t="b">
        <v>1</v>
      </c>
      <c r="I183" s="29" t="b">
        <v>1</v>
      </c>
      <c r="J183" s="29" t="b">
        <v>0</v>
      </c>
      <c r="K183" s="29" t="b">
        <v>0</v>
      </c>
      <c r="L183" s="29" t="b">
        <v>0</v>
      </c>
      <c r="M183" s="29" t="b">
        <v>0</v>
      </c>
      <c r="P183" s="29" t="b">
        <v>0</v>
      </c>
      <c r="Q183" s="29" t="b">
        <v>0</v>
      </c>
      <c r="R183" s="29" t="b">
        <v>0</v>
      </c>
      <c r="S183" s="29" t="b">
        <v>1</v>
      </c>
      <c r="T183" s="29" t="b">
        <v>0</v>
      </c>
      <c r="U183" s="29" t="s">
        <v>999</v>
      </c>
      <c r="W183" s="29" t="s">
        <v>119</v>
      </c>
      <c r="X183" s="29" t="s">
        <v>1072</v>
      </c>
      <c r="Y183" s="16" t="s">
        <v>1041</v>
      </c>
      <c r="Z183" s="29" t="s">
        <v>1042</v>
      </c>
      <c r="AA183" s="554">
        <f t="shared" ref="AA183:AC183" si="925">AVERAGE(AJ183,AM183,AP183,AV183,AY183,AS183,BZ183,BB183,BE183,BH183,BK183,BN183,BQ183,BT183)</f>
        <v>1200</v>
      </c>
      <c r="AB183" s="555" t="e">
        <f t="shared" si="925"/>
        <v>#DIV/0!</v>
      </c>
      <c r="AC183" s="556" t="e">
        <f t="shared" si="925"/>
        <v>#DIV/0!</v>
      </c>
      <c r="AD183" s="29" t="b">
        <v>1</v>
      </c>
      <c r="AE183" s="29" t="b">
        <v>0</v>
      </c>
      <c r="AF183" s="29" t="b">
        <v>0</v>
      </c>
      <c r="AG183" s="574">
        <v>1300</v>
      </c>
      <c r="AH183" s="569" t="s">
        <v>13</v>
      </c>
      <c r="AI183" s="570" t="s">
        <v>13</v>
      </c>
      <c r="AJ183" s="567"/>
      <c r="AK183" s="567"/>
      <c r="AL183" s="568"/>
      <c r="AM183" s="569">
        <v>1600</v>
      </c>
      <c r="AN183" s="567"/>
      <c r="AO183" s="568"/>
      <c r="AP183" s="569">
        <v>1200</v>
      </c>
      <c r="AQ183" s="567"/>
      <c r="AR183" s="568"/>
      <c r="AS183" s="567"/>
      <c r="AT183" s="567"/>
      <c r="AU183" s="568"/>
      <c r="AV183" s="567"/>
      <c r="AW183" s="567"/>
      <c r="AX183" s="568"/>
      <c r="AY183" s="567"/>
      <c r="AZ183" s="567"/>
      <c r="BA183" s="568"/>
      <c r="BB183" s="567"/>
      <c r="BC183" s="567"/>
      <c r="BD183" s="568"/>
      <c r="BE183" s="567"/>
      <c r="BF183" s="567"/>
      <c r="BG183" s="568"/>
      <c r="BH183" s="569">
        <v>1000</v>
      </c>
      <c r="BI183" s="567"/>
      <c r="BJ183" s="568"/>
      <c r="BK183" s="569">
        <v>1200</v>
      </c>
      <c r="BL183" s="567"/>
      <c r="BM183" s="568"/>
      <c r="BN183" s="567"/>
      <c r="BO183" s="567"/>
      <c r="BP183" s="568"/>
      <c r="BQ183" s="567"/>
      <c r="BR183" s="567"/>
      <c r="BS183" s="568"/>
      <c r="BT183" s="569">
        <v>1000</v>
      </c>
      <c r="BU183" s="567"/>
      <c r="BV183" s="568"/>
      <c r="BW183" s="567"/>
      <c r="BX183" s="567"/>
      <c r="BY183" s="568"/>
      <c r="BZ183" s="569"/>
      <c r="CA183" s="572"/>
      <c r="CB183" s="572"/>
      <c r="CC183" s="583">
        <v>45340</v>
      </c>
      <c r="CD183" s="555">
        <f t="shared" ref="CD183:CF183" si="926">MEDIAN(AM183,AP183,AS183,AY183,BB183,AV183,AA183,BE183,BK183,BZ183,BH183,BN183,BQ183,BT183,BW183)</f>
        <v>1200</v>
      </c>
      <c r="CE183" s="555" t="e">
        <f t="shared" si="926"/>
        <v>#DIV/0!</v>
      </c>
      <c r="CF183" s="556" t="e">
        <f t="shared" si="926"/>
        <v>#DIV/0!</v>
      </c>
      <c r="CG183" s="555">
        <f t="shared" ref="CG183:CI183" si="927">MAX(AP183,AS183,AV183,BB183,BE183,AY183,CD183,BK183,BZ183,AA183)-MIN(AP183,AS183,AV183,BB183,BE183,AY183,CD183,BK183,BZ183,AA183)</f>
        <v>0</v>
      </c>
      <c r="CH183" s="555" t="e">
        <f t="shared" si="927"/>
        <v>#DIV/0!</v>
      </c>
      <c r="CI183" s="556" t="e">
        <f t="shared" si="927"/>
        <v>#DIV/0!</v>
      </c>
      <c r="CJ183" s="555">
        <f t="shared" ref="CJ183:CL183" si="928">STDEV(AS183,AV183,AY183,BE183,BK183,BB183,CG183,BZ183,AA183,CD183)</f>
        <v>600</v>
      </c>
      <c r="CK183" s="555" t="e">
        <f t="shared" si="928"/>
        <v>#DIV/0!</v>
      </c>
      <c r="CL183" s="556" t="e">
        <f t="shared" si="928"/>
        <v>#DIV/0!</v>
      </c>
      <c r="CM183" s="555">
        <f t="shared" ref="CM183:CO183" si="929">CJ183/AA183</f>
        <v>0.5</v>
      </c>
      <c r="CN183" s="555" t="e">
        <f t="shared" si="929"/>
        <v>#DIV/0!</v>
      </c>
      <c r="CO183" s="556" t="e">
        <f t="shared" si="929"/>
        <v>#DIV/0!</v>
      </c>
      <c r="CP183" s="29"/>
      <c r="CQ183" s="535"/>
      <c r="CR183" s="29"/>
      <c r="CS183" s="29"/>
      <c r="CT183" s="29"/>
      <c r="CU183" s="29"/>
      <c r="CV183" s="29"/>
    </row>
    <row r="184" customHeight="1" spans="1:100">
      <c r="A184" s="29" t="s">
        <v>439</v>
      </c>
      <c r="B184" s="541" t="s">
        <v>1109</v>
      </c>
      <c r="C184" s="29" t="s">
        <v>1110</v>
      </c>
      <c r="D184" s="29" t="s">
        <v>439</v>
      </c>
      <c r="E184" s="29"/>
      <c r="F184" s="29" t="s">
        <v>1022</v>
      </c>
      <c r="G184" s="29" t="s">
        <v>1039</v>
      </c>
      <c r="H184" s="29" t="b">
        <v>1</v>
      </c>
      <c r="I184" s="29" t="b">
        <v>1</v>
      </c>
      <c r="J184" s="29" t="b">
        <v>0</v>
      </c>
      <c r="K184" s="29" t="b">
        <v>0</v>
      </c>
      <c r="L184" s="29" t="b">
        <v>0</v>
      </c>
      <c r="M184" s="29" t="b">
        <v>0</v>
      </c>
      <c r="P184" s="29" t="b">
        <v>0</v>
      </c>
      <c r="Q184" s="29" t="b">
        <v>0</v>
      </c>
      <c r="R184" s="29" t="b">
        <v>0</v>
      </c>
      <c r="S184" s="29" t="b">
        <v>0</v>
      </c>
      <c r="T184" s="29" t="b">
        <v>0</v>
      </c>
      <c r="U184" s="29" t="s">
        <v>999</v>
      </c>
      <c r="W184" s="29" t="s">
        <v>119</v>
      </c>
      <c r="X184" s="29" t="s">
        <v>1072</v>
      </c>
      <c r="Y184" s="16" t="s">
        <v>1041</v>
      </c>
      <c r="Z184" s="29" t="s">
        <v>1042</v>
      </c>
      <c r="AA184" s="554">
        <f t="shared" ref="AA184:AC184" si="930">AVERAGE(AJ184,AM184,AP184,AV184,AY184,AS184,BZ184,BB184,BE184,BH184,BK184,BN184,BQ184,BT184)</f>
        <v>500</v>
      </c>
      <c r="AB184" s="555" t="e">
        <f t="shared" si="930"/>
        <v>#DIV/0!</v>
      </c>
      <c r="AC184" s="556" t="e">
        <f t="shared" si="930"/>
        <v>#DIV/0!</v>
      </c>
      <c r="AD184" s="29" t="b">
        <v>1</v>
      </c>
      <c r="AE184" s="29" t="b">
        <v>0</v>
      </c>
      <c r="AF184" s="29" t="b">
        <v>0</v>
      </c>
      <c r="AG184" s="574">
        <v>500</v>
      </c>
      <c r="AH184" s="567"/>
      <c r="AI184" s="568"/>
      <c r="AJ184" s="567"/>
      <c r="AK184" s="567"/>
      <c r="AL184" s="568"/>
      <c r="AM184" s="569">
        <v>500</v>
      </c>
      <c r="AN184" s="567"/>
      <c r="AO184" s="568"/>
      <c r="AP184" s="567"/>
      <c r="AQ184" s="567"/>
      <c r="AR184" s="568"/>
      <c r="AS184" s="567"/>
      <c r="AT184" s="567"/>
      <c r="AU184" s="568"/>
      <c r="AV184" s="567"/>
      <c r="AW184" s="567"/>
      <c r="AX184" s="568"/>
      <c r="AY184" s="567"/>
      <c r="AZ184" s="567"/>
      <c r="BA184" s="568"/>
      <c r="BB184" s="567"/>
      <c r="BC184" s="567"/>
      <c r="BD184" s="568"/>
      <c r="BE184" s="567"/>
      <c r="BF184" s="567"/>
      <c r="BG184" s="568"/>
      <c r="BH184" s="567"/>
      <c r="BI184" s="567"/>
      <c r="BJ184" s="568"/>
      <c r="BK184" s="567"/>
      <c r="BL184" s="567"/>
      <c r="BM184" s="568"/>
      <c r="BN184" s="567"/>
      <c r="BO184" s="567"/>
      <c r="BP184" s="568"/>
      <c r="BQ184" s="567"/>
      <c r="BR184" s="567"/>
      <c r="BS184" s="568"/>
      <c r="BT184" s="567"/>
      <c r="BU184" s="567"/>
      <c r="BV184" s="568"/>
      <c r="BW184" s="567"/>
      <c r="BX184" s="567"/>
      <c r="BY184" s="568"/>
      <c r="BZ184" s="569"/>
      <c r="CA184" s="572"/>
      <c r="CB184" s="572"/>
      <c r="CC184" s="583"/>
      <c r="CD184" s="555">
        <f t="shared" ref="CD184:CF184" si="931">MEDIAN(AM184,AP184,AS184,AY184,BB184,AV184,AA184,BE184,BK184,BZ184,BH184,BN184,BQ184,BT184,BW184)</f>
        <v>500</v>
      </c>
      <c r="CE184" s="555" t="e">
        <f t="shared" si="931"/>
        <v>#DIV/0!</v>
      </c>
      <c r="CF184" s="556" t="e">
        <f t="shared" si="931"/>
        <v>#DIV/0!</v>
      </c>
      <c r="CG184" s="555">
        <f t="shared" ref="CG184:CI184" si="932">MAX(AP184,AS184,AV184,BB184,BE184,AY184,CD184,BK184,BZ184,AA184)-MIN(AP184,AS184,AV184,BB184,BE184,AY184,CD184,BK184,BZ184,AA184)</f>
        <v>0</v>
      </c>
      <c r="CH184" s="555" t="e">
        <f t="shared" si="932"/>
        <v>#DIV/0!</v>
      </c>
      <c r="CI184" s="556" t="e">
        <f t="shared" si="932"/>
        <v>#DIV/0!</v>
      </c>
      <c r="CJ184" s="555">
        <f t="shared" ref="CJ184:CL184" si="933">STDEV(AS184,AV184,AY184,BE184,BK184,BB184,CG184,BZ184,AA184,CD184)</f>
        <v>288.675134594813</v>
      </c>
      <c r="CK184" s="555" t="e">
        <f t="shared" si="933"/>
        <v>#DIV/0!</v>
      </c>
      <c r="CL184" s="556" t="e">
        <f t="shared" si="933"/>
        <v>#DIV/0!</v>
      </c>
      <c r="CM184" s="555">
        <f t="shared" ref="CM184:CO184" si="934">CJ184/AA184</f>
        <v>0.577350269189626</v>
      </c>
      <c r="CN184" s="555" t="e">
        <f t="shared" si="934"/>
        <v>#DIV/0!</v>
      </c>
      <c r="CO184" s="556" t="e">
        <f t="shared" si="934"/>
        <v>#DIV/0!</v>
      </c>
      <c r="CP184" s="29"/>
      <c r="CQ184" s="535"/>
      <c r="CR184" s="29"/>
      <c r="CS184" s="29"/>
      <c r="CT184" s="29"/>
      <c r="CU184" s="29"/>
      <c r="CV184" s="29"/>
    </row>
    <row r="185" customHeight="1" spans="1:100">
      <c r="A185" s="29" t="s">
        <v>440</v>
      </c>
      <c r="B185" s="541" t="s">
        <v>1109</v>
      </c>
      <c r="C185" s="29" t="s">
        <v>1110</v>
      </c>
      <c r="D185" s="29" t="s">
        <v>440</v>
      </c>
      <c r="F185" s="29" t="s">
        <v>1022</v>
      </c>
      <c r="G185" s="29" t="s">
        <v>1039</v>
      </c>
      <c r="H185" s="29" t="b">
        <v>1</v>
      </c>
      <c r="I185" s="29" t="b">
        <v>1</v>
      </c>
      <c r="J185" s="29" t="b">
        <v>0</v>
      </c>
      <c r="K185" s="29" t="b">
        <v>0</v>
      </c>
      <c r="L185" s="29" t="b">
        <v>0</v>
      </c>
      <c r="M185" s="29" t="b">
        <v>0</v>
      </c>
      <c r="P185" s="29" t="b">
        <v>0</v>
      </c>
      <c r="Q185" s="29" t="b">
        <v>0</v>
      </c>
      <c r="R185" s="29" t="b">
        <v>0</v>
      </c>
      <c r="S185" s="29" t="b">
        <v>1</v>
      </c>
      <c r="T185" s="29" t="b">
        <v>0</v>
      </c>
      <c r="U185" s="29" t="s">
        <v>999</v>
      </c>
      <c r="W185" s="29" t="s">
        <v>119</v>
      </c>
      <c r="X185" s="29" t="s">
        <v>1049</v>
      </c>
      <c r="Y185" s="16" t="s">
        <v>1041</v>
      </c>
      <c r="Z185" s="29" t="s">
        <v>1042</v>
      </c>
      <c r="AA185" s="554">
        <f t="shared" ref="AA185:AC185" si="935">AVERAGE(AJ185,AM185,AP185,AV185,AY185,AS185,BZ185,BB185,BE185,BH185,BK185,BN185,BQ185,BT185)</f>
        <v>82.5</v>
      </c>
      <c r="AB185" s="555" t="e">
        <f t="shared" si="935"/>
        <v>#DIV/0!</v>
      </c>
      <c r="AC185" s="556" t="e">
        <f t="shared" si="935"/>
        <v>#DIV/0!</v>
      </c>
      <c r="AD185" s="29" t="b">
        <v>1</v>
      </c>
      <c r="AE185" s="29" t="b">
        <v>0</v>
      </c>
      <c r="AF185" s="29" t="b">
        <v>0</v>
      </c>
      <c r="AG185" s="574">
        <v>85</v>
      </c>
      <c r="AH185" s="569" t="s">
        <v>13</v>
      </c>
      <c r="AI185" s="570" t="s">
        <v>13</v>
      </c>
      <c r="AJ185" s="567"/>
      <c r="AK185" s="567"/>
      <c r="AL185" s="568"/>
      <c r="AM185" s="569">
        <v>100</v>
      </c>
      <c r="AN185" s="567"/>
      <c r="AO185" s="568"/>
      <c r="AP185" s="569">
        <v>100</v>
      </c>
      <c r="AQ185" s="567"/>
      <c r="AR185" s="568"/>
      <c r="AS185" s="567"/>
      <c r="AT185" s="567"/>
      <c r="AU185" s="568"/>
      <c r="AV185" s="567"/>
      <c r="AW185" s="567"/>
      <c r="AX185" s="568"/>
      <c r="AY185" s="567"/>
      <c r="AZ185" s="567"/>
      <c r="BA185" s="568"/>
      <c r="BB185" s="567"/>
      <c r="BC185" s="567"/>
      <c r="BD185" s="568"/>
      <c r="BE185" s="567"/>
      <c r="BF185" s="567"/>
      <c r="BG185" s="568"/>
      <c r="BH185" s="569">
        <v>50</v>
      </c>
      <c r="BI185" s="567"/>
      <c r="BJ185" s="568"/>
      <c r="BK185" s="569">
        <v>80</v>
      </c>
      <c r="BL185" s="567"/>
      <c r="BM185" s="568"/>
      <c r="BN185" s="567"/>
      <c r="BO185" s="567"/>
      <c r="BP185" s="568"/>
      <c r="BQ185" s="567"/>
      <c r="BR185" s="567"/>
      <c r="BS185" s="568"/>
      <c r="BT185" s="567"/>
      <c r="BU185" s="567"/>
      <c r="BV185" s="568"/>
      <c r="BW185" s="567"/>
      <c r="BX185" s="567"/>
      <c r="BY185" s="568"/>
      <c r="BZ185" s="569"/>
      <c r="CA185" s="572"/>
      <c r="CB185" s="572"/>
      <c r="CC185" s="583">
        <v>45340</v>
      </c>
      <c r="CD185" s="555">
        <f t="shared" ref="CD185:CF185" si="936">MEDIAN(AM185,AP185,AS185,AY185,BB185,AV185,AA185,BE185,BK185,BZ185,BH185,BN185,BQ185,BT185,BW185)</f>
        <v>82.5</v>
      </c>
      <c r="CE185" s="555" t="e">
        <f t="shared" si="936"/>
        <v>#DIV/0!</v>
      </c>
      <c r="CF185" s="556" t="e">
        <f t="shared" si="936"/>
        <v>#DIV/0!</v>
      </c>
      <c r="CG185" s="555">
        <f t="shared" ref="CG185:CI185" si="937">MAX(AP185,AS185,AV185,BB185,BE185,AY185,CD185,BK185,BZ185,AA185)-MIN(AP185,AS185,AV185,BB185,BE185,AY185,CD185,BK185,BZ185,AA185)</f>
        <v>20</v>
      </c>
      <c r="CH185" s="555" t="e">
        <f t="shared" si="937"/>
        <v>#DIV/0!</v>
      </c>
      <c r="CI185" s="556" t="e">
        <f t="shared" si="937"/>
        <v>#DIV/0!</v>
      </c>
      <c r="CJ185" s="555">
        <f t="shared" ref="CJ185:CL185" si="938">STDEV(AS185,AV185,AY185,BE185,BK185,BB185,CG185,BZ185,AA185,CD185)</f>
        <v>30.855847635956</v>
      </c>
      <c r="CK185" s="555" t="e">
        <f t="shared" si="938"/>
        <v>#DIV/0!</v>
      </c>
      <c r="CL185" s="556" t="e">
        <f t="shared" si="938"/>
        <v>#DIV/0!</v>
      </c>
      <c r="CM185" s="555">
        <f t="shared" ref="CM185:CO185" si="939">CJ185/AA185</f>
        <v>0.374010274375225</v>
      </c>
      <c r="CN185" s="555" t="e">
        <f t="shared" si="939"/>
        <v>#DIV/0!</v>
      </c>
      <c r="CO185" s="556" t="e">
        <f t="shared" si="939"/>
        <v>#DIV/0!</v>
      </c>
      <c r="CP185" s="29"/>
      <c r="CQ185" s="535"/>
      <c r="CR185" s="29"/>
      <c r="CS185" s="29"/>
      <c r="CT185" s="29"/>
      <c r="CU185" s="29"/>
      <c r="CV185" s="29"/>
    </row>
    <row r="186" customHeight="1" spans="1:100">
      <c r="A186" s="29" t="s">
        <v>441</v>
      </c>
      <c r="B186" s="541" t="s">
        <v>1109</v>
      </c>
      <c r="C186" s="29" t="s">
        <v>1110</v>
      </c>
      <c r="D186" s="29" t="s">
        <v>442</v>
      </c>
      <c r="F186" s="29" t="s">
        <v>1022</v>
      </c>
      <c r="G186" s="29" t="s">
        <v>1039</v>
      </c>
      <c r="H186" s="29" t="b">
        <v>1</v>
      </c>
      <c r="I186" s="29" t="b">
        <v>1</v>
      </c>
      <c r="J186" s="29" t="b">
        <v>0</v>
      </c>
      <c r="K186" s="29" t="b">
        <v>0</v>
      </c>
      <c r="L186" s="29" t="b">
        <v>0</v>
      </c>
      <c r="M186" s="29" t="b">
        <v>0</v>
      </c>
      <c r="P186" s="29" t="b">
        <v>0</v>
      </c>
      <c r="Q186" s="29" t="b">
        <v>0</v>
      </c>
      <c r="R186" s="29" t="b">
        <v>0</v>
      </c>
      <c r="S186" s="29" t="b">
        <v>1</v>
      </c>
      <c r="T186" s="29" t="b">
        <f t="shared" ref="T186:T215" si="940">IF(AND(H186=TRUE,I186=TRUE,L186=TRUE,M186=TRUE,P186=TRUE,Q186=TRUE,R186=TRUE,S186=TRUE,J186=FALSE,AE186=FALSE,K186=FALSE),TRUE,FALSE)</f>
        <v>0</v>
      </c>
      <c r="U186" s="29" t="s">
        <v>999</v>
      </c>
      <c r="W186" s="29" t="s">
        <v>119</v>
      </c>
      <c r="X186" s="29" t="s">
        <v>1049</v>
      </c>
      <c r="Y186" s="16" t="s">
        <v>1041</v>
      </c>
      <c r="Z186" s="29" t="s">
        <v>1042</v>
      </c>
      <c r="AA186" s="554">
        <f t="shared" ref="AA186:AC186" si="941">AVERAGE(AJ186,AM186,AP186,AV186,AY186,AS186,BZ186,BB186,BE186,BH186,BK186,BN186,BQ186,BT186)</f>
        <v>76.25</v>
      </c>
      <c r="AB186" s="555" t="e">
        <f t="shared" si="941"/>
        <v>#DIV/0!</v>
      </c>
      <c r="AC186" s="556" t="e">
        <f t="shared" si="941"/>
        <v>#DIV/0!</v>
      </c>
      <c r="AD186" s="29" t="b">
        <v>1</v>
      </c>
      <c r="AE186" s="29" t="b">
        <v>0</v>
      </c>
      <c r="AF186" s="29" t="b">
        <v>0</v>
      </c>
      <c r="AG186" s="574">
        <v>75</v>
      </c>
      <c r="AH186" s="569" t="s">
        <v>13</v>
      </c>
      <c r="AI186" s="570" t="s">
        <v>13</v>
      </c>
      <c r="AJ186" s="567"/>
      <c r="AK186" s="567"/>
      <c r="AL186" s="568"/>
      <c r="AM186" s="569">
        <v>55</v>
      </c>
      <c r="AN186" s="567"/>
      <c r="AO186" s="568"/>
      <c r="AP186" s="569">
        <v>75</v>
      </c>
      <c r="AQ186" s="567"/>
      <c r="AR186" s="568"/>
      <c r="AS186" s="567"/>
      <c r="AT186" s="567"/>
      <c r="AU186" s="568"/>
      <c r="AV186" s="567"/>
      <c r="AW186" s="567"/>
      <c r="AX186" s="568"/>
      <c r="AY186" s="567"/>
      <c r="AZ186" s="567"/>
      <c r="BA186" s="568"/>
      <c r="BB186" s="567"/>
      <c r="BC186" s="567"/>
      <c r="BD186" s="568"/>
      <c r="BE186" s="567"/>
      <c r="BF186" s="567"/>
      <c r="BG186" s="568"/>
      <c r="BH186" s="569">
        <v>100</v>
      </c>
      <c r="BI186" s="567"/>
      <c r="BJ186" s="568"/>
      <c r="BK186" s="569">
        <v>75</v>
      </c>
      <c r="BL186" s="567"/>
      <c r="BM186" s="568"/>
      <c r="BN186" s="567"/>
      <c r="BO186" s="567"/>
      <c r="BP186" s="568"/>
      <c r="BQ186" s="567"/>
      <c r="BR186" s="567"/>
      <c r="BS186" s="568"/>
      <c r="BT186" s="567"/>
      <c r="BU186" s="567"/>
      <c r="BV186" s="568"/>
      <c r="BW186" s="567"/>
      <c r="BX186" s="567"/>
      <c r="BY186" s="568"/>
      <c r="BZ186" s="567"/>
      <c r="CA186" s="567"/>
      <c r="CB186" s="567"/>
      <c r="CC186" s="583">
        <v>45340</v>
      </c>
      <c r="CD186" s="555">
        <f t="shared" ref="CD186:CF186" si="942">MEDIAN(AM186,AP186,AS186,AY186,BB186,AV186,AA186,BE186,BK186,BZ186,BH186,BN186,BQ186,BT186,BW186)</f>
        <v>75</v>
      </c>
      <c r="CE186" s="555" t="e">
        <f t="shared" si="942"/>
        <v>#DIV/0!</v>
      </c>
      <c r="CF186" s="556" t="e">
        <f t="shared" si="942"/>
        <v>#DIV/0!</v>
      </c>
      <c r="CG186" s="555">
        <f t="shared" ref="CG186:CI186" si="943">MAX(AP186,AS186,AV186,BB186,BE186,AY186,CD186,BK186,BZ186,AA186)-MIN(AP186,AS186,AV186,BB186,BE186,AY186,CD186,BK186,BZ186,AA186)</f>
        <v>1.25</v>
      </c>
      <c r="CH186" s="555" t="e">
        <f t="shared" si="943"/>
        <v>#DIV/0!</v>
      </c>
      <c r="CI186" s="556" t="e">
        <f t="shared" si="943"/>
        <v>#DIV/0!</v>
      </c>
      <c r="CJ186" s="555">
        <f t="shared" ref="CJ186:CL186" si="944">STDEV(AS186,AV186,AY186,BE186,BK186,BB186,CG186,BZ186,AA186,CD186)</f>
        <v>37.0880146857894</v>
      </c>
      <c r="CK186" s="555" t="e">
        <f t="shared" si="944"/>
        <v>#DIV/0!</v>
      </c>
      <c r="CL186" s="556" t="e">
        <f t="shared" si="944"/>
        <v>#DIV/0!</v>
      </c>
      <c r="CM186" s="555">
        <f t="shared" ref="CM186:CO186" si="945">CJ186/AA186</f>
        <v>0.486400192600517</v>
      </c>
      <c r="CN186" s="555" t="e">
        <f t="shared" si="945"/>
        <v>#DIV/0!</v>
      </c>
      <c r="CO186" s="556" t="e">
        <f t="shared" si="945"/>
        <v>#DIV/0!</v>
      </c>
      <c r="CP186" s="29" t="s">
        <v>120</v>
      </c>
      <c r="CQ186" s="535" t="str">
        <f t="shared" ref="CQ186:CQ203" si="946">W186</f>
        <v>n/a</v>
      </c>
      <c r="CR186" s="29" t="s">
        <v>120</v>
      </c>
      <c r="CS186" s="29"/>
      <c r="CT186" s="29"/>
      <c r="CU186" s="29"/>
      <c r="CV186" s="29"/>
    </row>
    <row r="187" customHeight="1" spans="1:100">
      <c r="A187" s="29" t="s">
        <v>443</v>
      </c>
      <c r="B187" s="541" t="s">
        <v>1109</v>
      </c>
      <c r="C187" s="29" t="s">
        <v>1110</v>
      </c>
      <c r="D187" s="29" t="s">
        <v>443</v>
      </c>
      <c r="F187" s="29" t="s">
        <v>1022</v>
      </c>
      <c r="G187" s="29" t="s">
        <v>1039</v>
      </c>
      <c r="H187" s="29" t="b">
        <v>1</v>
      </c>
      <c r="I187" s="29" t="b">
        <v>1</v>
      </c>
      <c r="J187" s="29" t="b">
        <v>0</v>
      </c>
      <c r="K187" s="29" t="b">
        <v>0</v>
      </c>
      <c r="L187" s="29" t="b">
        <v>0</v>
      </c>
      <c r="M187" s="29" t="b">
        <v>0</v>
      </c>
      <c r="P187" s="29" t="b">
        <v>0</v>
      </c>
      <c r="Q187" s="29" t="b">
        <v>0</v>
      </c>
      <c r="R187" s="29" t="b">
        <v>0</v>
      </c>
      <c r="S187" s="29" t="b">
        <v>0</v>
      </c>
      <c r="T187" s="29" t="b">
        <f t="shared" si="940"/>
        <v>0</v>
      </c>
      <c r="U187" s="29" t="s">
        <v>999</v>
      </c>
      <c r="W187" s="29" t="s">
        <v>119</v>
      </c>
      <c r="X187" s="29" t="s">
        <v>1064</v>
      </c>
      <c r="Y187" s="16" t="s">
        <v>1041</v>
      </c>
      <c r="Z187" s="29" t="s">
        <v>1052</v>
      </c>
      <c r="AA187" s="554">
        <f t="shared" ref="AA187:AC187" si="947">AVERAGE(AJ187,AM187,AP187,AV187,AY187,AS187,BZ187,BB187,BE187,BH187,BK187,BN187,BQ187,BT187)</f>
        <v>0.166666666666667</v>
      </c>
      <c r="AB187" s="555" t="e">
        <f t="shared" si="947"/>
        <v>#DIV/0!</v>
      </c>
      <c r="AC187" s="556" t="e">
        <f t="shared" si="947"/>
        <v>#DIV/0!</v>
      </c>
      <c r="AD187" s="29" t="b">
        <v>1</v>
      </c>
      <c r="AE187" s="29" t="b">
        <v>0</v>
      </c>
      <c r="AF187" s="29" t="b">
        <v>0</v>
      </c>
      <c r="AG187" s="574">
        <v>0.17</v>
      </c>
      <c r="AH187" s="567"/>
      <c r="AI187" s="568"/>
      <c r="AJ187" s="567"/>
      <c r="AK187" s="567"/>
      <c r="AL187" s="568"/>
      <c r="AM187" s="567">
        <f>10/60</f>
        <v>0.166666666666667</v>
      </c>
      <c r="AN187" s="567"/>
      <c r="AO187" s="568"/>
      <c r="AP187" s="567"/>
      <c r="AQ187" s="567"/>
      <c r="AR187" s="568"/>
      <c r="AS187" s="567"/>
      <c r="AT187" s="567"/>
      <c r="AU187" s="568"/>
      <c r="AV187" s="567"/>
      <c r="AW187" s="567"/>
      <c r="AX187" s="568"/>
      <c r="AY187" s="567"/>
      <c r="AZ187" s="567"/>
      <c r="BA187" s="568"/>
      <c r="BB187" s="567"/>
      <c r="BC187" s="567"/>
      <c r="BD187" s="568"/>
      <c r="BE187" s="567"/>
      <c r="BF187" s="567"/>
      <c r="BG187" s="568"/>
      <c r="BH187" s="567"/>
      <c r="BI187" s="567"/>
      <c r="BJ187" s="568"/>
      <c r="BK187" s="567"/>
      <c r="BL187" s="567"/>
      <c r="BM187" s="568"/>
      <c r="BN187" s="567"/>
      <c r="BO187" s="567"/>
      <c r="BP187" s="568"/>
      <c r="BQ187" s="567"/>
      <c r="BR187" s="567"/>
      <c r="BS187" s="568"/>
      <c r="BT187" s="567"/>
      <c r="BU187" s="567"/>
      <c r="BV187" s="568"/>
      <c r="BW187" s="567"/>
      <c r="BX187" s="567"/>
      <c r="BY187" s="568"/>
      <c r="BZ187" s="567"/>
      <c r="CA187" s="567"/>
      <c r="CB187" s="567"/>
      <c r="CC187" s="583"/>
      <c r="CD187" s="555">
        <f t="shared" ref="CD187:CF187" si="948">MEDIAN(AM187,AP187,AS187,AY187,BB187,AV187,AA187,BE187,BK187,BZ187,BH187,BN187,BQ187,BT187,BW187)</f>
        <v>0.166666666666667</v>
      </c>
      <c r="CE187" s="555" t="e">
        <f t="shared" si="948"/>
        <v>#DIV/0!</v>
      </c>
      <c r="CF187" s="556" t="e">
        <f t="shared" si="948"/>
        <v>#DIV/0!</v>
      </c>
      <c r="CG187" s="555">
        <f t="shared" ref="CG187:CI187" si="949">MAX(AP187,AS187,AV187,BB187,BE187,AY187,CD187,BK187,BZ187,AA187)-MIN(AP187,AS187,AV187,BB187,BE187,AY187,CD187,BK187,BZ187,AA187)</f>
        <v>0</v>
      </c>
      <c r="CH187" s="555" t="e">
        <f t="shared" si="949"/>
        <v>#DIV/0!</v>
      </c>
      <c r="CI187" s="556" t="e">
        <f t="shared" si="949"/>
        <v>#DIV/0!</v>
      </c>
      <c r="CJ187" s="555">
        <f t="shared" ref="CJ187:CL187" si="950">STDEV(AS187,AV187,AY187,BE187,BK187,BB187,CG187,BZ187,AA187,CD187)</f>
        <v>0.0962250448649376</v>
      </c>
      <c r="CK187" s="555" t="e">
        <f t="shared" si="950"/>
        <v>#DIV/0!</v>
      </c>
      <c r="CL187" s="556" t="e">
        <f t="shared" si="950"/>
        <v>#DIV/0!</v>
      </c>
      <c r="CM187" s="555">
        <f t="shared" ref="CM187:CO187" si="951">CJ187/AA187</f>
        <v>0.577350269189626</v>
      </c>
      <c r="CN187" s="555" t="e">
        <f t="shared" si="951"/>
        <v>#DIV/0!</v>
      </c>
      <c r="CO187" s="556" t="e">
        <f t="shared" si="951"/>
        <v>#DIV/0!</v>
      </c>
      <c r="CP187" s="29" t="s">
        <v>120</v>
      </c>
      <c r="CQ187" s="535" t="str">
        <f t="shared" si="946"/>
        <v>n/a</v>
      </c>
      <c r="CR187" s="29" t="s">
        <v>120</v>
      </c>
      <c r="CS187" s="29"/>
      <c r="CT187" s="29"/>
      <c r="CU187" s="29"/>
      <c r="CV187" s="29"/>
    </row>
    <row r="188" customHeight="1" spans="1:100">
      <c r="A188" s="29" t="s">
        <v>444</v>
      </c>
      <c r="B188" s="541" t="s">
        <v>1109</v>
      </c>
      <c r="C188" s="29" t="s">
        <v>1110</v>
      </c>
      <c r="D188" s="29" t="s">
        <v>445</v>
      </c>
      <c r="F188" s="29" t="s">
        <v>1022</v>
      </c>
      <c r="G188" s="29" t="s">
        <v>1039</v>
      </c>
      <c r="H188" s="29" t="b">
        <v>1</v>
      </c>
      <c r="I188" s="29" t="b">
        <v>1</v>
      </c>
      <c r="J188" s="29" t="b">
        <v>0</v>
      </c>
      <c r="K188" s="29" t="b">
        <v>0</v>
      </c>
      <c r="L188" s="29" t="b">
        <v>0</v>
      </c>
      <c r="M188" s="29" t="b">
        <v>0</v>
      </c>
      <c r="P188" s="29" t="b">
        <v>0</v>
      </c>
      <c r="Q188" s="29" t="b">
        <v>0</v>
      </c>
      <c r="R188" s="29" t="b">
        <v>0</v>
      </c>
      <c r="S188" s="29" t="b">
        <v>0</v>
      </c>
      <c r="T188" s="29" t="b">
        <f t="shared" si="940"/>
        <v>0</v>
      </c>
      <c r="U188" s="29" t="s">
        <v>999</v>
      </c>
      <c r="W188" s="29" t="s">
        <v>119</v>
      </c>
      <c r="X188" s="29" t="s">
        <v>1064</v>
      </c>
      <c r="Y188" s="16" t="s">
        <v>1041</v>
      </c>
      <c r="Z188" s="29" t="s">
        <v>1052</v>
      </c>
      <c r="AA188" s="554">
        <f t="shared" ref="AA188:AC188" si="952">AVERAGE(AJ188,AM188,AP188,AV188,AY188,AS188,BZ188,BB188,BE188,BH188,BK188,BN188,BQ188,BT188)</f>
        <v>0.1</v>
      </c>
      <c r="AB188" s="555" t="e">
        <f t="shared" si="952"/>
        <v>#DIV/0!</v>
      </c>
      <c r="AC188" s="556" t="e">
        <f t="shared" si="952"/>
        <v>#DIV/0!</v>
      </c>
      <c r="AD188" s="29" t="b">
        <v>1</v>
      </c>
      <c r="AE188" s="29" t="b">
        <v>0</v>
      </c>
      <c r="AF188" s="29" t="b">
        <v>0</v>
      </c>
      <c r="AG188" s="566"/>
      <c r="AH188" s="567"/>
      <c r="AI188" s="568"/>
      <c r="AJ188" s="567"/>
      <c r="AK188" s="567"/>
      <c r="AL188" s="568"/>
      <c r="AM188" s="569">
        <v>0.1</v>
      </c>
      <c r="AN188" s="567"/>
      <c r="AO188" s="568"/>
      <c r="AP188" s="567"/>
      <c r="AQ188" s="567"/>
      <c r="AR188" s="568"/>
      <c r="AS188" s="567"/>
      <c r="AT188" s="567"/>
      <c r="AU188" s="568"/>
      <c r="AV188" s="567"/>
      <c r="AW188" s="567"/>
      <c r="AX188" s="568"/>
      <c r="AY188" s="567"/>
      <c r="AZ188" s="567"/>
      <c r="BA188" s="568"/>
      <c r="BB188" s="567"/>
      <c r="BC188" s="567"/>
      <c r="BD188" s="568"/>
      <c r="BE188" s="567"/>
      <c r="BF188" s="567"/>
      <c r="BG188" s="568"/>
      <c r="BH188" s="567"/>
      <c r="BI188" s="567"/>
      <c r="BJ188" s="568"/>
      <c r="BK188" s="567"/>
      <c r="BL188" s="567"/>
      <c r="BM188" s="568"/>
      <c r="BN188" s="567"/>
      <c r="BO188" s="567"/>
      <c r="BP188" s="568"/>
      <c r="BQ188" s="567"/>
      <c r="BR188" s="567"/>
      <c r="BS188" s="568"/>
      <c r="BT188" s="567"/>
      <c r="BU188" s="567"/>
      <c r="BV188" s="568"/>
      <c r="BW188" s="567"/>
      <c r="BX188" s="567"/>
      <c r="BY188" s="568"/>
      <c r="BZ188" s="567"/>
      <c r="CA188" s="567"/>
      <c r="CB188" s="567"/>
      <c r="CC188" s="583"/>
      <c r="CD188" s="555">
        <f t="shared" ref="CD188:CF188" si="953">MEDIAN(AM188,AP188,AS188,AY188,BB188,AV188,AA188,BE188,BK188,BZ188,BH188,BN188,BQ188,BT188,BW188)</f>
        <v>0.1</v>
      </c>
      <c r="CE188" s="555" t="e">
        <f t="shared" si="953"/>
        <v>#DIV/0!</v>
      </c>
      <c r="CF188" s="556" t="e">
        <f t="shared" si="953"/>
        <v>#DIV/0!</v>
      </c>
      <c r="CG188" s="555">
        <f t="shared" ref="CG188:CI188" si="954">MAX(AP188,AS188,AV188,BB188,BE188,AY188,CD188,BK188,BZ188,AA188)-MIN(AP188,AS188,AV188,BB188,BE188,AY188,CD188,BK188,BZ188,AA188)</f>
        <v>0</v>
      </c>
      <c r="CH188" s="555" t="e">
        <f t="shared" si="954"/>
        <v>#DIV/0!</v>
      </c>
      <c r="CI188" s="556" t="e">
        <f t="shared" si="954"/>
        <v>#DIV/0!</v>
      </c>
      <c r="CJ188" s="555">
        <f t="shared" ref="CJ188:CL188" si="955">STDEV(AS188,AV188,AY188,BE188,BK188,BB188,CG188,BZ188,AA188,CD188)</f>
        <v>0.0577350269189626</v>
      </c>
      <c r="CK188" s="555" t="e">
        <f t="shared" si="955"/>
        <v>#DIV/0!</v>
      </c>
      <c r="CL188" s="556" t="e">
        <f t="shared" si="955"/>
        <v>#DIV/0!</v>
      </c>
      <c r="CM188" s="555">
        <f t="shared" ref="CM188:CO188" si="956">CJ188/AA188</f>
        <v>0.577350269189626</v>
      </c>
      <c r="CN188" s="555" t="e">
        <f t="shared" si="956"/>
        <v>#DIV/0!</v>
      </c>
      <c r="CO188" s="556" t="e">
        <f t="shared" si="956"/>
        <v>#DIV/0!</v>
      </c>
      <c r="CP188" s="29" t="s">
        <v>120</v>
      </c>
      <c r="CQ188" s="535" t="str">
        <f t="shared" si="946"/>
        <v>n/a</v>
      </c>
      <c r="CR188" s="29" t="s">
        <v>120</v>
      </c>
      <c r="CS188" s="29"/>
      <c r="CT188" s="29"/>
      <c r="CU188" s="29"/>
      <c r="CV188" s="29"/>
    </row>
    <row r="189" customHeight="1" spans="1:100">
      <c r="A189" s="29" t="s">
        <v>446</v>
      </c>
      <c r="B189" s="541" t="s">
        <v>1109</v>
      </c>
      <c r="C189" s="29" t="s">
        <v>1110</v>
      </c>
      <c r="F189" s="29" t="s">
        <v>1022</v>
      </c>
      <c r="G189" s="29" t="s">
        <v>1039</v>
      </c>
      <c r="H189" s="29" t="b">
        <v>0</v>
      </c>
      <c r="I189" s="29" t="b">
        <v>0</v>
      </c>
      <c r="J189" s="29" t="b">
        <v>1</v>
      </c>
      <c r="K189" s="29" t="b">
        <v>0</v>
      </c>
      <c r="L189" s="29" t="b">
        <v>0</v>
      </c>
      <c r="M189" s="29" t="b">
        <v>0</v>
      </c>
      <c r="P189" s="29" t="b">
        <v>0</v>
      </c>
      <c r="Q189" s="29" t="b">
        <v>0</v>
      </c>
      <c r="R189" s="29" t="b">
        <v>0</v>
      </c>
      <c r="S189" s="29" t="b">
        <v>0</v>
      </c>
      <c r="T189" s="29" t="b">
        <f t="shared" si="940"/>
        <v>0</v>
      </c>
      <c r="U189" s="29" t="s">
        <v>999</v>
      </c>
      <c r="W189" s="29" t="s">
        <v>119</v>
      </c>
      <c r="X189" s="29" t="s">
        <v>1040</v>
      </c>
      <c r="Y189" s="16" t="s">
        <v>1041</v>
      </c>
      <c r="Z189" s="29" t="s">
        <v>1042</v>
      </c>
      <c r="AA189" s="554">
        <f t="shared" ref="AA189:AC189" si="957">AVERAGE(AJ189,AM189,AP189,AV189,AY189,AS189,BZ189,BB189,BE189,BH189,BK189,BN189,BQ189,BT189)</f>
        <v>50</v>
      </c>
      <c r="AB189" s="555" t="e">
        <f t="shared" si="957"/>
        <v>#DIV/0!</v>
      </c>
      <c r="AC189" s="556" t="e">
        <f t="shared" si="957"/>
        <v>#DIV/0!</v>
      </c>
      <c r="AD189" s="29" t="b">
        <v>0</v>
      </c>
      <c r="AE189" s="29" t="b">
        <v>1</v>
      </c>
      <c r="AF189" s="29" t="b">
        <v>0</v>
      </c>
      <c r="AG189" s="566"/>
      <c r="AH189" s="567"/>
      <c r="AI189" s="568"/>
      <c r="AJ189" s="567"/>
      <c r="AK189" s="567"/>
      <c r="AL189" s="568"/>
      <c r="AM189" s="569">
        <v>50</v>
      </c>
      <c r="AN189" s="567"/>
      <c r="AO189" s="568"/>
      <c r="AP189" s="567"/>
      <c r="AQ189" s="567"/>
      <c r="AR189" s="568"/>
      <c r="AS189" s="567"/>
      <c r="AT189" s="567"/>
      <c r="AU189" s="568"/>
      <c r="AV189" s="567"/>
      <c r="AW189" s="567"/>
      <c r="AX189" s="568"/>
      <c r="AY189" s="567"/>
      <c r="AZ189" s="567"/>
      <c r="BA189" s="568"/>
      <c r="BB189" s="567"/>
      <c r="BC189" s="567"/>
      <c r="BD189" s="568"/>
      <c r="BE189" s="567"/>
      <c r="BF189" s="567"/>
      <c r="BG189" s="568"/>
      <c r="BH189" s="567"/>
      <c r="BI189" s="567"/>
      <c r="BJ189" s="568"/>
      <c r="BK189" s="567"/>
      <c r="BL189" s="567"/>
      <c r="BM189" s="568"/>
      <c r="BN189" s="567"/>
      <c r="BO189" s="567"/>
      <c r="BP189" s="568"/>
      <c r="BQ189" s="567"/>
      <c r="BR189" s="567"/>
      <c r="BS189" s="568"/>
      <c r="BT189" s="567"/>
      <c r="BU189" s="567"/>
      <c r="BV189" s="568"/>
      <c r="BW189" s="567"/>
      <c r="BX189" s="567"/>
      <c r="BY189" s="568"/>
      <c r="BZ189" s="567"/>
      <c r="CA189" s="567"/>
      <c r="CB189" s="567"/>
      <c r="CC189" s="583"/>
      <c r="CD189" s="555">
        <f t="shared" ref="CD189:CF189" si="958">MEDIAN(AM189,AP189,AS189,AY189,BB189,AV189,AA189,BE189,BK189,BZ189,BH189,BN189,BQ189,BT189,BW189)</f>
        <v>50</v>
      </c>
      <c r="CE189" s="555" t="e">
        <f t="shared" si="958"/>
        <v>#DIV/0!</v>
      </c>
      <c r="CF189" s="556" t="e">
        <f t="shared" si="958"/>
        <v>#DIV/0!</v>
      </c>
      <c r="CG189" s="555">
        <f t="shared" ref="CG189:CI189" si="959">MAX(AP189,AS189,AV189,BB189,BE189,AY189,CD189,BK189,BZ189,AA189)-MIN(AP189,AS189,AV189,BB189,BE189,AY189,CD189,BK189,BZ189,AA189)</f>
        <v>0</v>
      </c>
      <c r="CH189" s="555" t="e">
        <f t="shared" si="959"/>
        <v>#DIV/0!</v>
      </c>
      <c r="CI189" s="556" t="e">
        <f t="shared" si="959"/>
        <v>#DIV/0!</v>
      </c>
      <c r="CJ189" s="555">
        <f t="shared" ref="CJ189:CL189" si="960">STDEV(AS189,AV189,AY189,BE189,BK189,BB189,CG189,BZ189,AA189,CD189)</f>
        <v>28.8675134594813</v>
      </c>
      <c r="CK189" s="555" t="e">
        <f t="shared" si="960"/>
        <v>#DIV/0!</v>
      </c>
      <c r="CL189" s="556" t="e">
        <f t="shared" si="960"/>
        <v>#DIV/0!</v>
      </c>
      <c r="CM189" s="555">
        <f t="shared" ref="CM189:CO189" si="961">CJ189/AA189</f>
        <v>0.577350269189626</v>
      </c>
      <c r="CN189" s="555" t="e">
        <f t="shared" si="961"/>
        <v>#DIV/0!</v>
      </c>
      <c r="CO189" s="556" t="e">
        <f t="shared" si="961"/>
        <v>#DIV/0!</v>
      </c>
      <c r="CP189" s="29" t="s">
        <v>120</v>
      </c>
      <c r="CQ189" s="535" t="str">
        <f t="shared" si="946"/>
        <v>n/a</v>
      </c>
      <c r="CR189" s="29" t="s">
        <v>120</v>
      </c>
      <c r="CS189" s="29"/>
      <c r="CT189" s="29"/>
      <c r="CU189" s="29"/>
      <c r="CV189" s="29"/>
    </row>
    <row r="190" customHeight="1" spans="1:100">
      <c r="A190" s="29" t="s">
        <v>447</v>
      </c>
      <c r="B190" s="541" t="s">
        <v>1109</v>
      </c>
      <c r="C190" s="29" t="s">
        <v>1110</v>
      </c>
      <c r="F190" s="29" t="s">
        <v>1022</v>
      </c>
      <c r="G190" s="29" t="s">
        <v>1039</v>
      </c>
      <c r="H190" s="29" t="b">
        <v>0</v>
      </c>
      <c r="I190" s="29" t="b">
        <v>0</v>
      </c>
      <c r="J190" s="29" t="b">
        <v>1</v>
      </c>
      <c r="K190" s="29" t="b">
        <v>0</v>
      </c>
      <c r="L190" s="29" t="b">
        <v>0</v>
      </c>
      <c r="M190" s="29" t="b">
        <v>0</v>
      </c>
      <c r="P190" s="29" t="b">
        <v>0</v>
      </c>
      <c r="Q190" s="29" t="b">
        <v>0</v>
      </c>
      <c r="R190" s="29" t="b">
        <v>0</v>
      </c>
      <c r="S190" s="29" t="b">
        <v>0</v>
      </c>
      <c r="T190" s="29" t="b">
        <f t="shared" si="940"/>
        <v>0</v>
      </c>
      <c r="U190" s="29" t="s">
        <v>999</v>
      </c>
      <c r="W190" s="29" t="s">
        <v>119</v>
      </c>
      <c r="X190" s="29" t="s">
        <v>1040</v>
      </c>
      <c r="Y190" s="16" t="s">
        <v>1041</v>
      </c>
      <c r="Z190" s="29" t="s">
        <v>1042</v>
      </c>
      <c r="AA190" s="554">
        <f t="shared" ref="AA190:AC190" si="962">AVERAGE(AJ190,AM190,AP190,AV190,AY190,AS190,BZ190,BB190,BE190,BH190,BK190,BN190,BQ190,BT190)</f>
        <v>100</v>
      </c>
      <c r="AB190" s="555" t="e">
        <f t="shared" si="962"/>
        <v>#DIV/0!</v>
      </c>
      <c r="AC190" s="556" t="e">
        <f t="shared" si="962"/>
        <v>#DIV/0!</v>
      </c>
      <c r="AD190" s="29" t="b">
        <v>0</v>
      </c>
      <c r="AE190" s="29" t="b">
        <v>1</v>
      </c>
      <c r="AF190" s="29" t="b">
        <v>0</v>
      </c>
      <c r="AG190" s="566"/>
      <c r="AH190" s="567"/>
      <c r="AI190" s="568"/>
      <c r="AJ190" s="567"/>
      <c r="AK190" s="567"/>
      <c r="AL190" s="568"/>
      <c r="AM190" s="569">
        <v>100</v>
      </c>
      <c r="AN190" s="567"/>
      <c r="AO190" s="568"/>
      <c r="AP190" s="567"/>
      <c r="AQ190" s="567"/>
      <c r="AR190" s="568"/>
      <c r="AS190" s="567"/>
      <c r="AT190" s="567"/>
      <c r="AU190" s="568"/>
      <c r="AV190" s="567"/>
      <c r="AW190" s="567"/>
      <c r="AX190" s="568"/>
      <c r="AY190" s="567"/>
      <c r="AZ190" s="567"/>
      <c r="BA190" s="568"/>
      <c r="BB190" s="567"/>
      <c r="BC190" s="567"/>
      <c r="BD190" s="568"/>
      <c r="BE190" s="567"/>
      <c r="BF190" s="567"/>
      <c r="BG190" s="568"/>
      <c r="BH190" s="567"/>
      <c r="BI190" s="567"/>
      <c r="BJ190" s="568"/>
      <c r="BK190" s="567"/>
      <c r="BL190" s="567"/>
      <c r="BM190" s="568"/>
      <c r="BN190" s="567"/>
      <c r="BO190" s="567"/>
      <c r="BP190" s="568"/>
      <c r="BQ190" s="567"/>
      <c r="BR190" s="567"/>
      <c r="BS190" s="568"/>
      <c r="BT190" s="567"/>
      <c r="BU190" s="567"/>
      <c r="BV190" s="568"/>
      <c r="BW190" s="567"/>
      <c r="BX190" s="567"/>
      <c r="BY190" s="568"/>
      <c r="BZ190" s="567"/>
      <c r="CA190" s="567"/>
      <c r="CB190" s="567"/>
      <c r="CC190" s="583"/>
      <c r="CD190" s="555">
        <f t="shared" ref="CD190:CF190" si="963">MEDIAN(AM190,AP190,AS190,AY190,BB190,AV190,AA190,BE190,BK190,BZ190,BH190,BN190,BQ190,BT190,BW190)</f>
        <v>100</v>
      </c>
      <c r="CE190" s="555" t="e">
        <f t="shared" si="963"/>
        <v>#DIV/0!</v>
      </c>
      <c r="CF190" s="556" t="e">
        <f t="shared" si="963"/>
        <v>#DIV/0!</v>
      </c>
      <c r="CG190" s="555">
        <f t="shared" ref="CG190:CI190" si="964">MAX(AP190,AS190,AV190,BB190,BE190,AY190,CD190,BK190,BZ190,AA190)-MIN(AP190,AS190,AV190,BB190,BE190,AY190,CD190,BK190,BZ190,AA190)</f>
        <v>0</v>
      </c>
      <c r="CH190" s="555" t="e">
        <f t="shared" si="964"/>
        <v>#DIV/0!</v>
      </c>
      <c r="CI190" s="556" t="e">
        <f t="shared" si="964"/>
        <v>#DIV/0!</v>
      </c>
      <c r="CJ190" s="555">
        <f t="shared" ref="CJ190:CL190" si="965">STDEV(AS190,AV190,AY190,BE190,BK190,BB190,CG190,BZ190,AA190,CD190)</f>
        <v>57.7350269189626</v>
      </c>
      <c r="CK190" s="555" t="e">
        <f t="shared" si="965"/>
        <v>#DIV/0!</v>
      </c>
      <c r="CL190" s="556" t="e">
        <f t="shared" si="965"/>
        <v>#DIV/0!</v>
      </c>
      <c r="CM190" s="555">
        <f t="shared" ref="CM190:CO190" si="966">CJ190/AA190</f>
        <v>0.577350269189626</v>
      </c>
      <c r="CN190" s="555" t="e">
        <f t="shared" si="966"/>
        <v>#DIV/0!</v>
      </c>
      <c r="CO190" s="556" t="e">
        <f t="shared" si="966"/>
        <v>#DIV/0!</v>
      </c>
      <c r="CP190" s="29" t="s">
        <v>120</v>
      </c>
      <c r="CQ190" s="535" t="str">
        <f t="shared" si="946"/>
        <v>n/a</v>
      </c>
      <c r="CR190" s="29" t="s">
        <v>120</v>
      </c>
      <c r="CS190" s="29"/>
      <c r="CT190" s="29"/>
      <c r="CU190" s="29"/>
      <c r="CV190" s="29"/>
    </row>
    <row r="191" customHeight="1" spans="1:100">
      <c r="A191" s="29" t="s">
        <v>448</v>
      </c>
      <c r="B191" s="541" t="s">
        <v>1109</v>
      </c>
      <c r="C191" s="29" t="s">
        <v>1110</v>
      </c>
      <c r="F191" s="29" t="s">
        <v>1022</v>
      </c>
      <c r="G191" s="29" t="s">
        <v>1039</v>
      </c>
      <c r="H191" s="29" t="b">
        <v>0</v>
      </c>
      <c r="I191" s="29" t="b">
        <v>0</v>
      </c>
      <c r="J191" s="29" t="b">
        <v>1</v>
      </c>
      <c r="K191" s="29" t="b">
        <v>0</v>
      </c>
      <c r="L191" s="29" t="b">
        <v>0</v>
      </c>
      <c r="M191" s="29" t="b">
        <v>0</v>
      </c>
      <c r="P191" s="29" t="b">
        <v>0</v>
      </c>
      <c r="Q191" s="29" t="b">
        <v>0</v>
      </c>
      <c r="R191" s="29" t="b">
        <v>0</v>
      </c>
      <c r="S191" s="29" t="b">
        <v>0</v>
      </c>
      <c r="T191" s="29" t="b">
        <f t="shared" si="940"/>
        <v>0</v>
      </c>
      <c r="U191" s="29" t="s">
        <v>999</v>
      </c>
      <c r="W191" s="29" t="s">
        <v>119</v>
      </c>
      <c r="X191" s="29" t="s">
        <v>1064</v>
      </c>
      <c r="Y191" s="16" t="s">
        <v>1041</v>
      </c>
      <c r="Z191" s="29" t="s">
        <v>1052</v>
      </c>
      <c r="AA191" s="554">
        <f t="shared" ref="AA191:AC191" si="967">AVERAGE(AJ191,AM191,AP191,AV191,AY191,AS191,BZ191,BB191,BE191,BH191,BK191,BN191,BQ191,BT191)</f>
        <v>0.08</v>
      </c>
      <c r="AB191" s="555" t="e">
        <f t="shared" si="967"/>
        <v>#DIV/0!</v>
      </c>
      <c r="AC191" s="556" t="e">
        <f t="shared" si="967"/>
        <v>#DIV/0!</v>
      </c>
      <c r="AD191" s="29" t="b">
        <v>1</v>
      </c>
      <c r="AE191" s="29" t="b">
        <v>1</v>
      </c>
      <c r="AF191" s="29" t="b">
        <v>0</v>
      </c>
      <c r="AG191" s="566"/>
      <c r="AH191" s="567"/>
      <c r="AI191" s="568"/>
      <c r="AJ191" s="567"/>
      <c r="AK191" s="567"/>
      <c r="AL191" s="568"/>
      <c r="AM191" s="567">
        <f>4.8/60</f>
        <v>0.08</v>
      </c>
      <c r="AN191" s="567"/>
      <c r="AO191" s="568"/>
      <c r="AP191" s="567"/>
      <c r="AQ191" s="567"/>
      <c r="AR191" s="568"/>
      <c r="AS191" s="567"/>
      <c r="AT191" s="567"/>
      <c r="AU191" s="568"/>
      <c r="AV191" s="567"/>
      <c r="AW191" s="567"/>
      <c r="AX191" s="568"/>
      <c r="AY191" s="567"/>
      <c r="AZ191" s="567"/>
      <c r="BA191" s="568"/>
      <c r="BB191" s="567"/>
      <c r="BC191" s="567"/>
      <c r="BD191" s="568"/>
      <c r="BE191" s="567"/>
      <c r="BF191" s="567"/>
      <c r="BG191" s="568"/>
      <c r="BH191" s="567"/>
      <c r="BI191" s="567"/>
      <c r="BJ191" s="568"/>
      <c r="BK191" s="567"/>
      <c r="BL191" s="567"/>
      <c r="BM191" s="568"/>
      <c r="BN191" s="567"/>
      <c r="BO191" s="567"/>
      <c r="BP191" s="568"/>
      <c r="BQ191" s="567"/>
      <c r="BR191" s="567"/>
      <c r="BS191" s="568"/>
      <c r="BT191" s="567"/>
      <c r="BU191" s="567"/>
      <c r="BV191" s="568"/>
      <c r="BW191" s="567"/>
      <c r="BX191" s="567"/>
      <c r="BY191" s="568"/>
      <c r="BZ191" s="567"/>
      <c r="CA191" s="567"/>
      <c r="CB191" s="567"/>
      <c r="CC191" s="583"/>
      <c r="CD191" s="555">
        <f t="shared" ref="CD191:CF191" si="968">MEDIAN(AM191,AP191,AS191,AY191,BB191,AV191,AA191,BE191,BK191,BZ191,BH191,BN191,BQ191,BT191,BW191)</f>
        <v>0.08</v>
      </c>
      <c r="CE191" s="555" t="e">
        <f t="shared" si="968"/>
        <v>#DIV/0!</v>
      </c>
      <c r="CF191" s="556" t="e">
        <f t="shared" si="968"/>
        <v>#DIV/0!</v>
      </c>
      <c r="CG191" s="555">
        <f t="shared" ref="CG191:CI191" si="969">MAX(AP191,AS191,AV191,BB191,BE191,AY191,CD191,BK191,BZ191,AA191)-MIN(AP191,AS191,AV191,BB191,BE191,AY191,CD191,BK191,BZ191,AA191)</f>
        <v>0</v>
      </c>
      <c r="CH191" s="555" t="e">
        <f t="shared" si="969"/>
        <v>#DIV/0!</v>
      </c>
      <c r="CI191" s="556" t="e">
        <f t="shared" si="969"/>
        <v>#DIV/0!</v>
      </c>
      <c r="CJ191" s="555">
        <f t="shared" ref="CJ191:CL191" si="970">STDEV(AS191,AV191,AY191,BE191,BK191,BB191,CG191,BZ191,AA191,CD191)</f>
        <v>0.0461880215351701</v>
      </c>
      <c r="CK191" s="555" t="e">
        <f t="shared" si="970"/>
        <v>#DIV/0!</v>
      </c>
      <c r="CL191" s="556" t="e">
        <f t="shared" si="970"/>
        <v>#DIV/0!</v>
      </c>
      <c r="CM191" s="555">
        <f t="shared" ref="CM191:CO191" si="971">CJ191/AA191</f>
        <v>0.577350269189626</v>
      </c>
      <c r="CN191" s="555" t="e">
        <f t="shared" si="971"/>
        <v>#DIV/0!</v>
      </c>
      <c r="CO191" s="556" t="e">
        <f t="shared" si="971"/>
        <v>#DIV/0!</v>
      </c>
      <c r="CP191" s="29" t="s">
        <v>120</v>
      </c>
      <c r="CQ191" s="535" t="str">
        <f t="shared" si="946"/>
        <v>n/a</v>
      </c>
      <c r="CR191" s="29" t="s">
        <v>120</v>
      </c>
      <c r="CS191" s="29"/>
      <c r="CT191" s="29"/>
      <c r="CU191" s="29"/>
      <c r="CV191" s="29"/>
    </row>
    <row r="192" customHeight="1" spans="1:100">
      <c r="A192" s="29" t="s">
        <v>449</v>
      </c>
      <c r="B192" s="541" t="s">
        <v>1109</v>
      </c>
      <c r="C192" s="29" t="s">
        <v>1110</v>
      </c>
      <c r="F192" s="29" t="s">
        <v>1022</v>
      </c>
      <c r="G192" s="29" t="s">
        <v>1039</v>
      </c>
      <c r="H192" s="29" t="b">
        <v>0</v>
      </c>
      <c r="I192" s="29" t="b">
        <v>0</v>
      </c>
      <c r="J192" s="29" t="b">
        <v>1</v>
      </c>
      <c r="K192" s="29" t="b">
        <v>0</v>
      </c>
      <c r="L192" s="29" t="b">
        <v>0</v>
      </c>
      <c r="M192" s="29" t="b">
        <v>0</v>
      </c>
      <c r="P192" s="29" t="b">
        <v>0</v>
      </c>
      <c r="Q192" s="29" t="b">
        <v>0</v>
      </c>
      <c r="R192" s="29" t="b">
        <v>0</v>
      </c>
      <c r="S192" s="29" t="b">
        <v>0</v>
      </c>
      <c r="T192" s="29" t="b">
        <f t="shared" si="940"/>
        <v>0</v>
      </c>
      <c r="U192" s="29" t="s">
        <v>999</v>
      </c>
      <c r="W192" s="29" t="s">
        <v>119</v>
      </c>
      <c r="X192" s="29" t="s">
        <v>1064</v>
      </c>
      <c r="Y192" s="16" t="s">
        <v>1041</v>
      </c>
      <c r="Z192" s="29" t="s">
        <v>1052</v>
      </c>
      <c r="AA192" s="554">
        <f t="shared" ref="AA192:AC192" si="972">AVERAGE(AJ192,AM192,AP192,AV192,AY192,AS192,BZ192,BB192,BE192,BH192,BK192,BN192,BQ192,BT192)</f>
        <v>0.111666666666667</v>
      </c>
      <c r="AB192" s="555" t="e">
        <f t="shared" si="972"/>
        <v>#DIV/0!</v>
      </c>
      <c r="AC192" s="556" t="e">
        <f t="shared" si="972"/>
        <v>#DIV/0!</v>
      </c>
      <c r="AD192" s="29" t="b">
        <v>1</v>
      </c>
      <c r="AE192" s="29" t="b">
        <v>1</v>
      </c>
      <c r="AF192" s="29" t="b">
        <v>0</v>
      </c>
      <c r="AG192" s="566"/>
      <c r="AH192" s="567"/>
      <c r="AI192" s="568"/>
      <c r="AJ192" s="567"/>
      <c r="AK192" s="567"/>
      <c r="AL192" s="568"/>
      <c r="AM192" s="567">
        <f>6.7/60</f>
        <v>0.111666666666667</v>
      </c>
      <c r="AN192" s="567"/>
      <c r="AO192" s="568"/>
      <c r="AP192" s="567"/>
      <c r="AQ192" s="567"/>
      <c r="AR192" s="568"/>
      <c r="AS192" s="567"/>
      <c r="AT192" s="567"/>
      <c r="AU192" s="568"/>
      <c r="AV192" s="567"/>
      <c r="AW192" s="567"/>
      <c r="AX192" s="568"/>
      <c r="AY192" s="567"/>
      <c r="AZ192" s="567"/>
      <c r="BA192" s="568"/>
      <c r="BB192" s="567"/>
      <c r="BC192" s="567"/>
      <c r="BD192" s="568"/>
      <c r="BE192" s="567"/>
      <c r="BF192" s="567"/>
      <c r="BG192" s="568"/>
      <c r="BH192" s="567"/>
      <c r="BI192" s="567"/>
      <c r="BJ192" s="568"/>
      <c r="BK192" s="567"/>
      <c r="BL192" s="567"/>
      <c r="BM192" s="568"/>
      <c r="BN192" s="567"/>
      <c r="BO192" s="567"/>
      <c r="BP192" s="568"/>
      <c r="BQ192" s="567"/>
      <c r="BR192" s="567"/>
      <c r="BS192" s="568"/>
      <c r="BT192" s="567"/>
      <c r="BU192" s="567"/>
      <c r="BV192" s="568"/>
      <c r="BW192" s="567"/>
      <c r="BX192" s="567"/>
      <c r="BY192" s="568"/>
      <c r="BZ192" s="567"/>
      <c r="CA192" s="567"/>
      <c r="CB192" s="567"/>
      <c r="CC192" s="583"/>
      <c r="CD192" s="555">
        <f t="shared" ref="CD192:CF192" si="973">MEDIAN(AM192,AP192,AS192,AY192,BB192,AV192,AA192,BE192,BK192,BZ192,BH192,BN192,BQ192,BT192,BW192)</f>
        <v>0.111666666666667</v>
      </c>
      <c r="CE192" s="555" t="e">
        <f t="shared" si="973"/>
        <v>#DIV/0!</v>
      </c>
      <c r="CF192" s="556" t="e">
        <f t="shared" si="973"/>
        <v>#DIV/0!</v>
      </c>
      <c r="CG192" s="555">
        <f t="shared" ref="CG192:CI192" si="974">MAX(AP192,AS192,AV192,BB192,BE192,AY192,CD192,BK192,BZ192,AA192)-MIN(AP192,AS192,AV192,BB192,BE192,AY192,CD192,BK192,BZ192,AA192)</f>
        <v>0</v>
      </c>
      <c r="CH192" s="555" t="e">
        <f t="shared" si="974"/>
        <v>#DIV/0!</v>
      </c>
      <c r="CI192" s="556" t="e">
        <f t="shared" si="974"/>
        <v>#DIV/0!</v>
      </c>
      <c r="CJ192" s="555">
        <f t="shared" ref="CJ192:CL192" si="975">STDEV(AS192,AV192,AY192,BE192,BK192,BB192,CG192,BZ192,AA192,CD192)</f>
        <v>0.0644707800595082</v>
      </c>
      <c r="CK192" s="555" t="e">
        <f t="shared" si="975"/>
        <v>#DIV/0!</v>
      </c>
      <c r="CL192" s="556" t="e">
        <f t="shared" si="975"/>
        <v>#DIV/0!</v>
      </c>
      <c r="CM192" s="555">
        <f t="shared" ref="CM192:CO192" si="976">CJ192/AA192</f>
        <v>0.577350269189626</v>
      </c>
      <c r="CN192" s="555" t="e">
        <f t="shared" si="976"/>
        <v>#DIV/0!</v>
      </c>
      <c r="CO192" s="556" t="e">
        <f t="shared" si="976"/>
        <v>#DIV/0!</v>
      </c>
      <c r="CP192" s="29" t="s">
        <v>120</v>
      </c>
      <c r="CQ192" s="535" t="str">
        <f t="shared" si="946"/>
        <v>n/a</v>
      </c>
      <c r="CR192" s="29" t="s">
        <v>120</v>
      </c>
      <c r="CS192" s="29"/>
      <c r="CT192" s="29"/>
      <c r="CU192" s="29"/>
      <c r="CV192" s="29"/>
    </row>
    <row r="193" customHeight="1" spans="1:100">
      <c r="A193" s="29" t="s">
        <v>450</v>
      </c>
      <c r="B193" s="541" t="s">
        <v>1109</v>
      </c>
      <c r="C193" s="29" t="s">
        <v>1110</v>
      </c>
      <c r="F193" s="29" t="s">
        <v>1022</v>
      </c>
      <c r="G193" s="29" t="s">
        <v>1039</v>
      </c>
      <c r="H193" s="29" t="b">
        <v>0</v>
      </c>
      <c r="I193" s="29" t="b">
        <v>0</v>
      </c>
      <c r="J193" s="29" t="b">
        <v>1</v>
      </c>
      <c r="K193" s="29" t="b">
        <v>0</v>
      </c>
      <c r="L193" s="29" t="b">
        <v>0</v>
      </c>
      <c r="M193" s="29" t="b">
        <v>0</v>
      </c>
      <c r="P193" s="29" t="b">
        <v>0</v>
      </c>
      <c r="Q193" s="29" t="b">
        <v>0</v>
      </c>
      <c r="R193" s="29" t="b">
        <v>0</v>
      </c>
      <c r="S193" s="29" t="b">
        <v>0</v>
      </c>
      <c r="T193" s="29" t="b">
        <f t="shared" si="940"/>
        <v>0</v>
      </c>
      <c r="U193" s="29" t="s">
        <v>999</v>
      </c>
      <c r="W193" s="29" t="s">
        <v>119</v>
      </c>
      <c r="X193" s="29" t="s">
        <v>1064</v>
      </c>
      <c r="Y193" s="16" t="s">
        <v>1041</v>
      </c>
      <c r="Z193" s="29" t="s">
        <v>1052</v>
      </c>
      <c r="AA193" s="554">
        <f t="shared" ref="AA193:AC193" si="977">AVERAGE(AJ193,AM193,AP193,AV193,AY193,AS193,BZ193,BB193,BE193,BH193,BK193,BN193,BQ193,BT193)</f>
        <v>0.143333333333333</v>
      </c>
      <c r="AB193" s="555" t="e">
        <f t="shared" si="977"/>
        <v>#DIV/0!</v>
      </c>
      <c r="AC193" s="556" t="e">
        <f t="shared" si="977"/>
        <v>#DIV/0!</v>
      </c>
      <c r="AD193" s="29" t="b">
        <v>1</v>
      </c>
      <c r="AE193" s="29" t="b">
        <v>1</v>
      </c>
      <c r="AF193" s="29" t="b">
        <v>0</v>
      </c>
      <c r="AG193" s="566"/>
      <c r="AH193" s="567"/>
      <c r="AI193" s="568"/>
      <c r="AJ193" s="567"/>
      <c r="AK193" s="567"/>
      <c r="AL193" s="568"/>
      <c r="AM193" s="567">
        <f t="shared" ref="AM193:AM194" si="978">8.6/60</f>
        <v>0.143333333333333</v>
      </c>
      <c r="AN193" s="567"/>
      <c r="AO193" s="568"/>
      <c r="AP193" s="567"/>
      <c r="AQ193" s="567"/>
      <c r="AR193" s="568"/>
      <c r="AS193" s="567"/>
      <c r="AT193" s="567"/>
      <c r="AU193" s="568"/>
      <c r="AV193" s="567"/>
      <c r="AW193" s="567"/>
      <c r="AX193" s="568"/>
      <c r="AY193" s="567"/>
      <c r="AZ193" s="567"/>
      <c r="BA193" s="568"/>
      <c r="BB193" s="567"/>
      <c r="BC193" s="567"/>
      <c r="BD193" s="568"/>
      <c r="BE193" s="567"/>
      <c r="BF193" s="567"/>
      <c r="BG193" s="568"/>
      <c r="BH193" s="567"/>
      <c r="BI193" s="567"/>
      <c r="BJ193" s="568"/>
      <c r="BK193" s="567"/>
      <c r="BL193" s="567"/>
      <c r="BM193" s="568"/>
      <c r="BN193" s="567"/>
      <c r="BO193" s="567"/>
      <c r="BP193" s="568"/>
      <c r="BQ193" s="567"/>
      <c r="BR193" s="567"/>
      <c r="BS193" s="568"/>
      <c r="BT193" s="567"/>
      <c r="BU193" s="567"/>
      <c r="BV193" s="568"/>
      <c r="BW193" s="567"/>
      <c r="BX193" s="567"/>
      <c r="BY193" s="568"/>
      <c r="BZ193" s="567"/>
      <c r="CA193" s="567"/>
      <c r="CB193" s="567"/>
      <c r="CC193" s="583"/>
      <c r="CD193" s="555">
        <f t="shared" ref="CD193:CF193" si="979">MEDIAN(AM193,AP193,AS193,AY193,BB193,AV193,AA193,BE193,BK193,BZ193,BH193,BN193,BQ193,BT193,BW193)</f>
        <v>0.143333333333333</v>
      </c>
      <c r="CE193" s="555" t="e">
        <f t="shared" si="979"/>
        <v>#DIV/0!</v>
      </c>
      <c r="CF193" s="556" t="e">
        <f t="shared" si="979"/>
        <v>#DIV/0!</v>
      </c>
      <c r="CG193" s="555">
        <f t="shared" ref="CG193:CI193" si="980">MAX(AP193,AS193,AV193,BB193,BE193,AY193,CD193,BK193,BZ193,AA193)-MIN(AP193,AS193,AV193,BB193,BE193,AY193,CD193,BK193,BZ193,AA193)</f>
        <v>0</v>
      </c>
      <c r="CH193" s="555" t="e">
        <f t="shared" si="980"/>
        <v>#DIV/0!</v>
      </c>
      <c r="CI193" s="556" t="e">
        <f t="shared" si="980"/>
        <v>#DIV/0!</v>
      </c>
      <c r="CJ193" s="555">
        <f t="shared" ref="CJ193:CL193" si="981">STDEV(AS193,AV193,AY193,BE193,BK193,BB193,CG193,BZ193,AA193,CD193)</f>
        <v>0.0827535385838464</v>
      </c>
      <c r="CK193" s="555" t="e">
        <f t="shared" si="981"/>
        <v>#DIV/0!</v>
      </c>
      <c r="CL193" s="556" t="e">
        <f t="shared" si="981"/>
        <v>#DIV/0!</v>
      </c>
      <c r="CM193" s="555">
        <f t="shared" ref="CM193:CO193" si="982">CJ193/AA193</f>
        <v>0.577350269189626</v>
      </c>
      <c r="CN193" s="555" t="e">
        <f t="shared" si="982"/>
        <v>#DIV/0!</v>
      </c>
      <c r="CO193" s="556" t="e">
        <f t="shared" si="982"/>
        <v>#DIV/0!</v>
      </c>
      <c r="CP193" s="29" t="s">
        <v>120</v>
      </c>
      <c r="CQ193" s="535" t="str">
        <f t="shared" si="946"/>
        <v>n/a</v>
      </c>
      <c r="CR193" s="29" t="s">
        <v>120</v>
      </c>
      <c r="CS193" s="29"/>
      <c r="CT193" s="29"/>
      <c r="CU193" s="29"/>
      <c r="CV193" s="29"/>
    </row>
    <row r="194" customHeight="1" spans="1:100">
      <c r="A194" s="29" t="s">
        <v>451</v>
      </c>
      <c r="B194" s="541" t="s">
        <v>1109</v>
      </c>
      <c r="C194" s="29" t="s">
        <v>1110</v>
      </c>
      <c r="F194" s="29" t="s">
        <v>1022</v>
      </c>
      <c r="G194" s="29" t="s">
        <v>1039</v>
      </c>
      <c r="H194" s="29" t="b">
        <v>0</v>
      </c>
      <c r="I194" s="29" t="b">
        <v>0</v>
      </c>
      <c r="J194" s="29" t="b">
        <v>1</v>
      </c>
      <c r="K194" s="29" t="b">
        <v>0</v>
      </c>
      <c r="L194" s="29" t="b">
        <v>0</v>
      </c>
      <c r="M194" s="29" t="b">
        <v>0</v>
      </c>
      <c r="P194" s="29" t="b">
        <v>0</v>
      </c>
      <c r="Q194" s="29" t="b">
        <v>0</v>
      </c>
      <c r="R194" s="29" t="b">
        <v>0</v>
      </c>
      <c r="S194" s="29" t="b">
        <v>0</v>
      </c>
      <c r="T194" s="29" t="b">
        <f t="shared" si="940"/>
        <v>0</v>
      </c>
      <c r="U194" s="29" t="s">
        <v>999</v>
      </c>
      <c r="W194" s="29" t="s">
        <v>119</v>
      </c>
      <c r="X194" s="29" t="s">
        <v>1064</v>
      </c>
      <c r="Y194" s="16" t="s">
        <v>1041</v>
      </c>
      <c r="Z194" s="29" t="s">
        <v>1052</v>
      </c>
      <c r="AA194" s="554">
        <f t="shared" ref="AA194:AC194" si="983">AVERAGE(AJ194,AM194,AP194,AV194,AY194,AS194,BZ194,BB194,BE194,BH194,BK194,BN194,BQ194,BT194)</f>
        <v>0.143333333333333</v>
      </c>
      <c r="AB194" s="555" t="e">
        <f t="shared" si="983"/>
        <v>#DIV/0!</v>
      </c>
      <c r="AC194" s="556" t="e">
        <f t="shared" si="983"/>
        <v>#DIV/0!</v>
      </c>
      <c r="AD194" s="29" t="b">
        <v>0</v>
      </c>
      <c r="AE194" s="29" t="b">
        <v>1</v>
      </c>
      <c r="AF194" s="29" t="b">
        <v>0</v>
      </c>
      <c r="AG194" s="566"/>
      <c r="AH194" s="567"/>
      <c r="AI194" s="568"/>
      <c r="AJ194" s="567"/>
      <c r="AK194" s="567"/>
      <c r="AL194" s="568"/>
      <c r="AM194" s="567">
        <f t="shared" si="978"/>
        <v>0.143333333333333</v>
      </c>
      <c r="AN194" s="567"/>
      <c r="AO194" s="568"/>
      <c r="AP194" s="567"/>
      <c r="AQ194" s="567"/>
      <c r="AR194" s="568"/>
      <c r="AS194" s="567"/>
      <c r="AT194" s="567"/>
      <c r="AU194" s="568"/>
      <c r="AV194" s="567"/>
      <c r="AW194" s="567"/>
      <c r="AX194" s="568"/>
      <c r="AY194" s="567"/>
      <c r="AZ194" s="567"/>
      <c r="BA194" s="568"/>
      <c r="BB194" s="567"/>
      <c r="BC194" s="567"/>
      <c r="BD194" s="568"/>
      <c r="BE194" s="567"/>
      <c r="BF194" s="567"/>
      <c r="BG194" s="568"/>
      <c r="BH194" s="567"/>
      <c r="BI194" s="567"/>
      <c r="BJ194" s="568"/>
      <c r="BK194" s="567"/>
      <c r="BL194" s="567"/>
      <c r="BM194" s="568"/>
      <c r="BN194" s="567"/>
      <c r="BO194" s="567"/>
      <c r="BP194" s="568"/>
      <c r="BQ194" s="567"/>
      <c r="BR194" s="567"/>
      <c r="BS194" s="568"/>
      <c r="BT194" s="567"/>
      <c r="BU194" s="567"/>
      <c r="BV194" s="568"/>
      <c r="BW194" s="567"/>
      <c r="BX194" s="567"/>
      <c r="BY194" s="568"/>
      <c r="BZ194" s="567"/>
      <c r="CA194" s="567"/>
      <c r="CB194" s="567"/>
      <c r="CC194" s="583"/>
      <c r="CD194" s="555">
        <f t="shared" ref="CD194:CF194" si="984">MEDIAN(AM194,AP194,AS194,AY194,BB194,AV194,AA194,BE194,BK194,BZ194,BH194,BN194,BQ194,BT194,BW194)</f>
        <v>0.143333333333333</v>
      </c>
      <c r="CE194" s="555" t="e">
        <f t="shared" si="984"/>
        <v>#DIV/0!</v>
      </c>
      <c r="CF194" s="556" t="e">
        <f t="shared" si="984"/>
        <v>#DIV/0!</v>
      </c>
      <c r="CG194" s="555">
        <f t="shared" ref="CG194:CI194" si="985">MAX(AP194,AS194,AV194,BB194,BE194,AY194,CD194,BK194,BZ194,AA194)-MIN(AP194,AS194,AV194,BB194,BE194,AY194,CD194,BK194,BZ194,AA194)</f>
        <v>0</v>
      </c>
      <c r="CH194" s="555" t="e">
        <f t="shared" si="985"/>
        <v>#DIV/0!</v>
      </c>
      <c r="CI194" s="556" t="e">
        <f t="shared" si="985"/>
        <v>#DIV/0!</v>
      </c>
      <c r="CJ194" s="555">
        <f t="shared" ref="CJ194:CL194" si="986">STDEV(AS194,AV194,AY194,BE194,BK194,BB194,CG194,BZ194,AA194,CD194)</f>
        <v>0.0827535385838464</v>
      </c>
      <c r="CK194" s="555" t="e">
        <f t="shared" si="986"/>
        <v>#DIV/0!</v>
      </c>
      <c r="CL194" s="556" t="e">
        <f t="shared" si="986"/>
        <v>#DIV/0!</v>
      </c>
      <c r="CM194" s="555">
        <f t="shared" ref="CM194:CO194" si="987">CJ194/AA194</f>
        <v>0.577350269189626</v>
      </c>
      <c r="CN194" s="555" t="e">
        <f t="shared" si="987"/>
        <v>#DIV/0!</v>
      </c>
      <c r="CO194" s="556" t="e">
        <f t="shared" si="987"/>
        <v>#DIV/0!</v>
      </c>
      <c r="CP194" s="29" t="s">
        <v>120</v>
      </c>
      <c r="CQ194" s="535" t="str">
        <f t="shared" si="946"/>
        <v>n/a</v>
      </c>
      <c r="CR194" s="29" t="s">
        <v>120</v>
      </c>
      <c r="CS194" s="29"/>
      <c r="CT194" s="29"/>
      <c r="CU194" s="29"/>
      <c r="CV194" s="29"/>
    </row>
    <row r="195" customHeight="1" spans="1:100">
      <c r="A195" s="29" t="s">
        <v>452</v>
      </c>
      <c r="B195" s="541" t="s">
        <v>1109</v>
      </c>
      <c r="C195" s="29" t="s">
        <v>1110</v>
      </c>
      <c r="D195" s="29" t="s">
        <v>452</v>
      </c>
      <c r="F195" s="29" t="s">
        <v>1022</v>
      </c>
      <c r="G195" s="29" t="s">
        <v>1039</v>
      </c>
      <c r="H195" s="29" t="b">
        <v>1</v>
      </c>
      <c r="I195" s="29" t="b">
        <v>1</v>
      </c>
      <c r="J195" s="29" t="b">
        <v>0</v>
      </c>
      <c r="K195" s="29" t="b">
        <v>0</v>
      </c>
      <c r="L195" s="29" t="b">
        <v>0</v>
      </c>
      <c r="M195" s="29" t="b">
        <v>0</v>
      </c>
      <c r="N195" s="29" t="s">
        <v>119</v>
      </c>
      <c r="P195" s="29" t="b">
        <v>0</v>
      </c>
      <c r="Q195" s="29" t="b">
        <v>0</v>
      </c>
      <c r="R195" s="29" t="b">
        <v>0</v>
      </c>
      <c r="S195" s="29" t="b">
        <v>0</v>
      </c>
      <c r="T195" s="29" t="b">
        <f t="shared" si="940"/>
        <v>0</v>
      </c>
      <c r="U195" s="29" t="s">
        <v>999</v>
      </c>
      <c r="W195" s="29" t="s">
        <v>119</v>
      </c>
      <c r="X195" s="29" t="s">
        <v>1064</v>
      </c>
      <c r="Y195" s="16" t="s">
        <v>1041</v>
      </c>
      <c r="Z195" s="29" t="s">
        <v>1052</v>
      </c>
      <c r="AA195" s="554">
        <f t="shared" ref="AA195:AC195" si="988">AVERAGE(AJ195,AM195,AP195,AV195,AY195,AS195,BZ195,BB195,BE195,BH195,BK195,BN195,BQ195,BT195)</f>
        <v>0.0916666666666667</v>
      </c>
      <c r="AB195" s="555" t="e">
        <f t="shared" si="988"/>
        <v>#DIV/0!</v>
      </c>
      <c r="AC195" s="556" t="e">
        <f t="shared" si="988"/>
        <v>#DIV/0!</v>
      </c>
      <c r="AD195" s="29" t="b">
        <v>1</v>
      </c>
      <c r="AE195" s="29" t="b">
        <v>0</v>
      </c>
      <c r="AF195" s="29" t="b">
        <v>0</v>
      </c>
      <c r="AG195" s="574">
        <v>0.04</v>
      </c>
      <c r="AH195" s="567"/>
      <c r="AI195" s="568"/>
      <c r="AJ195" s="567"/>
      <c r="AK195" s="567"/>
      <c r="AL195" s="568"/>
      <c r="AM195" s="567">
        <f>5.5/60</f>
        <v>0.0916666666666667</v>
      </c>
      <c r="AN195" s="567"/>
      <c r="AO195" s="568"/>
      <c r="AP195" s="567"/>
      <c r="AQ195" s="567"/>
      <c r="AR195" s="568"/>
      <c r="AS195" s="567"/>
      <c r="AT195" s="567"/>
      <c r="AU195" s="568"/>
      <c r="AV195" s="567"/>
      <c r="AW195" s="567"/>
      <c r="AX195" s="568"/>
      <c r="AY195" s="567"/>
      <c r="AZ195" s="567"/>
      <c r="BA195" s="568"/>
      <c r="BB195" s="567"/>
      <c r="BC195" s="567"/>
      <c r="BD195" s="568"/>
      <c r="BE195" s="567"/>
      <c r="BF195" s="567"/>
      <c r="BG195" s="568"/>
      <c r="BH195" s="567"/>
      <c r="BI195" s="567"/>
      <c r="BJ195" s="568"/>
      <c r="BK195" s="567"/>
      <c r="BL195" s="567"/>
      <c r="BM195" s="568"/>
      <c r="BN195" s="567"/>
      <c r="BO195" s="567"/>
      <c r="BP195" s="568"/>
      <c r="BQ195" s="567"/>
      <c r="BR195" s="567"/>
      <c r="BS195" s="568"/>
      <c r="BT195" s="567"/>
      <c r="BU195" s="567"/>
      <c r="BV195" s="568"/>
      <c r="BW195" s="567"/>
      <c r="BX195" s="567"/>
      <c r="BY195" s="568"/>
      <c r="BZ195" s="567"/>
      <c r="CA195" s="567"/>
      <c r="CB195" s="567"/>
      <c r="CC195" s="583"/>
      <c r="CD195" s="555">
        <f t="shared" ref="CD195:CF195" si="989">MEDIAN(AM195,AP195,AS195,AY195,BB195,AV195,AA195,BE195,BK195,BZ195,BH195,BN195,BQ195,BT195,BW195)</f>
        <v>0.0916666666666667</v>
      </c>
      <c r="CE195" s="555" t="e">
        <f t="shared" si="989"/>
        <v>#DIV/0!</v>
      </c>
      <c r="CF195" s="556" t="e">
        <f t="shared" si="989"/>
        <v>#DIV/0!</v>
      </c>
      <c r="CG195" s="555">
        <f t="shared" ref="CG195:CI195" si="990">MAX(AP195,AS195,AV195,BB195,BE195,AY195,CD195,BK195,BZ195,AA195)-MIN(AP195,AS195,AV195,BB195,BE195,AY195,CD195,BK195,BZ195,AA195)</f>
        <v>0</v>
      </c>
      <c r="CH195" s="555" t="e">
        <f t="shared" si="990"/>
        <v>#DIV/0!</v>
      </c>
      <c r="CI195" s="556" t="e">
        <f t="shared" si="990"/>
        <v>#DIV/0!</v>
      </c>
      <c r="CJ195" s="555">
        <f t="shared" ref="CJ195:CL195" si="991">STDEV(AS195,AV195,AY195,BE195,BK195,BB195,CG195,BZ195,AA195,CD195)</f>
        <v>0.0529237746757157</v>
      </c>
      <c r="CK195" s="555" t="e">
        <f t="shared" si="991"/>
        <v>#DIV/0!</v>
      </c>
      <c r="CL195" s="556" t="e">
        <f t="shared" si="991"/>
        <v>#DIV/0!</v>
      </c>
      <c r="CM195" s="555">
        <f t="shared" ref="CM195:CO195" si="992">CJ195/AA195</f>
        <v>0.577350269189626</v>
      </c>
      <c r="CN195" s="555" t="e">
        <f t="shared" si="992"/>
        <v>#DIV/0!</v>
      </c>
      <c r="CO195" s="556" t="e">
        <f t="shared" si="992"/>
        <v>#DIV/0!</v>
      </c>
      <c r="CP195" s="29" t="s">
        <v>120</v>
      </c>
      <c r="CQ195" s="535" t="str">
        <f t="shared" si="946"/>
        <v>n/a</v>
      </c>
      <c r="CR195" s="29" t="s">
        <v>120</v>
      </c>
      <c r="CS195" s="29"/>
      <c r="CT195" s="29"/>
      <c r="CU195" s="29"/>
      <c r="CV195" s="29"/>
    </row>
    <row r="196" customHeight="1" spans="1:100">
      <c r="A196" s="29" t="s">
        <v>453</v>
      </c>
      <c r="B196" s="541" t="s">
        <v>1109</v>
      </c>
      <c r="C196" s="29" t="s">
        <v>1110</v>
      </c>
      <c r="F196" s="29" t="s">
        <v>1022</v>
      </c>
      <c r="G196" s="29" t="s">
        <v>1039</v>
      </c>
      <c r="H196" s="29" t="b">
        <v>0</v>
      </c>
      <c r="I196" s="29" t="b">
        <v>0</v>
      </c>
      <c r="J196" s="29" t="b">
        <v>1</v>
      </c>
      <c r="K196" s="29" t="b">
        <v>0</v>
      </c>
      <c r="L196" s="29" t="b">
        <v>0</v>
      </c>
      <c r="M196" s="29" t="b">
        <v>0</v>
      </c>
      <c r="P196" s="29" t="b">
        <v>0</v>
      </c>
      <c r="Q196" s="29" t="b">
        <v>0</v>
      </c>
      <c r="R196" s="29" t="b">
        <v>0</v>
      </c>
      <c r="S196" s="29" t="b">
        <v>0</v>
      </c>
      <c r="T196" s="29" t="b">
        <f t="shared" si="940"/>
        <v>0</v>
      </c>
      <c r="U196" s="29" t="s">
        <v>999</v>
      </c>
      <c r="W196" s="29" t="s">
        <v>119</v>
      </c>
      <c r="X196" s="29" t="s">
        <v>1064</v>
      </c>
      <c r="Y196" s="16" t="s">
        <v>1041</v>
      </c>
      <c r="Z196" s="29" t="s">
        <v>1052</v>
      </c>
      <c r="AA196" s="554">
        <f t="shared" ref="AA196:AC196" si="993">AVERAGE(AJ196,AM196,AP196,AV196,AY196,AS196,BZ196,BB196,BE196,BH196,BK196,BN196,BQ196,BT196)</f>
        <v>0.111666666666667</v>
      </c>
      <c r="AB196" s="555" t="e">
        <f t="shared" si="993"/>
        <v>#DIV/0!</v>
      </c>
      <c r="AC196" s="556" t="e">
        <f t="shared" si="993"/>
        <v>#DIV/0!</v>
      </c>
      <c r="AD196" s="29" t="b">
        <v>0</v>
      </c>
      <c r="AE196" s="29" t="b">
        <v>1</v>
      </c>
      <c r="AF196" s="29" t="b">
        <v>0</v>
      </c>
      <c r="AG196" s="566"/>
      <c r="AH196" s="567"/>
      <c r="AI196" s="568"/>
      <c r="AJ196" s="567"/>
      <c r="AK196" s="567"/>
      <c r="AL196" s="568"/>
      <c r="AM196" s="567">
        <f>6.7/60</f>
        <v>0.111666666666667</v>
      </c>
      <c r="AN196" s="567"/>
      <c r="AO196" s="568"/>
      <c r="AP196" s="567"/>
      <c r="AQ196" s="567"/>
      <c r="AR196" s="568"/>
      <c r="AS196" s="567"/>
      <c r="AT196" s="567"/>
      <c r="AU196" s="568"/>
      <c r="AV196" s="567"/>
      <c r="AW196" s="567"/>
      <c r="AX196" s="568"/>
      <c r="AY196" s="567"/>
      <c r="AZ196" s="567"/>
      <c r="BA196" s="568"/>
      <c r="BB196" s="567"/>
      <c r="BC196" s="567"/>
      <c r="BD196" s="568"/>
      <c r="BE196" s="567"/>
      <c r="BF196" s="567"/>
      <c r="BG196" s="568"/>
      <c r="BH196" s="567"/>
      <c r="BI196" s="567"/>
      <c r="BJ196" s="568"/>
      <c r="BK196" s="567"/>
      <c r="BL196" s="567"/>
      <c r="BM196" s="568"/>
      <c r="BN196" s="567"/>
      <c r="BO196" s="567"/>
      <c r="BP196" s="568"/>
      <c r="BQ196" s="567"/>
      <c r="BR196" s="567"/>
      <c r="BS196" s="568"/>
      <c r="BT196" s="567"/>
      <c r="BU196" s="567"/>
      <c r="BV196" s="568"/>
      <c r="BW196" s="567"/>
      <c r="BX196" s="567"/>
      <c r="BY196" s="568"/>
      <c r="BZ196" s="567"/>
      <c r="CA196" s="567"/>
      <c r="CB196" s="567"/>
      <c r="CC196" s="583"/>
      <c r="CD196" s="555">
        <f t="shared" ref="CD196:CF196" si="994">MEDIAN(AM196,AP196,AS196,AY196,BB196,AV196,AA196,BE196,BK196,BZ196,BH196,BN196,BQ196,BT196,BW196)</f>
        <v>0.111666666666667</v>
      </c>
      <c r="CE196" s="555" t="e">
        <f t="shared" si="994"/>
        <v>#DIV/0!</v>
      </c>
      <c r="CF196" s="556" t="e">
        <f t="shared" si="994"/>
        <v>#DIV/0!</v>
      </c>
      <c r="CG196" s="555">
        <f t="shared" ref="CG196:CI196" si="995">MAX(AP196,AS196,AV196,BB196,BE196,AY196,CD196,BK196,BZ196,AA196)-MIN(AP196,AS196,AV196,BB196,BE196,AY196,CD196,BK196,BZ196,AA196)</f>
        <v>0</v>
      </c>
      <c r="CH196" s="555" t="e">
        <f t="shared" si="995"/>
        <v>#DIV/0!</v>
      </c>
      <c r="CI196" s="556" t="e">
        <f t="shared" si="995"/>
        <v>#DIV/0!</v>
      </c>
      <c r="CJ196" s="555">
        <f t="shared" ref="CJ196:CL196" si="996">STDEV(AS196,AV196,AY196,BE196,BK196,BB196,CG196,BZ196,AA196,CD196)</f>
        <v>0.0644707800595082</v>
      </c>
      <c r="CK196" s="555" t="e">
        <f t="shared" si="996"/>
        <v>#DIV/0!</v>
      </c>
      <c r="CL196" s="556" t="e">
        <f t="shared" si="996"/>
        <v>#DIV/0!</v>
      </c>
      <c r="CM196" s="555">
        <f t="shared" ref="CM196:CO196" si="997">CJ196/AA196</f>
        <v>0.577350269189626</v>
      </c>
      <c r="CN196" s="555" t="e">
        <f t="shared" si="997"/>
        <v>#DIV/0!</v>
      </c>
      <c r="CO196" s="556" t="e">
        <f t="shared" si="997"/>
        <v>#DIV/0!</v>
      </c>
      <c r="CP196" s="29" t="s">
        <v>120</v>
      </c>
      <c r="CQ196" s="535" t="str">
        <f t="shared" si="946"/>
        <v>n/a</v>
      </c>
      <c r="CR196" s="29" t="s">
        <v>120</v>
      </c>
      <c r="CS196" s="29"/>
      <c r="CT196" s="29"/>
      <c r="CU196" s="29"/>
      <c r="CV196" s="29"/>
    </row>
    <row r="197" customHeight="1" spans="1:100">
      <c r="A197" s="29" t="s">
        <v>454</v>
      </c>
      <c r="B197" s="541" t="s">
        <v>1109</v>
      </c>
      <c r="C197" s="29" t="s">
        <v>1110</v>
      </c>
      <c r="F197" s="29" t="s">
        <v>1022</v>
      </c>
      <c r="G197" s="29" t="s">
        <v>1039</v>
      </c>
      <c r="H197" s="29" t="b">
        <v>0</v>
      </c>
      <c r="I197" s="29" t="b">
        <v>0</v>
      </c>
      <c r="J197" s="29" t="b">
        <v>1</v>
      </c>
      <c r="K197" s="29" t="b">
        <v>0</v>
      </c>
      <c r="L197" s="29" t="b">
        <v>0</v>
      </c>
      <c r="M197" s="29" t="b">
        <v>0</v>
      </c>
      <c r="P197" s="29" t="b">
        <v>0</v>
      </c>
      <c r="Q197" s="29" t="b">
        <v>0</v>
      </c>
      <c r="R197" s="29" t="b">
        <v>0</v>
      </c>
      <c r="S197" s="29" t="b">
        <v>0</v>
      </c>
      <c r="T197" s="29" t="b">
        <f t="shared" si="940"/>
        <v>0</v>
      </c>
      <c r="U197" s="29" t="s">
        <v>999</v>
      </c>
      <c r="W197" s="29" t="s">
        <v>119</v>
      </c>
      <c r="X197" s="29" t="s">
        <v>1064</v>
      </c>
      <c r="Y197" s="16" t="s">
        <v>1041</v>
      </c>
      <c r="Z197" s="29" t="s">
        <v>1052</v>
      </c>
      <c r="AA197" s="554">
        <f t="shared" ref="AA197:AC197" si="998">AVERAGE(AJ197,AM197,AP197,AV197,AY197,AS197,BZ197,BB197,BE197,BH197,BK197,BN197,BQ197,BT197)</f>
        <v>0.118333333333333</v>
      </c>
      <c r="AB197" s="555" t="e">
        <f t="shared" si="998"/>
        <v>#DIV/0!</v>
      </c>
      <c r="AC197" s="556" t="e">
        <f t="shared" si="998"/>
        <v>#DIV/0!</v>
      </c>
      <c r="AD197" s="29" t="b">
        <v>0</v>
      </c>
      <c r="AE197" s="29" t="b">
        <v>1</v>
      </c>
      <c r="AF197" s="29" t="b">
        <v>0</v>
      </c>
      <c r="AG197" s="566"/>
      <c r="AH197" s="567"/>
      <c r="AI197" s="568"/>
      <c r="AJ197" s="567"/>
      <c r="AK197" s="567"/>
      <c r="AL197" s="568"/>
      <c r="AM197" s="567">
        <f>7.1/60</f>
        <v>0.118333333333333</v>
      </c>
      <c r="AN197" s="567"/>
      <c r="AO197" s="568"/>
      <c r="AP197" s="567"/>
      <c r="AQ197" s="567"/>
      <c r="AR197" s="568"/>
      <c r="AS197" s="567"/>
      <c r="AT197" s="567"/>
      <c r="AU197" s="568"/>
      <c r="AV197" s="567"/>
      <c r="AW197" s="567"/>
      <c r="AX197" s="568"/>
      <c r="AY197" s="567"/>
      <c r="AZ197" s="567"/>
      <c r="BA197" s="568"/>
      <c r="BB197" s="567"/>
      <c r="BC197" s="567"/>
      <c r="BD197" s="568"/>
      <c r="BE197" s="567"/>
      <c r="BF197" s="567"/>
      <c r="BG197" s="568"/>
      <c r="BH197" s="567"/>
      <c r="BI197" s="567"/>
      <c r="BJ197" s="568"/>
      <c r="BK197" s="567"/>
      <c r="BL197" s="567"/>
      <c r="BM197" s="568"/>
      <c r="BN197" s="567"/>
      <c r="BO197" s="567"/>
      <c r="BP197" s="568"/>
      <c r="BQ197" s="567"/>
      <c r="BR197" s="567"/>
      <c r="BS197" s="568"/>
      <c r="BT197" s="567"/>
      <c r="BU197" s="567"/>
      <c r="BV197" s="568"/>
      <c r="BW197" s="567"/>
      <c r="BX197" s="567"/>
      <c r="BY197" s="568"/>
      <c r="BZ197" s="567"/>
      <c r="CA197" s="567"/>
      <c r="CB197" s="567"/>
      <c r="CC197" s="583"/>
      <c r="CD197" s="555">
        <f t="shared" ref="CD197:CF197" si="999">MEDIAN(AM197,AP197,AS197,AY197,BB197,AV197,AA197,BE197,BK197,BZ197,BH197,BN197,BQ197,BT197,BW197)</f>
        <v>0.118333333333333</v>
      </c>
      <c r="CE197" s="555" t="e">
        <f t="shared" si="999"/>
        <v>#DIV/0!</v>
      </c>
      <c r="CF197" s="556" t="e">
        <f t="shared" si="999"/>
        <v>#DIV/0!</v>
      </c>
      <c r="CG197" s="555">
        <f t="shared" ref="CG197:CI197" si="1000">MAX(AP197,AS197,AV197,BB197,BE197,AY197,CD197,BK197,BZ197,AA197)-MIN(AP197,AS197,AV197,BB197,BE197,AY197,CD197,BK197,BZ197,AA197)</f>
        <v>0</v>
      </c>
      <c r="CH197" s="555" t="e">
        <f t="shared" si="1000"/>
        <v>#DIV/0!</v>
      </c>
      <c r="CI197" s="556" t="e">
        <f t="shared" si="1000"/>
        <v>#DIV/0!</v>
      </c>
      <c r="CJ197" s="555">
        <f t="shared" ref="CJ197:CL197" si="1001">STDEV(AS197,AV197,AY197,BE197,BK197,BB197,CG197,BZ197,AA197,CD197)</f>
        <v>0.0683197818541057</v>
      </c>
      <c r="CK197" s="555" t="e">
        <f t="shared" si="1001"/>
        <v>#DIV/0!</v>
      </c>
      <c r="CL197" s="556" t="e">
        <f t="shared" si="1001"/>
        <v>#DIV/0!</v>
      </c>
      <c r="CM197" s="555">
        <f t="shared" ref="CM197:CO197" si="1002">CJ197/AA197</f>
        <v>0.577350269189626</v>
      </c>
      <c r="CN197" s="555" t="e">
        <f t="shared" si="1002"/>
        <v>#DIV/0!</v>
      </c>
      <c r="CO197" s="556" t="e">
        <f t="shared" si="1002"/>
        <v>#DIV/0!</v>
      </c>
      <c r="CP197" s="29" t="s">
        <v>120</v>
      </c>
      <c r="CQ197" s="535" t="str">
        <f t="shared" si="946"/>
        <v>n/a</v>
      </c>
      <c r="CR197" s="29" t="s">
        <v>120</v>
      </c>
      <c r="CS197" s="29"/>
      <c r="CT197" s="29"/>
      <c r="CU197" s="29"/>
      <c r="CV197" s="29"/>
    </row>
    <row r="198" customHeight="1" spans="1:100">
      <c r="A198" s="29" t="s">
        <v>455</v>
      </c>
      <c r="B198" s="541" t="s">
        <v>1109</v>
      </c>
      <c r="C198" s="29" t="s">
        <v>1110</v>
      </c>
      <c r="F198" s="29" t="s">
        <v>1022</v>
      </c>
      <c r="G198" s="29" t="s">
        <v>1039</v>
      </c>
      <c r="H198" s="29" t="b">
        <v>0</v>
      </c>
      <c r="I198" s="29" t="b">
        <v>0</v>
      </c>
      <c r="J198" s="29" t="b">
        <v>1</v>
      </c>
      <c r="K198" s="29" t="b">
        <v>0</v>
      </c>
      <c r="L198" s="29" t="b">
        <v>0</v>
      </c>
      <c r="M198" s="29" t="b">
        <v>0</v>
      </c>
      <c r="P198" s="29" t="b">
        <v>0</v>
      </c>
      <c r="Q198" s="29" t="b">
        <v>0</v>
      </c>
      <c r="R198" s="29" t="b">
        <v>0</v>
      </c>
      <c r="S198" s="29" t="b">
        <v>0</v>
      </c>
      <c r="T198" s="29" t="b">
        <f t="shared" si="940"/>
        <v>0</v>
      </c>
      <c r="U198" s="29" t="s">
        <v>999</v>
      </c>
      <c r="W198" s="29" t="s">
        <v>119</v>
      </c>
      <c r="X198" s="29" t="s">
        <v>1064</v>
      </c>
      <c r="Y198" s="16" t="s">
        <v>1041</v>
      </c>
      <c r="Z198" s="29" t="s">
        <v>1052</v>
      </c>
      <c r="AA198" s="554">
        <f t="shared" ref="AA198:AC198" si="1003">AVERAGE(AJ198,AM198,AP198,AV198,AY198,AS198,BZ198,BB198,BE198,BH198,BK198,BN198,BQ198,BT198)</f>
        <v>0.143333333333333</v>
      </c>
      <c r="AB198" s="555" t="e">
        <f t="shared" si="1003"/>
        <v>#DIV/0!</v>
      </c>
      <c r="AC198" s="556" t="e">
        <f t="shared" si="1003"/>
        <v>#DIV/0!</v>
      </c>
      <c r="AD198" s="29" t="b">
        <v>0</v>
      </c>
      <c r="AE198" s="29" t="b">
        <v>1</v>
      </c>
      <c r="AF198" s="29" t="b">
        <v>0</v>
      </c>
      <c r="AG198" s="566"/>
      <c r="AH198" s="567"/>
      <c r="AI198" s="568"/>
      <c r="AJ198" s="567"/>
      <c r="AK198" s="567"/>
      <c r="AL198" s="568"/>
      <c r="AM198" s="567">
        <f>8.6/60</f>
        <v>0.143333333333333</v>
      </c>
      <c r="AN198" s="567"/>
      <c r="AO198" s="568"/>
      <c r="AP198" s="567"/>
      <c r="AQ198" s="567"/>
      <c r="AR198" s="568"/>
      <c r="AS198" s="567"/>
      <c r="AT198" s="567"/>
      <c r="AU198" s="568"/>
      <c r="AV198" s="567"/>
      <c r="AW198" s="567"/>
      <c r="AX198" s="568"/>
      <c r="AY198" s="567"/>
      <c r="AZ198" s="567"/>
      <c r="BA198" s="568"/>
      <c r="BB198" s="567"/>
      <c r="BC198" s="567"/>
      <c r="BD198" s="568"/>
      <c r="BE198" s="567"/>
      <c r="BF198" s="567"/>
      <c r="BG198" s="568"/>
      <c r="BH198" s="567"/>
      <c r="BI198" s="567"/>
      <c r="BJ198" s="568"/>
      <c r="BK198" s="567"/>
      <c r="BL198" s="567"/>
      <c r="BM198" s="568"/>
      <c r="BN198" s="567"/>
      <c r="BO198" s="567"/>
      <c r="BP198" s="568"/>
      <c r="BQ198" s="567"/>
      <c r="BR198" s="567"/>
      <c r="BS198" s="568"/>
      <c r="BT198" s="567"/>
      <c r="BU198" s="567"/>
      <c r="BV198" s="568"/>
      <c r="BW198" s="567"/>
      <c r="BX198" s="567"/>
      <c r="BY198" s="568"/>
      <c r="BZ198" s="567"/>
      <c r="CA198" s="567"/>
      <c r="CB198" s="567"/>
      <c r="CC198" s="583"/>
      <c r="CD198" s="555">
        <f t="shared" ref="CD198:CF198" si="1004">MEDIAN(AM198,AP198,AS198,AY198,BB198,AV198,AA198,BE198,BK198,BZ198,BH198,BN198,BQ198,BT198,BW198)</f>
        <v>0.143333333333333</v>
      </c>
      <c r="CE198" s="555" t="e">
        <f t="shared" si="1004"/>
        <v>#DIV/0!</v>
      </c>
      <c r="CF198" s="556" t="e">
        <f t="shared" si="1004"/>
        <v>#DIV/0!</v>
      </c>
      <c r="CG198" s="555">
        <f t="shared" ref="CG198:CI198" si="1005">MAX(AP198,AS198,AV198,BB198,BE198,AY198,CD198,BK198,BZ198,AA198)-MIN(AP198,AS198,AV198,BB198,BE198,AY198,CD198,BK198,BZ198,AA198)</f>
        <v>0</v>
      </c>
      <c r="CH198" s="555" t="e">
        <f t="shared" si="1005"/>
        <v>#DIV/0!</v>
      </c>
      <c r="CI198" s="556" t="e">
        <f t="shared" si="1005"/>
        <v>#DIV/0!</v>
      </c>
      <c r="CJ198" s="555">
        <f t="shared" ref="CJ198:CL198" si="1006">STDEV(AS198,AV198,AY198,BE198,BK198,BB198,CG198,BZ198,AA198,CD198)</f>
        <v>0.0827535385838464</v>
      </c>
      <c r="CK198" s="555" t="e">
        <f t="shared" si="1006"/>
        <v>#DIV/0!</v>
      </c>
      <c r="CL198" s="556" t="e">
        <f t="shared" si="1006"/>
        <v>#DIV/0!</v>
      </c>
      <c r="CM198" s="555">
        <f t="shared" ref="CM198:CO198" si="1007">CJ198/AA198</f>
        <v>0.577350269189626</v>
      </c>
      <c r="CN198" s="555" t="e">
        <f t="shared" si="1007"/>
        <v>#DIV/0!</v>
      </c>
      <c r="CO198" s="556" t="e">
        <f t="shared" si="1007"/>
        <v>#DIV/0!</v>
      </c>
      <c r="CP198" s="29" t="s">
        <v>120</v>
      </c>
      <c r="CQ198" s="535" t="str">
        <f t="shared" si="946"/>
        <v>n/a</v>
      </c>
      <c r="CR198" s="29" t="s">
        <v>120</v>
      </c>
      <c r="CS198" s="29"/>
      <c r="CT198" s="29"/>
      <c r="CU198" s="29"/>
      <c r="CV198" s="29"/>
    </row>
    <row r="199" customHeight="1" spans="1:100">
      <c r="A199" s="29" t="s">
        <v>456</v>
      </c>
      <c r="B199" s="541" t="s">
        <v>1109</v>
      </c>
      <c r="C199" s="29" t="s">
        <v>1110</v>
      </c>
      <c r="D199" s="29" t="s">
        <v>457</v>
      </c>
      <c r="E199" s="29"/>
      <c r="F199" s="29" t="s">
        <v>1022</v>
      </c>
      <c r="G199" s="29" t="s">
        <v>1039</v>
      </c>
      <c r="H199" s="29" t="b">
        <v>0</v>
      </c>
      <c r="I199" s="29" t="b">
        <v>0</v>
      </c>
      <c r="J199" s="29" t="b">
        <v>1</v>
      </c>
      <c r="K199" s="29" t="b">
        <v>0</v>
      </c>
      <c r="L199" s="29" t="b">
        <v>0</v>
      </c>
      <c r="M199" s="29" t="b">
        <v>0</v>
      </c>
      <c r="P199" s="29" t="b">
        <v>0</v>
      </c>
      <c r="Q199" s="29" t="b">
        <v>0</v>
      </c>
      <c r="R199" s="29" t="b">
        <v>0</v>
      </c>
      <c r="S199" s="29" t="b">
        <v>0</v>
      </c>
      <c r="T199" s="29" t="b">
        <f t="shared" si="940"/>
        <v>0</v>
      </c>
      <c r="W199" s="29">
        <v>2</v>
      </c>
      <c r="X199" s="308"/>
      <c r="Y199" s="16" t="s">
        <v>1041</v>
      </c>
      <c r="Z199" s="308"/>
      <c r="AA199" s="554" t="e">
        <f t="shared" ref="AA199:AC199" si="1008">AVERAGE(AJ199,AM199,AP199,AV199,AY199,AS199,BZ199,BB199,BE199,BH199,BK199,BN199,BQ199,BT199)</f>
        <v>#DIV/0!</v>
      </c>
      <c r="AB199" s="555" t="e">
        <f t="shared" si="1008"/>
        <v>#DIV/0!</v>
      </c>
      <c r="AC199" s="556" t="e">
        <f t="shared" si="1008"/>
        <v>#DIV/0!</v>
      </c>
      <c r="AD199" s="29" t="b">
        <v>0</v>
      </c>
      <c r="AE199" s="29" t="b">
        <v>1</v>
      </c>
      <c r="AF199" s="29" t="b">
        <v>0</v>
      </c>
      <c r="AG199" s="566"/>
      <c r="AH199" s="567"/>
      <c r="AI199" s="568"/>
      <c r="AJ199" s="567"/>
      <c r="AK199" s="567"/>
      <c r="AL199" s="568"/>
      <c r="AM199" s="567"/>
      <c r="AN199" s="567"/>
      <c r="AO199" s="568"/>
      <c r="AP199" s="567"/>
      <c r="AQ199" s="567"/>
      <c r="AR199" s="568"/>
      <c r="AS199" s="567"/>
      <c r="AT199" s="567"/>
      <c r="AU199" s="568"/>
      <c r="AV199" s="567"/>
      <c r="AW199" s="567"/>
      <c r="AX199" s="568"/>
      <c r="AY199" s="567"/>
      <c r="AZ199" s="567"/>
      <c r="BA199" s="568"/>
      <c r="BB199" s="567"/>
      <c r="BC199" s="567"/>
      <c r="BD199" s="568"/>
      <c r="BE199" s="567"/>
      <c r="BF199" s="567"/>
      <c r="BG199" s="568"/>
      <c r="BH199" s="567"/>
      <c r="BI199" s="567"/>
      <c r="BJ199" s="568"/>
      <c r="BK199" s="567"/>
      <c r="BL199" s="567"/>
      <c r="BM199" s="568"/>
      <c r="BN199" s="567"/>
      <c r="BO199" s="567"/>
      <c r="BP199" s="568"/>
      <c r="BQ199" s="567"/>
      <c r="BR199" s="567"/>
      <c r="BS199" s="568"/>
      <c r="BT199" s="567"/>
      <c r="BU199" s="567"/>
      <c r="BV199" s="568"/>
      <c r="BW199" s="567"/>
      <c r="BX199" s="567"/>
      <c r="BY199" s="568"/>
      <c r="BZ199" s="567"/>
      <c r="CA199" s="567"/>
      <c r="CB199" s="567"/>
      <c r="CC199" s="583"/>
      <c r="CD199" s="555" t="e">
        <f t="shared" ref="CD199:CF199" si="1009">MEDIAN(AM199,AP199,AS199,AY199,BB199,AV199,AA199,BE199,BK199,BZ199,BH199,BN199,BQ199,BT199,BW199)</f>
        <v>#DIV/0!</v>
      </c>
      <c r="CE199" s="555" t="e">
        <f t="shared" si="1009"/>
        <v>#DIV/0!</v>
      </c>
      <c r="CF199" s="556" t="e">
        <f t="shared" si="1009"/>
        <v>#DIV/0!</v>
      </c>
      <c r="CG199" s="555" t="e">
        <f t="shared" ref="CG199:CI199" si="1010">MAX(AP199,AS199,AV199,BB199,BE199,AY199,CD199,BK199,BZ199,AA199)-MIN(AP199,AS199,AV199,BB199,BE199,AY199,CD199,BK199,BZ199,AA199)</f>
        <v>#DIV/0!</v>
      </c>
      <c r="CH199" s="555" t="e">
        <f t="shared" si="1010"/>
        <v>#DIV/0!</v>
      </c>
      <c r="CI199" s="556" t="e">
        <f t="shared" si="1010"/>
        <v>#DIV/0!</v>
      </c>
      <c r="CJ199" s="555" t="e">
        <f t="shared" ref="CJ199:CL199" si="1011">STDEV(AS199,AV199,AY199,BE199,BK199,BB199,CG199,BZ199,AA199,CD199)</f>
        <v>#DIV/0!</v>
      </c>
      <c r="CK199" s="555" t="e">
        <f t="shared" si="1011"/>
        <v>#DIV/0!</v>
      </c>
      <c r="CL199" s="556" t="e">
        <f t="shared" si="1011"/>
        <v>#DIV/0!</v>
      </c>
      <c r="CM199" s="555" t="e">
        <f t="shared" ref="CM199:CO199" si="1012">CJ199/AA199</f>
        <v>#DIV/0!</v>
      </c>
      <c r="CN199" s="555" t="e">
        <f t="shared" si="1012"/>
        <v>#DIV/0!</v>
      </c>
      <c r="CO199" s="556" t="e">
        <f t="shared" si="1012"/>
        <v>#DIV/0!</v>
      </c>
      <c r="CP199" s="29" t="s">
        <v>120</v>
      </c>
      <c r="CQ199" s="535">
        <f t="shared" si="946"/>
        <v>2</v>
      </c>
      <c r="CR199" s="29" t="s">
        <v>120</v>
      </c>
      <c r="CS199" s="29"/>
      <c r="CT199" s="29"/>
      <c r="CU199" s="29"/>
      <c r="CV199" s="29"/>
    </row>
    <row r="200" customHeight="1" spans="1:100">
      <c r="A200" s="29" t="s">
        <v>458</v>
      </c>
      <c r="B200" s="541" t="s">
        <v>1109</v>
      </c>
      <c r="C200" s="29" t="s">
        <v>1110</v>
      </c>
      <c r="D200" s="29" t="s">
        <v>459</v>
      </c>
      <c r="E200" s="29"/>
      <c r="F200" s="29" t="s">
        <v>1022</v>
      </c>
      <c r="G200" s="29" t="s">
        <v>1039</v>
      </c>
      <c r="H200" s="29" t="b">
        <v>0</v>
      </c>
      <c r="I200" s="29" t="b">
        <v>0</v>
      </c>
      <c r="J200" s="29" t="b">
        <v>1</v>
      </c>
      <c r="K200" s="29" t="b">
        <v>0</v>
      </c>
      <c r="L200" s="29" t="b">
        <v>0</v>
      </c>
      <c r="M200" s="29" t="b">
        <v>0</v>
      </c>
      <c r="P200" s="29" t="b">
        <v>0</v>
      </c>
      <c r="Q200" s="29" t="b">
        <v>0</v>
      </c>
      <c r="R200" s="29" t="b">
        <v>0</v>
      </c>
      <c r="S200" s="29" t="b">
        <v>0</v>
      </c>
      <c r="T200" s="29" t="b">
        <f t="shared" si="940"/>
        <v>0</v>
      </c>
      <c r="W200" s="29">
        <v>2</v>
      </c>
      <c r="X200" s="308"/>
      <c r="Y200" s="16" t="s">
        <v>1041</v>
      </c>
      <c r="Z200" s="308"/>
      <c r="AA200" s="554" t="e">
        <f t="shared" ref="AA200:AC200" si="1013">AVERAGE(AJ200,AM200,AP200,AV200,AY200,AS200,BZ200,BB200,BE200,BH200,BK200,BN200,BQ200,BT200)</f>
        <v>#DIV/0!</v>
      </c>
      <c r="AB200" s="555" t="e">
        <f t="shared" si="1013"/>
        <v>#DIV/0!</v>
      </c>
      <c r="AC200" s="556" t="e">
        <f t="shared" si="1013"/>
        <v>#DIV/0!</v>
      </c>
      <c r="AD200" s="29" t="b">
        <v>0</v>
      </c>
      <c r="AE200" s="29" t="b">
        <v>1</v>
      </c>
      <c r="AF200" s="29" t="b">
        <v>0</v>
      </c>
      <c r="AG200" s="566"/>
      <c r="AH200" s="567"/>
      <c r="AI200" s="568"/>
      <c r="AJ200" s="567"/>
      <c r="AK200" s="567"/>
      <c r="AL200" s="568"/>
      <c r="AM200" s="567"/>
      <c r="AN200" s="567"/>
      <c r="AO200" s="568"/>
      <c r="AP200" s="567"/>
      <c r="AQ200" s="567"/>
      <c r="AR200" s="568"/>
      <c r="AS200" s="567"/>
      <c r="AT200" s="567"/>
      <c r="AU200" s="568"/>
      <c r="AV200" s="567"/>
      <c r="AW200" s="567"/>
      <c r="AX200" s="568"/>
      <c r="AY200" s="567"/>
      <c r="AZ200" s="567"/>
      <c r="BA200" s="568"/>
      <c r="BB200" s="567"/>
      <c r="BC200" s="567"/>
      <c r="BD200" s="568"/>
      <c r="BE200" s="567"/>
      <c r="BF200" s="567"/>
      <c r="BG200" s="568"/>
      <c r="BH200" s="567"/>
      <c r="BI200" s="567"/>
      <c r="BJ200" s="568"/>
      <c r="BK200" s="567"/>
      <c r="BL200" s="567"/>
      <c r="BM200" s="568"/>
      <c r="BN200" s="567"/>
      <c r="BO200" s="567"/>
      <c r="BP200" s="568"/>
      <c r="BQ200" s="567"/>
      <c r="BR200" s="567"/>
      <c r="BS200" s="568"/>
      <c r="BT200" s="567"/>
      <c r="BU200" s="567"/>
      <c r="BV200" s="568"/>
      <c r="BW200" s="567"/>
      <c r="BX200" s="567"/>
      <c r="BY200" s="568"/>
      <c r="BZ200" s="567"/>
      <c r="CA200" s="567"/>
      <c r="CB200" s="567"/>
      <c r="CC200" s="583"/>
      <c r="CD200" s="555" t="e">
        <f t="shared" ref="CD200:CF200" si="1014">MEDIAN(AM200,AP200,AS200,AY200,BB200,AV200,AA200,BE200,BK200,BZ200,BH200,BN200,BQ200,BT200,BW200)</f>
        <v>#DIV/0!</v>
      </c>
      <c r="CE200" s="555" t="e">
        <f t="shared" si="1014"/>
        <v>#DIV/0!</v>
      </c>
      <c r="CF200" s="556" t="e">
        <f t="shared" si="1014"/>
        <v>#DIV/0!</v>
      </c>
      <c r="CG200" s="555" t="e">
        <f t="shared" ref="CG200:CI200" si="1015">MAX(AP200,AS200,AV200,BB200,BE200,AY200,CD200,BK200,BZ200,AA200)-MIN(AP200,AS200,AV200,BB200,BE200,AY200,CD200,BK200,BZ200,AA200)</f>
        <v>#DIV/0!</v>
      </c>
      <c r="CH200" s="555" t="e">
        <f t="shared" si="1015"/>
        <v>#DIV/0!</v>
      </c>
      <c r="CI200" s="556" t="e">
        <f t="shared" si="1015"/>
        <v>#DIV/0!</v>
      </c>
      <c r="CJ200" s="555" t="e">
        <f t="shared" ref="CJ200:CL200" si="1016">STDEV(AS200,AV200,AY200,BE200,BK200,BB200,CG200,BZ200,AA200,CD200)</f>
        <v>#DIV/0!</v>
      </c>
      <c r="CK200" s="555" t="e">
        <f t="shared" si="1016"/>
        <v>#DIV/0!</v>
      </c>
      <c r="CL200" s="556" t="e">
        <f t="shared" si="1016"/>
        <v>#DIV/0!</v>
      </c>
      <c r="CM200" s="555" t="e">
        <f t="shared" ref="CM200:CO200" si="1017">CJ200/AA200</f>
        <v>#DIV/0!</v>
      </c>
      <c r="CN200" s="555" t="e">
        <f t="shared" si="1017"/>
        <v>#DIV/0!</v>
      </c>
      <c r="CO200" s="556" t="e">
        <f t="shared" si="1017"/>
        <v>#DIV/0!</v>
      </c>
      <c r="CP200" s="29" t="s">
        <v>120</v>
      </c>
      <c r="CQ200" s="535">
        <f t="shared" si="946"/>
        <v>2</v>
      </c>
      <c r="CR200" s="29" t="s">
        <v>120</v>
      </c>
      <c r="CS200" s="29"/>
      <c r="CT200" s="29"/>
      <c r="CU200" s="29"/>
      <c r="CV200" s="29"/>
    </row>
    <row r="201" customHeight="1" spans="1:100">
      <c r="A201" s="29" t="s">
        <v>460</v>
      </c>
      <c r="B201" s="541" t="s">
        <v>1109</v>
      </c>
      <c r="C201" s="29" t="s">
        <v>1110</v>
      </c>
      <c r="D201" s="29" t="s">
        <v>461</v>
      </c>
      <c r="E201" s="29"/>
      <c r="F201" s="29" t="s">
        <v>1022</v>
      </c>
      <c r="G201" s="29" t="s">
        <v>1039</v>
      </c>
      <c r="H201" s="29" t="b">
        <v>0</v>
      </c>
      <c r="I201" s="29" t="b">
        <v>0</v>
      </c>
      <c r="J201" s="29" t="b">
        <v>1</v>
      </c>
      <c r="K201" s="29" t="b">
        <v>0</v>
      </c>
      <c r="L201" s="29" t="b">
        <v>0</v>
      </c>
      <c r="M201" s="29" t="b">
        <v>0</v>
      </c>
      <c r="P201" s="29" t="b">
        <v>0</v>
      </c>
      <c r="Q201" s="29" t="b">
        <v>0</v>
      </c>
      <c r="R201" s="29" t="b">
        <v>0</v>
      </c>
      <c r="S201" s="29" t="b">
        <v>0</v>
      </c>
      <c r="T201" s="29" t="b">
        <f t="shared" si="940"/>
        <v>0</v>
      </c>
      <c r="W201" s="29">
        <v>2</v>
      </c>
      <c r="X201" s="308"/>
      <c r="Y201" s="16" t="s">
        <v>1041</v>
      </c>
      <c r="Z201" s="308"/>
      <c r="AA201" s="554" t="e">
        <f t="shared" ref="AA201:AC201" si="1018">AVERAGE(AJ201,AM201,AP201,AV201,AY201,AS201,BZ201,BB201,BE201,BH201,BK201,BN201,BQ201,BT201)</f>
        <v>#DIV/0!</v>
      </c>
      <c r="AB201" s="555" t="e">
        <f t="shared" si="1018"/>
        <v>#DIV/0!</v>
      </c>
      <c r="AC201" s="556" t="e">
        <f t="shared" si="1018"/>
        <v>#DIV/0!</v>
      </c>
      <c r="AD201" s="29" t="b">
        <v>0</v>
      </c>
      <c r="AE201" s="29" t="b">
        <v>1</v>
      </c>
      <c r="AF201" s="29" t="b">
        <v>0</v>
      </c>
      <c r="AG201" s="566"/>
      <c r="AH201" s="567"/>
      <c r="AI201" s="568"/>
      <c r="AJ201" s="567"/>
      <c r="AK201" s="567"/>
      <c r="AL201" s="568"/>
      <c r="AM201" s="567"/>
      <c r="AN201" s="567"/>
      <c r="AO201" s="568"/>
      <c r="AP201" s="567"/>
      <c r="AQ201" s="567"/>
      <c r="AR201" s="568"/>
      <c r="AS201" s="567"/>
      <c r="AT201" s="567"/>
      <c r="AU201" s="568"/>
      <c r="AV201" s="567"/>
      <c r="AW201" s="567"/>
      <c r="AX201" s="568"/>
      <c r="AY201" s="567"/>
      <c r="AZ201" s="567"/>
      <c r="BA201" s="568"/>
      <c r="BB201" s="567"/>
      <c r="BC201" s="567"/>
      <c r="BD201" s="568"/>
      <c r="BE201" s="567"/>
      <c r="BF201" s="567"/>
      <c r="BG201" s="568"/>
      <c r="BH201" s="567"/>
      <c r="BI201" s="567"/>
      <c r="BJ201" s="568"/>
      <c r="BK201" s="567"/>
      <c r="BL201" s="567"/>
      <c r="BM201" s="568"/>
      <c r="BN201" s="567"/>
      <c r="BO201" s="567"/>
      <c r="BP201" s="568"/>
      <c r="BQ201" s="567"/>
      <c r="BR201" s="567"/>
      <c r="BS201" s="568"/>
      <c r="BT201" s="567"/>
      <c r="BU201" s="567"/>
      <c r="BV201" s="568"/>
      <c r="BW201" s="567"/>
      <c r="BX201" s="567"/>
      <c r="BY201" s="568"/>
      <c r="BZ201" s="567"/>
      <c r="CA201" s="567"/>
      <c r="CB201" s="567"/>
      <c r="CC201" s="583"/>
      <c r="CD201" s="555" t="e">
        <f t="shared" ref="CD201:CF201" si="1019">MEDIAN(AM201,AP201,AS201,AY201,BB201,AV201,AA201,BE201,BK201,BZ201,BH201,BN201,BQ201,BT201,BW201)</f>
        <v>#DIV/0!</v>
      </c>
      <c r="CE201" s="555" t="e">
        <f t="shared" si="1019"/>
        <v>#DIV/0!</v>
      </c>
      <c r="CF201" s="556" t="e">
        <f t="shared" si="1019"/>
        <v>#DIV/0!</v>
      </c>
      <c r="CG201" s="555" t="e">
        <f t="shared" ref="CG201:CI201" si="1020">MAX(AP201,AS201,AV201,BB201,BE201,AY201,CD201,BK201,BZ201,AA201)-MIN(AP201,AS201,AV201,BB201,BE201,AY201,CD201,BK201,BZ201,AA201)</f>
        <v>#DIV/0!</v>
      </c>
      <c r="CH201" s="555" t="e">
        <f t="shared" si="1020"/>
        <v>#DIV/0!</v>
      </c>
      <c r="CI201" s="556" t="e">
        <f t="shared" si="1020"/>
        <v>#DIV/0!</v>
      </c>
      <c r="CJ201" s="555" t="e">
        <f t="shared" ref="CJ201:CL201" si="1021">STDEV(AS201,AV201,AY201,BE201,BK201,BB201,CG201,BZ201,AA201,CD201)</f>
        <v>#DIV/0!</v>
      </c>
      <c r="CK201" s="555" t="e">
        <f t="shared" si="1021"/>
        <v>#DIV/0!</v>
      </c>
      <c r="CL201" s="556" t="e">
        <f t="shared" si="1021"/>
        <v>#DIV/0!</v>
      </c>
      <c r="CM201" s="555" t="e">
        <f t="shared" ref="CM201:CO201" si="1022">CJ201/AA201</f>
        <v>#DIV/0!</v>
      </c>
      <c r="CN201" s="555" t="e">
        <f t="shared" si="1022"/>
        <v>#DIV/0!</v>
      </c>
      <c r="CO201" s="556" t="e">
        <f t="shared" si="1022"/>
        <v>#DIV/0!</v>
      </c>
      <c r="CP201" s="29" t="s">
        <v>120</v>
      </c>
      <c r="CQ201" s="535">
        <f t="shared" si="946"/>
        <v>2</v>
      </c>
      <c r="CR201" s="29" t="s">
        <v>120</v>
      </c>
      <c r="CS201" s="29"/>
      <c r="CT201" s="29"/>
      <c r="CU201" s="29"/>
      <c r="CV201" s="29"/>
    </row>
    <row r="202" customHeight="1" spans="1:100">
      <c r="A202" s="29" t="s">
        <v>462</v>
      </c>
      <c r="B202" s="541" t="s">
        <v>1109</v>
      </c>
      <c r="C202" s="29" t="s">
        <v>1112</v>
      </c>
      <c r="F202" s="29" t="s">
        <v>1022</v>
      </c>
      <c r="G202" s="29" t="s">
        <v>1039</v>
      </c>
      <c r="H202" s="29" t="b">
        <v>0</v>
      </c>
      <c r="I202" s="29" t="b">
        <v>0</v>
      </c>
      <c r="J202" s="29" t="b">
        <v>1</v>
      </c>
      <c r="K202" s="29" t="b">
        <v>0</v>
      </c>
      <c r="L202" s="29" t="b">
        <v>0</v>
      </c>
      <c r="M202" s="29" t="b">
        <v>0</v>
      </c>
      <c r="P202" s="29" t="b">
        <v>0</v>
      </c>
      <c r="Q202" s="29" t="b">
        <v>0</v>
      </c>
      <c r="R202" s="29" t="b">
        <v>0</v>
      </c>
      <c r="S202" s="29" t="b">
        <v>0</v>
      </c>
      <c r="T202" s="29" t="b">
        <f t="shared" si="940"/>
        <v>0</v>
      </c>
      <c r="U202" s="29" t="s">
        <v>1012</v>
      </c>
      <c r="W202" s="29" t="s">
        <v>119</v>
      </c>
      <c r="X202" s="29" t="s">
        <v>1049</v>
      </c>
      <c r="Y202" s="16" t="s">
        <v>1041</v>
      </c>
      <c r="Z202" s="29" t="s">
        <v>1042</v>
      </c>
      <c r="AA202" s="554">
        <f t="shared" ref="AA202:AC202" si="1023">AVERAGE(AJ202,AM202,AP202,AV202,AY202,AS202,BZ202,BB202,BE202,BH202,BK202,BN202,BQ202,BT202)</f>
        <v>30</v>
      </c>
      <c r="AB202" s="555" t="e">
        <f t="shared" si="1023"/>
        <v>#DIV/0!</v>
      </c>
      <c r="AC202" s="556" t="e">
        <f t="shared" si="1023"/>
        <v>#DIV/0!</v>
      </c>
      <c r="AD202" s="29" t="b">
        <v>0</v>
      </c>
      <c r="AE202" s="29" t="b">
        <v>1</v>
      </c>
      <c r="AF202" s="29" t="b">
        <v>0</v>
      </c>
      <c r="AG202" s="566"/>
      <c r="AH202" s="567"/>
      <c r="AI202" s="568"/>
      <c r="AJ202" s="567"/>
      <c r="AK202" s="567"/>
      <c r="AL202" s="568"/>
      <c r="AM202" s="567"/>
      <c r="AN202" s="567"/>
      <c r="AO202" s="568"/>
      <c r="AP202" s="567"/>
      <c r="AQ202" s="567"/>
      <c r="AR202" s="568"/>
      <c r="AS202" s="567"/>
      <c r="AT202" s="567"/>
      <c r="AU202" s="568"/>
      <c r="AV202" s="567"/>
      <c r="AW202" s="567"/>
      <c r="AX202" s="568"/>
      <c r="AY202" s="567"/>
      <c r="AZ202" s="567"/>
      <c r="BA202" s="568"/>
      <c r="BB202" s="567"/>
      <c r="BC202" s="567"/>
      <c r="BD202" s="568"/>
      <c r="BE202" s="567"/>
      <c r="BF202" s="567"/>
      <c r="BG202" s="568"/>
      <c r="BH202" s="567"/>
      <c r="BI202" s="567"/>
      <c r="BJ202" s="568"/>
      <c r="BK202" s="567"/>
      <c r="BL202" s="567"/>
      <c r="BM202" s="568"/>
      <c r="BN202" s="567"/>
      <c r="BO202" s="567"/>
      <c r="BP202" s="568"/>
      <c r="BQ202" s="567"/>
      <c r="BR202" s="567"/>
      <c r="BS202" s="568"/>
      <c r="BT202" s="567"/>
      <c r="BU202" s="567"/>
      <c r="BV202" s="568"/>
      <c r="BW202" s="567"/>
      <c r="BX202" s="567"/>
      <c r="BY202" s="568"/>
      <c r="BZ202" s="569">
        <v>30</v>
      </c>
      <c r="CA202" s="572" t="s">
        <v>13</v>
      </c>
      <c r="CB202" s="569" t="s">
        <v>13</v>
      </c>
      <c r="CC202" s="583"/>
      <c r="CD202" s="555">
        <f t="shared" ref="CD202:CF202" si="1024">MEDIAN(AM202,AP202,AS202,AY202,BB202,AV202,AA202,BE202,BK202,BZ202,BH202,BN202,BQ202,BT202,BW202)</f>
        <v>30</v>
      </c>
      <c r="CE202" s="555" t="e">
        <f t="shared" si="1024"/>
        <v>#DIV/0!</v>
      </c>
      <c r="CF202" s="556" t="e">
        <f t="shared" si="1024"/>
        <v>#DIV/0!</v>
      </c>
      <c r="CG202" s="555">
        <f t="shared" ref="CG202:CI202" si="1025">MAX(AP202,AS202,AV202,BB202,BE202,AY202,CD202,BK202,BZ202,AA202)-MIN(AP202,AS202,AV202,BB202,BE202,AY202,CD202,BK202,BZ202,AA202)</f>
        <v>0</v>
      </c>
      <c r="CH202" s="555" t="e">
        <f t="shared" si="1025"/>
        <v>#DIV/0!</v>
      </c>
      <c r="CI202" s="556" t="e">
        <f t="shared" si="1025"/>
        <v>#DIV/0!</v>
      </c>
      <c r="CJ202" s="555">
        <f t="shared" ref="CJ202:CL202" si="1026">STDEV(AS202,AV202,AY202,BE202,BK202,BB202,CG202,BZ202,AA202,CD202)</f>
        <v>15</v>
      </c>
      <c r="CK202" s="555" t="e">
        <f t="shared" si="1026"/>
        <v>#DIV/0!</v>
      </c>
      <c r="CL202" s="556" t="e">
        <f t="shared" si="1026"/>
        <v>#DIV/0!</v>
      </c>
      <c r="CM202" s="555">
        <f t="shared" ref="CM202:CO202" si="1027">CJ202/AA202</f>
        <v>0.5</v>
      </c>
      <c r="CN202" s="555" t="e">
        <f t="shared" si="1027"/>
        <v>#DIV/0!</v>
      </c>
      <c r="CO202" s="556" t="e">
        <f t="shared" si="1027"/>
        <v>#DIV/0!</v>
      </c>
      <c r="CP202" s="29" t="s">
        <v>120</v>
      </c>
      <c r="CQ202" s="535" t="str">
        <f t="shared" si="946"/>
        <v>n/a</v>
      </c>
      <c r="CR202" s="29" t="s">
        <v>120</v>
      </c>
      <c r="CS202" s="29" t="s">
        <v>120</v>
      </c>
      <c r="CT202" s="29" t="s">
        <v>120</v>
      </c>
      <c r="CU202" s="29" t="s">
        <v>120</v>
      </c>
      <c r="CV202" s="29" t="s">
        <v>120</v>
      </c>
    </row>
    <row r="203" customHeight="1" spans="1:100">
      <c r="A203" s="500" t="s">
        <v>1113</v>
      </c>
      <c r="B203" s="600"/>
      <c r="C203" s="500" t="s">
        <v>1114</v>
      </c>
      <c r="D203" s="500" t="s">
        <v>420</v>
      </c>
      <c r="E203" s="500"/>
      <c r="F203" s="500" t="s">
        <v>1044</v>
      </c>
      <c r="G203" s="505"/>
      <c r="H203" s="500" t="b">
        <v>0</v>
      </c>
      <c r="I203" s="500" t="b">
        <v>0</v>
      </c>
      <c r="J203" s="500" t="b">
        <v>1</v>
      </c>
      <c r="K203" s="500" t="b">
        <v>1</v>
      </c>
      <c r="L203" s="500" t="b">
        <v>0</v>
      </c>
      <c r="M203" s="500" t="b">
        <v>0</v>
      </c>
      <c r="N203" s="500"/>
      <c r="O203" s="500">
        <v>0.25</v>
      </c>
      <c r="P203" s="500" t="b">
        <v>0</v>
      </c>
      <c r="Q203" s="500" t="b">
        <v>0</v>
      </c>
      <c r="R203" s="500" t="b">
        <v>0</v>
      </c>
      <c r="S203" s="500" t="b">
        <v>0</v>
      </c>
      <c r="T203" s="29" t="b">
        <f t="shared" si="940"/>
        <v>0</v>
      </c>
      <c r="U203" s="500" t="s">
        <v>997</v>
      </c>
      <c r="V203" s="500" t="s">
        <v>381</v>
      </c>
      <c r="W203" s="500">
        <v>2</v>
      </c>
      <c r="X203" s="500" t="s">
        <v>1064</v>
      </c>
      <c r="Y203" s="602" t="s">
        <v>1041</v>
      </c>
      <c r="Z203" s="500" t="s">
        <v>1052</v>
      </c>
      <c r="AA203" s="554" t="e">
        <f t="shared" ref="AA203:AC203" si="1028">AVERAGE(AJ203,AM203,AP203,AV203,AY203,AS203,BZ203,BB203,BE203,BH203,BK203,BN203,BQ203,BT203)</f>
        <v>#REF!</v>
      </c>
      <c r="AB203" s="555" t="e">
        <f t="shared" si="1028"/>
        <v>#REF!</v>
      </c>
      <c r="AC203" s="556" t="e">
        <f t="shared" si="1028"/>
        <v>#DIV/0!</v>
      </c>
      <c r="AD203" s="500" t="b">
        <v>0</v>
      </c>
      <c r="AE203" s="500" t="b">
        <v>1</v>
      </c>
      <c r="AF203" s="500" t="b">
        <v>0</v>
      </c>
      <c r="AG203" s="606">
        <v>2.63</v>
      </c>
      <c r="AH203" s="575">
        <v>3.54</v>
      </c>
      <c r="AI203" s="576" t="s">
        <v>13</v>
      </c>
      <c r="AJ203" s="575" t="s">
        <v>13</v>
      </c>
      <c r="AK203" s="575" t="s">
        <v>13</v>
      </c>
      <c r="AL203" s="576" t="s">
        <v>13</v>
      </c>
      <c r="AM203" s="575">
        <f>(32*2)/17</f>
        <v>3.76470588235294</v>
      </c>
      <c r="AN203" s="607">
        <f>((32*2)/17)*0.25+AM203</f>
        <v>4.70588235294118</v>
      </c>
      <c r="AO203" s="576" t="s">
        <v>13</v>
      </c>
      <c r="AP203" s="575" t="e">
        <f>#REF!*2</f>
        <v>#REF!</v>
      </c>
      <c r="AQ203" s="575" t="e">
        <f>#REF!*2</f>
        <v>#REF!</v>
      </c>
      <c r="AR203" s="576" t="s">
        <v>13</v>
      </c>
      <c r="AS203" s="607"/>
      <c r="AT203" s="607"/>
      <c r="AU203" s="611"/>
      <c r="AV203" s="607"/>
      <c r="AW203" s="607"/>
      <c r="AX203" s="611"/>
      <c r="AY203" s="607"/>
      <c r="AZ203" s="607"/>
      <c r="BA203" s="611"/>
      <c r="BB203" s="607"/>
      <c r="BC203" s="607"/>
      <c r="BD203" s="611"/>
      <c r="BE203" s="607"/>
      <c r="BF203" s="607"/>
      <c r="BG203" s="611"/>
      <c r="BH203" s="607"/>
      <c r="BI203" s="607"/>
      <c r="BJ203" s="611"/>
      <c r="BK203" s="607"/>
      <c r="BL203" s="607"/>
      <c r="BM203" s="611"/>
      <c r="BN203" s="607"/>
      <c r="BO203" s="607"/>
      <c r="BP203" s="611"/>
      <c r="BQ203" s="607"/>
      <c r="BR203" s="607"/>
      <c r="BS203" s="611"/>
      <c r="BT203" s="607"/>
      <c r="BU203" s="607"/>
      <c r="BV203" s="611"/>
      <c r="BW203" s="607"/>
      <c r="BX203" s="607"/>
      <c r="BY203" s="611"/>
      <c r="BZ203" s="607"/>
      <c r="CA203" s="607"/>
      <c r="CB203" s="607"/>
      <c r="CC203" s="583"/>
      <c r="CD203" s="555" t="e">
        <f t="shared" ref="CD203:CF203" si="1029">MEDIAN(AM203,AP203,AS203,AY203,BB203,AV203,AA203,BE203,BK203,BZ203,BH203,BN203,BQ203,BT203,BW203)</f>
        <v>#REF!</v>
      </c>
      <c r="CE203" s="555" t="e">
        <f t="shared" si="1029"/>
        <v>#REF!</v>
      </c>
      <c r="CF203" s="556" t="e">
        <f t="shared" si="1029"/>
        <v>#DIV/0!</v>
      </c>
      <c r="CG203" s="555" t="e">
        <f t="shared" ref="CG203:CI203" si="1030">MAX(AP203,AS203,AV203,BB203,BE203,AY203,CD203,BK203,BZ203,AA203)-MIN(AP203,AS203,AV203,BB203,BE203,AY203,CD203,BK203,BZ203,AA203)</f>
        <v>#REF!</v>
      </c>
      <c r="CH203" s="555" t="e">
        <f t="shared" si="1030"/>
        <v>#REF!</v>
      </c>
      <c r="CI203" s="556" t="e">
        <f t="shared" si="1030"/>
        <v>#DIV/0!</v>
      </c>
      <c r="CJ203" s="555" t="e">
        <f t="shared" ref="CJ203:CL203" si="1031">STDEV(AS203,AV203,AY203,BE203,BK203,BB203,CG203,BZ203,AA203,CD203)</f>
        <v>#REF!</v>
      </c>
      <c r="CK203" s="555" t="e">
        <f t="shared" si="1031"/>
        <v>#REF!</v>
      </c>
      <c r="CL203" s="556" t="e">
        <f t="shared" si="1031"/>
        <v>#DIV/0!</v>
      </c>
      <c r="CM203" s="555" t="e">
        <f t="shared" ref="CM203:CO203" si="1032">CJ203/AA203</f>
        <v>#REF!</v>
      </c>
      <c r="CN203" s="555" t="e">
        <f t="shared" si="1032"/>
        <v>#REF!</v>
      </c>
      <c r="CO203" s="556" t="e">
        <f t="shared" si="1032"/>
        <v>#DIV/0!</v>
      </c>
      <c r="CP203" s="500" t="s">
        <v>120</v>
      </c>
      <c r="CQ203" s="614">
        <f t="shared" si="946"/>
        <v>2</v>
      </c>
      <c r="CR203" s="500" t="s">
        <v>120</v>
      </c>
      <c r="CS203" s="500" t="s">
        <v>120</v>
      </c>
      <c r="CT203" s="500" t="s">
        <v>120</v>
      </c>
      <c r="CU203" s="500" t="s">
        <v>120</v>
      </c>
      <c r="CV203" s="500" t="s">
        <v>120</v>
      </c>
    </row>
    <row r="204" customHeight="1" spans="1:100">
      <c r="A204" s="29" t="s">
        <v>463</v>
      </c>
      <c r="B204" s="541"/>
      <c r="C204" s="29" t="s">
        <v>1115</v>
      </c>
      <c r="D204" s="29" t="s">
        <v>464</v>
      </c>
      <c r="E204" s="29"/>
      <c r="F204" s="308"/>
      <c r="G204" s="308"/>
      <c r="H204" s="29" t="b">
        <v>1</v>
      </c>
      <c r="I204" s="29" t="b">
        <v>0</v>
      </c>
      <c r="J204" s="29" t="b">
        <v>0</v>
      </c>
      <c r="K204" s="29" t="b">
        <v>1</v>
      </c>
      <c r="L204" s="29" t="b">
        <v>0</v>
      </c>
      <c r="M204" s="29" t="b">
        <v>0</v>
      </c>
      <c r="P204" s="29" t="b">
        <v>0</v>
      </c>
      <c r="Q204" s="29" t="b">
        <v>0</v>
      </c>
      <c r="R204" s="29" t="b">
        <v>0</v>
      </c>
      <c r="S204" s="29" t="b">
        <v>0</v>
      </c>
      <c r="T204" s="29" t="b">
        <f t="shared" si="940"/>
        <v>0</v>
      </c>
      <c r="U204" s="29"/>
      <c r="W204" s="29"/>
      <c r="X204" s="308"/>
      <c r="Y204" s="16" t="s">
        <v>1041</v>
      </c>
      <c r="Z204" s="308"/>
      <c r="AA204" s="554" t="e">
        <f t="shared" ref="AA204:AC204" si="1033">AVERAGE(AJ204,AM204,AP204,AV204,AY204,AS204,BZ204,BB204,BE204,BH204,BK204,BN204,BQ204,BT204)</f>
        <v>#DIV/0!</v>
      </c>
      <c r="AB204" s="555" t="e">
        <f t="shared" si="1033"/>
        <v>#DIV/0!</v>
      </c>
      <c r="AC204" s="556" t="e">
        <f t="shared" si="1033"/>
        <v>#DIV/0!</v>
      </c>
      <c r="AD204" s="29" t="b">
        <v>0</v>
      </c>
      <c r="AE204" s="29" t="b">
        <v>1</v>
      </c>
      <c r="AF204" s="29" t="b">
        <v>0</v>
      </c>
      <c r="AG204" s="566"/>
      <c r="AH204" s="567"/>
      <c r="AI204" s="568"/>
      <c r="AJ204" s="567"/>
      <c r="AK204" s="567"/>
      <c r="AL204" s="568"/>
      <c r="AM204" s="569"/>
      <c r="AN204" s="569"/>
      <c r="AO204" s="568"/>
      <c r="AP204" s="569"/>
      <c r="AQ204" s="569"/>
      <c r="AR204" s="570"/>
      <c r="AS204" s="567"/>
      <c r="AT204" s="567"/>
      <c r="AU204" s="568"/>
      <c r="AV204" s="567"/>
      <c r="AW204" s="567"/>
      <c r="AX204" s="568"/>
      <c r="AY204" s="567"/>
      <c r="AZ204" s="567"/>
      <c r="BA204" s="568"/>
      <c r="BB204" s="567"/>
      <c r="BC204" s="567"/>
      <c r="BD204" s="568"/>
      <c r="BE204" s="567"/>
      <c r="BF204" s="567"/>
      <c r="BG204" s="568"/>
      <c r="BH204" s="567"/>
      <c r="BI204" s="567"/>
      <c r="BJ204" s="568"/>
      <c r="BK204" s="567"/>
      <c r="BL204" s="567"/>
      <c r="BM204" s="568"/>
      <c r="BN204" s="567"/>
      <c r="BO204" s="567"/>
      <c r="BP204" s="568"/>
      <c r="BQ204" s="567"/>
      <c r="BR204" s="567"/>
      <c r="BS204" s="568"/>
      <c r="BT204" s="567"/>
      <c r="BU204" s="567"/>
      <c r="BV204" s="568"/>
      <c r="BW204" s="567"/>
      <c r="BX204" s="567"/>
      <c r="BY204" s="568"/>
      <c r="BZ204" s="567"/>
      <c r="CA204" s="567"/>
      <c r="CB204" s="567"/>
      <c r="CC204" s="583"/>
      <c r="CD204" s="555" t="e">
        <f t="shared" ref="CD204:CF204" si="1034">MEDIAN(AM204,AP204,AS204,AY204,BB204,AV204,AA204,BE204,BK204,BZ204,BH204,BN204,BQ204,BT204,BW204)</f>
        <v>#DIV/0!</v>
      </c>
      <c r="CE204" s="555" t="e">
        <f t="shared" si="1034"/>
        <v>#DIV/0!</v>
      </c>
      <c r="CF204" s="556" t="e">
        <f t="shared" si="1034"/>
        <v>#DIV/0!</v>
      </c>
      <c r="CG204" s="555" t="e">
        <f t="shared" ref="CG204:CI204" si="1035">MAX(AP204,AS204,AV204,BB204,BE204,AY204,CD204,BK204,BZ204,AA204)-MIN(AP204,AS204,AV204,BB204,BE204,AY204,CD204,BK204,BZ204,AA204)</f>
        <v>#DIV/0!</v>
      </c>
      <c r="CH204" s="555" t="e">
        <f t="shared" si="1035"/>
        <v>#DIV/0!</v>
      </c>
      <c r="CI204" s="556" t="e">
        <f t="shared" si="1035"/>
        <v>#DIV/0!</v>
      </c>
      <c r="CJ204" s="555" t="e">
        <f t="shared" ref="CJ204:CL204" si="1036">STDEV(AS204,AV204,AY204,BE204,BK204,BB204,CG204,BZ204,AA204,CD204)</f>
        <v>#DIV/0!</v>
      </c>
      <c r="CK204" s="555" t="e">
        <f t="shared" si="1036"/>
        <v>#DIV/0!</v>
      </c>
      <c r="CL204" s="556" t="e">
        <f t="shared" si="1036"/>
        <v>#DIV/0!</v>
      </c>
      <c r="CM204" s="555" t="e">
        <f t="shared" ref="CM204:CO204" si="1037">CJ204/AA204</f>
        <v>#DIV/0!</v>
      </c>
      <c r="CN204" s="555" t="e">
        <f t="shared" si="1037"/>
        <v>#DIV/0!</v>
      </c>
      <c r="CO204" s="556" t="e">
        <f t="shared" si="1037"/>
        <v>#DIV/0!</v>
      </c>
      <c r="CP204" s="29"/>
      <c r="CQ204" s="535"/>
      <c r="CR204" s="29"/>
      <c r="CS204" s="29"/>
      <c r="CT204" s="29"/>
      <c r="CU204" s="29"/>
      <c r="CV204" s="29"/>
    </row>
    <row r="205" customHeight="1" spans="1:100">
      <c r="A205" s="29" t="s">
        <v>465</v>
      </c>
      <c r="B205" s="541" t="s">
        <v>1116</v>
      </c>
      <c r="C205" s="29" t="s">
        <v>1117</v>
      </c>
      <c r="D205" s="29" t="s">
        <v>466</v>
      </c>
      <c r="E205" s="29"/>
      <c r="F205" s="29" t="s">
        <v>1038</v>
      </c>
      <c r="G205" s="29" t="s">
        <v>1039</v>
      </c>
      <c r="H205" s="29" t="b">
        <v>1</v>
      </c>
      <c r="I205" s="29" t="b">
        <v>1</v>
      </c>
      <c r="J205" s="29" t="b">
        <v>0</v>
      </c>
      <c r="K205" s="29" t="b">
        <v>1</v>
      </c>
      <c r="L205" s="29" t="b">
        <v>0</v>
      </c>
      <c r="M205" s="29" t="b">
        <v>1</v>
      </c>
      <c r="N205" s="29" t="s">
        <v>467</v>
      </c>
      <c r="P205" s="29" t="b">
        <v>0</v>
      </c>
      <c r="Q205" s="29" t="b">
        <v>0</v>
      </c>
      <c r="R205" s="29" t="b">
        <v>0</v>
      </c>
      <c r="S205" s="29" t="b">
        <v>0</v>
      </c>
      <c r="T205" s="29" t="b">
        <f t="shared" si="940"/>
        <v>0</v>
      </c>
      <c r="U205" s="29" t="s">
        <v>997</v>
      </c>
      <c r="V205" s="29" t="s">
        <v>181</v>
      </c>
      <c r="W205" s="29" t="s">
        <v>119</v>
      </c>
      <c r="X205" s="29" t="s">
        <v>1045</v>
      </c>
      <c r="Y205" s="16" t="s">
        <v>1041</v>
      </c>
      <c r="Z205" s="29" t="s">
        <v>1040</v>
      </c>
      <c r="AA205" s="554" t="e">
        <f t="shared" ref="AA205:AC205" si="1038">AVERAGE(AJ205,AM205,AP205,AV205,AY205,AS205,BZ205,BB205,BE205,BH205,BK205,BN205,BQ205,BT205)</f>
        <v>#DIV/0!</v>
      </c>
      <c r="AB205" s="555" t="e">
        <f t="shared" si="1038"/>
        <v>#DIV/0!</v>
      </c>
      <c r="AC205" s="556" t="e">
        <f t="shared" si="1038"/>
        <v>#DIV/0!</v>
      </c>
      <c r="AD205" s="29" t="b">
        <v>0</v>
      </c>
      <c r="AE205" s="29" t="b">
        <v>1</v>
      </c>
      <c r="AF205" s="29" t="b">
        <v>0</v>
      </c>
      <c r="AG205" s="574" t="s">
        <v>119</v>
      </c>
      <c r="AH205" s="569" t="s">
        <v>119</v>
      </c>
      <c r="AI205" s="570" t="s">
        <v>119</v>
      </c>
      <c r="AJ205" s="569" t="s">
        <v>119</v>
      </c>
      <c r="AK205" s="569" t="s">
        <v>119</v>
      </c>
      <c r="AL205" s="570" t="s">
        <v>119</v>
      </c>
      <c r="AM205" s="569" t="s">
        <v>119</v>
      </c>
      <c r="AN205" s="569" t="s">
        <v>119</v>
      </c>
      <c r="AO205" s="570" t="s">
        <v>119</v>
      </c>
      <c r="AP205" s="569" t="s">
        <v>119</v>
      </c>
      <c r="AQ205" s="569" t="s">
        <v>119</v>
      </c>
      <c r="AR205" s="570" t="s">
        <v>119</v>
      </c>
      <c r="AS205" s="569" t="s">
        <v>119</v>
      </c>
      <c r="AT205" s="569" t="s">
        <v>119</v>
      </c>
      <c r="AU205" s="570" t="s">
        <v>119</v>
      </c>
      <c r="AV205" s="569" t="s">
        <v>119</v>
      </c>
      <c r="AW205" s="569" t="s">
        <v>119</v>
      </c>
      <c r="AX205" s="570" t="s">
        <v>119</v>
      </c>
      <c r="AY205" s="569" t="s">
        <v>119</v>
      </c>
      <c r="AZ205" s="569" t="s">
        <v>119</v>
      </c>
      <c r="BA205" s="570" t="s">
        <v>119</v>
      </c>
      <c r="BB205" s="569"/>
      <c r="BC205" s="569"/>
      <c r="BD205" s="570"/>
      <c r="BE205" s="569"/>
      <c r="BF205" s="569"/>
      <c r="BG205" s="570"/>
      <c r="BH205" s="569"/>
      <c r="BI205" s="569"/>
      <c r="BJ205" s="570"/>
      <c r="BK205" s="569"/>
      <c r="BL205" s="569"/>
      <c r="BM205" s="570"/>
      <c r="BN205" s="569"/>
      <c r="BO205" s="569"/>
      <c r="BP205" s="570"/>
      <c r="BQ205" s="569"/>
      <c r="BR205" s="569"/>
      <c r="BS205" s="570"/>
      <c r="BT205" s="569"/>
      <c r="BU205" s="569"/>
      <c r="BV205" s="570"/>
      <c r="BW205" s="569"/>
      <c r="BX205" s="569"/>
      <c r="BY205" s="570"/>
      <c r="BZ205" s="569" t="s">
        <v>119</v>
      </c>
      <c r="CA205" s="569" t="s">
        <v>119</v>
      </c>
      <c r="CB205" s="569" t="s">
        <v>119</v>
      </c>
      <c r="CC205" s="583"/>
      <c r="CD205" s="555" t="e">
        <f t="shared" ref="CD205:CF205" si="1039">MEDIAN(AM205,AP205,AS205,AY205,BB205,AV205,AA205,BE205,BK205,BZ205,BH205,BN205,BQ205,BT205,BW205)</f>
        <v>#DIV/0!</v>
      </c>
      <c r="CE205" s="555" t="e">
        <f t="shared" si="1039"/>
        <v>#DIV/0!</v>
      </c>
      <c r="CF205" s="556" t="e">
        <f t="shared" si="1039"/>
        <v>#DIV/0!</v>
      </c>
      <c r="CG205" s="555" t="e">
        <f t="shared" ref="CG205:CI205" si="1040">MAX(AP205,AS205,AV205,BB205,BE205,AY205,CD205,BK205,BZ205,AA205)-MIN(AP205,AS205,AV205,BB205,BE205,AY205,CD205,BK205,BZ205,AA205)</f>
        <v>#DIV/0!</v>
      </c>
      <c r="CH205" s="555" t="e">
        <f t="shared" si="1040"/>
        <v>#DIV/0!</v>
      </c>
      <c r="CI205" s="556" t="e">
        <f t="shared" si="1040"/>
        <v>#DIV/0!</v>
      </c>
      <c r="CJ205" s="555" t="e">
        <f t="shared" ref="CJ205:CL205" si="1041">STDEV(AS205,AV205,AY205,BE205,BK205,BB205,CG205,BZ205,AA205,CD205)</f>
        <v>#DIV/0!</v>
      </c>
      <c r="CK205" s="555" t="e">
        <f t="shared" si="1041"/>
        <v>#DIV/0!</v>
      </c>
      <c r="CL205" s="556" t="e">
        <f t="shared" si="1041"/>
        <v>#DIV/0!</v>
      </c>
      <c r="CM205" s="555" t="e">
        <f t="shared" ref="CM205:CO205" si="1042">CJ205/AA205</f>
        <v>#DIV/0!</v>
      </c>
      <c r="CN205" s="555" t="e">
        <f t="shared" si="1042"/>
        <v>#DIV/0!</v>
      </c>
      <c r="CO205" s="556" t="e">
        <f t="shared" si="1042"/>
        <v>#DIV/0!</v>
      </c>
      <c r="CP205" s="29"/>
      <c r="CQ205" s="535"/>
      <c r="CR205" s="29"/>
      <c r="CS205" s="29"/>
      <c r="CT205" s="29"/>
      <c r="CU205" s="29"/>
      <c r="CV205" s="29"/>
    </row>
    <row r="206" customHeight="1" spans="1:100">
      <c r="A206" s="29" t="s">
        <v>468</v>
      </c>
      <c r="B206" s="541" t="s">
        <v>1116</v>
      </c>
      <c r="C206" s="29" t="s">
        <v>1117</v>
      </c>
      <c r="D206" s="29" t="s">
        <v>466</v>
      </c>
      <c r="E206" s="29"/>
      <c r="F206" s="29" t="s">
        <v>1038</v>
      </c>
      <c r="G206" s="29" t="s">
        <v>1039</v>
      </c>
      <c r="H206" s="29" t="b">
        <v>1</v>
      </c>
      <c r="I206" s="29" t="b">
        <v>1</v>
      </c>
      <c r="J206" s="29" t="b">
        <v>0</v>
      </c>
      <c r="K206" s="29" t="b">
        <v>0</v>
      </c>
      <c r="L206" s="29" t="b">
        <v>0</v>
      </c>
      <c r="M206" s="29" t="b">
        <v>1</v>
      </c>
      <c r="P206" s="29" t="b">
        <v>0</v>
      </c>
      <c r="Q206" s="29" t="b">
        <v>0</v>
      </c>
      <c r="R206" s="29" t="b">
        <v>0</v>
      </c>
      <c r="S206" s="29" t="b">
        <v>0</v>
      </c>
      <c r="T206" s="29" t="b">
        <f t="shared" si="940"/>
        <v>0</v>
      </c>
      <c r="U206" s="29"/>
      <c r="W206" s="29"/>
      <c r="X206" s="308"/>
      <c r="Y206" s="16" t="s">
        <v>1041</v>
      </c>
      <c r="Z206" s="308"/>
      <c r="AA206" s="554" t="e">
        <f t="shared" ref="AA206:AC206" si="1043">AVERAGE(AJ206,AM206,AP206,AV206,AY206,AS206,BZ206,BB206,BE206,BH206,BK206,BN206,BQ206,BT206)</f>
        <v>#DIV/0!</v>
      </c>
      <c r="AB206" s="555" t="e">
        <f t="shared" si="1043"/>
        <v>#DIV/0!</v>
      </c>
      <c r="AC206" s="556" t="e">
        <f t="shared" si="1043"/>
        <v>#DIV/0!</v>
      </c>
      <c r="AD206" s="29" t="b">
        <v>0</v>
      </c>
      <c r="AE206" s="29" t="b">
        <v>1</v>
      </c>
      <c r="AF206" s="29" t="b">
        <v>0</v>
      </c>
      <c r="AG206" s="566"/>
      <c r="AH206" s="567"/>
      <c r="AI206" s="568"/>
      <c r="AJ206" s="567"/>
      <c r="AK206" s="567"/>
      <c r="AL206" s="568"/>
      <c r="AM206" s="569"/>
      <c r="AN206" s="569"/>
      <c r="AO206" s="568"/>
      <c r="AP206" s="569"/>
      <c r="AQ206" s="569"/>
      <c r="AR206" s="570"/>
      <c r="AS206" s="567"/>
      <c r="AT206" s="567"/>
      <c r="AU206" s="568"/>
      <c r="AV206" s="567"/>
      <c r="AW206" s="567"/>
      <c r="AX206" s="568"/>
      <c r="AY206" s="567"/>
      <c r="AZ206" s="567"/>
      <c r="BA206" s="568"/>
      <c r="BB206" s="567"/>
      <c r="BC206" s="567"/>
      <c r="BD206" s="568"/>
      <c r="BE206" s="567"/>
      <c r="BF206" s="567"/>
      <c r="BG206" s="568"/>
      <c r="BH206" s="567"/>
      <c r="BI206" s="567"/>
      <c r="BJ206" s="568"/>
      <c r="BK206" s="567"/>
      <c r="BL206" s="567"/>
      <c r="BM206" s="568"/>
      <c r="BN206" s="567"/>
      <c r="BO206" s="567"/>
      <c r="BP206" s="568"/>
      <c r="BQ206" s="567"/>
      <c r="BR206" s="567"/>
      <c r="BS206" s="568"/>
      <c r="BT206" s="567"/>
      <c r="BU206" s="567"/>
      <c r="BV206" s="568"/>
      <c r="BW206" s="567"/>
      <c r="BX206" s="567"/>
      <c r="BY206" s="568"/>
      <c r="BZ206" s="567"/>
      <c r="CA206" s="567"/>
      <c r="CB206" s="567"/>
      <c r="CC206" s="583"/>
      <c r="CD206" s="555" t="e">
        <f t="shared" ref="CD206:CF206" si="1044">MEDIAN(AM206,AP206,AS206,AY206,BB206,AV206,AA206,BE206,BK206,BZ206,BH206,BN206,BQ206,BT206,BW206)</f>
        <v>#DIV/0!</v>
      </c>
      <c r="CE206" s="555" t="e">
        <f t="shared" si="1044"/>
        <v>#DIV/0!</v>
      </c>
      <c r="CF206" s="556" t="e">
        <f t="shared" si="1044"/>
        <v>#DIV/0!</v>
      </c>
      <c r="CG206" s="555" t="e">
        <f t="shared" ref="CG206:CI206" si="1045">MAX(AP206,AS206,AV206,BB206,BE206,AY206,CD206,BK206,BZ206,AA206)-MIN(AP206,AS206,AV206,BB206,BE206,AY206,CD206,BK206,BZ206,AA206)</f>
        <v>#DIV/0!</v>
      </c>
      <c r="CH206" s="555" t="e">
        <f t="shared" si="1045"/>
        <v>#DIV/0!</v>
      </c>
      <c r="CI206" s="556" t="e">
        <f t="shared" si="1045"/>
        <v>#DIV/0!</v>
      </c>
      <c r="CJ206" s="555" t="e">
        <f t="shared" ref="CJ206:CL206" si="1046">STDEV(AS206,AV206,AY206,BE206,BK206,BB206,CG206,BZ206,AA206,CD206)</f>
        <v>#DIV/0!</v>
      </c>
      <c r="CK206" s="555" t="e">
        <f t="shared" si="1046"/>
        <v>#DIV/0!</v>
      </c>
      <c r="CL206" s="556" t="e">
        <f t="shared" si="1046"/>
        <v>#DIV/0!</v>
      </c>
      <c r="CM206" s="555" t="e">
        <f t="shared" ref="CM206:CO206" si="1047">CJ206/AA206</f>
        <v>#DIV/0!</v>
      </c>
      <c r="CN206" s="555" t="e">
        <f t="shared" si="1047"/>
        <v>#DIV/0!</v>
      </c>
      <c r="CO206" s="556" t="e">
        <f t="shared" si="1047"/>
        <v>#DIV/0!</v>
      </c>
      <c r="CP206" s="29"/>
      <c r="CQ206" s="535"/>
      <c r="CR206" s="29"/>
      <c r="CS206" s="29"/>
      <c r="CT206" s="29"/>
      <c r="CU206" s="29"/>
      <c r="CV206" s="29"/>
    </row>
    <row r="207" customHeight="1" spans="1:100">
      <c r="A207" s="310" t="s">
        <v>1118</v>
      </c>
      <c r="B207" s="600" t="s">
        <v>1078</v>
      </c>
      <c r="C207" s="500" t="s">
        <v>1119</v>
      </c>
      <c r="D207" s="310" t="s">
        <v>1120</v>
      </c>
      <c r="E207" s="310"/>
      <c r="F207" s="310" t="s">
        <v>1038</v>
      </c>
      <c r="G207" s="310" t="s">
        <v>1039</v>
      </c>
      <c r="H207" s="601" t="b">
        <v>1</v>
      </c>
      <c r="I207" s="601" t="b">
        <v>1</v>
      </c>
      <c r="J207" s="601" t="b">
        <v>0</v>
      </c>
      <c r="K207" s="601" t="b">
        <v>0</v>
      </c>
      <c r="L207" s="500" t="b">
        <v>1</v>
      </c>
      <c r="M207" s="601" t="b">
        <v>1</v>
      </c>
      <c r="N207" s="310" t="s">
        <v>258</v>
      </c>
      <c r="O207" s="310"/>
      <c r="P207" s="601" t="b">
        <v>0</v>
      </c>
      <c r="Q207" s="601" t="b">
        <v>0</v>
      </c>
      <c r="R207" s="601" t="b">
        <v>0</v>
      </c>
      <c r="S207" s="601" t="b">
        <v>1</v>
      </c>
      <c r="T207" s="500" t="b">
        <f t="shared" si="940"/>
        <v>0</v>
      </c>
      <c r="U207" s="310" t="s">
        <v>1080</v>
      </c>
      <c r="V207" s="310"/>
      <c r="W207" s="311">
        <v>2</v>
      </c>
      <c r="X207" s="310" t="s">
        <v>1049</v>
      </c>
      <c r="Y207" s="601" t="s">
        <v>1041</v>
      </c>
      <c r="Z207" s="310" t="s">
        <v>1042</v>
      </c>
      <c r="AA207" s="603" t="e">
        <f t="shared" ref="AA207:AC207" si="1048">AVERAGE(AJ207,AM207,AP207,AV207,AY207,AS207,BZ207,BB207,BE207,BH207,BK207,BN207,BQ207,BT207)</f>
        <v>#DIV/0!</v>
      </c>
      <c r="AB207" s="604">
        <f t="shared" si="1048"/>
        <v>20</v>
      </c>
      <c r="AC207" s="605" t="e">
        <f t="shared" si="1048"/>
        <v>#DIV/0!</v>
      </c>
      <c r="AD207" s="601" t="b">
        <v>0</v>
      </c>
      <c r="AE207" s="601" t="b">
        <v>1</v>
      </c>
      <c r="AF207" s="601" t="b">
        <v>0</v>
      </c>
      <c r="AG207" s="608" t="e">
        <f t="shared" ref="AG207:AG208" si="1049">AG206/(AH206/AH207)</f>
        <v>#DIV/0!</v>
      </c>
      <c r="AH207" s="609">
        <f t="shared" ref="AH207:AH208" si="1050">AB207</f>
        <v>20</v>
      </c>
      <c r="AI207" s="610" t="e">
        <f t="shared" ref="AI207:AI208" si="1051">AI206/(AH206/AH207)</f>
        <v>#DIV/0!</v>
      </c>
      <c r="AJ207" s="575" t="s">
        <v>13</v>
      </c>
      <c r="AK207" s="575" t="s">
        <v>13</v>
      </c>
      <c r="AL207" s="576" t="s">
        <v>13</v>
      </c>
      <c r="AM207" s="575" t="s">
        <v>13</v>
      </c>
      <c r="AN207" s="575" t="s">
        <v>13</v>
      </c>
      <c r="AO207" s="576" t="s">
        <v>13</v>
      </c>
      <c r="AP207" s="575" t="s">
        <v>13</v>
      </c>
      <c r="AQ207" s="575" t="s">
        <v>13</v>
      </c>
      <c r="AR207" s="576" t="s">
        <v>13</v>
      </c>
      <c r="AS207" s="575" t="s">
        <v>13</v>
      </c>
      <c r="AT207" s="575" t="s">
        <v>13</v>
      </c>
      <c r="AU207" s="576" t="s">
        <v>13</v>
      </c>
      <c r="AV207" s="575" t="s">
        <v>13</v>
      </c>
      <c r="AW207" s="575" t="s">
        <v>13</v>
      </c>
      <c r="AX207" s="576" t="s">
        <v>13</v>
      </c>
      <c r="AY207" s="575" t="s">
        <v>13</v>
      </c>
      <c r="AZ207" s="575" t="s">
        <v>13</v>
      </c>
      <c r="BA207" s="576" t="s">
        <v>13</v>
      </c>
      <c r="BB207" s="575"/>
      <c r="BC207" s="575"/>
      <c r="BD207" s="576"/>
      <c r="BE207" s="575"/>
      <c r="BF207" s="575"/>
      <c r="BG207" s="576"/>
      <c r="BH207" s="575"/>
      <c r="BI207" s="575"/>
      <c r="BJ207" s="576"/>
      <c r="BK207" s="575"/>
      <c r="BL207" s="575"/>
      <c r="BM207" s="576"/>
      <c r="BN207" s="575"/>
      <c r="BO207" s="575"/>
      <c r="BP207" s="576"/>
      <c r="BQ207" s="575"/>
      <c r="BR207" s="575"/>
      <c r="BS207" s="576"/>
      <c r="BT207" s="575"/>
      <c r="BU207" s="575"/>
      <c r="BV207" s="576"/>
      <c r="BW207" s="575"/>
      <c r="BX207" s="575"/>
      <c r="BY207" s="576"/>
      <c r="BZ207" s="575" t="s">
        <v>13</v>
      </c>
      <c r="CA207" s="609">
        <v>20</v>
      </c>
      <c r="CB207" s="575" t="s">
        <v>13</v>
      </c>
      <c r="CC207" s="613"/>
      <c r="CD207" s="555" t="e">
        <f t="shared" ref="CD207:CF207" si="1052">MEDIAN(AM207,AP207,AS207,AY207,BB207,AV207,AA207,BE207,BK207,BZ207,BH207,BN207,BQ207,BT207,BW207)</f>
        <v>#DIV/0!</v>
      </c>
      <c r="CE207" s="555">
        <f t="shared" si="1052"/>
        <v>20</v>
      </c>
      <c r="CF207" s="556" t="e">
        <f t="shared" si="1052"/>
        <v>#DIV/0!</v>
      </c>
      <c r="CG207" s="604" t="e">
        <f t="shared" ref="CG207:CI207" si="1053">MAX(AP207,AS207,AV207,BB207,BE207,AY207,CD207,BK207,BZ207,AA207)-MIN(AP207,AS207,AV207,BB207,BE207,AY207,CD207,BK207,BZ207,AA207)</f>
        <v>#DIV/0!</v>
      </c>
      <c r="CH207" s="604">
        <f t="shared" si="1053"/>
        <v>0</v>
      </c>
      <c r="CI207" s="605" t="e">
        <f t="shared" si="1053"/>
        <v>#DIV/0!</v>
      </c>
      <c r="CJ207" s="604" t="e">
        <f t="shared" ref="CJ207:CL207" si="1054">STDEV(AS207,AV207,AY207,BE207,BK207,BB207,CG207,BZ207,AA207,CD207)</f>
        <v>#DIV/0!</v>
      </c>
      <c r="CK207" s="604">
        <f t="shared" si="1054"/>
        <v>10</v>
      </c>
      <c r="CL207" s="605" t="e">
        <f t="shared" si="1054"/>
        <v>#DIV/0!</v>
      </c>
      <c r="CM207" s="604" t="e">
        <f t="shared" ref="CM207:CO207" si="1055">CJ207/AA207</f>
        <v>#DIV/0!</v>
      </c>
      <c r="CN207" s="604">
        <f t="shared" si="1055"/>
        <v>0.5</v>
      </c>
      <c r="CO207" s="605" t="e">
        <f t="shared" si="1055"/>
        <v>#DIV/0!</v>
      </c>
      <c r="CP207" s="310" t="s">
        <v>120</v>
      </c>
      <c r="CQ207" s="311">
        <f t="shared" ref="CQ207:CQ209" si="1056">W207</f>
        <v>2</v>
      </c>
      <c r="CR207" s="310" t="s">
        <v>120</v>
      </c>
      <c r="CS207" s="310" t="s">
        <v>120</v>
      </c>
      <c r="CT207" s="310" t="s">
        <v>120</v>
      </c>
      <c r="CU207" s="310" t="s">
        <v>120</v>
      </c>
      <c r="CV207" s="310" t="s">
        <v>120</v>
      </c>
    </row>
    <row r="208" customHeight="1" spans="1:100">
      <c r="A208" s="310" t="s">
        <v>1121</v>
      </c>
      <c r="B208" s="600" t="s">
        <v>1078</v>
      </c>
      <c r="C208" s="500" t="s">
        <v>1119</v>
      </c>
      <c r="D208" s="310" t="s">
        <v>1122</v>
      </c>
      <c r="E208" s="310"/>
      <c r="F208" s="310" t="s">
        <v>1038</v>
      </c>
      <c r="G208" s="310" t="s">
        <v>1039</v>
      </c>
      <c r="H208" s="601" t="b">
        <v>1</v>
      </c>
      <c r="I208" s="601" t="b">
        <v>1</v>
      </c>
      <c r="J208" s="601" t="b">
        <v>0</v>
      </c>
      <c r="K208" s="601" t="b">
        <v>0</v>
      </c>
      <c r="L208" s="500" t="b">
        <v>1</v>
      </c>
      <c r="M208" s="601" t="b">
        <v>1</v>
      </c>
      <c r="N208" s="310" t="s">
        <v>258</v>
      </c>
      <c r="O208" s="310"/>
      <c r="P208" s="601" t="b">
        <v>0</v>
      </c>
      <c r="Q208" s="601" t="b">
        <v>0</v>
      </c>
      <c r="R208" s="601" t="b">
        <v>0</v>
      </c>
      <c r="S208" s="601" t="b">
        <v>1</v>
      </c>
      <c r="T208" s="500" t="b">
        <f t="shared" si="940"/>
        <v>0</v>
      </c>
      <c r="U208" s="310" t="s">
        <v>1080</v>
      </c>
      <c r="V208" s="310"/>
      <c r="W208" s="311">
        <v>2</v>
      </c>
      <c r="X208" s="310" t="s">
        <v>1049</v>
      </c>
      <c r="Y208" s="601" t="s">
        <v>1041</v>
      </c>
      <c r="Z208" s="310" t="s">
        <v>1042</v>
      </c>
      <c r="AA208" s="603" t="e">
        <f t="shared" ref="AA208:AC208" si="1057">AVERAGE(AJ208,AM208,AP208,AV208,AY208,AS208,BZ208,BB208,BE208,BH208,BK208,BN208,BQ208,BT208)</f>
        <v>#DIV/0!</v>
      </c>
      <c r="AB208" s="604">
        <f t="shared" si="1057"/>
        <v>10</v>
      </c>
      <c r="AC208" s="605" t="e">
        <f t="shared" si="1057"/>
        <v>#DIV/0!</v>
      </c>
      <c r="AD208" s="601" t="b">
        <v>0</v>
      </c>
      <c r="AE208" s="601" t="b">
        <v>1</v>
      </c>
      <c r="AF208" s="601" t="b">
        <v>0</v>
      </c>
      <c r="AG208" s="608" t="e">
        <f t="shared" si="1049"/>
        <v>#DIV/0!</v>
      </c>
      <c r="AH208" s="609">
        <f t="shared" si="1050"/>
        <v>10</v>
      </c>
      <c r="AI208" s="610" t="e">
        <f t="shared" si="1051"/>
        <v>#DIV/0!</v>
      </c>
      <c r="AJ208" s="575" t="s">
        <v>13</v>
      </c>
      <c r="AK208" s="575" t="s">
        <v>13</v>
      </c>
      <c r="AL208" s="576" t="s">
        <v>13</v>
      </c>
      <c r="AM208" s="575" t="s">
        <v>13</v>
      </c>
      <c r="AN208" s="575" t="s">
        <v>13</v>
      </c>
      <c r="AO208" s="576" t="s">
        <v>13</v>
      </c>
      <c r="AP208" s="575" t="s">
        <v>13</v>
      </c>
      <c r="AQ208" s="575" t="s">
        <v>13</v>
      </c>
      <c r="AR208" s="576" t="s">
        <v>13</v>
      </c>
      <c r="AS208" s="575" t="s">
        <v>13</v>
      </c>
      <c r="AT208" s="575" t="s">
        <v>13</v>
      </c>
      <c r="AU208" s="576" t="s">
        <v>13</v>
      </c>
      <c r="AV208" s="575" t="s">
        <v>13</v>
      </c>
      <c r="AW208" s="575" t="s">
        <v>13</v>
      </c>
      <c r="AX208" s="576" t="s">
        <v>13</v>
      </c>
      <c r="AY208" s="575" t="s">
        <v>13</v>
      </c>
      <c r="AZ208" s="575" t="s">
        <v>13</v>
      </c>
      <c r="BA208" s="576" t="s">
        <v>13</v>
      </c>
      <c r="BB208" s="575"/>
      <c r="BC208" s="575"/>
      <c r="BD208" s="576"/>
      <c r="BE208" s="575"/>
      <c r="BF208" s="575"/>
      <c r="BG208" s="576"/>
      <c r="BH208" s="575"/>
      <c r="BI208" s="575"/>
      <c r="BJ208" s="576"/>
      <c r="BK208" s="575"/>
      <c r="BL208" s="575"/>
      <c r="BM208" s="576"/>
      <c r="BN208" s="575"/>
      <c r="BO208" s="575"/>
      <c r="BP208" s="576"/>
      <c r="BQ208" s="575"/>
      <c r="BR208" s="575"/>
      <c r="BS208" s="576"/>
      <c r="BT208" s="575"/>
      <c r="BU208" s="575"/>
      <c r="BV208" s="576"/>
      <c r="BW208" s="575"/>
      <c r="BX208" s="575"/>
      <c r="BY208" s="576"/>
      <c r="BZ208" s="575" t="s">
        <v>13</v>
      </c>
      <c r="CA208" s="609">
        <v>10</v>
      </c>
      <c r="CB208" s="575" t="s">
        <v>13</v>
      </c>
      <c r="CC208" s="613"/>
      <c r="CD208" s="555" t="e">
        <f t="shared" ref="CD208:CF208" si="1058">MEDIAN(AM208,AP208,AS208,AY208,BB208,AV208,AA208,BE208,BK208,BZ208,BH208,BN208,BQ208,BT208,BW208)</f>
        <v>#DIV/0!</v>
      </c>
      <c r="CE208" s="555">
        <f t="shared" si="1058"/>
        <v>10</v>
      </c>
      <c r="CF208" s="556" t="e">
        <f t="shared" si="1058"/>
        <v>#DIV/0!</v>
      </c>
      <c r="CG208" s="604" t="e">
        <f t="shared" ref="CG208:CI208" si="1059">MAX(AP208,AS208,AV208,BB208,BE208,AY208,CD208,BK208,BZ208,AA208)-MIN(AP208,AS208,AV208,BB208,BE208,AY208,CD208,BK208,BZ208,AA208)</f>
        <v>#DIV/0!</v>
      </c>
      <c r="CH208" s="604">
        <f t="shared" si="1059"/>
        <v>0</v>
      </c>
      <c r="CI208" s="605" t="e">
        <f t="shared" si="1059"/>
        <v>#DIV/0!</v>
      </c>
      <c r="CJ208" s="604" t="e">
        <f t="shared" ref="CJ208:CL208" si="1060">STDEV(AS208,AV208,AY208,BE208,BK208,BB208,CG208,BZ208,AA208,CD208)</f>
        <v>#DIV/0!</v>
      </c>
      <c r="CK208" s="604">
        <f t="shared" si="1060"/>
        <v>5</v>
      </c>
      <c r="CL208" s="605" t="e">
        <f t="shared" si="1060"/>
        <v>#DIV/0!</v>
      </c>
      <c r="CM208" s="604" t="e">
        <f t="shared" ref="CM208:CO208" si="1061">CJ208/AA208</f>
        <v>#DIV/0!</v>
      </c>
      <c r="CN208" s="604">
        <f t="shared" si="1061"/>
        <v>0.5</v>
      </c>
      <c r="CO208" s="605" t="e">
        <f t="shared" si="1061"/>
        <v>#DIV/0!</v>
      </c>
      <c r="CP208" s="310" t="s">
        <v>120</v>
      </c>
      <c r="CQ208" s="311">
        <f t="shared" si="1056"/>
        <v>2</v>
      </c>
      <c r="CR208" s="310" t="s">
        <v>120</v>
      </c>
      <c r="CS208" s="310" t="s">
        <v>120</v>
      </c>
      <c r="CT208" s="310" t="s">
        <v>120</v>
      </c>
      <c r="CU208" s="310" t="s">
        <v>120</v>
      </c>
      <c r="CV208" s="310" t="s">
        <v>120</v>
      </c>
    </row>
    <row r="209" customHeight="1" spans="1:100">
      <c r="A209" s="500" t="s">
        <v>1123</v>
      </c>
      <c r="B209" s="600" t="s">
        <v>1087</v>
      </c>
      <c r="C209" s="500" t="s">
        <v>1124</v>
      </c>
      <c r="D209" s="500" t="s">
        <v>1125</v>
      </c>
      <c r="E209" s="500"/>
      <c r="F209" s="500" t="s">
        <v>1044</v>
      </c>
      <c r="G209" s="500" t="s">
        <v>1039</v>
      </c>
      <c r="H209" s="500" t="b">
        <v>1</v>
      </c>
      <c r="I209" s="500" t="b">
        <v>1</v>
      </c>
      <c r="J209" s="500" t="b">
        <v>0</v>
      </c>
      <c r="K209" s="500" t="b">
        <v>0</v>
      </c>
      <c r="L209" s="500" t="b">
        <v>0</v>
      </c>
      <c r="M209" s="500" t="b">
        <v>0</v>
      </c>
      <c r="N209" s="505"/>
      <c r="O209" s="505"/>
      <c r="P209" s="500" t="b">
        <v>0</v>
      </c>
      <c r="Q209" s="500" t="b">
        <v>0</v>
      </c>
      <c r="R209" s="500" t="b">
        <v>0</v>
      </c>
      <c r="S209" s="500" t="b">
        <v>0</v>
      </c>
      <c r="T209" s="500" t="b">
        <f t="shared" si="940"/>
        <v>0</v>
      </c>
      <c r="U209" s="500" t="s">
        <v>999</v>
      </c>
      <c r="V209" s="505"/>
      <c r="W209" s="500">
        <v>1</v>
      </c>
      <c r="X209" s="500" t="s">
        <v>1049</v>
      </c>
      <c r="Y209" s="602" t="s">
        <v>1041</v>
      </c>
      <c r="Z209" s="500" t="s">
        <v>1042</v>
      </c>
      <c r="AA209" s="603">
        <f t="shared" ref="AA209:AC209" si="1062">AVERAGE(AJ209,AM209,AP209,AV209,AY209,AS209,BZ209,BB209,BE209,BH209,BK209,BN209,BQ209,BT209)</f>
        <v>250</v>
      </c>
      <c r="AB209" s="604" t="e">
        <f t="shared" si="1062"/>
        <v>#DIV/0!</v>
      </c>
      <c r="AC209" s="605" t="e">
        <f t="shared" si="1062"/>
        <v>#DIV/0!</v>
      </c>
      <c r="AD209" s="500" t="b">
        <v>1</v>
      </c>
      <c r="AE209" s="500" t="b">
        <v>0</v>
      </c>
      <c r="AF209" s="500" t="b">
        <v>0</v>
      </c>
      <c r="AG209" s="606">
        <v>250</v>
      </c>
      <c r="AH209" s="607"/>
      <c r="AI209" s="611"/>
      <c r="AJ209" s="607"/>
      <c r="AK209" s="607"/>
      <c r="AL209" s="611"/>
      <c r="AM209" s="575">
        <v>300</v>
      </c>
      <c r="AN209" s="607"/>
      <c r="AO209" s="611"/>
      <c r="AP209" s="575">
        <v>100</v>
      </c>
      <c r="AQ209" s="607"/>
      <c r="AR209" s="611"/>
      <c r="AS209" s="607"/>
      <c r="AT209" s="607"/>
      <c r="AU209" s="611"/>
      <c r="AV209" s="607"/>
      <c r="AW209" s="607"/>
      <c r="AX209" s="611"/>
      <c r="AY209" s="607"/>
      <c r="AZ209" s="607"/>
      <c r="BA209" s="611"/>
      <c r="BB209" s="607"/>
      <c r="BC209" s="607"/>
      <c r="BD209" s="611"/>
      <c r="BE209" s="607"/>
      <c r="BF209" s="607"/>
      <c r="BG209" s="611"/>
      <c r="BH209" s="575">
        <v>500</v>
      </c>
      <c r="BI209" s="607"/>
      <c r="BJ209" s="611"/>
      <c r="BK209" s="607"/>
      <c r="BL209" s="607"/>
      <c r="BM209" s="611"/>
      <c r="BN209" s="607"/>
      <c r="BO209" s="607"/>
      <c r="BP209" s="611"/>
      <c r="BQ209" s="607"/>
      <c r="BR209" s="607"/>
      <c r="BS209" s="611"/>
      <c r="BT209" s="575">
        <v>100</v>
      </c>
      <c r="BU209" s="607"/>
      <c r="BV209" s="611"/>
      <c r="BW209" s="575">
        <v>290</v>
      </c>
      <c r="BX209" s="607"/>
      <c r="BY209" s="611"/>
      <c r="BZ209" s="607"/>
      <c r="CA209" s="607"/>
      <c r="CB209" s="607"/>
      <c r="CC209" s="613">
        <v>45340</v>
      </c>
      <c r="CD209" s="555">
        <f t="shared" ref="CD209:CF209" si="1063">MEDIAN(AM209,AP209,AS209,AY209,BB209,AV209,AA209,BE209,BK209,BZ209,BH209,BN209,BQ209,BT209,BW209)</f>
        <v>270</v>
      </c>
      <c r="CE209" s="555" t="e">
        <f t="shared" si="1063"/>
        <v>#DIV/0!</v>
      </c>
      <c r="CF209" s="556" t="e">
        <f t="shared" si="1063"/>
        <v>#DIV/0!</v>
      </c>
      <c r="CG209" s="604">
        <f t="shared" ref="CG209:CI209" si="1064">MAX(AP209,AS209,AV209,BB209,BE209,AY209,CD209,BK209,BZ209,AA209)-MIN(AP209,AS209,AV209,BB209,BE209,AY209,CD209,BK209,BZ209,AA209)</f>
        <v>170</v>
      </c>
      <c r="CH209" s="604" t="e">
        <f t="shared" si="1064"/>
        <v>#DIV/0!</v>
      </c>
      <c r="CI209" s="605" t="e">
        <f t="shared" si="1064"/>
        <v>#DIV/0!</v>
      </c>
      <c r="CJ209" s="604">
        <f t="shared" ref="CJ209:CL209" si="1065">STDEV(AS209,AV209,AY209,BE209,BK209,BB209,CG209,BZ209,AA209,CD209)</f>
        <v>52.9150262212918</v>
      </c>
      <c r="CK209" s="604" t="e">
        <f t="shared" si="1065"/>
        <v>#DIV/0!</v>
      </c>
      <c r="CL209" s="605" t="e">
        <f t="shared" si="1065"/>
        <v>#DIV/0!</v>
      </c>
      <c r="CM209" s="604">
        <f t="shared" ref="CM209:CO209" si="1066">CJ209/AA209</f>
        <v>0.211660104885167</v>
      </c>
      <c r="CN209" s="604" t="e">
        <f t="shared" si="1066"/>
        <v>#DIV/0!</v>
      </c>
      <c r="CO209" s="605" t="e">
        <f t="shared" si="1066"/>
        <v>#DIV/0!</v>
      </c>
      <c r="CP209" s="500" t="s">
        <v>120</v>
      </c>
      <c r="CQ209" s="614">
        <f t="shared" si="1056"/>
        <v>1</v>
      </c>
      <c r="CR209" s="500" t="s">
        <v>120</v>
      </c>
      <c r="CS209" s="500"/>
      <c r="CT209" s="500"/>
      <c r="CU209" s="500"/>
      <c r="CV209" s="500"/>
    </row>
    <row r="210" customHeight="1" spans="1:100">
      <c r="A210" s="29" t="s">
        <v>469</v>
      </c>
      <c r="B210" s="541"/>
      <c r="D210" s="29" t="s">
        <v>470</v>
      </c>
      <c r="E210" s="29"/>
      <c r="F210" s="29" t="s">
        <v>1038</v>
      </c>
      <c r="G210" s="29" t="s">
        <v>1039</v>
      </c>
      <c r="H210" s="29" t="b">
        <v>0</v>
      </c>
      <c r="I210" s="29" t="b">
        <v>0</v>
      </c>
      <c r="J210" s="29" t="b">
        <v>0</v>
      </c>
      <c r="K210" s="29" t="b">
        <v>0</v>
      </c>
      <c r="L210" s="29" t="b">
        <v>0</v>
      </c>
      <c r="M210" s="29" t="b">
        <v>0</v>
      </c>
      <c r="P210" s="29" t="b">
        <v>0</v>
      </c>
      <c r="Q210" s="29" t="b">
        <v>0</v>
      </c>
      <c r="R210" s="29" t="b">
        <v>0</v>
      </c>
      <c r="S210" s="29" t="b">
        <v>0</v>
      </c>
      <c r="T210" s="29" t="b">
        <f t="shared" si="940"/>
        <v>0</v>
      </c>
      <c r="U210" s="29"/>
      <c r="W210" s="29"/>
      <c r="X210" s="308"/>
      <c r="Y210" s="16" t="s">
        <v>1041</v>
      </c>
      <c r="Z210" s="308"/>
      <c r="AA210" s="554" t="e">
        <f t="shared" ref="AA210:AC210" si="1067">AVERAGE(AJ210,AM210,AP210,AV210,AY210,AS210,BZ210,BB210,BE210,BH210,BK210,BN210,BQ210,BT210)</f>
        <v>#DIV/0!</v>
      </c>
      <c r="AB210" s="555" t="e">
        <f t="shared" si="1067"/>
        <v>#DIV/0!</v>
      </c>
      <c r="AC210" s="556" t="e">
        <f t="shared" si="1067"/>
        <v>#DIV/0!</v>
      </c>
      <c r="AD210" s="29" t="b">
        <v>0</v>
      </c>
      <c r="AE210" s="29" t="b">
        <v>1</v>
      </c>
      <c r="AF210" s="29" t="b">
        <v>0</v>
      </c>
      <c r="AG210" s="566"/>
      <c r="AH210" s="567"/>
      <c r="AI210" s="568"/>
      <c r="AJ210" s="567"/>
      <c r="AK210" s="567"/>
      <c r="AL210" s="568"/>
      <c r="AM210" s="569"/>
      <c r="AN210" s="569"/>
      <c r="AO210" s="568"/>
      <c r="AP210" s="569"/>
      <c r="AQ210" s="569"/>
      <c r="AR210" s="570"/>
      <c r="AS210" s="567"/>
      <c r="AT210" s="567"/>
      <c r="AU210" s="568"/>
      <c r="AV210" s="567"/>
      <c r="AW210" s="567"/>
      <c r="AX210" s="568"/>
      <c r="AY210" s="567"/>
      <c r="AZ210" s="567"/>
      <c r="BA210" s="568"/>
      <c r="BB210" s="567"/>
      <c r="BC210" s="567"/>
      <c r="BD210" s="568"/>
      <c r="BE210" s="567"/>
      <c r="BF210" s="567"/>
      <c r="BG210" s="568"/>
      <c r="BH210" s="567"/>
      <c r="BI210" s="567"/>
      <c r="BJ210" s="568"/>
      <c r="BK210" s="567"/>
      <c r="BL210" s="567"/>
      <c r="BM210" s="568"/>
      <c r="BN210" s="567"/>
      <c r="BO210" s="567"/>
      <c r="BP210" s="568"/>
      <c r="BQ210" s="567"/>
      <c r="BR210" s="567"/>
      <c r="BS210" s="568"/>
      <c r="BT210" s="567"/>
      <c r="BU210" s="567"/>
      <c r="BV210" s="568"/>
      <c r="BW210" s="567"/>
      <c r="BX210" s="567"/>
      <c r="BY210" s="568"/>
      <c r="BZ210" s="567"/>
      <c r="CA210" s="567"/>
      <c r="CB210" s="567"/>
      <c r="CC210" s="583"/>
      <c r="CD210" s="555" t="e">
        <f t="shared" ref="CD210:CF210" si="1068">MEDIAN(AM210,AP210,AS210,AY210,BB210,AV210,AA210,BE210,BK210,BZ210,BH210,BN210,BQ210,BT210,BW210)</f>
        <v>#DIV/0!</v>
      </c>
      <c r="CE210" s="555" t="e">
        <f t="shared" si="1068"/>
        <v>#DIV/0!</v>
      </c>
      <c r="CF210" s="556" t="e">
        <f t="shared" si="1068"/>
        <v>#DIV/0!</v>
      </c>
      <c r="CG210" s="555" t="e">
        <f t="shared" ref="CG210:CI210" si="1069">MAX(AP210,AS210,AV210,BB210,BE210,AY210,CD210,BK210,BZ210,AA210)-MIN(AP210,AS210,AV210,BB210,BE210,AY210,CD210,BK210,BZ210,AA210)</f>
        <v>#DIV/0!</v>
      </c>
      <c r="CH210" s="555" t="e">
        <f t="shared" si="1069"/>
        <v>#DIV/0!</v>
      </c>
      <c r="CI210" s="556" t="e">
        <f t="shared" si="1069"/>
        <v>#DIV/0!</v>
      </c>
      <c r="CJ210" s="555" t="e">
        <f t="shared" ref="CJ210:CL210" si="1070">STDEV(AS210,AV210,AY210,BE210,BK210,BB210,CG210,BZ210,AA210,CD210)</f>
        <v>#DIV/0!</v>
      </c>
      <c r="CK210" s="555" t="e">
        <f t="shared" si="1070"/>
        <v>#DIV/0!</v>
      </c>
      <c r="CL210" s="556" t="e">
        <f t="shared" si="1070"/>
        <v>#DIV/0!</v>
      </c>
      <c r="CM210" s="555" t="e">
        <f t="shared" ref="CM210:CO210" si="1071">CJ210/AA210</f>
        <v>#DIV/0!</v>
      </c>
      <c r="CN210" s="555" t="e">
        <f t="shared" si="1071"/>
        <v>#DIV/0!</v>
      </c>
      <c r="CO210" s="556" t="e">
        <f t="shared" si="1071"/>
        <v>#DIV/0!</v>
      </c>
      <c r="CP210" s="29"/>
      <c r="CQ210" s="535"/>
      <c r="CR210" s="29"/>
      <c r="CS210" s="29"/>
      <c r="CT210" s="29"/>
      <c r="CU210" s="29"/>
      <c r="CV210" s="29"/>
    </row>
    <row r="211" customHeight="1" spans="1:100">
      <c r="A211" s="29" t="s">
        <v>471</v>
      </c>
      <c r="B211" s="541"/>
      <c r="F211" s="29" t="s">
        <v>1038</v>
      </c>
      <c r="G211" s="29" t="s">
        <v>1039</v>
      </c>
      <c r="H211" s="29" t="b">
        <v>0</v>
      </c>
      <c r="I211" s="29" t="b">
        <v>0</v>
      </c>
      <c r="J211" s="29" t="b">
        <v>1</v>
      </c>
      <c r="K211" s="29" t="b">
        <v>0</v>
      </c>
      <c r="L211" s="29" t="b">
        <v>0</v>
      </c>
      <c r="M211" s="29" t="b">
        <v>0</v>
      </c>
      <c r="P211" s="29" t="b">
        <v>0</v>
      </c>
      <c r="Q211" s="29" t="b">
        <v>0</v>
      </c>
      <c r="R211" s="29" t="b">
        <v>0</v>
      </c>
      <c r="S211" s="29" t="b">
        <v>0</v>
      </c>
      <c r="T211" s="29" t="b">
        <f t="shared" si="940"/>
        <v>0</v>
      </c>
      <c r="W211" s="29">
        <v>2</v>
      </c>
      <c r="X211" s="308"/>
      <c r="Y211" s="16" t="s">
        <v>1041</v>
      </c>
      <c r="Z211" s="308"/>
      <c r="AA211" s="554" t="e">
        <f t="shared" ref="AA211:AC211" si="1072">AVERAGE(AJ211,AM211,AP211,AV211,AY211,AS211,BZ211,BB211,BE211,BH211,BK211,BN211,BQ211,BT211)</f>
        <v>#DIV/0!</v>
      </c>
      <c r="AB211" s="555" t="e">
        <f t="shared" si="1072"/>
        <v>#DIV/0!</v>
      </c>
      <c r="AC211" s="556" t="e">
        <f t="shared" si="1072"/>
        <v>#DIV/0!</v>
      </c>
      <c r="AD211" s="29" t="b">
        <v>0</v>
      </c>
      <c r="AE211" s="29" t="b">
        <v>1</v>
      </c>
      <c r="AF211" s="29" t="b">
        <v>0</v>
      </c>
      <c r="AG211" s="566"/>
      <c r="AH211" s="567"/>
      <c r="AI211" s="568"/>
      <c r="AJ211" s="567"/>
      <c r="AK211" s="567"/>
      <c r="AL211" s="568"/>
      <c r="AM211" s="567"/>
      <c r="AN211" s="567"/>
      <c r="AO211" s="568"/>
      <c r="AP211" s="567"/>
      <c r="AQ211" s="567"/>
      <c r="AR211" s="568"/>
      <c r="AS211" s="567"/>
      <c r="AT211" s="567"/>
      <c r="AU211" s="568"/>
      <c r="AV211" s="567"/>
      <c r="AW211" s="567"/>
      <c r="AX211" s="568"/>
      <c r="AY211" s="567"/>
      <c r="AZ211" s="567"/>
      <c r="BA211" s="568"/>
      <c r="BB211" s="567"/>
      <c r="BC211" s="567"/>
      <c r="BD211" s="568"/>
      <c r="BE211" s="567"/>
      <c r="BF211" s="567"/>
      <c r="BG211" s="568"/>
      <c r="BH211" s="567"/>
      <c r="BI211" s="567"/>
      <c r="BJ211" s="568"/>
      <c r="BK211" s="567"/>
      <c r="BL211" s="567"/>
      <c r="BM211" s="568"/>
      <c r="BN211" s="567"/>
      <c r="BO211" s="567"/>
      <c r="BP211" s="568"/>
      <c r="BQ211" s="567"/>
      <c r="BR211" s="567"/>
      <c r="BS211" s="568"/>
      <c r="BT211" s="567"/>
      <c r="BU211" s="567"/>
      <c r="BV211" s="568"/>
      <c r="BW211" s="567"/>
      <c r="BX211" s="567"/>
      <c r="BY211" s="568"/>
      <c r="BZ211" s="567"/>
      <c r="CA211" s="567"/>
      <c r="CB211" s="567"/>
      <c r="CC211" s="583"/>
      <c r="CD211" s="555" t="e">
        <f t="shared" ref="CD211:CF211" si="1073">MEDIAN(AM211,AP211,AS211,AY211,BB211,AV211,AA211,BE211,BK211,BZ211,BH211,BN211,BQ211,BT211,BW211)</f>
        <v>#DIV/0!</v>
      </c>
      <c r="CE211" s="555" t="e">
        <f t="shared" si="1073"/>
        <v>#DIV/0!</v>
      </c>
      <c r="CF211" s="556" t="e">
        <f t="shared" si="1073"/>
        <v>#DIV/0!</v>
      </c>
      <c r="CG211" s="555" t="e">
        <f t="shared" ref="CG211:CI211" si="1074">MAX(AP211,AS211,AV211,BB211,BE211,AY211,CD211,BK211,BZ211,AA211)-MIN(AP211,AS211,AV211,BB211,BE211,AY211,CD211,BK211,BZ211,AA211)</f>
        <v>#DIV/0!</v>
      </c>
      <c r="CH211" s="555" t="e">
        <f t="shared" si="1074"/>
        <v>#DIV/0!</v>
      </c>
      <c r="CI211" s="556" t="e">
        <f t="shared" si="1074"/>
        <v>#DIV/0!</v>
      </c>
      <c r="CJ211" s="555" t="e">
        <f t="shared" ref="CJ211:CL211" si="1075">STDEV(AS211,AV211,AY211,BE211,BK211,BB211,CG211,BZ211,AA211,CD211)</f>
        <v>#DIV/0!</v>
      </c>
      <c r="CK211" s="555" t="e">
        <f t="shared" si="1075"/>
        <v>#DIV/0!</v>
      </c>
      <c r="CL211" s="556" t="e">
        <f t="shared" si="1075"/>
        <v>#DIV/0!</v>
      </c>
      <c r="CM211" s="555" t="e">
        <f t="shared" ref="CM211:CO211" si="1076">CJ211/AA211</f>
        <v>#DIV/0!</v>
      </c>
      <c r="CN211" s="555" t="e">
        <f t="shared" si="1076"/>
        <v>#DIV/0!</v>
      </c>
      <c r="CO211" s="556" t="e">
        <f t="shared" si="1076"/>
        <v>#DIV/0!</v>
      </c>
      <c r="CP211" s="29" t="s">
        <v>120</v>
      </c>
      <c r="CQ211" s="535">
        <f t="shared" ref="CQ211:CQ215" si="1077">W211</f>
        <v>2</v>
      </c>
      <c r="CR211" s="29" t="s">
        <v>120</v>
      </c>
      <c r="CS211" s="29"/>
      <c r="CT211" s="29"/>
      <c r="CU211" s="29"/>
      <c r="CV211" s="29"/>
    </row>
    <row r="212" customHeight="1" spans="1:100">
      <c r="A212" s="29" t="s">
        <v>472</v>
      </c>
      <c r="B212" s="541"/>
      <c r="F212" s="29" t="s">
        <v>1022</v>
      </c>
      <c r="G212" s="29" t="s">
        <v>1039</v>
      </c>
      <c r="H212" s="29" t="b">
        <v>0</v>
      </c>
      <c r="I212" s="29" t="b">
        <v>0</v>
      </c>
      <c r="J212" s="29" t="b">
        <v>1</v>
      </c>
      <c r="K212" s="29" t="b">
        <v>0</v>
      </c>
      <c r="L212" s="29" t="b">
        <v>0</v>
      </c>
      <c r="M212" s="29" t="b">
        <v>0</v>
      </c>
      <c r="P212" s="29" t="b">
        <v>0</v>
      </c>
      <c r="Q212" s="29" t="b">
        <v>0</v>
      </c>
      <c r="R212" s="29" t="b">
        <v>0</v>
      </c>
      <c r="S212" s="29" t="b">
        <v>0</v>
      </c>
      <c r="T212" s="29" t="b">
        <f t="shared" si="940"/>
        <v>0</v>
      </c>
      <c r="W212" s="29">
        <v>2</v>
      </c>
      <c r="X212" s="308"/>
      <c r="Y212" s="16" t="s">
        <v>1041</v>
      </c>
      <c r="Z212" s="308"/>
      <c r="AA212" s="554" t="e">
        <f t="shared" ref="AA212:AC212" si="1078">AVERAGE(AJ212,AM212,AP212,AV212,AY212,AS212,BZ212,BB212,BE212,BH212,BK212,BN212,BQ212,BT212)</f>
        <v>#DIV/0!</v>
      </c>
      <c r="AB212" s="555" t="e">
        <f t="shared" si="1078"/>
        <v>#DIV/0!</v>
      </c>
      <c r="AC212" s="556" t="e">
        <f t="shared" si="1078"/>
        <v>#DIV/0!</v>
      </c>
      <c r="AD212" s="29" t="b">
        <v>0</v>
      </c>
      <c r="AE212" s="29" t="b">
        <v>1</v>
      </c>
      <c r="AF212" s="29" t="b">
        <v>0</v>
      </c>
      <c r="AG212" s="566"/>
      <c r="AH212" s="567"/>
      <c r="AI212" s="568"/>
      <c r="AJ212" s="567"/>
      <c r="AK212" s="567"/>
      <c r="AL212" s="568"/>
      <c r="AM212" s="567"/>
      <c r="AN212" s="567"/>
      <c r="AO212" s="568"/>
      <c r="AP212" s="567"/>
      <c r="AQ212" s="567"/>
      <c r="AR212" s="568"/>
      <c r="AS212" s="567"/>
      <c r="AT212" s="567"/>
      <c r="AU212" s="568"/>
      <c r="AV212" s="567"/>
      <c r="AW212" s="567"/>
      <c r="AX212" s="568"/>
      <c r="AY212" s="567"/>
      <c r="AZ212" s="567"/>
      <c r="BA212" s="568"/>
      <c r="BB212" s="567"/>
      <c r="BC212" s="567"/>
      <c r="BD212" s="568"/>
      <c r="BE212" s="567"/>
      <c r="BF212" s="567"/>
      <c r="BG212" s="568"/>
      <c r="BH212" s="567"/>
      <c r="BI212" s="567"/>
      <c r="BJ212" s="568"/>
      <c r="BK212" s="567"/>
      <c r="BL212" s="567"/>
      <c r="BM212" s="568"/>
      <c r="BN212" s="567"/>
      <c r="BO212" s="567"/>
      <c r="BP212" s="568"/>
      <c r="BQ212" s="567"/>
      <c r="BR212" s="567"/>
      <c r="BS212" s="568"/>
      <c r="BT212" s="567"/>
      <c r="BU212" s="567"/>
      <c r="BV212" s="568"/>
      <c r="BW212" s="567"/>
      <c r="BX212" s="567"/>
      <c r="BY212" s="568"/>
      <c r="BZ212" s="567"/>
      <c r="CA212" s="567"/>
      <c r="CB212" s="567"/>
      <c r="CC212" s="583"/>
      <c r="CD212" s="555" t="e">
        <f t="shared" ref="CD212:CF212" si="1079">MEDIAN(AM212,AP212,AS212,AY212,BB212,AV212,AA212,BE212,BK212,BZ212,BH212,BN212,BQ212,BT212,BW212)</f>
        <v>#DIV/0!</v>
      </c>
      <c r="CE212" s="555" t="e">
        <f t="shared" si="1079"/>
        <v>#DIV/0!</v>
      </c>
      <c r="CF212" s="556" t="e">
        <f t="shared" si="1079"/>
        <v>#DIV/0!</v>
      </c>
      <c r="CG212" s="555" t="e">
        <f t="shared" ref="CG212:CI212" si="1080">MAX(AP212,AS212,AV212,BB212,BE212,AY212,CD212,BK212,BZ212,AA212)-MIN(AP212,AS212,AV212,BB212,BE212,AY212,CD212,BK212,BZ212,AA212)</f>
        <v>#DIV/0!</v>
      </c>
      <c r="CH212" s="555" t="e">
        <f t="shared" si="1080"/>
        <v>#DIV/0!</v>
      </c>
      <c r="CI212" s="556" t="e">
        <f t="shared" si="1080"/>
        <v>#DIV/0!</v>
      </c>
      <c r="CJ212" s="555" t="e">
        <f t="shared" ref="CJ212:CL212" si="1081">STDEV(AS212,AV212,AY212,BE212,BK212,BB212,CG212,BZ212,AA212,CD212)</f>
        <v>#DIV/0!</v>
      </c>
      <c r="CK212" s="555" t="e">
        <f t="shared" si="1081"/>
        <v>#DIV/0!</v>
      </c>
      <c r="CL212" s="556" t="e">
        <f t="shared" si="1081"/>
        <v>#DIV/0!</v>
      </c>
      <c r="CM212" s="555" t="e">
        <f t="shared" ref="CM212:CO212" si="1082">CJ212/AA212</f>
        <v>#DIV/0!</v>
      </c>
      <c r="CN212" s="555" t="e">
        <f t="shared" si="1082"/>
        <v>#DIV/0!</v>
      </c>
      <c r="CO212" s="556" t="e">
        <f t="shared" si="1082"/>
        <v>#DIV/0!</v>
      </c>
      <c r="CP212" s="29" t="s">
        <v>120</v>
      </c>
      <c r="CQ212" s="535">
        <f t="shared" si="1077"/>
        <v>2</v>
      </c>
      <c r="CR212" s="29" t="s">
        <v>120</v>
      </c>
      <c r="CS212" s="29"/>
      <c r="CT212" s="29"/>
      <c r="CU212" s="29"/>
      <c r="CV212" s="29"/>
    </row>
    <row r="213" customHeight="1" spans="1:100">
      <c r="A213" s="29" t="s">
        <v>473</v>
      </c>
      <c r="B213" s="541"/>
      <c r="F213" s="29" t="s">
        <v>1022</v>
      </c>
      <c r="G213" s="29" t="s">
        <v>1039</v>
      </c>
      <c r="H213" s="29" t="b">
        <v>0</v>
      </c>
      <c r="I213" s="29" t="b">
        <v>0</v>
      </c>
      <c r="J213" s="29" t="b">
        <v>1</v>
      </c>
      <c r="K213" s="29" t="b">
        <v>0</v>
      </c>
      <c r="L213" s="29" t="b">
        <v>0</v>
      </c>
      <c r="M213" s="29" t="b">
        <v>0</v>
      </c>
      <c r="P213" s="29" t="b">
        <v>0</v>
      </c>
      <c r="Q213" s="29" t="b">
        <v>0</v>
      </c>
      <c r="R213" s="29" t="b">
        <v>0</v>
      </c>
      <c r="S213" s="29" t="b">
        <v>0</v>
      </c>
      <c r="T213" s="29" t="b">
        <f t="shared" si="940"/>
        <v>0</v>
      </c>
      <c r="W213" s="29">
        <v>2</v>
      </c>
      <c r="X213" s="308"/>
      <c r="Y213" s="16" t="s">
        <v>1041</v>
      </c>
      <c r="Z213" s="308"/>
      <c r="AA213" s="554" t="e">
        <f t="shared" ref="AA213:AC213" si="1083">AVERAGE(AJ213,AM213,AP213,AV213,AY213,AS213,BZ213,BB213,BE213,BH213,BK213,BN213,BQ213,BT213)</f>
        <v>#DIV/0!</v>
      </c>
      <c r="AB213" s="555" t="e">
        <f t="shared" si="1083"/>
        <v>#DIV/0!</v>
      </c>
      <c r="AC213" s="556" t="e">
        <f t="shared" si="1083"/>
        <v>#DIV/0!</v>
      </c>
      <c r="AD213" s="29" t="b">
        <v>0</v>
      </c>
      <c r="AE213" s="29" t="b">
        <v>1</v>
      </c>
      <c r="AF213" s="29" t="b">
        <v>0</v>
      </c>
      <c r="AG213" s="566"/>
      <c r="AH213" s="567"/>
      <c r="AI213" s="568"/>
      <c r="AJ213" s="567"/>
      <c r="AK213" s="567"/>
      <c r="AL213" s="568"/>
      <c r="AM213" s="567"/>
      <c r="AN213" s="567"/>
      <c r="AO213" s="568"/>
      <c r="AP213" s="567"/>
      <c r="AQ213" s="567"/>
      <c r="AR213" s="568"/>
      <c r="AS213" s="567"/>
      <c r="AT213" s="567"/>
      <c r="AU213" s="568"/>
      <c r="AV213" s="567"/>
      <c r="AW213" s="567"/>
      <c r="AX213" s="568"/>
      <c r="AY213" s="567"/>
      <c r="AZ213" s="567"/>
      <c r="BA213" s="568"/>
      <c r="BB213" s="567"/>
      <c r="BC213" s="567"/>
      <c r="BD213" s="568"/>
      <c r="BE213" s="567"/>
      <c r="BF213" s="567"/>
      <c r="BG213" s="568"/>
      <c r="BH213" s="567"/>
      <c r="BI213" s="567"/>
      <c r="BJ213" s="568"/>
      <c r="BK213" s="567"/>
      <c r="BL213" s="567"/>
      <c r="BM213" s="568"/>
      <c r="BN213" s="567"/>
      <c r="BO213" s="567"/>
      <c r="BP213" s="568"/>
      <c r="BQ213" s="567"/>
      <c r="BR213" s="567"/>
      <c r="BS213" s="568"/>
      <c r="BT213" s="567"/>
      <c r="BU213" s="567"/>
      <c r="BV213" s="568"/>
      <c r="BW213" s="567"/>
      <c r="BX213" s="567"/>
      <c r="BY213" s="568"/>
      <c r="BZ213" s="567"/>
      <c r="CA213" s="567"/>
      <c r="CB213" s="567"/>
      <c r="CC213" s="583"/>
      <c r="CD213" s="555" t="e">
        <f t="shared" ref="CD213:CF213" si="1084">MEDIAN(AM213,AP213,AS213,AY213,BB213,AV213,AA213,BE213,BK213,BZ213,BH213,BN213,BQ213,BT213,BW213)</f>
        <v>#DIV/0!</v>
      </c>
      <c r="CE213" s="555" t="e">
        <f t="shared" si="1084"/>
        <v>#DIV/0!</v>
      </c>
      <c r="CF213" s="556" t="e">
        <f t="shared" si="1084"/>
        <v>#DIV/0!</v>
      </c>
      <c r="CG213" s="555" t="e">
        <f t="shared" ref="CG213:CI213" si="1085">MAX(AP213,AS213,AV213,BB213,BE213,AY213,CD213,BK213,BZ213,AA213)-MIN(AP213,AS213,AV213,BB213,BE213,AY213,CD213,BK213,BZ213,AA213)</f>
        <v>#DIV/0!</v>
      </c>
      <c r="CH213" s="555" t="e">
        <f t="shared" si="1085"/>
        <v>#DIV/0!</v>
      </c>
      <c r="CI213" s="556" t="e">
        <f t="shared" si="1085"/>
        <v>#DIV/0!</v>
      </c>
      <c r="CJ213" s="555" t="e">
        <f t="shared" ref="CJ213:CL213" si="1086">STDEV(AS213,AV213,AY213,BE213,BK213,BB213,CG213,BZ213,AA213,CD213)</f>
        <v>#DIV/0!</v>
      </c>
      <c r="CK213" s="555" t="e">
        <f t="shared" si="1086"/>
        <v>#DIV/0!</v>
      </c>
      <c r="CL213" s="556" t="e">
        <f t="shared" si="1086"/>
        <v>#DIV/0!</v>
      </c>
      <c r="CM213" s="555" t="e">
        <f t="shared" ref="CM213:CO213" si="1087">CJ213/AA213</f>
        <v>#DIV/0!</v>
      </c>
      <c r="CN213" s="555" t="e">
        <f t="shared" si="1087"/>
        <v>#DIV/0!</v>
      </c>
      <c r="CO213" s="556" t="e">
        <f t="shared" si="1087"/>
        <v>#DIV/0!</v>
      </c>
      <c r="CP213" s="29" t="s">
        <v>120</v>
      </c>
      <c r="CQ213" s="535">
        <f t="shared" si="1077"/>
        <v>2</v>
      </c>
      <c r="CR213" s="29" t="s">
        <v>120</v>
      </c>
      <c r="CS213" s="29"/>
      <c r="CT213" s="29"/>
      <c r="CU213" s="29"/>
      <c r="CV213" s="29"/>
    </row>
    <row r="214" customHeight="1" spans="1:100">
      <c r="A214" s="500" t="s">
        <v>1123</v>
      </c>
      <c r="B214" s="600" t="s">
        <v>1087</v>
      </c>
      <c r="C214" s="500"/>
      <c r="D214" s="500" t="s">
        <v>1125</v>
      </c>
      <c r="E214" s="500"/>
      <c r="F214" s="500" t="s">
        <v>1044</v>
      </c>
      <c r="G214" s="500" t="s">
        <v>1039</v>
      </c>
      <c r="H214" s="500" t="b">
        <v>1</v>
      </c>
      <c r="I214" s="500" t="b">
        <v>1</v>
      </c>
      <c r="J214" s="500" t="b">
        <v>0</v>
      </c>
      <c r="K214" s="500" t="b">
        <v>0</v>
      </c>
      <c r="L214" s="500" t="b">
        <v>0</v>
      </c>
      <c r="M214" s="500" t="b">
        <v>0</v>
      </c>
      <c r="N214" s="505"/>
      <c r="O214" s="505"/>
      <c r="P214" s="500" t="b">
        <v>0</v>
      </c>
      <c r="Q214" s="500" t="b">
        <v>0</v>
      </c>
      <c r="R214" s="500" t="b">
        <v>0</v>
      </c>
      <c r="S214" s="500" t="b">
        <v>0</v>
      </c>
      <c r="T214" s="500" t="b">
        <f t="shared" si="940"/>
        <v>0</v>
      </c>
      <c r="U214" s="500" t="s">
        <v>999</v>
      </c>
      <c r="V214" s="505"/>
      <c r="W214" s="500">
        <v>1</v>
      </c>
      <c r="X214" s="500" t="s">
        <v>1045</v>
      </c>
      <c r="Y214" s="602" t="s">
        <v>1041</v>
      </c>
      <c r="Z214" s="500" t="s">
        <v>1049</v>
      </c>
      <c r="AA214" s="603" t="e">
        <f t="shared" ref="AA214:AC214" si="1088">AVERAGE(AJ214,AM214,AP214,AV214,AY214,AS214,BZ214,BB214,BE214,BH214,BK214,BN214,BQ214,BT214)</f>
        <v>#DIV/0!</v>
      </c>
      <c r="AB214" s="604" t="e">
        <f t="shared" si="1088"/>
        <v>#DIV/0!</v>
      </c>
      <c r="AC214" s="605" t="e">
        <f t="shared" si="1088"/>
        <v>#DIV/0!</v>
      </c>
      <c r="AD214" s="500" t="b">
        <v>1</v>
      </c>
      <c r="AE214" s="500" t="b">
        <v>0</v>
      </c>
      <c r="AF214" s="500" t="b">
        <v>0</v>
      </c>
      <c r="AG214" s="612">
        <v>0.53</v>
      </c>
      <c r="AH214" s="607"/>
      <c r="AI214" s="611"/>
      <c r="AJ214" s="607"/>
      <c r="AK214" s="607"/>
      <c r="AL214" s="611"/>
      <c r="AM214" s="575"/>
      <c r="AN214" s="607"/>
      <c r="AO214" s="611"/>
      <c r="AP214" s="575"/>
      <c r="AQ214" s="607"/>
      <c r="AR214" s="611"/>
      <c r="AS214" s="607"/>
      <c r="AT214" s="607"/>
      <c r="AU214" s="611"/>
      <c r="AV214" s="607"/>
      <c r="AW214" s="607"/>
      <c r="AX214" s="611"/>
      <c r="AY214" s="607"/>
      <c r="AZ214" s="607"/>
      <c r="BA214" s="611"/>
      <c r="BB214" s="607"/>
      <c r="BC214" s="607"/>
      <c r="BD214" s="611"/>
      <c r="BE214" s="607"/>
      <c r="BF214" s="607"/>
      <c r="BG214" s="611"/>
      <c r="BH214" s="575"/>
      <c r="BI214" s="607"/>
      <c r="BJ214" s="611"/>
      <c r="BK214" s="607"/>
      <c r="BL214" s="607"/>
      <c r="BM214" s="611"/>
      <c r="BN214" s="607"/>
      <c r="BO214" s="607"/>
      <c r="BP214" s="611"/>
      <c r="BQ214" s="607"/>
      <c r="BR214" s="607"/>
      <c r="BS214" s="611"/>
      <c r="BT214" s="575"/>
      <c r="BU214" s="607"/>
      <c r="BV214" s="611"/>
      <c r="BW214" s="607"/>
      <c r="BX214" s="607"/>
      <c r="BY214" s="611"/>
      <c r="BZ214" s="607"/>
      <c r="CA214" s="607"/>
      <c r="CB214" s="607"/>
      <c r="CC214" s="613">
        <v>45340</v>
      </c>
      <c r="CD214" s="555" t="e">
        <f t="shared" ref="CD214:CF214" si="1089">MEDIAN(AM214,AP214,AS214,AY214,BB214,AV214,AA214,BE214,BK214,BZ214,BH214,BN214,BQ214,BT214,BW214)</f>
        <v>#DIV/0!</v>
      </c>
      <c r="CE214" s="555" t="e">
        <f t="shared" si="1089"/>
        <v>#DIV/0!</v>
      </c>
      <c r="CF214" s="556" t="e">
        <f t="shared" si="1089"/>
        <v>#DIV/0!</v>
      </c>
      <c r="CG214" s="604" t="e">
        <f t="shared" ref="CG214:CI214" si="1090">MAX(AP214,AS214,AV214,BB214,BE214,AY214,CD214,BK214,BZ214,AA214)-MIN(AP214,AS214,AV214,BB214,BE214,AY214,CD214,BK214,BZ214,AA214)</f>
        <v>#DIV/0!</v>
      </c>
      <c r="CH214" s="604" t="e">
        <f t="shared" si="1090"/>
        <v>#DIV/0!</v>
      </c>
      <c r="CI214" s="605" t="e">
        <f t="shared" si="1090"/>
        <v>#DIV/0!</v>
      </c>
      <c r="CJ214" s="604" t="e">
        <f t="shared" ref="CJ214:CL214" si="1091">STDEV(AS214,AV214,AY214,BE214,BK214,BB214,CG214,BZ214,AA214,CD214)</f>
        <v>#DIV/0!</v>
      </c>
      <c r="CK214" s="604" t="e">
        <f t="shared" si="1091"/>
        <v>#DIV/0!</v>
      </c>
      <c r="CL214" s="605" t="e">
        <f t="shared" si="1091"/>
        <v>#DIV/0!</v>
      </c>
      <c r="CM214" s="604" t="e">
        <f t="shared" ref="CM214:CO214" si="1092">CJ214/AA214</f>
        <v>#DIV/0!</v>
      </c>
      <c r="CN214" s="604" t="e">
        <f t="shared" si="1092"/>
        <v>#DIV/0!</v>
      </c>
      <c r="CO214" s="605" t="e">
        <f t="shared" si="1092"/>
        <v>#DIV/0!</v>
      </c>
      <c r="CP214" s="500" t="s">
        <v>120</v>
      </c>
      <c r="CQ214" s="614">
        <f t="shared" si="1077"/>
        <v>1</v>
      </c>
      <c r="CR214" s="500" t="s">
        <v>120</v>
      </c>
      <c r="CS214" s="500"/>
      <c r="CT214" s="500"/>
      <c r="CU214" s="500"/>
      <c r="CV214" s="500"/>
    </row>
    <row r="215" customHeight="1" spans="1:100">
      <c r="A215" s="500" t="s">
        <v>1126</v>
      </c>
      <c r="B215" s="600" t="s">
        <v>1095</v>
      </c>
      <c r="C215" s="500"/>
      <c r="D215" s="500" t="s">
        <v>1127</v>
      </c>
      <c r="E215" s="500"/>
      <c r="F215" s="500" t="s">
        <v>1044</v>
      </c>
      <c r="G215" s="500" t="s">
        <v>57</v>
      </c>
      <c r="H215" s="500" t="b">
        <v>0</v>
      </c>
      <c r="I215" s="500" t="b">
        <v>0</v>
      </c>
      <c r="J215" s="500" t="b">
        <v>1</v>
      </c>
      <c r="K215" s="500" t="b">
        <v>0</v>
      </c>
      <c r="L215" s="500" t="b">
        <v>1</v>
      </c>
      <c r="M215" s="500" t="b">
        <v>0</v>
      </c>
      <c r="N215" s="505"/>
      <c r="O215" s="505"/>
      <c r="P215" s="500" t="b">
        <v>0</v>
      </c>
      <c r="Q215" s="500" t="b">
        <v>0</v>
      </c>
      <c r="R215" s="500" t="b">
        <v>0</v>
      </c>
      <c r="S215" s="500" t="b">
        <v>0</v>
      </c>
      <c r="T215" s="500" t="b">
        <f t="shared" si="940"/>
        <v>0</v>
      </c>
      <c r="U215" s="500" t="s">
        <v>999</v>
      </c>
      <c r="V215" s="500" t="s">
        <v>1128</v>
      </c>
      <c r="W215" s="500">
        <v>2</v>
      </c>
      <c r="X215" s="500" t="s">
        <v>1040</v>
      </c>
      <c r="Y215" s="602" t="s">
        <v>1041</v>
      </c>
      <c r="Z215" s="500" t="s">
        <v>1042</v>
      </c>
      <c r="AA215" s="603">
        <f t="shared" ref="AA215:AC215" si="1093">AVERAGE(AJ215,AM215,AP215,AV215,AY215,AS215,BZ215,BB215,BE215,BH215,BK215,BN215,BQ215,BT215)</f>
        <v>450</v>
      </c>
      <c r="AB215" s="604">
        <f t="shared" si="1093"/>
        <v>225</v>
      </c>
      <c r="AC215" s="605">
        <f t="shared" si="1093"/>
        <v>150</v>
      </c>
      <c r="AD215" s="500" t="b">
        <v>0</v>
      </c>
      <c r="AE215" s="500" t="b">
        <v>1</v>
      </c>
      <c r="AF215" s="500" t="b">
        <v>0</v>
      </c>
      <c r="AG215" s="606"/>
      <c r="AH215" s="607"/>
      <c r="AI215" s="576"/>
      <c r="AJ215" s="575" t="s">
        <v>13</v>
      </c>
      <c r="AK215" s="575" t="s">
        <v>13</v>
      </c>
      <c r="AL215" s="576" t="s">
        <v>13</v>
      </c>
      <c r="AM215" s="607">
        <f>(400+500)/2</f>
        <v>450</v>
      </c>
      <c r="AN215" s="607">
        <f t="shared" ref="AN215:AO215" si="1094">AM215/(1+(AM215/450))</f>
        <v>225</v>
      </c>
      <c r="AO215" s="611">
        <f t="shared" si="1094"/>
        <v>150</v>
      </c>
      <c r="AP215" s="607"/>
      <c r="AQ215" s="607"/>
      <c r="AR215" s="576"/>
      <c r="AS215" s="607"/>
      <c r="AT215" s="607"/>
      <c r="AU215" s="611"/>
      <c r="AV215" s="607"/>
      <c r="AW215" s="607"/>
      <c r="AX215" s="611"/>
      <c r="AY215" s="607"/>
      <c r="AZ215" s="607"/>
      <c r="BA215" s="611"/>
      <c r="BB215" s="607"/>
      <c r="BC215" s="607"/>
      <c r="BD215" s="611"/>
      <c r="BE215" s="607"/>
      <c r="BF215" s="607"/>
      <c r="BG215" s="611"/>
      <c r="BH215" s="607"/>
      <c r="BI215" s="607"/>
      <c r="BJ215" s="611"/>
      <c r="BK215" s="607"/>
      <c r="BL215" s="607"/>
      <c r="BM215" s="611"/>
      <c r="BN215" s="607"/>
      <c r="BO215" s="607"/>
      <c r="BP215" s="611"/>
      <c r="BQ215" s="607"/>
      <c r="BR215" s="607"/>
      <c r="BS215" s="611"/>
      <c r="BT215" s="607"/>
      <c r="BU215" s="607"/>
      <c r="BV215" s="611"/>
      <c r="BW215" s="607"/>
      <c r="BX215" s="607"/>
      <c r="BY215" s="611"/>
      <c r="BZ215" s="607"/>
      <c r="CA215" s="607"/>
      <c r="CB215" s="607"/>
      <c r="CC215" s="613"/>
      <c r="CD215" s="555">
        <f t="shared" ref="CD215:CF215" si="1095">MEDIAN(AM215,AP215,AS215,AY215,BB215,AV215,AA215,BE215,BK215,BZ215,BH215,BN215,BQ215,BT215,BW215)</f>
        <v>450</v>
      </c>
      <c r="CE215" s="555">
        <f t="shared" si="1095"/>
        <v>225</v>
      </c>
      <c r="CF215" s="556">
        <f t="shared" si="1095"/>
        <v>150</v>
      </c>
      <c r="CG215" s="604">
        <f t="shared" ref="CG215:CI215" si="1096">MAX(AP215,AS215,AV215,BB215,BE215,AY215,CD215,BK215,BZ215,AA215)-MIN(AP215,AS215,AV215,BB215,BE215,AY215,CD215,BK215,BZ215,AA215)</f>
        <v>0</v>
      </c>
      <c r="CH215" s="604">
        <f t="shared" si="1096"/>
        <v>0</v>
      </c>
      <c r="CI215" s="605">
        <f t="shared" si="1096"/>
        <v>0</v>
      </c>
      <c r="CJ215" s="604">
        <f t="shared" ref="CJ215:CL215" si="1097">STDEV(AS215,AV215,AY215,BE215,BK215,BB215,CG215,BZ215,AA215,CD215)</f>
        <v>259.807621135332</v>
      </c>
      <c r="CK215" s="604">
        <f t="shared" si="1097"/>
        <v>129.903810567666</v>
      </c>
      <c r="CL215" s="605">
        <f t="shared" si="1097"/>
        <v>86.6025403784439</v>
      </c>
      <c r="CM215" s="604">
        <f t="shared" ref="CM215:CO215" si="1098">CJ215/AA215</f>
        <v>0.577350269189626</v>
      </c>
      <c r="CN215" s="604">
        <f t="shared" si="1098"/>
        <v>0.577350269189626</v>
      </c>
      <c r="CO215" s="605">
        <f t="shared" si="1098"/>
        <v>0.577350269189626</v>
      </c>
      <c r="CP215" s="500" t="s">
        <v>142</v>
      </c>
      <c r="CQ215" s="614">
        <f t="shared" si="1077"/>
        <v>2</v>
      </c>
      <c r="CR215" s="500" t="s">
        <v>120</v>
      </c>
      <c r="CS215" s="500" t="s">
        <v>120</v>
      </c>
      <c r="CT215" s="500" t="s">
        <v>120</v>
      </c>
      <c r="CU215" s="500" t="s">
        <v>120</v>
      </c>
      <c r="CV215" s="500" t="s">
        <v>120</v>
      </c>
    </row>
    <row r="216" customHeight="1" spans="2:100">
      <c r="B216" s="541"/>
      <c r="C216" s="312"/>
      <c r="F216" s="308"/>
      <c r="G216" s="308"/>
      <c r="W216" s="308"/>
      <c r="X216" s="308"/>
      <c r="Y216" s="16"/>
      <c r="Z216" s="308"/>
      <c r="AA216" s="554"/>
      <c r="AB216" s="555"/>
      <c r="AC216" s="556"/>
      <c r="AG216" s="566"/>
      <c r="AH216" s="567"/>
      <c r="AI216" s="568"/>
      <c r="AJ216" s="567"/>
      <c r="AK216" s="567"/>
      <c r="AL216" s="568"/>
      <c r="AM216" s="567"/>
      <c r="AN216" s="567"/>
      <c r="AO216" s="568"/>
      <c r="AP216" s="567"/>
      <c r="AQ216" s="567"/>
      <c r="AR216" s="568"/>
      <c r="AS216" s="567"/>
      <c r="AT216" s="567"/>
      <c r="AU216" s="568"/>
      <c r="AV216" s="567"/>
      <c r="AW216" s="567"/>
      <c r="AX216" s="568"/>
      <c r="AY216" s="567"/>
      <c r="AZ216" s="567"/>
      <c r="BA216" s="568"/>
      <c r="BB216" s="567"/>
      <c r="BC216" s="567"/>
      <c r="BD216" s="568"/>
      <c r="BE216" s="567"/>
      <c r="BF216" s="567"/>
      <c r="BG216" s="568"/>
      <c r="BH216" s="567"/>
      <c r="BI216" s="567"/>
      <c r="BJ216" s="568"/>
      <c r="BK216" s="567"/>
      <c r="BL216" s="567"/>
      <c r="BM216" s="568"/>
      <c r="BN216" s="567"/>
      <c r="BO216" s="567"/>
      <c r="BP216" s="568"/>
      <c r="BQ216" s="567"/>
      <c r="BR216" s="567"/>
      <c r="BS216" s="568"/>
      <c r="BT216" s="567"/>
      <c r="BU216" s="567"/>
      <c r="BV216" s="568"/>
      <c r="BW216" s="567"/>
      <c r="BX216" s="567"/>
      <c r="BY216" s="568"/>
      <c r="BZ216" s="567"/>
      <c r="CA216" s="567"/>
      <c r="CB216" s="567"/>
      <c r="CC216" s="583"/>
      <c r="CD216" s="555" t="e">
        <f t="shared" ref="CD216:CF216" si="1099">MEDIAN(AM216,AP216,AS216,AY216,BB216,AV216,AA216,BE216,BK216,BZ216,BH216,BN216,BQ216,BT216,BW216)</f>
        <v>#NUM!</v>
      </c>
      <c r="CE216" s="555" t="e">
        <f t="shared" si="1099"/>
        <v>#NUM!</v>
      </c>
      <c r="CF216" s="556" t="e">
        <f t="shared" si="1099"/>
        <v>#NUM!</v>
      </c>
      <c r="CG216" s="555"/>
      <c r="CH216" s="555"/>
      <c r="CI216" s="556"/>
      <c r="CJ216" s="555"/>
      <c r="CK216" s="555"/>
      <c r="CL216" s="556"/>
      <c r="CM216" s="555"/>
      <c r="CN216" s="555"/>
      <c r="CO216" s="556"/>
      <c r="CP216" s="308"/>
      <c r="CQ216" s="535"/>
      <c r="CR216" s="308"/>
      <c r="CS216" s="308"/>
      <c r="CT216" s="308"/>
      <c r="CU216" s="308"/>
      <c r="CV216" s="308"/>
    </row>
    <row r="217" customHeight="1" spans="1:100">
      <c r="A217" s="29" t="s">
        <v>474</v>
      </c>
      <c r="B217" s="541"/>
      <c r="C217" s="29" t="s">
        <v>1038</v>
      </c>
      <c r="F217" s="308"/>
      <c r="G217" s="308"/>
      <c r="H217" s="29" t="b">
        <v>0</v>
      </c>
      <c r="I217" s="29" t="b">
        <v>0</v>
      </c>
      <c r="J217" s="29" t="b">
        <v>0</v>
      </c>
      <c r="K217" s="29" t="b">
        <v>0</v>
      </c>
      <c r="L217" s="29" t="b">
        <v>0</v>
      </c>
      <c r="M217" s="29" t="b">
        <v>0</v>
      </c>
      <c r="N217" s="29" t="s">
        <v>475</v>
      </c>
      <c r="P217" s="29" t="b">
        <v>0</v>
      </c>
      <c r="Q217" s="29" t="b">
        <v>0</v>
      </c>
      <c r="R217" s="29" t="b">
        <v>0</v>
      </c>
      <c r="S217" s="29" t="b">
        <v>0</v>
      </c>
      <c r="T217" s="29" t="b">
        <v>0</v>
      </c>
      <c r="W217" s="29"/>
      <c r="X217" s="308"/>
      <c r="Y217" s="16"/>
      <c r="Z217" s="308"/>
      <c r="AA217" s="554">
        <v>300</v>
      </c>
      <c r="AB217" s="555">
        <v>150</v>
      </c>
      <c r="AC217" s="556">
        <v>225</v>
      </c>
      <c r="AD217" s="29" t="b">
        <v>0</v>
      </c>
      <c r="AE217" s="29" t="b">
        <v>0</v>
      </c>
      <c r="AF217" s="29" t="b">
        <v>0</v>
      </c>
      <c r="AG217" s="574"/>
      <c r="AH217" s="569"/>
      <c r="AI217" s="570"/>
      <c r="AJ217" s="567"/>
      <c r="AK217" s="567"/>
      <c r="AL217" s="568"/>
      <c r="AM217" s="567"/>
      <c r="AN217" s="567"/>
      <c r="AO217" s="568"/>
      <c r="AP217" s="567"/>
      <c r="AQ217" s="567"/>
      <c r="AR217" s="568"/>
      <c r="AS217" s="567"/>
      <c r="AT217" s="567"/>
      <c r="AU217" s="568"/>
      <c r="AV217" s="567"/>
      <c r="AW217" s="567"/>
      <c r="AX217" s="568"/>
      <c r="AY217" s="567"/>
      <c r="AZ217" s="567"/>
      <c r="BA217" s="568"/>
      <c r="BB217" s="567"/>
      <c r="BC217" s="567"/>
      <c r="BD217" s="568"/>
      <c r="BE217" s="567"/>
      <c r="BF217" s="567"/>
      <c r="BG217" s="568"/>
      <c r="BH217" s="567"/>
      <c r="BI217" s="567"/>
      <c r="BJ217" s="568"/>
      <c r="BK217" s="567"/>
      <c r="BL217" s="567"/>
      <c r="BM217" s="568"/>
      <c r="BN217" s="567"/>
      <c r="BO217" s="567"/>
      <c r="BP217" s="568"/>
      <c r="BQ217" s="567"/>
      <c r="BR217" s="567"/>
      <c r="BS217" s="568"/>
      <c r="BT217" s="567"/>
      <c r="BU217" s="567"/>
      <c r="BV217" s="568"/>
      <c r="BW217" s="567"/>
      <c r="BX217" s="567"/>
      <c r="BY217" s="568"/>
      <c r="BZ217" s="567"/>
      <c r="CA217" s="567"/>
      <c r="CB217" s="567"/>
      <c r="CC217" s="583"/>
      <c r="CD217" s="555">
        <f t="shared" ref="CD217:CF217" si="1100">MEDIAN(AM217,AP217,AS217,AY217,BB217,AV217,AA217,BE217,BK217,BZ217,BH217,BN217,BQ217,BT217,BW217)</f>
        <v>300</v>
      </c>
      <c r="CE217" s="555">
        <f t="shared" si="1100"/>
        <v>150</v>
      </c>
      <c r="CF217" s="556">
        <f t="shared" si="1100"/>
        <v>225</v>
      </c>
      <c r="CG217" s="555"/>
      <c r="CH217" s="555"/>
      <c r="CI217" s="556"/>
      <c r="CJ217" s="555"/>
      <c r="CK217" s="555"/>
      <c r="CL217" s="556"/>
      <c r="CM217" s="555"/>
      <c r="CN217" s="555"/>
      <c r="CO217" s="556"/>
      <c r="CP217" s="29"/>
      <c r="CQ217" s="535"/>
      <c r="CR217" s="29"/>
      <c r="CS217" s="29"/>
      <c r="CT217" s="29"/>
      <c r="CU217" s="29"/>
      <c r="CV217" s="29"/>
    </row>
    <row r="218" customHeight="1" spans="1:100">
      <c r="A218" s="29"/>
      <c r="B218" s="541"/>
      <c r="C218" s="29"/>
      <c r="F218" s="308"/>
      <c r="G218" s="29"/>
      <c r="H218" s="29" t="b">
        <v>0</v>
      </c>
      <c r="I218" s="29" t="b">
        <v>0</v>
      </c>
      <c r="J218" s="29" t="b">
        <v>0</v>
      </c>
      <c r="K218" s="29" t="b">
        <v>0</v>
      </c>
      <c r="L218" s="29" t="b">
        <v>0</v>
      </c>
      <c r="M218" s="29" t="b">
        <v>0</v>
      </c>
      <c r="P218" s="29" t="b">
        <v>0</v>
      </c>
      <c r="Q218" s="29" t="b">
        <v>0</v>
      </c>
      <c r="R218" s="29" t="b">
        <v>0</v>
      </c>
      <c r="S218" s="29" t="b">
        <v>0</v>
      </c>
      <c r="T218" s="29" t="b">
        <v>0</v>
      </c>
      <c r="U218" s="29" t="s">
        <v>999</v>
      </c>
      <c r="W218" s="29"/>
      <c r="X218" s="308"/>
      <c r="Y218" s="16" t="s">
        <v>1041</v>
      </c>
      <c r="Z218" s="308"/>
      <c r="AA218" s="554" t="e">
        <f t="shared" ref="AA218:AC218" si="1101">AVERAGE(AJ218,AM218,AP218,AV218,AY218,AS218,BZ218,BB218,BE218,BH218,BK218,BN218,BQ218,BT218)</f>
        <v>#DIV/0!</v>
      </c>
      <c r="AB218" s="555" t="e">
        <f t="shared" si="1101"/>
        <v>#DIV/0!</v>
      </c>
      <c r="AC218" s="556" t="e">
        <f t="shared" si="1101"/>
        <v>#DIV/0!</v>
      </c>
      <c r="AD218" s="29" t="b">
        <v>0</v>
      </c>
      <c r="AE218" s="29" t="b">
        <v>0</v>
      </c>
      <c r="AF218" s="29" t="b">
        <v>0</v>
      </c>
      <c r="AG218" s="566"/>
      <c r="AH218" s="567"/>
      <c r="AI218" s="568"/>
      <c r="AJ218" s="567"/>
      <c r="AK218" s="567"/>
      <c r="AL218" s="568"/>
      <c r="AM218" s="567"/>
      <c r="AN218" s="567"/>
      <c r="AO218" s="568"/>
      <c r="AP218" s="567"/>
      <c r="AQ218" s="567"/>
      <c r="AR218" s="568"/>
      <c r="AS218" s="567"/>
      <c r="AT218" s="567"/>
      <c r="AU218" s="568"/>
      <c r="AV218" s="567"/>
      <c r="AW218" s="567"/>
      <c r="AX218" s="568"/>
      <c r="AY218" s="567"/>
      <c r="AZ218" s="567"/>
      <c r="BA218" s="568"/>
      <c r="BB218" s="567"/>
      <c r="BC218" s="567"/>
      <c r="BD218" s="568"/>
      <c r="BE218" s="567"/>
      <c r="BF218" s="567"/>
      <c r="BG218" s="568"/>
      <c r="BH218" s="567"/>
      <c r="BI218" s="567"/>
      <c r="BJ218" s="568"/>
      <c r="BK218" s="567"/>
      <c r="BL218" s="567"/>
      <c r="BM218" s="568"/>
      <c r="BN218" s="567"/>
      <c r="BO218" s="567"/>
      <c r="BP218" s="568"/>
      <c r="BQ218" s="567"/>
      <c r="BR218" s="567"/>
      <c r="BS218" s="568"/>
      <c r="BT218" s="567"/>
      <c r="BU218" s="567"/>
      <c r="BV218" s="568"/>
      <c r="BW218" s="567"/>
      <c r="BX218" s="567"/>
      <c r="BY218" s="568"/>
      <c r="BZ218" s="569"/>
      <c r="CA218" s="572"/>
      <c r="CB218" s="572"/>
      <c r="CC218" s="583"/>
      <c r="CD218" s="555" t="e">
        <f t="shared" ref="CD218:CF218" si="1102">MEDIAN(AM218,AP218,AS218,AY218,BB218,AV218,AA218,BE218,BK218,BZ218,BH218,BN218,BQ218,BT218,BW218)</f>
        <v>#DIV/0!</v>
      </c>
      <c r="CE218" s="555" t="e">
        <f t="shared" si="1102"/>
        <v>#DIV/0!</v>
      </c>
      <c r="CF218" s="556" t="e">
        <f t="shared" si="1102"/>
        <v>#DIV/0!</v>
      </c>
      <c r="CG218" s="555" t="e">
        <f t="shared" ref="CG218:CI218" si="1103">MAX(AP218,AS218,AV218,BB218,BE218,AY218,CD218,BK218,BZ218,AA218)-MIN(AP218,AS218,AV218,BB218,BE218,AY218,CD218,BK218,BZ218,AA218)</f>
        <v>#DIV/0!</v>
      </c>
      <c r="CH218" s="555" t="e">
        <f t="shared" si="1103"/>
        <v>#DIV/0!</v>
      </c>
      <c r="CI218" s="556" t="e">
        <f t="shared" si="1103"/>
        <v>#DIV/0!</v>
      </c>
      <c r="CJ218" s="555" t="e">
        <f t="shared" ref="CJ218:CL218" si="1104">STDEV(AS218,AV218,AY218,BE218,BK218,BB218,CG218,BZ218,AA218,CD218)</f>
        <v>#DIV/0!</v>
      </c>
      <c r="CK218" s="555" t="e">
        <f t="shared" si="1104"/>
        <v>#DIV/0!</v>
      </c>
      <c r="CL218" s="556" t="e">
        <f t="shared" si="1104"/>
        <v>#DIV/0!</v>
      </c>
      <c r="CM218" s="555" t="e">
        <f t="shared" ref="CM218:CO218" si="1105">CJ218/AA218</f>
        <v>#DIV/0!</v>
      </c>
      <c r="CN218" s="555" t="e">
        <f t="shared" si="1105"/>
        <v>#DIV/0!</v>
      </c>
      <c r="CO218" s="556" t="e">
        <f t="shared" si="1105"/>
        <v>#DIV/0!</v>
      </c>
      <c r="CP218" s="29"/>
      <c r="CQ218" s="535"/>
      <c r="CR218" s="29"/>
      <c r="CS218" s="29"/>
      <c r="CT218" s="29"/>
      <c r="CU218" s="29"/>
      <c r="CV218" s="29"/>
    </row>
    <row r="219" customHeight="1" spans="1:100">
      <c r="A219" s="29" t="s">
        <v>476</v>
      </c>
      <c r="B219" s="541"/>
      <c r="D219" s="29" t="s">
        <v>470</v>
      </c>
      <c r="E219" s="29"/>
      <c r="F219" s="308"/>
      <c r="G219" s="308"/>
      <c r="H219" s="29" t="b">
        <v>0</v>
      </c>
      <c r="I219" s="29" t="b">
        <v>0</v>
      </c>
      <c r="J219" s="29" t="b">
        <v>0</v>
      </c>
      <c r="K219" s="29" t="b">
        <v>0</v>
      </c>
      <c r="L219" s="29" t="b">
        <v>0</v>
      </c>
      <c r="M219" s="29" t="b">
        <v>0</v>
      </c>
      <c r="P219" s="29" t="b">
        <v>0</v>
      </c>
      <c r="Q219" s="29" t="b">
        <v>0</v>
      </c>
      <c r="R219" s="29" t="b">
        <v>0</v>
      </c>
      <c r="S219" s="29" t="b">
        <v>0</v>
      </c>
      <c r="T219" s="29" t="b">
        <f t="shared" ref="T219:T297" si="1106">IF(AND(H219=TRUE,I219=TRUE,L219=TRUE,M219=TRUE,P219=TRUE,Q219=TRUE,R219=TRUE,S219=TRUE,J219=FALSE,AE219=FALSE,K219=FALSE),TRUE,FALSE)</f>
        <v>0</v>
      </c>
      <c r="U219" s="29"/>
      <c r="W219" s="29"/>
      <c r="X219" s="308"/>
      <c r="Y219" s="16" t="s">
        <v>1041</v>
      </c>
      <c r="Z219" s="308"/>
      <c r="AA219" s="554" t="e">
        <f t="shared" ref="AA219:AC219" si="1107">AVERAGE(AJ219,AM219,AP219,AV219,AY219,AS219,BZ219,BB219,BE219,BH219,BK219,BN219,BQ219,BT219)</f>
        <v>#DIV/0!</v>
      </c>
      <c r="AB219" s="555" t="e">
        <f t="shared" si="1107"/>
        <v>#DIV/0!</v>
      </c>
      <c r="AC219" s="556" t="e">
        <f t="shared" si="1107"/>
        <v>#DIV/0!</v>
      </c>
      <c r="AD219" s="29" t="b">
        <v>0</v>
      </c>
      <c r="AE219" s="29" t="b">
        <v>1</v>
      </c>
      <c r="AF219" s="29" t="b">
        <v>0</v>
      </c>
      <c r="AG219" s="566"/>
      <c r="AH219" s="567"/>
      <c r="AI219" s="568"/>
      <c r="AJ219" s="567"/>
      <c r="AK219" s="567"/>
      <c r="AL219" s="568"/>
      <c r="AM219" s="569"/>
      <c r="AN219" s="569"/>
      <c r="AO219" s="568"/>
      <c r="AP219" s="569"/>
      <c r="AQ219" s="569"/>
      <c r="AR219" s="570"/>
      <c r="AS219" s="567"/>
      <c r="AT219" s="567"/>
      <c r="AU219" s="568"/>
      <c r="AV219" s="567"/>
      <c r="AW219" s="567"/>
      <c r="AX219" s="568"/>
      <c r="AY219" s="567"/>
      <c r="AZ219" s="567"/>
      <c r="BA219" s="568"/>
      <c r="BB219" s="567"/>
      <c r="BC219" s="567"/>
      <c r="BD219" s="568"/>
      <c r="BE219" s="567"/>
      <c r="BF219" s="567"/>
      <c r="BG219" s="568"/>
      <c r="BH219" s="567"/>
      <c r="BI219" s="567"/>
      <c r="BJ219" s="568"/>
      <c r="BK219" s="567"/>
      <c r="BL219" s="567"/>
      <c r="BM219" s="568"/>
      <c r="BN219" s="567"/>
      <c r="BO219" s="567"/>
      <c r="BP219" s="568"/>
      <c r="BQ219" s="567"/>
      <c r="BR219" s="567"/>
      <c r="BS219" s="568"/>
      <c r="BT219" s="567"/>
      <c r="BU219" s="567"/>
      <c r="BV219" s="568"/>
      <c r="BW219" s="567"/>
      <c r="BX219" s="567"/>
      <c r="BY219" s="568"/>
      <c r="BZ219" s="567"/>
      <c r="CA219" s="567"/>
      <c r="CB219" s="567"/>
      <c r="CC219" s="583"/>
      <c r="CD219" s="555" t="e">
        <f t="shared" ref="CD219:CF219" si="1108">MEDIAN(AM219,AP219,AS219,AY219,BB219,AV219,AA219,BE219,BK219,BZ219,BH219,BN219,BQ219,BT219,BW219)</f>
        <v>#DIV/0!</v>
      </c>
      <c r="CE219" s="555" t="e">
        <f t="shared" si="1108"/>
        <v>#DIV/0!</v>
      </c>
      <c r="CF219" s="556" t="e">
        <f t="shared" si="1108"/>
        <v>#DIV/0!</v>
      </c>
      <c r="CG219" s="555" t="e">
        <f t="shared" ref="CG219:CI219" si="1109">MAX(AP219,AS219,AV219,BB219,BE219,AY219,CD219,BK219,BZ219,AA219)-MIN(AP219,AS219,AV219,BB219,BE219,AY219,CD219,BK219,BZ219,AA219)</f>
        <v>#DIV/0!</v>
      </c>
      <c r="CH219" s="555" t="e">
        <f t="shared" si="1109"/>
        <v>#DIV/0!</v>
      </c>
      <c r="CI219" s="556" t="e">
        <f t="shared" si="1109"/>
        <v>#DIV/0!</v>
      </c>
      <c r="CJ219" s="555" t="e">
        <f t="shared" ref="CJ219:CL219" si="1110">STDEV(AS219,AV219,AY219,BE219,BK219,BB219,CG219,BZ219,AA219,CD219)</f>
        <v>#DIV/0!</v>
      </c>
      <c r="CK219" s="555" t="e">
        <f t="shared" si="1110"/>
        <v>#DIV/0!</v>
      </c>
      <c r="CL219" s="556" t="e">
        <f t="shared" si="1110"/>
        <v>#DIV/0!</v>
      </c>
      <c r="CM219" s="555" t="e">
        <f t="shared" ref="CM219:CO219" si="1111">CJ219/AA219</f>
        <v>#DIV/0!</v>
      </c>
      <c r="CN219" s="555" t="e">
        <f t="shared" si="1111"/>
        <v>#DIV/0!</v>
      </c>
      <c r="CO219" s="556" t="e">
        <f t="shared" si="1111"/>
        <v>#DIV/0!</v>
      </c>
      <c r="CP219" s="29"/>
      <c r="CQ219" s="535"/>
      <c r="CR219" s="29"/>
      <c r="CS219" s="29"/>
      <c r="CT219" s="29"/>
      <c r="CU219" s="29"/>
      <c r="CV219" s="29"/>
    </row>
    <row r="220" customHeight="1" spans="1:100">
      <c r="A220" s="29" t="s">
        <v>477</v>
      </c>
      <c r="B220" s="541"/>
      <c r="F220" s="308"/>
      <c r="G220" s="308"/>
      <c r="H220" s="29" t="b">
        <v>0</v>
      </c>
      <c r="I220" s="29" t="b">
        <v>0</v>
      </c>
      <c r="J220" s="29" t="b">
        <v>0</v>
      </c>
      <c r="K220" s="29" t="b">
        <v>0</v>
      </c>
      <c r="L220" s="29" t="b">
        <v>0</v>
      </c>
      <c r="M220" s="29" t="b">
        <v>0</v>
      </c>
      <c r="P220" s="29" t="b">
        <v>0</v>
      </c>
      <c r="Q220" s="29" t="b">
        <v>0</v>
      </c>
      <c r="R220" s="29" t="b">
        <v>0</v>
      </c>
      <c r="S220" s="29" t="b">
        <v>0</v>
      </c>
      <c r="T220" s="29" t="b">
        <f t="shared" si="1106"/>
        <v>0</v>
      </c>
      <c r="U220" s="29"/>
      <c r="W220" s="29"/>
      <c r="X220" s="308"/>
      <c r="Y220" s="16" t="s">
        <v>1041</v>
      </c>
      <c r="Z220" s="308"/>
      <c r="AA220" s="554" t="e">
        <f t="shared" ref="AA220:AC220" si="1112">AVERAGE(AJ220,AM220,AP220,AV220,AY220,AS220,BZ220,BB220,BE220,BH220,BK220,BN220,BQ220,BT220)</f>
        <v>#DIV/0!</v>
      </c>
      <c r="AB220" s="555" t="e">
        <f t="shared" si="1112"/>
        <v>#DIV/0!</v>
      </c>
      <c r="AC220" s="556" t="e">
        <f t="shared" si="1112"/>
        <v>#DIV/0!</v>
      </c>
      <c r="AD220" s="29" t="b">
        <v>0</v>
      </c>
      <c r="AE220" s="29" t="b">
        <v>1</v>
      </c>
      <c r="AF220" s="29" t="b">
        <v>0</v>
      </c>
      <c r="AG220" s="566"/>
      <c r="AH220" s="567"/>
      <c r="AI220" s="568"/>
      <c r="AJ220" s="567"/>
      <c r="AK220" s="567"/>
      <c r="AL220" s="568"/>
      <c r="AM220" s="569"/>
      <c r="AN220" s="569"/>
      <c r="AO220" s="568"/>
      <c r="AP220" s="569"/>
      <c r="AQ220" s="569"/>
      <c r="AR220" s="570"/>
      <c r="AS220" s="567"/>
      <c r="AT220" s="567"/>
      <c r="AU220" s="568"/>
      <c r="AV220" s="567"/>
      <c r="AW220" s="567"/>
      <c r="AX220" s="568"/>
      <c r="AY220" s="567"/>
      <c r="AZ220" s="567"/>
      <c r="BA220" s="568"/>
      <c r="BB220" s="567"/>
      <c r="BC220" s="567"/>
      <c r="BD220" s="568"/>
      <c r="BE220" s="567"/>
      <c r="BF220" s="567"/>
      <c r="BG220" s="568"/>
      <c r="BH220" s="567"/>
      <c r="BI220" s="567"/>
      <c r="BJ220" s="568"/>
      <c r="BK220" s="567"/>
      <c r="BL220" s="567"/>
      <c r="BM220" s="568"/>
      <c r="BN220" s="567"/>
      <c r="BO220" s="567"/>
      <c r="BP220" s="568"/>
      <c r="BQ220" s="567"/>
      <c r="BR220" s="567"/>
      <c r="BS220" s="568"/>
      <c r="BT220" s="567"/>
      <c r="BU220" s="567"/>
      <c r="BV220" s="568"/>
      <c r="BW220" s="567"/>
      <c r="BX220" s="567"/>
      <c r="BY220" s="568"/>
      <c r="BZ220" s="567"/>
      <c r="CA220" s="567"/>
      <c r="CB220" s="567"/>
      <c r="CC220" s="583"/>
      <c r="CD220" s="555" t="e">
        <f t="shared" ref="CD220:CF220" si="1113">MEDIAN(AM220,AP220,AS220,AY220,BB220,AV220,AA220,BE220,BK220,BZ220,BH220,BN220,BQ220,BT220,BW220)</f>
        <v>#DIV/0!</v>
      </c>
      <c r="CE220" s="555" t="e">
        <f t="shared" si="1113"/>
        <v>#DIV/0!</v>
      </c>
      <c r="CF220" s="556" t="e">
        <f t="shared" si="1113"/>
        <v>#DIV/0!</v>
      </c>
      <c r="CG220" s="555" t="e">
        <f t="shared" ref="CG220:CI220" si="1114">MAX(AP220,AS220,AV220,BB220,BE220,AY220,CD220,BK220,BZ220,AA220)-MIN(AP220,AS220,AV220,BB220,BE220,AY220,CD220,BK220,BZ220,AA220)</f>
        <v>#DIV/0!</v>
      </c>
      <c r="CH220" s="555" t="e">
        <f t="shared" si="1114"/>
        <v>#DIV/0!</v>
      </c>
      <c r="CI220" s="556" t="e">
        <f t="shared" si="1114"/>
        <v>#DIV/0!</v>
      </c>
      <c r="CJ220" s="555" t="e">
        <f t="shared" ref="CJ220:CL220" si="1115">STDEV(AS220,AV220,AY220,BE220,BK220,BB220,CG220,BZ220,AA220,CD220)</f>
        <v>#DIV/0!</v>
      </c>
      <c r="CK220" s="555" t="e">
        <f t="shared" si="1115"/>
        <v>#DIV/0!</v>
      </c>
      <c r="CL220" s="556" t="e">
        <f t="shared" si="1115"/>
        <v>#DIV/0!</v>
      </c>
      <c r="CM220" s="555" t="e">
        <f t="shared" ref="CM220:CO220" si="1116">CJ220/AA220</f>
        <v>#DIV/0!</v>
      </c>
      <c r="CN220" s="555" t="e">
        <f t="shared" si="1116"/>
        <v>#DIV/0!</v>
      </c>
      <c r="CO220" s="556" t="e">
        <f t="shared" si="1116"/>
        <v>#DIV/0!</v>
      </c>
      <c r="CP220" s="29"/>
      <c r="CQ220" s="535"/>
      <c r="CR220" s="29"/>
      <c r="CS220" s="29"/>
      <c r="CT220" s="29"/>
      <c r="CU220" s="29"/>
      <c r="CV220" s="29"/>
    </row>
    <row r="221" customHeight="1" spans="1:100">
      <c r="A221" s="29" t="s">
        <v>478</v>
      </c>
      <c r="B221" s="541"/>
      <c r="F221" s="308"/>
      <c r="G221" s="308"/>
      <c r="H221" s="29" t="b">
        <v>0</v>
      </c>
      <c r="I221" s="29" t="b">
        <v>0</v>
      </c>
      <c r="J221" s="29" t="b">
        <v>0</v>
      </c>
      <c r="K221" s="29" t="b">
        <v>0</v>
      </c>
      <c r="L221" s="29" t="b">
        <v>0</v>
      </c>
      <c r="M221" s="29" t="b">
        <v>0</v>
      </c>
      <c r="P221" s="29" t="b">
        <v>0</v>
      </c>
      <c r="Q221" s="29" t="b">
        <v>0</v>
      </c>
      <c r="R221" s="29" t="b">
        <v>0</v>
      </c>
      <c r="S221" s="29" t="b">
        <v>0</v>
      </c>
      <c r="T221" s="29" t="b">
        <f t="shared" si="1106"/>
        <v>0</v>
      </c>
      <c r="U221" s="29"/>
      <c r="W221" s="29"/>
      <c r="X221" s="308"/>
      <c r="Y221" s="16" t="s">
        <v>1041</v>
      </c>
      <c r="Z221" s="308"/>
      <c r="AA221" s="554" t="e">
        <f t="shared" ref="AA221:AC221" si="1117">AVERAGE(AJ221,AM221,AP221,AV221,AY221,AS221,BZ221,BB221,BE221,BH221,BK221,BN221,BQ221,BT221)</f>
        <v>#DIV/0!</v>
      </c>
      <c r="AB221" s="555" t="e">
        <f t="shared" si="1117"/>
        <v>#DIV/0!</v>
      </c>
      <c r="AC221" s="556" t="e">
        <f t="shared" si="1117"/>
        <v>#DIV/0!</v>
      </c>
      <c r="AD221" s="29" t="b">
        <v>0</v>
      </c>
      <c r="AE221" s="29" t="b">
        <v>1</v>
      </c>
      <c r="AF221" s="29" t="b">
        <v>0</v>
      </c>
      <c r="AG221" s="566"/>
      <c r="AH221" s="567"/>
      <c r="AI221" s="568"/>
      <c r="AJ221" s="567"/>
      <c r="AK221" s="567"/>
      <c r="AL221" s="568"/>
      <c r="AM221" s="569"/>
      <c r="AN221" s="569"/>
      <c r="AO221" s="568"/>
      <c r="AP221" s="569"/>
      <c r="AQ221" s="569"/>
      <c r="AR221" s="570"/>
      <c r="AS221" s="567"/>
      <c r="AT221" s="567"/>
      <c r="AU221" s="568"/>
      <c r="AV221" s="567"/>
      <c r="AW221" s="567"/>
      <c r="AX221" s="568"/>
      <c r="AY221" s="567"/>
      <c r="AZ221" s="567"/>
      <c r="BA221" s="568"/>
      <c r="BB221" s="567"/>
      <c r="BC221" s="567"/>
      <c r="BD221" s="568"/>
      <c r="BE221" s="567"/>
      <c r="BF221" s="567"/>
      <c r="BG221" s="568"/>
      <c r="BH221" s="567"/>
      <c r="BI221" s="567"/>
      <c r="BJ221" s="568"/>
      <c r="BK221" s="567"/>
      <c r="BL221" s="567"/>
      <c r="BM221" s="568"/>
      <c r="BN221" s="567"/>
      <c r="BO221" s="567"/>
      <c r="BP221" s="568"/>
      <c r="BQ221" s="567"/>
      <c r="BR221" s="567"/>
      <c r="BS221" s="568"/>
      <c r="BT221" s="567"/>
      <c r="BU221" s="567"/>
      <c r="BV221" s="568"/>
      <c r="BW221" s="567"/>
      <c r="BX221" s="567"/>
      <c r="BY221" s="568"/>
      <c r="BZ221" s="567"/>
      <c r="CA221" s="567"/>
      <c r="CB221" s="567"/>
      <c r="CC221" s="583"/>
      <c r="CD221" s="555" t="e">
        <f t="shared" ref="CD221:CF221" si="1118">MEDIAN(AM221,AP221,AS221,AY221,BB221,AV221,AA221,BE221,BK221,BZ221,BH221,BN221,BQ221,BT221,BW221)</f>
        <v>#DIV/0!</v>
      </c>
      <c r="CE221" s="555" t="e">
        <f t="shared" si="1118"/>
        <v>#DIV/0!</v>
      </c>
      <c r="CF221" s="556" t="e">
        <f t="shared" si="1118"/>
        <v>#DIV/0!</v>
      </c>
      <c r="CG221" s="555" t="e">
        <f t="shared" ref="CG221:CI221" si="1119">MAX(AP221,AS221,AV221,BB221,BE221,AY221,CD221,BK221,BZ221,AA221)-MIN(AP221,AS221,AV221,BB221,BE221,AY221,CD221,BK221,BZ221,AA221)</f>
        <v>#DIV/0!</v>
      </c>
      <c r="CH221" s="555" t="e">
        <f t="shared" si="1119"/>
        <v>#DIV/0!</v>
      </c>
      <c r="CI221" s="556" t="e">
        <f t="shared" si="1119"/>
        <v>#DIV/0!</v>
      </c>
      <c r="CJ221" s="555" t="e">
        <f t="shared" ref="CJ221:CL221" si="1120">STDEV(AS221,AV221,AY221,BE221,BK221,BB221,CG221,BZ221,AA221,CD221)</f>
        <v>#DIV/0!</v>
      </c>
      <c r="CK221" s="555" t="e">
        <f t="shared" si="1120"/>
        <v>#DIV/0!</v>
      </c>
      <c r="CL221" s="556" t="e">
        <f t="shared" si="1120"/>
        <v>#DIV/0!</v>
      </c>
      <c r="CM221" s="555" t="e">
        <f t="shared" ref="CM221:CO221" si="1121">CJ221/AA221</f>
        <v>#DIV/0!</v>
      </c>
      <c r="CN221" s="555" t="e">
        <f t="shared" si="1121"/>
        <v>#DIV/0!</v>
      </c>
      <c r="CO221" s="556" t="e">
        <f t="shared" si="1121"/>
        <v>#DIV/0!</v>
      </c>
      <c r="CP221" s="29"/>
      <c r="CQ221" s="535"/>
      <c r="CR221" s="29"/>
      <c r="CS221" s="29"/>
      <c r="CT221" s="29"/>
      <c r="CU221" s="29"/>
      <c r="CV221" s="29"/>
    </row>
    <row r="222" customHeight="1" spans="1:100">
      <c r="A222" s="29"/>
      <c r="B222" s="541"/>
      <c r="F222" s="308"/>
      <c r="G222" s="308"/>
      <c r="H222" s="29" t="b">
        <v>0</v>
      </c>
      <c r="I222" s="29" t="b">
        <v>0</v>
      </c>
      <c r="J222" s="29" t="b">
        <v>0</v>
      </c>
      <c r="K222" s="29" t="b">
        <v>0</v>
      </c>
      <c r="L222" s="29" t="b">
        <v>0</v>
      </c>
      <c r="M222" s="29" t="b">
        <v>0</v>
      </c>
      <c r="P222" s="29" t="b">
        <v>0</v>
      </c>
      <c r="Q222" s="29" t="b">
        <v>0</v>
      </c>
      <c r="R222" s="29" t="b">
        <v>0</v>
      </c>
      <c r="S222" s="29" t="b">
        <v>0</v>
      </c>
      <c r="T222" s="29" t="b">
        <f t="shared" si="1106"/>
        <v>0</v>
      </c>
      <c r="U222" s="29"/>
      <c r="W222" s="29"/>
      <c r="X222" s="308"/>
      <c r="Y222" s="16" t="s">
        <v>1041</v>
      </c>
      <c r="Z222" s="308"/>
      <c r="AA222" s="554" t="e">
        <f t="shared" ref="AA222:AC222" si="1122">AVERAGE(AJ222,AM222,AP222,AV222,AY222,AS222,BZ222,BB222,BE222,BH222,BK222,BN222,BQ222,BT222)</f>
        <v>#DIV/0!</v>
      </c>
      <c r="AB222" s="555" t="e">
        <f t="shared" si="1122"/>
        <v>#DIV/0!</v>
      </c>
      <c r="AC222" s="556" t="e">
        <f t="shared" si="1122"/>
        <v>#DIV/0!</v>
      </c>
      <c r="AD222" s="29" t="b">
        <v>0</v>
      </c>
      <c r="AE222" s="29" t="b">
        <v>1</v>
      </c>
      <c r="AF222" s="29" t="b">
        <v>0</v>
      </c>
      <c r="AG222" s="566"/>
      <c r="AH222" s="567"/>
      <c r="AI222" s="568"/>
      <c r="AJ222" s="567"/>
      <c r="AK222" s="567"/>
      <c r="AL222" s="568"/>
      <c r="AM222" s="569"/>
      <c r="AN222" s="569"/>
      <c r="AO222" s="568"/>
      <c r="AP222" s="569"/>
      <c r="AQ222" s="569"/>
      <c r="AR222" s="570"/>
      <c r="AS222" s="567"/>
      <c r="AT222" s="567"/>
      <c r="AU222" s="568"/>
      <c r="AV222" s="567"/>
      <c r="AW222" s="567"/>
      <c r="AX222" s="568"/>
      <c r="AY222" s="567"/>
      <c r="AZ222" s="567"/>
      <c r="BA222" s="568"/>
      <c r="BB222" s="567"/>
      <c r="BC222" s="567"/>
      <c r="BD222" s="568"/>
      <c r="BE222" s="567"/>
      <c r="BF222" s="567"/>
      <c r="BG222" s="568"/>
      <c r="BH222" s="567"/>
      <c r="BI222" s="567"/>
      <c r="BJ222" s="568"/>
      <c r="BK222" s="567"/>
      <c r="BL222" s="567"/>
      <c r="BM222" s="568"/>
      <c r="BN222" s="567"/>
      <c r="BO222" s="567"/>
      <c r="BP222" s="568"/>
      <c r="BQ222" s="567"/>
      <c r="BR222" s="567"/>
      <c r="BS222" s="568"/>
      <c r="BT222" s="567"/>
      <c r="BU222" s="567"/>
      <c r="BV222" s="568"/>
      <c r="BW222" s="567"/>
      <c r="BX222" s="567"/>
      <c r="BY222" s="568"/>
      <c r="BZ222" s="567"/>
      <c r="CA222" s="567"/>
      <c r="CB222" s="567"/>
      <c r="CC222" s="583"/>
      <c r="CD222" s="555" t="e">
        <f t="shared" ref="CD222:CF222" si="1123">MEDIAN(AM222,AP222,AS222,AY222,BB222,AV222,AA222,BE222,BK222,BZ222,BH222,BN222,BQ222,BT222,BW222)</f>
        <v>#DIV/0!</v>
      </c>
      <c r="CE222" s="555" t="e">
        <f t="shared" si="1123"/>
        <v>#DIV/0!</v>
      </c>
      <c r="CF222" s="556" t="e">
        <f t="shared" si="1123"/>
        <v>#DIV/0!</v>
      </c>
      <c r="CG222" s="555" t="e">
        <f t="shared" ref="CG222:CI222" si="1124">MAX(AP222,AS222,AV222,BB222,BE222,AY222,CD222,BK222,BZ222,AA222)-MIN(AP222,AS222,AV222,BB222,BE222,AY222,CD222,BK222,BZ222,AA222)</f>
        <v>#DIV/0!</v>
      </c>
      <c r="CH222" s="555" t="e">
        <f t="shared" si="1124"/>
        <v>#DIV/0!</v>
      </c>
      <c r="CI222" s="556" t="e">
        <f t="shared" si="1124"/>
        <v>#DIV/0!</v>
      </c>
      <c r="CJ222" s="555" t="e">
        <f t="shared" ref="CJ222:CL222" si="1125">STDEV(AS222,AV222,AY222,BE222,BK222,BB222,CG222,BZ222,AA222,CD222)</f>
        <v>#DIV/0!</v>
      </c>
      <c r="CK222" s="555" t="e">
        <f t="shared" si="1125"/>
        <v>#DIV/0!</v>
      </c>
      <c r="CL222" s="556" t="e">
        <f t="shared" si="1125"/>
        <v>#DIV/0!</v>
      </c>
      <c r="CM222" s="555" t="e">
        <f t="shared" ref="CM222:CO222" si="1126">CJ222/AA222</f>
        <v>#DIV/0!</v>
      </c>
      <c r="CN222" s="555" t="e">
        <f t="shared" si="1126"/>
        <v>#DIV/0!</v>
      </c>
      <c r="CO222" s="556" t="e">
        <f t="shared" si="1126"/>
        <v>#DIV/0!</v>
      </c>
      <c r="CP222" s="29"/>
      <c r="CQ222" s="535"/>
      <c r="CR222" s="29"/>
      <c r="CS222" s="29"/>
      <c r="CT222" s="29"/>
      <c r="CU222" s="29"/>
      <c r="CV222" s="29"/>
    </row>
    <row r="223" customHeight="1" spans="1:100">
      <c r="A223" s="29" t="s">
        <v>479</v>
      </c>
      <c r="B223" s="541"/>
      <c r="F223" s="308"/>
      <c r="G223" s="308"/>
      <c r="H223" s="29" t="b">
        <v>0</v>
      </c>
      <c r="I223" s="29" t="b">
        <v>0</v>
      </c>
      <c r="J223" s="29" t="b">
        <v>1</v>
      </c>
      <c r="K223" s="29" t="b">
        <v>0</v>
      </c>
      <c r="L223" s="29" t="b">
        <v>1</v>
      </c>
      <c r="M223" s="29" t="b">
        <v>0</v>
      </c>
      <c r="P223" s="29" t="b">
        <v>0</v>
      </c>
      <c r="Q223" s="29" t="b">
        <v>0</v>
      </c>
      <c r="R223" s="29" t="b">
        <v>0</v>
      </c>
      <c r="S223" s="29" t="b">
        <v>0</v>
      </c>
      <c r="T223" s="29" t="b">
        <f t="shared" si="1106"/>
        <v>0</v>
      </c>
      <c r="U223" s="29" t="s">
        <v>1071</v>
      </c>
      <c r="W223" s="29">
        <v>2</v>
      </c>
      <c r="X223" s="308"/>
      <c r="Y223" s="16" t="s">
        <v>1041</v>
      </c>
      <c r="Z223" s="308"/>
      <c r="AA223" s="554">
        <f t="shared" ref="AA223:AC223" si="1127">AVERAGE(AJ223,AM223,AP223,AV223,AY223,AS223,BZ223,BB223,BE223,BH223,BK223,BN223,BQ223,BT223)</f>
        <v>150</v>
      </c>
      <c r="AB223" s="555">
        <f t="shared" si="1127"/>
        <v>93.75</v>
      </c>
      <c r="AC223" s="556">
        <f t="shared" si="1127"/>
        <v>62.5</v>
      </c>
      <c r="AD223" s="29" t="b">
        <v>0</v>
      </c>
      <c r="AE223" s="29" t="b">
        <v>1</v>
      </c>
      <c r="AF223" s="29" t="b">
        <v>0</v>
      </c>
      <c r="AG223" s="566"/>
      <c r="AH223" s="567"/>
      <c r="AI223" s="568"/>
      <c r="AJ223" s="567"/>
      <c r="AK223" s="567"/>
      <c r="AL223" s="568"/>
      <c r="AM223" s="569"/>
      <c r="AN223" s="569"/>
      <c r="AO223" s="568"/>
      <c r="AP223" s="569">
        <v>150</v>
      </c>
      <c r="AQ223" s="569">
        <v>93.75</v>
      </c>
      <c r="AR223" s="570">
        <v>62.5</v>
      </c>
      <c r="AS223" s="567"/>
      <c r="AT223" s="567"/>
      <c r="AU223" s="568"/>
      <c r="AV223" s="567"/>
      <c r="AW223" s="567"/>
      <c r="AX223" s="568"/>
      <c r="AY223" s="567"/>
      <c r="AZ223" s="567"/>
      <c r="BA223" s="568"/>
      <c r="BB223" s="567"/>
      <c r="BC223" s="567"/>
      <c r="BD223" s="568"/>
      <c r="BE223" s="567"/>
      <c r="BF223" s="567"/>
      <c r="BG223" s="568"/>
      <c r="BH223" s="567"/>
      <c r="BI223" s="567"/>
      <c r="BJ223" s="568"/>
      <c r="BK223" s="567"/>
      <c r="BL223" s="567"/>
      <c r="BM223" s="568"/>
      <c r="BN223" s="567"/>
      <c r="BO223" s="567"/>
      <c r="BP223" s="568"/>
      <c r="BQ223" s="567"/>
      <c r="BR223" s="567"/>
      <c r="BS223" s="568"/>
      <c r="BT223" s="567"/>
      <c r="BU223" s="567"/>
      <c r="BV223" s="568"/>
      <c r="BW223" s="567"/>
      <c r="BX223" s="567"/>
      <c r="BY223" s="568"/>
      <c r="BZ223" s="567"/>
      <c r="CA223" s="567"/>
      <c r="CB223" s="567"/>
      <c r="CC223" s="583"/>
      <c r="CD223" s="555">
        <f t="shared" ref="CD223:CF223" si="1128">MEDIAN(AM223,AP223,AS223,AY223,BB223,AV223,AA223,BE223,BK223,BZ223,BH223,BN223,BQ223,BT223,BW223)</f>
        <v>150</v>
      </c>
      <c r="CE223" s="555">
        <f t="shared" si="1128"/>
        <v>93.75</v>
      </c>
      <c r="CF223" s="556">
        <f t="shared" si="1128"/>
        <v>62.5</v>
      </c>
      <c r="CG223" s="555">
        <f t="shared" ref="CG223:CI223" si="1129">MAX(AP223,AS223,AV223,BB223,BE223,AY223,CD223,BK223,BZ223,AA223)-MIN(AP223,AS223,AV223,BB223,BE223,AY223,CD223,BK223,BZ223,AA223)</f>
        <v>0</v>
      </c>
      <c r="CH223" s="555">
        <f t="shared" si="1129"/>
        <v>0</v>
      </c>
      <c r="CI223" s="556">
        <f t="shared" si="1129"/>
        <v>0</v>
      </c>
      <c r="CJ223" s="555">
        <f t="shared" ref="CJ223:CL223" si="1130">STDEV(AS223,AV223,AY223,BE223,BK223,BB223,CG223,BZ223,AA223,CD223)</f>
        <v>86.6025403784439</v>
      </c>
      <c r="CK223" s="555">
        <f t="shared" si="1130"/>
        <v>54.1265877365274</v>
      </c>
      <c r="CL223" s="556">
        <f t="shared" si="1130"/>
        <v>36.0843918243516</v>
      </c>
      <c r="CM223" s="555">
        <f t="shared" ref="CM223:CO223" si="1131">CJ223/AA223</f>
        <v>0.577350269189626</v>
      </c>
      <c r="CN223" s="555">
        <f t="shared" si="1131"/>
        <v>0.577350269189626</v>
      </c>
      <c r="CO223" s="556">
        <f t="shared" si="1131"/>
        <v>0.577350269189626</v>
      </c>
      <c r="CP223" s="29" t="s">
        <v>120</v>
      </c>
      <c r="CQ223" s="535">
        <f t="shared" ref="CQ223:CQ293" si="1132">W223</f>
        <v>2</v>
      </c>
      <c r="CR223" s="29" t="s">
        <v>120</v>
      </c>
      <c r="CS223" s="29" t="s">
        <v>120</v>
      </c>
      <c r="CT223" s="29" t="s">
        <v>120</v>
      </c>
      <c r="CU223" s="29" t="s">
        <v>120</v>
      </c>
      <c r="CV223" s="29" t="s">
        <v>120</v>
      </c>
    </row>
    <row r="224" customHeight="1" spans="1:100">
      <c r="A224" s="29" t="s">
        <v>480</v>
      </c>
      <c r="B224" s="541"/>
      <c r="F224" s="308"/>
      <c r="G224" s="308"/>
      <c r="H224" s="29" t="b">
        <v>0</v>
      </c>
      <c r="I224" s="29" t="b">
        <v>0</v>
      </c>
      <c r="J224" s="29" t="b">
        <v>0</v>
      </c>
      <c r="K224" s="29" t="b">
        <v>0</v>
      </c>
      <c r="L224" s="29" t="b">
        <v>0</v>
      </c>
      <c r="M224" s="29" t="b">
        <v>0</v>
      </c>
      <c r="P224" s="29" t="b">
        <v>0</v>
      </c>
      <c r="Q224" s="29" t="b">
        <v>0</v>
      </c>
      <c r="R224" s="29" t="b">
        <v>0</v>
      </c>
      <c r="S224" s="29" t="b">
        <v>0</v>
      </c>
      <c r="T224" s="29" t="b">
        <f t="shared" si="1106"/>
        <v>0</v>
      </c>
      <c r="U224" s="29" t="s">
        <v>1071</v>
      </c>
      <c r="W224" s="29">
        <v>2</v>
      </c>
      <c r="X224" s="308"/>
      <c r="Y224" s="16" t="s">
        <v>1041</v>
      </c>
      <c r="Z224" s="308"/>
      <c r="AA224" s="554">
        <f t="shared" ref="AA224:AC224" si="1133">AVERAGE(AJ224,AM224,AP224,AV224,AY224,AS224,BZ224,BB224,BE224,BH224,BK224,BN224,BQ224,BT224)</f>
        <v>200</v>
      </c>
      <c r="AB224" s="555">
        <f t="shared" si="1133"/>
        <v>125</v>
      </c>
      <c r="AC224" s="556">
        <f t="shared" si="1133"/>
        <v>83.33</v>
      </c>
      <c r="AD224" s="29" t="b">
        <v>0</v>
      </c>
      <c r="AE224" s="29" t="b">
        <v>1</v>
      </c>
      <c r="AF224" s="29" t="b">
        <v>0</v>
      </c>
      <c r="AG224" s="566">
        <f t="shared" ref="AG224:AI224" si="1134">AA224</f>
        <v>200</v>
      </c>
      <c r="AH224" s="567">
        <f t="shared" si="1134"/>
        <v>125</v>
      </c>
      <c r="AI224" s="568">
        <f t="shared" si="1134"/>
        <v>83.33</v>
      </c>
      <c r="AJ224" s="567"/>
      <c r="AK224" s="567"/>
      <c r="AL224" s="568"/>
      <c r="AM224" s="567"/>
      <c r="AN224" s="567"/>
      <c r="AO224" s="568"/>
      <c r="AP224" s="569">
        <v>200</v>
      </c>
      <c r="AQ224" s="569">
        <v>125</v>
      </c>
      <c r="AR224" s="570">
        <v>83.33</v>
      </c>
      <c r="AS224" s="567"/>
      <c r="AT224" s="567"/>
      <c r="AU224" s="568"/>
      <c r="AV224" s="567"/>
      <c r="AW224" s="567"/>
      <c r="AX224" s="568"/>
      <c r="AY224" s="567"/>
      <c r="AZ224" s="567"/>
      <c r="BA224" s="568"/>
      <c r="BB224" s="567"/>
      <c r="BC224" s="567"/>
      <c r="BD224" s="568"/>
      <c r="BE224" s="567"/>
      <c r="BF224" s="567"/>
      <c r="BG224" s="568"/>
      <c r="BH224" s="567"/>
      <c r="BI224" s="567"/>
      <c r="BJ224" s="568"/>
      <c r="BK224" s="567"/>
      <c r="BL224" s="567"/>
      <c r="BM224" s="568"/>
      <c r="BN224" s="567"/>
      <c r="BO224" s="567"/>
      <c r="BP224" s="568"/>
      <c r="BQ224" s="567"/>
      <c r="BR224" s="567"/>
      <c r="BS224" s="568"/>
      <c r="BT224" s="567"/>
      <c r="BU224" s="567"/>
      <c r="BV224" s="568"/>
      <c r="BW224" s="567"/>
      <c r="BX224" s="567"/>
      <c r="BY224" s="568"/>
      <c r="BZ224" s="567"/>
      <c r="CA224" s="567"/>
      <c r="CB224" s="567"/>
      <c r="CC224" s="583"/>
      <c r="CD224" s="555">
        <f t="shared" ref="CD224:CF224" si="1135">MEDIAN(AM224,AP224,AS224,AY224,BB224,AV224,AA224,BE224,BK224,BZ224,BH224,BN224,BQ224,BT224,BW224)</f>
        <v>200</v>
      </c>
      <c r="CE224" s="555">
        <f t="shared" si="1135"/>
        <v>125</v>
      </c>
      <c r="CF224" s="556">
        <f t="shared" si="1135"/>
        <v>83.33</v>
      </c>
      <c r="CG224" s="555">
        <f t="shared" ref="CG224:CI224" si="1136">MAX(AP224,AS224,AV224,BB224,BE224,AY224,CD224,BK224,BZ224,AA224)-MIN(AP224,AS224,AV224,BB224,BE224,AY224,CD224,BK224,BZ224,AA224)</f>
        <v>0</v>
      </c>
      <c r="CH224" s="555">
        <f t="shared" si="1136"/>
        <v>0</v>
      </c>
      <c r="CI224" s="556">
        <f t="shared" si="1136"/>
        <v>0</v>
      </c>
      <c r="CJ224" s="555">
        <f t="shared" ref="CJ224:CL224" si="1137">STDEV(AS224,AV224,AY224,BE224,BK224,BB224,CG224,BZ224,AA224,CD224)</f>
        <v>115.470053837925</v>
      </c>
      <c r="CK224" s="555">
        <f t="shared" si="1137"/>
        <v>72.1687836487032</v>
      </c>
      <c r="CL224" s="556">
        <f t="shared" si="1137"/>
        <v>48.1105979315715</v>
      </c>
      <c r="CM224" s="555">
        <f t="shared" ref="CM224:CO224" si="1138">CJ224/AA224</f>
        <v>0.577350269189626</v>
      </c>
      <c r="CN224" s="555">
        <f t="shared" si="1138"/>
        <v>0.577350269189626</v>
      </c>
      <c r="CO224" s="556">
        <f t="shared" si="1138"/>
        <v>0.577350269189626</v>
      </c>
      <c r="CP224" s="29" t="s">
        <v>120</v>
      </c>
      <c r="CQ224" s="535">
        <f t="shared" si="1132"/>
        <v>2</v>
      </c>
      <c r="CR224" s="29" t="s">
        <v>120</v>
      </c>
      <c r="CS224" s="29" t="s">
        <v>120</v>
      </c>
      <c r="CT224" s="29" t="s">
        <v>120</v>
      </c>
      <c r="CU224" s="29" t="s">
        <v>120</v>
      </c>
      <c r="CV224" s="29" t="s">
        <v>120</v>
      </c>
    </row>
    <row r="225" customHeight="1" spans="1:100">
      <c r="A225" s="29" t="s">
        <v>481</v>
      </c>
      <c r="B225" s="541"/>
      <c r="F225" s="308"/>
      <c r="G225" s="308"/>
      <c r="H225" s="29" t="b">
        <v>0</v>
      </c>
      <c r="I225" s="29" t="b">
        <v>0</v>
      </c>
      <c r="J225" s="29" t="b">
        <v>0</v>
      </c>
      <c r="K225" s="29" t="b">
        <v>0</v>
      </c>
      <c r="L225" s="29" t="b">
        <v>0</v>
      </c>
      <c r="M225" s="29" t="b">
        <v>0</v>
      </c>
      <c r="P225" s="29" t="b">
        <v>0</v>
      </c>
      <c r="Q225" s="29" t="b">
        <v>0</v>
      </c>
      <c r="R225" s="29" t="b">
        <v>0</v>
      </c>
      <c r="S225" s="29" t="b">
        <v>0</v>
      </c>
      <c r="T225" s="29" t="b">
        <f t="shared" si="1106"/>
        <v>0</v>
      </c>
      <c r="U225" s="29" t="s">
        <v>1071</v>
      </c>
      <c r="W225" s="29">
        <v>2</v>
      </c>
      <c r="X225" s="308"/>
      <c r="Y225" s="16" t="s">
        <v>1041</v>
      </c>
      <c r="Z225" s="308"/>
      <c r="AA225" s="554">
        <f t="shared" ref="AA225:AC225" si="1139">AVERAGE(AJ225,AM225,AP225,AV225,AY225,AS225,BZ225,BB225,BE225,BH225,BK225,BN225,BQ225,BT225)</f>
        <v>500</v>
      </c>
      <c r="AB225" s="555">
        <f t="shared" si="1139"/>
        <v>312.5</v>
      </c>
      <c r="AC225" s="556">
        <f t="shared" si="1139"/>
        <v>208.33</v>
      </c>
      <c r="AD225" s="29" t="b">
        <v>0</v>
      </c>
      <c r="AE225" s="29" t="b">
        <v>1</v>
      </c>
      <c r="AF225" s="29" t="b">
        <v>0</v>
      </c>
      <c r="AG225" s="566">
        <f t="shared" ref="AG225:AI225" si="1140">AA225</f>
        <v>500</v>
      </c>
      <c r="AH225" s="567">
        <f t="shared" si="1140"/>
        <v>312.5</v>
      </c>
      <c r="AI225" s="568">
        <f t="shared" si="1140"/>
        <v>208.33</v>
      </c>
      <c r="AJ225" s="569"/>
      <c r="AK225" s="567"/>
      <c r="AL225" s="568"/>
      <c r="AM225" s="567"/>
      <c r="AN225" s="567"/>
      <c r="AO225" s="568"/>
      <c r="AP225" s="569">
        <v>500</v>
      </c>
      <c r="AQ225" s="569">
        <v>312.5</v>
      </c>
      <c r="AR225" s="570">
        <v>208.33</v>
      </c>
      <c r="AS225" s="567"/>
      <c r="AT225" s="567"/>
      <c r="AU225" s="568"/>
      <c r="AV225" s="567"/>
      <c r="AW225" s="567"/>
      <c r="AX225" s="568"/>
      <c r="AY225" s="567"/>
      <c r="AZ225" s="567"/>
      <c r="BA225" s="568"/>
      <c r="BB225" s="567"/>
      <c r="BC225" s="567"/>
      <c r="BD225" s="568"/>
      <c r="BE225" s="567"/>
      <c r="BF225" s="567"/>
      <c r="BG225" s="568"/>
      <c r="BH225" s="567"/>
      <c r="BI225" s="567"/>
      <c r="BJ225" s="568"/>
      <c r="BK225" s="567"/>
      <c r="BL225" s="567"/>
      <c r="BM225" s="568"/>
      <c r="BN225" s="567"/>
      <c r="BO225" s="567"/>
      <c r="BP225" s="568"/>
      <c r="BQ225" s="567"/>
      <c r="BR225" s="567"/>
      <c r="BS225" s="568"/>
      <c r="BT225" s="567"/>
      <c r="BU225" s="567"/>
      <c r="BV225" s="568"/>
      <c r="BW225" s="567"/>
      <c r="BX225" s="567"/>
      <c r="BY225" s="568"/>
      <c r="BZ225" s="567"/>
      <c r="CA225" s="567"/>
      <c r="CB225" s="567"/>
      <c r="CC225" s="583"/>
      <c r="CD225" s="555">
        <f t="shared" ref="CD225:CF225" si="1141">MEDIAN(AM225,AP225,AS225,AY225,BB225,AV225,AA225,BE225,BK225,BZ225,BH225,BN225,BQ225,BT225,BW225)</f>
        <v>500</v>
      </c>
      <c r="CE225" s="555">
        <f t="shared" si="1141"/>
        <v>312.5</v>
      </c>
      <c r="CF225" s="556">
        <f t="shared" si="1141"/>
        <v>208.33</v>
      </c>
      <c r="CG225" s="555">
        <f t="shared" ref="CG225:CI225" si="1142">MAX(AP225,AS225,AV225,BB225,BE225,AY225,CD225,BK225,BZ225,AA225)-MIN(AP225,AS225,AV225,BB225,BE225,AY225,CD225,BK225,BZ225,AA225)</f>
        <v>0</v>
      </c>
      <c r="CH225" s="555">
        <f t="shared" si="1142"/>
        <v>0</v>
      </c>
      <c r="CI225" s="556">
        <f t="shared" si="1142"/>
        <v>0</v>
      </c>
      <c r="CJ225" s="555">
        <f t="shared" ref="CJ225:CL225" si="1143">STDEV(AS225,AV225,AY225,BE225,BK225,BB225,CG225,BZ225,AA225,CD225)</f>
        <v>288.675134594813</v>
      </c>
      <c r="CK225" s="555">
        <f t="shared" si="1143"/>
        <v>180.421959121758</v>
      </c>
      <c r="CL225" s="556">
        <f t="shared" si="1143"/>
        <v>120.279381580275</v>
      </c>
      <c r="CM225" s="555">
        <f t="shared" ref="CM225:CO225" si="1144">CJ225/AA225</f>
        <v>0.577350269189626</v>
      </c>
      <c r="CN225" s="555">
        <f t="shared" si="1144"/>
        <v>0.577350269189626</v>
      </c>
      <c r="CO225" s="556">
        <f t="shared" si="1144"/>
        <v>0.577350269189626</v>
      </c>
      <c r="CP225" s="29" t="s">
        <v>120</v>
      </c>
      <c r="CQ225" s="535">
        <f t="shared" si="1132"/>
        <v>2</v>
      </c>
      <c r="CR225" s="29" t="s">
        <v>120</v>
      </c>
      <c r="CS225" s="29" t="s">
        <v>120</v>
      </c>
      <c r="CT225" s="29" t="s">
        <v>120</v>
      </c>
      <c r="CU225" s="29" t="s">
        <v>120</v>
      </c>
      <c r="CV225" s="29" t="s">
        <v>120</v>
      </c>
    </row>
    <row r="226" customHeight="1" spans="1:100">
      <c r="A226" s="29" t="s">
        <v>482</v>
      </c>
      <c r="B226" s="541"/>
      <c r="F226" s="308"/>
      <c r="G226" s="308"/>
      <c r="H226" s="29" t="b">
        <v>0</v>
      </c>
      <c r="I226" s="29" t="b">
        <v>0</v>
      </c>
      <c r="J226" s="29" t="b">
        <v>0</v>
      </c>
      <c r="K226" s="29" t="b">
        <v>0</v>
      </c>
      <c r="L226" s="29" t="b">
        <v>0</v>
      </c>
      <c r="M226" s="29" t="b">
        <v>0</v>
      </c>
      <c r="P226" s="29" t="b">
        <v>0</v>
      </c>
      <c r="Q226" s="29" t="b">
        <v>0</v>
      </c>
      <c r="R226" s="29" t="b">
        <v>0</v>
      </c>
      <c r="S226" s="29" t="b">
        <v>0</v>
      </c>
      <c r="T226" s="29" t="b">
        <f t="shared" si="1106"/>
        <v>0</v>
      </c>
      <c r="U226" s="29" t="s">
        <v>1071</v>
      </c>
      <c r="W226" s="29">
        <v>2</v>
      </c>
      <c r="X226" s="308"/>
      <c r="Y226" s="16" t="s">
        <v>1041</v>
      </c>
      <c r="Z226" s="308"/>
      <c r="AA226" s="554">
        <f t="shared" ref="AA226:AC226" si="1145">AVERAGE(AJ226,AM226,AP226,AV226,AY226,AS226,BZ226,BB226,BE226,BH226,BK226,BN226,BQ226,BT226)</f>
        <v>80</v>
      </c>
      <c r="AB226" s="555">
        <f t="shared" si="1145"/>
        <v>50</v>
      </c>
      <c r="AC226" s="556">
        <f t="shared" si="1145"/>
        <v>33.33</v>
      </c>
      <c r="AD226" s="29" t="b">
        <v>0</v>
      </c>
      <c r="AE226" s="29" t="b">
        <v>1</v>
      </c>
      <c r="AF226" s="29" t="b">
        <v>0</v>
      </c>
      <c r="AG226" s="566">
        <f t="shared" ref="AG226:AI226" si="1146">AA226</f>
        <v>80</v>
      </c>
      <c r="AH226" s="567">
        <f t="shared" si="1146"/>
        <v>50</v>
      </c>
      <c r="AI226" s="568">
        <f t="shared" si="1146"/>
        <v>33.33</v>
      </c>
      <c r="AJ226" s="569"/>
      <c r="AK226" s="567"/>
      <c r="AL226" s="568"/>
      <c r="AM226" s="567"/>
      <c r="AN226" s="567"/>
      <c r="AO226" s="568"/>
      <c r="AP226" s="569">
        <v>80</v>
      </c>
      <c r="AQ226" s="569">
        <v>50</v>
      </c>
      <c r="AR226" s="570">
        <v>33.33</v>
      </c>
      <c r="AS226" s="567"/>
      <c r="AT226" s="567"/>
      <c r="AU226" s="568"/>
      <c r="AV226" s="567"/>
      <c r="AW226" s="567"/>
      <c r="AX226" s="568"/>
      <c r="AY226" s="567"/>
      <c r="AZ226" s="567"/>
      <c r="BA226" s="568"/>
      <c r="BB226" s="567"/>
      <c r="BC226" s="567"/>
      <c r="BD226" s="568"/>
      <c r="BE226" s="567"/>
      <c r="BF226" s="567"/>
      <c r="BG226" s="568"/>
      <c r="BH226" s="567"/>
      <c r="BI226" s="567"/>
      <c r="BJ226" s="568"/>
      <c r="BK226" s="567"/>
      <c r="BL226" s="567"/>
      <c r="BM226" s="568"/>
      <c r="BN226" s="567"/>
      <c r="BO226" s="567"/>
      <c r="BP226" s="568"/>
      <c r="BQ226" s="567"/>
      <c r="BR226" s="567"/>
      <c r="BS226" s="568"/>
      <c r="BT226" s="567"/>
      <c r="BU226" s="567"/>
      <c r="BV226" s="568"/>
      <c r="BW226" s="567"/>
      <c r="BX226" s="567"/>
      <c r="BY226" s="568"/>
      <c r="BZ226" s="567"/>
      <c r="CA226" s="567"/>
      <c r="CB226" s="567"/>
      <c r="CC226" s="583"/>
      <c r="CD226" s="555">
        <f t="shared" ref="CD226:CF226" si="1147">MEDIAN(AM226,AP226,AS226,AY226,BB226,AV226,AA226,BE226,BK226,BZ226,BH226,BN226,BQ226,BT226,BW226)</f>
        <v>80</v>
      </c>
      <c r="CE226" s="555">
        <f t="shared" si="1147"/>
        <v>50</v>
      </c>
      <c r="CF226" s="556">
        <f t="shared" si="1147"/>
        <v>33.33</v>
      </c>
      <c r="CG226" s="555">
        <f t="shared" ref="CG226:CI226" si="1148">MAX(AP226,AS226,AV226,BB226,BE226,AY226,CD226,BK226,BZ226,AA226)-MIN(AP226,AS226,AV226,BB226,BE226,AY226,CD226,BK226,BZ226,AA226)</f>
        <v>0</v>
      </c>
      <c r="CH226" s="555">
        <f t="shared" si="1148"/>
        <v>0</v>
      </c>
      <c r="CI226" s="556">
        <f t="shared" si="1148"/>
        <v>0</v>
      </c>
      <c r="CJ226" s="555">
        <f t="shared" ref="CJ226:CL226" si="1149">STDEV(AS226,AV226,AY226,BE226,BK226,BB226,CG226,BZ226,AA226,CD226)</f>
        <v>46.1880215351701</v>
      </c>
      <c r="CK226" s="555">
        <f t="shared" si="1149"/>
        <v>28.8675134594813</v>
      </c>
      <c r="CL226" s="556">
        <f t="shared" si="1149"/>
        <v>19.2430844720902</v>
      </c>
      <c r="CM226" s="555">
        <f t="shared" ref="CM226:CO226" si="1150">CJ226/AA226</f>
        <v>0.577350269189626</v>
      </c>
      <c r="CN226" s="555">
        <f t="shared" si="1150"/>
        <v>0.577350269189626</v>
      </c>
      <c r="CO226" s="556">
        <f t="shared" si="1150"/>
        <v>0.577350269189626</v>
      </c>
      <c r="CP226" s="29" t="s">
        <v>120</v>
      </c>
      <c r="CQ226" s="535">
        <f t="shared" si="1132"/>
        <v>2</v>
      </c>
      <c r="CR226" s="29" t="s">
        <v>120</v>
      </c>
      <c r="CS226" s="29" t="s">
        <v>120</v>
      </c>
      <c r="CT226" s="29" t="s">
        <v>120</v>
      </c>
      <c r="CU226" s="29" t="s">
        <v>120</v>
      </c>
      <c r="CV226" s="29" t="s">
        <v>120</v>
      </c>
    </row>
    <row r="227" customHeight="1" spans="1:100">
      <c r="A227" s="29" t="s">
        <v>249</v>
      </c>
      <c r="B227" s="541"/>
      <c r="F227" s="308"/>
      <c r="G227" s="308"/>
      <c r="H227" s="29" t="b">
        <v>0</v>
      </c>
      <c r="I227" s="29" t="b">
        <v>0</v>
      </c>
      <c r="J227" s="29" t="b">
        <v>0</v>
      </c>
      <c r="K227" s="29" t="b">
        <v>0</v>
      </c>
      <c r="L227" s="29" t="b">
        <v>0</v>
      </c>
      <c r="M227" s="29" t="b">
        <v>0</v>
      </c>
      <c r="P227" s="29" t="b">
        <v>0</v>
      </c>
      <c r="Q227" s="29" t="b">
        <v>0</v>
      </c>
      <c r="R227" s="29" t="b">
        <v>0</v>
      </c>
      <c r="S227" s="29" t="b">
        <v>0</v>
      </c>
      <c r="T227" s="29" t="b">
        <f t="shared" si="1106"/>
        <v>0</v>
      </c>
      <c r="U227" s="29" t="s">
        <v>1071</v>
      </c>
      <c r="W227" s="29">
        <v>2</v>
      </c>
      <c r="X227" s="308"/>
      <c r="Y227" s="16" t="s">
        <v>1041</v>
      </c>
      <c r="Z227" s="308"/>
      <c r="AA227" s="554">
        <f t="shared" ref="AA227:AC227" si="1151">AVERAGE(AJ227,AM227,AP227,AV227,AY227,AS227,BZ227,BB227,BE227,BH227,BK227,BN227,BQ227,BT227)</f>
        <v>50</v>
      </c>
      <c r="AB227" s="555">
        <f t="shared" si="1151"/>
        <v>31.25</v>
      </c>
      <c r="AC227" s="556">
        <f t="shared" si="1151"/>
        <v>20.83</v>
      </c>
      <c r="AD227" s="29" t="b">
        <v>0</v>
      </c>
      <c r="AE227" s="29" t="b">
        <v>1</v>
      </c>
      <c r="AF227" s="29" t="b">
        <v>0</v>
      </c>
      <c r="AG227" s="566">
        <f t="shared" ref="AG227:AI227" si="1152">AA227</f>
        <v>50</v>
      </c>
      <c r="AH227" s="567">
        <f t="shared" si="1152"/>
        <v>31.25</v>
      </c>
      <c r="AI227" s="568">
        <f t="shared" si="1152"/>
        <v>20.83</v>
      </c>
      <c r="AJ227" s="567"/>
      <c r="AK227" s="567"/>
      <c r="AL227" s="568"/>
      <c r="AM227" s="567"/>
      <c r="AN227" s="567"/>
      <c r="AO227" s="568"/>
      <c r="AP227" s="569">
        <v>50</v>
      </c>
      <c r="AQ227" s="569">
        <v>31.25</v>
      </c>
      <c r="AR227" s="570">
        <v>20.83</v>
      </c>
      <c r="AS227" s="569"/>
      <c r="AT227" s="569"/>
      <c r="AU227" s="570"/>
      <c r="AV227" s="569"/>
      <c r="AW227" s="567"/>
      <c r="AX227" s="568"/>
      <c r="AY227" s="567"/>
      <c r="AZ227" s="567"/>
      <c r="BA227" s="568"/>
      <c r="BB227" s="567"/>
      <c r="BC227" s="567"/>
      <c r="BD227" s="568"/>
      <c r="BE227" s="567"/>
      <c r="BF227" s="567"/>
      <c r="BG227" s="568"/>
      <c r="BH227" s="567"/>
      <c r="BI227" s="567"/>
      <c r="BJ227" s="568"/>
      <c r="BK227" s="567"/>
      <c r="BL227" s="567"/>
      <c r="BM227" s="568"/>
      <c r="BN227" s="567"/>
      <c r="BO227" s="567"/>
      <c r="BP227" s="568"/>
      <c r="BQ227" s="567"/>
      <c r="BR227" s="567"/>
      <c r="BS227" s="568"/>
      <c r="BT227" s="567"/>
      <c r="BU227" s="567"/>
      <c r="BV227" s="568"/>
      <c r="BW227" s="567"/>
      <c r="BX227" s="567"/>
      <c r="BY227" s="568"/>
      <c r="BZ227" s="567"/>
      <c r="CA227" s="567"/>
      <c r="CB227" s="567"/>
      <c r="CC227" s="583"/>
      <c r="CD227" s="555">
        <f t="shared" ref="CD227:CF227" si="1153">MEDIAN(AM227,AP227,AS227,AY227,BB227,AV227,AA227,BE227,BK227,BZ227,BH227,BN227,BQ227,BT227,BW227)</f>
        <v>50</v>
      </c>
      <c r="CE227" s="555">
        <f t="shared" si="1153"/>
        <v>31.25</v>
      </c>
      <c r="CF227" s="556">
        <f t="shared" si="1153"/>
        <v>20.83</v>
      </c>
      <c r="CG227" s="555">
        <f t="shared" ref="CG227:CI227" si="1154">MAX(AP227,AS227,AV227,BB227,BE227,AY227,CD227,BK227,BZ227,AA227)-MIN(AP227,AS227,AV227,BB227,BE227,AY227,CD227,BK227,BZ227,AA227)</f>
        <v>0</v>
      </c>
      <c r="CH227" s="555">
        <f t="shared" si="1154"/>
        <v>0</v>
      </c>
      <c r="CI227" s="556">
        <f t="shared" si="1154"/>
        <v>0</v>
      </c>
      <c r="CJ227" s="555">
        <f t="shared" ref="CJ227:CL227" si="1155">STDEV(AS227,AV227,AY227,BE227,BK227,BB227,CG227,BZ227,AA227,CD227)</f>
        <v>28.8675134594813</v>
      </c>
      <c r="CK227" s="555">
        <f t="shared" si="1155"/>
        <v>18.0421959121758</v>
      </c>
      <c r="CL227" s="556">
        <f t="shared" si="1155"/>
        <v>12.0262061072199</v>
      </c>
      <c r="CM227" s="555">
        <f t="shared" ref="CM227:CO227" si="1156">CJ227/AA227</f>
        <v>0.577350269189626</v>
      </c>
      <c r="CN227" s="555">
        <f t="shared" si="1156"/>
        <v>0.577350269189626</v>
      </c>
      <c r="CO227" s="556">
        <f t="shared" si="1156"/>
        <v>0.577350269189626</v>
      </c>
      <c r="CP227" s="29" t="s">
        <v>120</v>
      </c>
      <c r="CQ227" s="535">
        <f t="shared" si="1132"/>
        <v>2</v>
      </c>
      <c r="CR227" s="29" t="s">
        <v>120</v>
      </c>
      <c r="CS227" s="29" t="s">
        <v>120</v>
      </c>
      <c r="CT227" s="29" t="s">
        <v>120</v>
      </c>
      <c r="CU227" s="29" t="s">
        <v>120</v>
      </c>
      <c r="CV227" s="29" t="s">
        <v>120</v>
      </c>
    </row>
    <row r="228" customHeight="1" spans="1:100">
      <c r="A228" s="29" t="s">
        <v>483</v>
      </c>
      <c r="B228" s="541"/>
      <c r="F228" s="308"/>
      <c r="G228" s="308"/>
      <c r="H228" s="29" t="b">
        <v>0</v>
      </c>
      <c r="I228" s="29" t="b">
        <v>0</v>
      </c>
      <c r="J228" s="29" t="b">
        <v>0</v>
      </c>
      <c r="K228" s="29" t="b">
        <v>0</v>
      </c>
      <c r="L228" s="29" t="b">
        <v>0</v>
      </c>
      <c r="M228" s="29" t="b">
        <v>0</v>
      </c>
      <c r="P228" s="29" t="b">
        <v>0</v>
      </c>
      <c r="Q228" s="29" t="b">
        <v>0</v>
      </c>
      <c r="R228" s="29" t="b">
        <v>0</v>
      </c>
      <c r="S228" s="29" t="b">
        <v>0</v>
      </c>
      <c r="T228" s="29" t="b">
        <f t="shared" si="1106"/>
        <v>0</v>
      </c>
      <c r="U228" s="29" t="s">
        <v>1071</v>
      </c>
      <c r="W228" s="29">
        <v>2</v>
      </c>
      <c r="X228" s="308"/>
      <c r="Y228" s="16" t="s">
        <v>1041</v>
      </c>
      <c r="Z228" s="308"/>
      <c r="AA228" s="554">
        <f t="shared" ref="AA228:AC228" si="1157">AVERAGE(AJ228,AM228,AP228,AV228,AY228,AS228,BZ228,BB228,BE228,BH228,BK228,BN228,BQ228,BT228)</f>
        <v>4</v>
      </c>
      <c r="AB228" s="555">
        <f t="shared" si="1157"/>
        <v>2.5</v>
      </c>
      <c r="AC228" s="556">
        <f t="shared" si="1157"/>
        <v>1.67</v>
      </c>
      <c r="AD228" s="29" t="b">
        <v>0</v>
      </c>
      <c r="AE228" s="29" t="b">
        <v>1</v>
      </c>
      <c r="AF228" s="29" t="b">
        <v>0</v>
      </c>
      <c r="AG228" s="566">
        <f t="shared" ref="AG228:AI228" si="1158">AA228</f>
        <v>4</v>
      </c>
      <c r="AH228" s="567">
        <f t="shared" si="1158"/>
        <v>2.5</v>
      </c>
      <c r="AI228" s="568">
        <f t="shared" si="1158"/>
        <v>1.67</v>
      </c>
      <c r="AJ228" s="567"/>
      <c r="AK228" s="567"/>
      <c r="AL228" s="568"/>
      <c r="AM228" s="567"/>
      <c r="AN228" s="567"/>
      <c r="AO228" s="568"/>
      <c r="AP228" s="569">
        <v>4</v>
      </c>
      <c r="AQ228" s="569">
        <v>2.5</v>
      </c>
      <c r="AR228" s="570">
        <v>1.67</v>
      </c>
      <c r="AS228" s="569"/>
      <c r="AT228" s="569"/>
      <c r="AU228" s="570"/>
      <c r="AV228" s="569"/>
      <c r="AW228" s="567"/>
      <c r="AX228" s="568"/>
      <c r="AY228" s="567"/>
      <c r="AZ228" s="567"/>
      <c r="BA228" s="568"/>
      <c r="BB228" s="567"/>
      <c r="BC228" s="567"/>
      <c r="BD228" s="568"/>
      <c r="BE228" s="567"/>
      <c r="BF228" s="567"/>
      <c r="BG228" s="568"/>
      <c r="BH228" s="567"/>
      <c r="BI228" s="567"/>
      <c r="BJ228" s="568"/>
      <c r="BK228" s="567"/>
      <c r="BL228" s="567"/>
      <c r="BM228" s="568"/>
      <c r="BN228" s="567"/>
      <c r="BO228" s="567"/>
      <c r="BP228" s="568"/>
      <c r="BQ228" s="567"/>
      <c r="BR228" s="567"/>
      <c r="BS228" s="568"/>
      <c r="BT228" s="567"/>
      <c r="BU228" s="567"/>
      <c r="BV228" s="568"/>
      <c r="BW228" s="567"/>
      <c r="BX228" s="567"/>
      <c r="BY228" s="568"/>
      <c r="BZ228" s="567"/>
      <c r="CA228" s="567"/>
      <c r="CB228" s="567"/>
      <c r="CC228" s="583"/>
      <c r="CD228" s="555">
        <f t="shared" ref="CD228:CF228" si="1159">MEDIAN(AM228,AP228,AS228,AY228,BB228,AV228,AA228,BE228,BK228,BZ228,BH228,BN228,BQ228,BT228,BW228)</f>
        <v>4</v>
      </c>
      <c r="CE228" s="555">
        <f t="shared" si="1159"/>
        <v>2.5</v>
      </c>
      <c r="CF228" s="556">
        <f t="shared" si="1159"/>
        <v>1.67</v>
      </c>
      <c r="CG228" s="555">
        <f t="shared" ref="CG228:CI228" si="1160">MAX(AP228,AS228,AV228,BB228,BE228,AY228,CD228,BK228,BZ228,AA228)-MIN(AP228,AS228,AV228,BB228,BE228,AY228,CD228,BK228,BZ228,AA228)</f>
        <v>0</v>
      </c>
      <c r="CH228" s="555">
        <f t="shared" si="1160"/>
        <v>0</v>
      </c>
      <c r="CI228" s="556">
        <f t="shared" si="1160"/>
        <v>0</v>
      </c>
      <c r="CJ228" s="555">
        <f t="shared" ref="CJ228:CL228" si="1161">STDEV(AS228,AV228,AY228,BE228,BK228,BB228,CG228,BZ228,AA228,CD228)</f>
        <v>2.3094010767585</v>
      </c>
      <c r="CK228" s="555">
        <f t="shared" si="1161"/>
        <v>1.44337567297406</v>
      </c>
      <c r="CL228" s="556">
        <f t="shared" si="1161"/>
        <v>0.964174949546675</v>
      </c>
      <c r="CM228" s="555">
        <f t="shared" ref="CM228:CO228" si="1162">CJ228/AA228</f>
        <v>0.577350269189626</v>
      </c>
      <c r="CN228" s="555">
        <f t="shared" si="1162"/>
        <v>0.577350269189626</v>
      </c>
      <c r="CO228" s="556">
        <f t="shared" si="1162"/>
        <v>0.577350269189626</v>
      </c>
      <c r="CP228" s="29" t="s">
        <v>120</v>
      </c>
      <c r="CQ228" s="535">
        <f t="shared" si="1132"/>
        <v>2</v>
      </c>
      <c r="CR228" s="29" t="s">
        <v>120</v>
      </c>
      <c r="CS228" s="29" t="s">
        <v>120</v>
      </c>
      <c r="CT228" s="29" t="s">
        <v>120</v>
      </c>
      <c r="CU228" s="29" t="s">
        <v>120</v>
      </c>
      <c r="CV228" s="29" t="s">
        <v>120</v>
      </c>
    </row>
    <row r="229" customHeight="1" spans="1:100">
      <c r="A229" s="29" t="s">
        <v>484</v>
      </c>
      <c r="B229" s="541"/>
      <c r="F229" s="308"/>
      <c r="G229" s="308"/>
      <c r="H229" s="29" t="b">
        <v>0</v>
      </c>
      <c r="I229" s="29" t="b">
        <v>0</v>
      </c>
      <c r="J229" s="29" t="b">
        <v>0</v>
      </c>
      <c r="K229" s="29" t="b">
        <v>0</v>
      </c>
      <c r="L229" s="29" t="b">
        <v>0</v>
      </c>
      <c r="M229" s="29" t="b">
        <v>0</v>
      </c>
      <c r="P229" s="29" t="b">
        <v>0</v>
      </c>
      <c r="Q229" s="29" t="b">
        <v>0</v>
      </c>
      <c r="R229" s="29" t="b">
        <v>0</v>
      </c>
      <c r="S229" s="29" t="b">
        <v>0</v>
      </c>
      <c r="T229" s="29" t="b">
        <f t="shared" si="1106"/>
        <v>0</v>
      </c>
      <c r="U229" s="29" t="s">
        <v>1071</v>
      </c>
      <c r="W229" s="29">
        <v>2</v>
      </c>
      <c r="X229" s="308"/>
      <c r="Y229" s="16" t="s">
        <v>1041</v>
      </c>
      <c r="Z229" s="308"/>
      <c r="AA229" s="554">
        <f t="shared" ref="AA229:AC229" si="1163">AVERAGE(AJ229,AM229,AP229,AV229,AY229,AS229,BZ229,BB229,BE229,BH229,BK229,BN229,BQ229,BT229)</f>
        <v>4</v>
      </c>
      <c r="AB229" s="555">
        <f t="shared" si="1163"/>
        <v>2.5</v>
      </c>
      <c r="AC229" s="556">
        <f t="shared" si="1163"/>
        <v>1.67</v>
      </c>
      <c r="AD229" s="29" t="b">
        <v>0</v>
      </c>
      <c r="AE229" s="29" t="b">
        <v>1</v>
      </c>
      <c r="AF229" s="29" t="b">
        <v>0</v>
      </c>
      <c r="AG229" s="566">
        <f t="shared" ref="AG229:AI229" si="1164">AA229</f>
        <v>4</v>
      </c>
      <c r="AH229" s="567">
        <f t="shared" si="1164"/>
        <v>2.5</v>
      </c>
      <c r="AI229" s="568">
        <f t="shared" si="1164"/>
        <v>1.67</v>
      </c>
      <c r="AJ229" s="567"/>
      <c r="AK229" s="567"/>
      <c r="AL229" s="568"/>
      <c r="AM229" s="567"/>
      <c r="AN229" s="567"/>
      <c r="AO229" s="568"/>
      <c r="AP229" s="569">
        <v>4</v>
      </c>
      <c r="AQ229" s="569">
        <v>2.5</v>
      </c>
      <c r="AR229" s="570">
        <v>1.67</v>
      </c>
      <c r="AS229" s="569"/>
      <c r="AT229" s="569"/>
      <c r="AU229" s="570"/>
      <c r="AV229" s="569"/>
      <c r="AW229" s="567"/>
      <c r="AX229" s="568"/>
      <c r="AY229" s="567"/>
      <c r="AZ229" s="567"/>
      <c r="BA229" s="568"/>
      <c r="BB229" s="567"/>
      <c r="BC229" s="567"/>
      <c r="BD229" s="568"/>
      <c r="BE229" s="567"/>
      <c r="BF229" s="567"/>
      <c r="BG229" s="568"/>
      <c r="BH229" s="567"/>
      <c r="BI229" s="567"/>
      <c r="BJ229" s="568"/>
      <c r="BK229" s="567"/>
      <c r="BL229" s="567"/>
      <c r="BM229" s="568"/>
      <c r="BN229" s="567"/>
      <c r="BO229" s="567"/>
      <c r="BP229" s="568"/>
      <c r="BQ229" s="567"/>
      <c r="BR229" s="567"/>
      <c r="BS229" s="568"/>
      <c r="BT229" s="567"/>
      <c r="BU229" s="567"/>
      <c r="BV229" s="568"/>
      <c r="BW229" s="567"/>
      <c r="BX229" s="567"/>
      <c r="BY229" s="568"/>
      <c r="BZ229" s="567"/>
      <c r="CA229" s="567"/>
      <c r="CB229" s="567"/>
      <c r="CC229" s="583"/>
      <c r="CD229" s="555">
        <f t="shared" ref="CD229:CF229" si="1165">MEDIAN(AM229,AP229,AS229,AY229,BB229,AV229,AA229,BE229,BK229,BZ229,BH229,BN229,BQ229,BT229,BW229)</f>
        <v>4</v>
      </c>
      <c r="CE229" s="555">
        <f t="shared" si="1165"/>
        <v>2.5</v>
      </c>
      <c r="CF229" s="556">
        <f t="shared" si="1165"/>
        <v>1.67</v>
      </c>
      <c r="CG229" s="555">
        <f t="shared" ref="CG229:CI229" si="1166">MAX(AP229,AS229,AV229,BB229,BE229,AY229,CD229,BK229,BZ229,AA229)-MIN(AP229,AS229,AV229,BB229,BE229,AY229,CD229,BK229,BZ229,AA229)</f>
        <v>0</v>
      </c>
      <c r="CH229" s="555">
        <f t="shared" si="1166"/>
        <v>0</v>
      </c>
      <c r="CI229" s="556">
        <f t="shared" si="1166"/>
        <v>0</v>
      </c>
      <c r="CJ229" s="555">
        <f t="shared" ref="CJ229:CL229" si="1167">STDEV(AS229,AV229,AY229,BE229,BK229,BB229,CG229,BZ229,AA229,CD229)</f>
        <v>2.3094010767585</v>
      </c>
      <c r="CK229" s="555">
        <f t="shared" si="1167"/>
        <v>1.44337567297406</v>
      </c>
      <c r="CL229" s="556">
        <f t="shared" si="1167"/>
        <v>0.964174949546675</v>
      </c>
      <c r="CM229" s="555">
        <f t="shared" ref="CM229:CO229" si="1168">CJ229/AA229</f>
        <v>0.577350269189626</v>
      </c>
      <c r="CN229" s="555">
        <f t="shared" si="1168"/>
        <v>0.577350269189626</v>
      </c>
      <c r="CO229" s="556">
        <f t="shared" si="1168"/>
        <v>0.577350269189626</v>
      </c>
      <c r="CP229" s="29" t="s">
        <v>120</v>
      </c>
      <c r="CQ229" s="535">
        <f t="shared" si="1132"/>
        <v>2</v>
      </c>
      <c r="CR229" s="29" t="s">
        <v>120</v>
      </c>
      <c r="CS229" s="29" t="s">
        <v>120</v>
      </c>
      <c r="CT229" s="29" t="s">
        <v>120</v>
      </c>
      <c r="CU229" s="29" t="s">
        <v>120</v>
      </c>
      <c r="CV229" s="29" t="s">
        <v>120</v>
      </c>
    </row>
    <row r="230" customHeight="1" spans="1:100">
      <c r="A230" s="29" t="s">
        <v>485</v>
      </c>
      <c r="B230" s="541"/>
      <c r="F230" s="308"/>
      <c r="G230" s="308"/>
      <c r="H230" s="29" t="b">
        <v>0</v>
      </c>
      <c r="I230" s="29" t="b">
        <v>0</v>
      </c>
      <c r="J230" s="29" t="b">
        <v>0</v>
      </c>
      <c r="K230" s="29" t="b">
        <v>0</v>
      </c>
      <c r="L230" s="29" t="b">
        <v>0</v>
      </c>
      <c r="M230" s="29" t="b">
        <v>0</v>
      </c>
      <c r="P230" s="29" t="b">
        <v>0</v>
      </c>
      <c r="Q230" s="29" t="b">
        <v>0</v>
      </c>
      <c r="R230" s="29" t="b">
        <v>0</v>
      </c>
      <c r="S230" s="29" t="b">
        <v>0</v>
      </c>
      <c r="T230" s="29" t="b">
        <f t="shared" si="1106"/>
        <v>0</v>
      </c>
      <c r="U230" s="29" t="s">
        <v>1071</v>
      </c>
      <c r="W230" s="29">
        <v>2</v>
      </c>
      <c r="X230" s="308"/>
      <c r="Y230" s="16" t="s">
        <v>1041</v>
      </c>
      <c r="Z230" s="308"/>
      <c r="AA230" s="554">
        <f t="shared" ref="AA230:AC230" si="1169">AVERAGE(AJ230,AM230,AP230,AV230,AY230,AS230,BZ230,BB230,BE230,BH230,BK230,BN230,BQ230,BT230)</f>
        <v>400</v>
      </c>
      <c r="AB230" s="555">
        <f t="shared" si="1169"/>
        <v>250</v>
      </c>
      <c r="AC230" s="556">
        <f t="shared" si="1169"/>
        <v>166.67</v>
      </c>
      <c r="AD230" s="29" t="b">
        <v>0</v>
      </c>
      <c r="AE230" s="29" t="b">
        <v>1</v>
      </c>
      <c r="AF230" s="29" t="b">
        <v>0</v>
      </c>
      <c r="AG230" s="566">
        <f t="shared" ref="AG230:AI230" si="1170">AA230</f>
        <v>400</v>
      </c>
      <c r="AH230" s="567">
        <f t="shared" si="1170"/>
        <v>250</v>
      </c>
      <c r="AI230" s="568">
        <f t="shared" si="1170"/>
        <v>166.67</v>
      </c>
      <c r="AJ230" s="567"/>
      <c r="AK230" s="567"/>
      <c r="AL230" s="568"/>
      <c r="AM230" s="567"/>
      <c r="AN230" s="567"/>
      <c r="AO230" s="568"/>
      <c r="AP230" s="569">
        <v>400</v>
      </c>
      <c r="AQ230" s="569">
        <v>250</v>
      </c>
      <c r="AR230" s="570">
        <v>166.67</v>
      </c>
      <c r="AS230" s="569"/>
      <c r="AT230" s="569"/>
      <c r="AU230" s="570"/>
      <c r="AV230" s="569"/>
      <c r="AW230" s="567"/>
      <c r="AX230" s="568"/>
      <c r="AY230" s="567"/>
      <c r="AZ230" s="567"/>
      <c r="BA230" s="568"/>
      <c r="BB230" s="567"/>
      <c r="BC230" s="567"/>
      <c r="BD230" s="568"/>
      <c r="BE230" s="567"/>
      <c r="BF230" s="567"/>
      <c r="BG230" s="568"/>
      <c r="BH230" s="567"/>
      <c r="BI230" s="567"/>
      <c r="BJ230" s="568"/>
      <c r="BK230" s="567"/>
      <c r="BL230" s="567"/>
      <c r="BM230" s="568"/>
      <c r="BN230" s="567"/>
      <c r="BO230" s="567"/>
      <c r="BP230" s="568"/>
      <c r="BQ230" s="567"/>
      <c r="BR230" s="567"/>
      <c r="BS230" s="568"/>
      <c r="BT230" s="567"/>
      <c r="BU230" s="567"/>
      <c r="BV230" s="568"/>
      <c r="BW230" s="567"/>
      <c r="BX230" s="567"/>
      <c r="BY230" s="568"/>
      <c r="BZ230" s="567"/>
      <c r="CA230" s="567"/>
      <c r="CB230" s="567"/>
      <c r="CC230" s="583"/>
      <c r="CD230" s="555">
        <f t="shared" ref="CD230:CF230" si="1171">MEDIAN(AM230,AP230,AS230,AY230,BB230,AV230,AA230,BE230,BK230,BZ230,BH230,BN230,BQ230,BT230,BW230)</f>
        <v>400</v>
      </c>
      <c r="CE230" s="555">
        <f t="shared" si="1171"/>
        <v>250</v>
      </c>
      <c r="CF230" s="556">
        <f t="shared" si="1171"/>
        <v>166.67</v>
      </c>
      <c r="CG230" s="555">
        <f t="shared" ref="CG230:CI230" si="1172">MAX(AP230,AS230,AV230,BB230,BE230,AY230,CD230,BK230,BZ230,AA230)-MIN(AP230,AS230,AV230,BB230,BE230,AY230,CD230,BK230,BZ230,AA230)</f>
        <v>0</v>
      </c>
      <c r="CH230" s="555">
        <f t="shared" si="1172"/>
        <v>0</v>
      </c>
      <c r="CI230" s="556">
        <f t="shared" si="1172"/>
        <v>0</v>
      </c>
      <c r="CJ230" s="555">
        <f t="shared" ref="CJ230:CL230" si="1173">STDEV(AS230,AV230,AY230,BE230,BK230,BB230,CG230,BZ230,AA230,CD230)</f>
        <v>230.94010767585</v>
      </c>
      <c r="CK230" s="555">
        <f t="shared" si="1173"/>
        <v>144.337567297406</v>
      </c>
      <c r="CL230" s="556">
        <f t="shared" si="1173"/>
        <v>96.2269693658349</v>
      </c>
      <c r="CM230" s="555">
        <f t="shared" ref="CM230:CO230" si="1174">CJ230/AA230</f>
        <v>0.577350269189626</v>
      </c>
      <c r="CN230" s="555">
        <f t="shared" si="1174"/>
        <v>0.577350269189626</v>
      </c>
      <c r="CO230" s="556">
        <f t="shared" si="1174"/>
        <v>0.577350269189626</v>
      </c>
      <c r="CP230" s="29" t="s">
        <v>120</v>
      </c>
      <c r="CQ230" s="535">
        <f t="shared" si="1132"/>
        <v>2</v>
      </c>
      <c r="CR230" s="29" t="s">
        <v>120</v>
      </c>
      <c r="CS230" s="29" t="s">
        <v>120</v>
      </c>
      <c r="CT230" s="29" t="s">
        <v>120</v>
      </c>
      <c r="CU230" s="29" t="s">
        <v>120</v>
      </c>
      <c r="CV230" s="29" t="s">
        <v>120</v>
      </c>
    </row>
    <row r="231" customHeight="1" spans="1:100">
      <c r="A231" s="29" t="s">
        <v>486</v>
      </c>
      <c r="B231" s="541"/>
      <c r="F231" s="308"/>
      <c r="G231" s="308"/>
      <c r="H231" s="29" t="b">
        <v>0</v>
      </c>
      <c r="I231" s="29" t="b">
        <v>0</v>
      </c>
      <c r="J231" s="29" t="b">
        <v>0</v>
      </c>
      <c r="K231" s="29" t="b">
        <v>0</v>
      </c>
      <c r="L231" s="29" t="b">
        <v>0</v>
      </c>
      <c r="M231" s="29" t="b">
        <v>0</v>
      </c>
      <c r="P231" s="29" t="b">
        <v>0</v>
      </c>
      <c r="Q231" s="29" t="b">
        <v>0</v>
      </c>
      <c r="R231" s="29" t="b">
        <v>0</v>
      </c>
      <c r="S231" s="29" t="b">
        <v>0</v>
      </c>
      <c r="T231" s="29" t="b">
        <f t="shared" si="1106"/>
        <v>0</v>
      </c>
      <c r="U231" s="29" t="s">
        <v>1071</v>
      </c>
      <c r="W231" s="29">
        <v>2</v>
      </c>
      <c r="X231" s="308"/>
      <c r="Y231" s="16" t="s">
        <v>1041</v>
      </c>
      <c r="Z231" s="308"/>
      <c r="AA231" s="554">
        <f t="shared" ref="AA231:AC231" si="1175">AVERAGE(AJ231,AM231,AP231,AV231,AY231,AS231,BZ231,BB231,BE231,BH231,BK231,BN231,BQ231,BT231)</f>
        <v>100</v>
      </c>
      <c r="AB231" s="555">
        <f t="shared" si="1175"/>
        <v>62.5</v>
      </c>
      <c r="AC231" s="556">
        <f t="shared" si="1175"/>
        <v>41.67</v>
      </c>
      <c r="AD231" s="29" t="b">
        <v>0</v>
      </c>
      <c r="AE231" s="29" t="b">
        <v>1</v>
      </c>
      <c r="AF231" s="29" t="b">
        <v>0</v>
      </c>
      <c r="AG231" s="566">
        <f t="shared" ref="AG231:AI231" si="1176">AA231</f>
        <v>100</v>
      </c>
      <c r="AH231" s="567">
        <f t="shared" si="1176"/>
        <v>62.5</v>
      </c>
      <c r="AI231" s="568">
        <f t="shared" si="1176"/>
        <v>41.67</v>
      </c>
      <c r="AJ231" s="567"/>
      <c r="AK231" s="567"/>
      <c r="AL231" s="568"/>
      <c r="AM231" s="567"/>
      <c r="AN231" s="567"/>
      <c r="AO231" s="568"/>
      <c r="AP231" s="569">
        <v>100</v>
      </c>
      <c r="AQ231" s="569">
        <v>62.5</v>
      </c>
      <c r="AR231" s="570">
        <v>41.67</v>
      </c>
      <c r="AS231" s="569"/>
      <c r="AT231" s="569"/>
      <c r="AU231" s="570"/>
      <c r="AV231" s="569"/>
      <c r="AW231" s="567"/>
      <c r="AX231" s="568"/>
      <c r="AY231" s="567"/>
      <c r="AZ231" s="567"/>
      <c r="BA231" s="568"/>
      <c r="BB231" s="567"/>
      <c r="BC231" s="567"/>
      <c r="BD231" s="568"/>
      <c r="BE231" s="567"/>
      <c r="BF231" s="567"/>
      <c r="BG231" s="568"/>
      <c r="BH231" s="567"/>
      <c r="BI231" s="567"/>
      <c r="BJ231" s="568"/>
      <c r="BK231" s="567"/>
      <c r="BL231" s="567"/>
      <c r="BM231" s="568"/>
      <c r="BN231" s="567"/>
      <c r="BO231" s="567"/>
      <c r="BP231" s="568"/>
      <c r="BQ231" s="567"/>
      <c r="BR231" s="567"/>
      <c r="BS231" s="568"/>
      <c r="BT231" s="567"/>
      <c r="BU231" s="567"/>
      <c r="BV231" s="568"/>
      <c r="BW231" s="567"/>
      <c r="BX231" s="567"/>
      <c r="BY231" s="568"/>
      <c r="BZ231" s="567"/>
      <c r="CA231" s="567"/>
      <c r="CB231" s="567"/>
      <c r="CC231" s="583"/>
      <c r="CD231" s="555">
        <f t="shared" ref="CD231:CF231" si="1177">MEDIAN(AM231,AP231,AS231,AY231,BB231,AV231,AA231,BE231,BK231,BZ231,BH231,BN231,BQ231,BT231,BW231)</f>
        <v>100</v>
      </c>
      <c r="CE231" s="555">
        <f t="shared" si="1177"/>
        <v>62.5</v>
      </c>
      <c r="CF231" s="556">
        <f t="shared" si="1177"/>
        <v>41.67</v>
      </c>
      <c r="CG231" s="555">
        <f t="shared" ref="CG231:CI231" si="1178">MAX(AP231,AS231,AV231,BB231,BE231,AY231,CD231,BK231,BZ231,AA231)-MIN(AP231,AS231,AV231,BB231,BE231,AY231,CD231,BK231,BZ231,AA231)</f>
        <v>0</v>
      </c>
      <c r="CH231" s="555">
        <f t="shared" si="1178"/>
        <v>0</v>
      </c>
      <c r="CI231" s="556">
        <f t="shared" si="1178"/>
        <v>0</v>
      </c>
      <c r="CJ231" s="555">
        <f t="shared" ref="CJ231:CL231" si="1179">STDEV(AS231,AV231,AY231,BE231,BK231,BB231,CG231,BZ231,AA231,CD231)</f>
        <v>57.7350269189626</v>
      </c>
      <c r="CK231" s="555">
        <f t="shared" si="1179"/>
        <v>36.0843918243516</v>
      </c>
      <c r="CL231" s="556">
        <f t="shared" si="1179"/>
        <v>24.0581857171317</v>
      </c>
      <c r="CM231" s="555">
        <f t="shared" ref="CM231:CO231" si="1180">CJ231/AA231</f>
        <v>0.577350269189626</v>
      </c>
      <c r="CN231" s="555">
        <f t="shared" si="1180"/>
        <v>0.577350269189626</v>
      </c>
      <c r="CO231" s="556">
        <f t="shared" si="1180"/>
        <v>0.577350269189626</v>
      </c>
      <c r="CP231" s="29" t="s">
        <v>120</v>
      </c>
      <c r="CQ231" s="535">
        <f t="shared" si="1132"/>
        <v>2</v>
      </c>
      <c r="CR231" s="29" t="s">
        <v>120</v>
      </c>
      <c r="CS231" s="29" t="s">
        <v>120</v>
      </c>
      <c r="CT231" s="29" t="s">
        <v>120</v>
      </c>
      <c r="CU231" s="29" t="s">
        <v>120</v>
      </c>
      <c r="CV231" s="29" t="s">
        <v>120</v>
      </c>
    </row>
    <row r="232" customHeight="1" spans="1:100">
      <c r="A232" s="29" t="s">
        <v>487</v>
      </c>
      <c r="B232" s="541"/>
      <c r="F232" s="308"/>
      <c r="G232" s="308"/>
      <c r="H232" s="29" t="b">
        <v>0</v>
      </c>
      <c r="I232" s="29" t="b">
        <v>0</v>
      </c>
      <c r="J232" s="29" t="b">
        <v>0</v>
      </c>
      <c r="K232" s="29" t="b">
        <v>0</v>
      </c>
      <c r="L232" s="29" t="b">
        <v>0</v>
      </c>
      <c r="M232" s="29" t="b">
        <v>0</v>
      </c>
      <c r="P232" s="29" t="b">
        <v>0</v>
      </c>
      <c r="Q232" s="29" t="b">
        <v>0</v>
      </c>
      <c r="R232" s="29" t="b">
        <v>0</v>
      </c>
      <c r="S232" s="29" t="b">
        <v>0</v>
      </c>
      <c r="T232" s="29" t="b">
        <f t="shared" si="1106"/>
        <v>0</v>
      </c>
      <c r="U232" s="29" t="s">
        <v>1071</v>
      </c>
      <c r="W232" s="29">
        <v>2</v>
      </c>
      <c r="X232" s="308"/>
      <c r="Y232" s="16" t="s">
        <v>1041</v>
      </c>
      <c r="Z232" s="308"/>
      <c r="AA232" s="554">
        <f t="shared" ref="AA232:AC232" si="1181">AVERAGE(AJ232,AM232,AP232,AV232,AY232,AS232,BZ232,BB232,BE232,BH232,BK232,BN232,BQ232,BT232)</f>
        <v>4</v>
      </c>
      <c r="AB232" s="555">
        <f t="shared" si="1181"/>
        <v>2.5</v>
      </c>
      <c r="AC232" s="556">
        <f t="shared" si="1181"/>
        <v>1.67</v>
      </c>
      <c r="AD232" s="29" t="b">
        <v>0</v>
      </c>
      <c r="AE232" s="29" t="b">
        <v>1</v>
      </c>
      <c r="AF232" s="29" t="b">
        <v>0</v>
      </c>
      <c r="AG232" s="566">
        <f t="shared" ref="AG232:AI232" si="1182">AA232</f>
        <v>4</v>
      </c>
      <c r="AH232" s="567">
        <f t="shared" si="1182"/>
        <v>2.5</v>
      </c>
      <c r="AI232" s="568">
        <f t="shared" si="1182"/>
        <v>1.67</v>
      </c>
      <c r="AJ232" s="567"/>
      <c r="AK232" s="567"/>
      <c r="AL232" s="568"/>
      <c r="AM232" s="567"/>
      <c r="AN232" s="567"/>
      <c r="AO232" s="568"/>
      <c r="AP232" s="569">
        <v>4</v>
      </c>
      <c r="AQ232" s="569">
        <v>2.5</v>
      </c>
      <c r="AR232" s="570">
        <v>1.67</v>
      </c>
      <c r="AS232" s="569"/>
      <c r="AT232" s="569"/>
      <c r="AU232" s="570"/>
      <c r="AV232" s="569"/>
      <c r="AW232" s="567"/>
      <c r="AX232" s="568"/>
      <c r="AY232" s="567"/>
      <c r="AZ232" s="567"/>
      <c r="BA232" s="568"/>
      <c r="BB232" s="567"/>
      <c r="BC232" s="567"/>
      <c r="BD232" s="568"/>
      <c r="BE232" s="567"/>
      <c r="BF232" s="567"/>
      <c r="BG232" s="568"/>
      <c r="BH232" s="567"/>
      <c r="BI232" s="567"/>
      <c r="BJ232" s="568"/>
      <c r="BK232" s="567"/>
      <c r="BL232" s="567"/>
      <c r="BM232" s="568"/>
      <c r="BN232" s="567"/>
      <c r="BO232" s="567"/>
      <c r="BP232" s="568"/>
      <c r="BQ232" s="567"/>
      <c r="BR232" s="567"/>
      <c r="BS232" s="568"/>
      <c r="BT232" s="567"/>
      <c r="BU232" s="567"/>
      <c r="BV232" s="568"/>
      <c r="BW232" s="567"/>
      <c r="BX232" s="567"/>
      <c r="BY232" s="568"/>
      <c r="BZ232" s="567"/>
      <c r="CA232" s="567"/>
      <c r="CB232" s="567"/>
      <c r="CC232" s="583"/>
      <c r="CD232" s="555">
        <f t="shared" ref="CD232:CF232" si="1183">MEDIAN(AM232,AP232,AS232,AY232,BB232,AV232,AA232,BE232,BK232,BZ232,BH232,BN232,BQ232,BT232,BW232)</f>
        <v>4</v>
      </c>
      <c r="CE232" s="555">
        <f t="shared" si="1183"/>
        <v>2.5</v>
      </c>
      <c r="CF232" s="556">
        <f t="shared" si="1183"/>
        <v>1.67</v>
      </c>
      <c r="CG232" s="555">
        <f t="shared" ref="CG232:CI232" si="1184">MAX(AP232,AS232,AV232,BB232,BE232,AY232,CD232,BK232,BZ232,AA232)-MIN(AP232,AS232,AV232,BB232,BE232,AY232,CD232,BK232,BZ232,AA232)</f>
        <v>0</v>
      </c>
      <c r="CH232" s="555">
        <f t="shared" si="1184"/>
        <v>0</v>
      </c>
      <c r="CI232" s="556">
        <f t="shared" si="1184"/>
        <v>0</v>
      </c>
      <c r="CJ232" s="555">
        <f t="shared" ref="CJ232:CL232" si="1185">STDEV(AS232,AV232,AY232,BE232,BK232,BB232,CG232,BZ232,AA232,CD232)</f>
        <v>2.3094010767585</v>
      </c>
      <c r="CK232" s="555">
        <f t="shared" si="1185"/>
        <v>1.44337567297406</v>
      </c>
      <c r="CL232" s="556">
        <f t="shared" si="1185"/>
        <v>0.964174949546675</v>
      </c>
      <c r="CM232" s="555">
        <f t="shared" ref="CM232:CO232" si="1186">CJ232/AA232</f>
        <v>0.577350269189626</v>
      </c>
      <c r="CN232" s="555">
        <f t="shared" si="1186"/>
        <v>0.577350269189626</v>
      </c>
      <c r="CO232" s="556">
        <f t="shared" si="1186"/>
        <v>0.577350269189626</v>
      </c>
      <c r="CP232" s="29" t="s">
        <v>120</v>
      </c>
      <c r="CQ232" s="535">
        <f t="shared" si="1132"/>
        <v>2</v>
      </c>
      <c r="CR232" s="29" t="s">
        <v>120</v>
      </c>
      <c r="CS232" s="29" t="s">
        <v>120</v>
      </c>
      <c r="CT232" s="29" t="s">
        <v>120</v>
      </c>
      <c r="CU232" s="29" t="s">
        <v>120</v>
      </c>
      <c r="CV232" s="29" t="s">
        <v>120</v>
      </c>
    </row>
    <row r="233" customHeight="1" spans="1:100">
      <c r="A233" s="29" t="s">
        <v>488</v>
      </c>
      <c r="B233" s="541"/>
      <c r="F233" s="308"/>
      <c r="G233" s="308"/>
      <c r="H233" s="29" t="b">
        <v>0</v>
      </c>
      <c r="I233" s="29" t="b">
        <v>0</v>
      </c>
      <c r="J233" s="29" t="b">
        <v>0</v>
      </c>
      <c r="K233" s="29" t="b">
        <v>0</v>
      </c>
      <c r="L233" s="29" t="b">
        <v>0</v>
      </c>
      <c r="M233" s="29" t="b">
        <v>0</v>
      </c>
      <c r="P233" s="29" t="b">
        <v>0</v>
      </c>
      <c r="Q233" s="29" t="b">
        <v>0</v>
      </c>
      <c r="R233" s="29" t="b">
        <v>0</v>
      </c>
      <c r="S233" s="29" t="b">
        <v>0</v>
      </c>
      <c r="T233" s="29" t="b">
        <f t="shared" si="1106"/>
        <v>0</v>
      </c>
      <c r="U233" s="29" t="s">
        <v>1071</v>
      </c>
      <c r="W233" s="29">
        <v>2</v>
      </c>
      <c r="X233" s="308"/>
      <c r="Y233" s="16" t="s">
        <v>1041</v>
      </c>
      <c r="Z233" s="308"/>
      <c r="AA233" s="554">
        <f t="shared" ref="AA233:AC233" si="1187">AVERAGE(AJ233,AM233,AP233,AV233,AY233,AS233,BZ233,BB233,BE233,BH233,BK233,BN233,BQ233,BT233)</f>
        <v>4</v>
      </c>
      <c r="AB233" s="555">
        <f t="shared" si="1187"/>
        <v>2.5</v>
      </c>
      <c r="AC233" s="556">
        <f t="shared" si="1187"/>
        <v>1.67</v>
      </c>
      <c r="AD233" s="29" t="b">
        <v>0</v>
      </c>
      <c r="AE233" s="29" t="b">
        <v>1</v>
      </c>
      <c r="AF233" s="29" t="b">
        <v>0</v>
      </c>
      <c r="AG233" s="566">
        <f t="shared" ref="AG233:AI233" si="1188">AA233</f>
        <v>4</v>
      </c>
      <c r="AH233" s="567">
        <f t="shared" si="1188"/>
        <v>2.5</v>
      </c>
      <c r="AI233" s="568">
        <f t="shared" si="1188"/>
        <v>1.67</v>
      </c>
      <c r="AJ233" s="567"/>
      <c r="AK233" s="567"/>
      <c r="AL233" s="568"/>
      <c r="AM233" s="567"/>
      <c r="AN233" s="567"/>
      <c r="AO233" s="568"/>
      <c r="AP233" s="569">
        <v>4</v>
      </c>
      <c r="AQ233" s="569">
        <v>2.5</v>
      </c>
      <c r="AR233" s="570">
        <v>1.67</v>
      </c>
      <c r="AS233" s="569"/>
      <c r="AT233" s="569"/>
      <c r="AU233" s="570"/>
      <c r="AV233" s="569"/>
      <c r="AW233" s="567"/>
      <c r="AX233" s="568"/>
      <c r="AY233" s="567"/>
      <c r="AZ233" s="567"/>
      <c r="BA233" s="568"/>
      <c r="BB233" s="567"/>
      <c r="BC233" s="567"/>
      <c r="BD233" s="568"/>
      <c r="BE233" s="567"/>
      <c r="BF233" s="567"/>
      <c r="BG233" s="568"/>
      <c r="BH233" s="567"/>
      <c r="BI233" s="567"/>
      <c r="BJ233" s="568"/>
      <c r="BK233" s="567"/>
      <c r="BL233" s="567"/>
      <c r="BM233" s="568"/>
      <c r="BN233" s="567"/>
      <c r="BO233" s="567"/>
      <c r="BP233" s="568"/>
      <c r="BQ233" s="567"/>
      <c r="BR233" s="567"/>
      <c r="BS233" s="568"/>
      <c r="BT233" s="567"/>
      <c r="BU233" s="567"/>
      <c r="BV233" s="568"/>
      <c r="BW233" s="567"/>
      <c r="BX233" s="567"/>
      <c r="BY233" s="568"/>
      <c r="BZ233" s="567"/>
      <c r="CA233" s="567"/>
      <c r="CB233" s="567"/>
      <c r="CC233" s="583"/>
      <c r="CD233" s="555">
        <f t="shared" ref="CD233:CF233" si="1189">MEDIAN(AM233,AP233,AS233,AY233,BB233,AV233,AA233,BE233,BK233,BZ233,BH233,BN233,BQ233,BT233,BW233)</f>
        <v>4</v>
      </c>
      <c r="CE233" s="555">
        <f t="shared" si="1189"/>
        <v>2.5</v>
      </c>
      <c r="CF233" s="556">
        <f t="shared" si="1189"/>
        <v>1.67</v>
      </c>
      <c r="CG233" s="555">
        <f t="shared" ref="CG233:CI233" si="1190">MAX(AP233,AS233,AV233,BB233,BE233,AY233,CD233,BK233,BZ233,AA233)-MIN(AP233,AS233,AV233,BB233,BE233,AY233,CD233,BK233,BZ233,AA233)</f>
        <v>0</v>
      </c>
      <c r="CH233" s="555">
        <f t="shared" si="1190"/>
        <v>0</v>
      </c>
      <c r="CI233" s="556">
        <f t="shared" si="1190"/>
        <v>0</v>
      </c>
      <c r="CJ233" s="555">
        <f t="shared" ref="CJ233:CL233" si="1191">STDEV(AS233,AV233,AY233,BE233,BK233,BB233,CG233,BZ233,AA233,CD233)</f>
        <v>2.3094010767585</v>
      </c>
      <c r="CK233" s="555">
        <f t="shared" si="1191"/>
        <v>1.44337567297406</v>
      </c>
      <c r="CL233" s="556">
        <f t="shared" si="1191"/>
        <v>0.964174949546675</v>
      </c>
      <c r="CM233" s="555">
        <f t="shared" ref="CM233:CO233" si="1192">CJ233/AA233</f>
        <v>0.577350269189626</v>
      </c>
      <c r="CN233" s="555">
        <f t="shared" si="1192"/>
        <v>0.577350269189626</v>
      </c>
      <c r="CO233" s="556">
        <f t="shared" si="1192"/>
        <v>0.577350269189626</v>
      </c>
      <c r="CP233" s="29" t="s">
        <v>120</v>
      </c>
      <c r="CQ233" s="535">
        <f t="shared" si="1132"/>
        <v>2</v>
      </c>
      <c r="CR233" s="29" t="s">
        <v>120</v>
      </c>
      <c r="CS233" s="29" t="s">
        <v>120</v>
      </c>
      <c r="CT233" s="29" t="s">
        <v>120</v>
      </c>
      <c r="CU233" s="29" t="s">
        <v>120</v>
      </c>
      <c r="CV233" s="29" t="s">
        <v>120</v>
      </c>
    </row>
    <row r="234" customHeight="1" spans="1:100">
      <c r="A234" s="29" t="s">
        <v>489</v>
      </c>
      <c r="B234" s="541"/>
      <c r="F234" s="308"/>
      <c r="G234" s="308"/>
      <c r="H234" s="29" t="b">
        <v>0</v>
      </c>
      <c r="I234" s="29" t="b">
        <v>0</v>
      </c>
      <c r="J234" s="29" t="b">
        <v>0</v>
      </c>
      <c r="K234" s="29" t="b">
        <v>0</v>
      </c>
      <c r="L234" s="29" t="b">
        <v>0</v>
      </c>
      <c r="M234" s="29" t="b">
        <v>0</v>
      </c>
      <c r="P234" s="29" t="b">
        <v>0</v>
      </c>
      <c r="Q234" s="29" t="b">
        <v>0</v>
      </c>
      <c r="R234" s="29" t="b">
        <v>0</v>
      </c>
      <c r="S234" s="29" t="b">
        <v>0</v>
      </c>
      <c r="T234" s="29" t="b">
        <f t="shared" si="1106"/>
        <v>0</v>
      </c>
      <c r="U234" s="29" t="s">
        <v>1071</v>
      </c>
      <c r="W234" s="29">
        <v>2</v>
      </c>
      <c r="X234" s="308"/>
      <c r="Y234" s="16" t="s">
        <v>1041</v>
      </c>
      <c r="Z234" s="308"/>
      <c r="AA234" s="554">
        <f t="shared" ref="AA234:AC234" si="1193">AVERAGE(AJ234,AM234,AP234,AV234,AY234,AS234,BZ234,BB234,BE234,BH234,BK234,BN234,BQ234,BT234)</f>
        <v>6</v>
      </c>
      <c r="AB234" s="555">
        <f t="shared" si="1193"/>
        <v>3.75</v>
      </c>
      <c r="AC234" s="556">
        <f t="shared" si="1193"/>
        <v>2.5</v>
      </c>
      <c r="AD234" s="29" t="b">
        <v>0</v>
      </c>
      <c r="AE234" s="29" t="b">
        <v>1</v>
      </c>
      <c r="AF234" s="29" t="b">
        <v>0</v>
      </c>
      <c r="AG234" s="566">
        <f t="shared" ref="AG234:AI234" si="1194">AA234</f>
        <v>6</v>
      </c>
      <c r="AH234" s="567">
        <f t="shared" si="1194"/>
        <v>3.75</v>
      </c>
      <c r="AI234" s="568">
        <f t="shared" si="1194"/>
        <v>2.5</v>
      </c>
      <c r="AJ234" s="567"/>
      <c r="AK234" s="567"/>
      <c r="AL234" s="568"/>
      <c r="AM234" s="567"/>
      <c r="AN234" s="567"/>
      <c r="AO234" s="568"/>
      <c r="AP234" s="569">
        <v>6</v>
      </c>
      <c r="AQ234" s="569">
        <v>3.75</v>
      </c>
      <c r="AR234" s="570">
        <v>2.5</v>
      </c>
      <c r="AS234" s="569"/>
      <c r="AT234" s="569"/>
      <c r="AU234" s="570"/>
      <c r="AV234" s="569"/>
      <c r="AW234" s="567"/>
      <c r="AX234" s="568"/>
      <c r="AY234" s="567"/>
      <c r="AZ234" s="567"/>
      <c r="BA234" s="568"/>
      <c r="BB234" s="567"/>
      <c r="BC234" s="567"/>
      <c r="BD234" s="568"/>
      <c r="BE234" s="567"/>
      <c r="BF234" s="567"/>
      <c r="BG234" s="568"/>
      <c r="BH234" s="567"/>
      <c r="BI234" s="567"/>
      <c r="BJ234" s="568"/>
      <c r="BK234" s="567"/>
      <c r="BL234" s="567"/>
      <c r="BM234" s="568"/>
      <c r="BN234" s="567"/>
      <c r="BO234" s="567"/>
      <c r="BP234" s="568"/>
      <c r="BQ234" s="567"/>
      <c r="BR234" s="567"/>
      <c r="BS234" s="568"/>
      <c r="BT234" s="567"/>
      <c r="BU234" s="567"/>
      <c r="BV234" s="568"/>
      <c r="BW234" s="567"/>
      <c r="BX234" s="567"/>
      <c r="BY234" s="568"/>
      <c r="BZ234" s="567"/>
      <c r="CA234" s="567"/>
      <c r="CB234" s="567"/>
      <c r="CC234" s="583"/>
      <c r="CD234" s="555">
        <f t="shared" ref="CD234:CF234" si="1195">MEDIAN(AM234,AP234,AS234,AY234,BB234,AV234,AA234,BE234,BK234,BZ234,BH234,BN234,BQ234,BT234,BW234)</f>
        <v>6</v>
      </c>
      <c r="CE234" s="555">
        <f t="shared" si="1195"/>
        <v>3.75</v>
      </c>
      <c r="CF234" s="556">
        <f t="shared" si="1195"/>
        <v>2.5</v>
      </c>
      <c r="CG234" s="555">
        <f t="shared" ref="CG234:CI234" si="1196">MAX(AP234,AS234,AV234,BB234,BE234,AY234,CD234,BK234,BZ234,AA234)-MIN(AP234,AS234,AV234,BB234,BE234,AY234,CD234,BK234,BZ234,AA234)</f>
        <v>0</v>
      </c>
      <c r="CH234" s="555">
        <f t="shared" si="1196"/>
        <v>0</v>
      </c>
      <c r="CI234" s="556">
        <f t="shared" si="1196"/>
        <v>0</v>
      </c>
      <c r="CJ234" s="555">
        <f t="shared" ref="CJ234:CL234" si="1197">STDEV(AS234,AV234,AY234,BE234,BK234,BB234,CG234,BZ234,AA234,CD234)</f>
        <v>3.46410161513775</v>
      </c>
      <c r="CK234" s="555">
        <f t="shared" si="1197"/>
        <v>2.1650635094611</v>
      </c>
      <c r="CL234" s="556">
        <f t="shared" si="1197"/>
        <v>1.44337567297406</v>
      </c>
      <c r="CM234" s="555">
        <f t="shared" ref="CM234:CO234" si="1198">CJ234/AA234</f>
        <v>0.577350269189626</v>
      </c>
      <c r="CN234" s="555">
        <f t="shared" si="1198"/>
        <v>0.577350269189626</v>
      </c>
      <c r="CO234" s="556">
        <f t="shared" si="1198"/>
        <v>0.577350269189626</v>
      </c>
      <c r="CP234" s="29" t="s">
        <v>120</v>
      </c>
      <c r="CQ234" s="535">
        <f t="shared" si="1132"/>
        <v>2</v>
      </c>
      <c r="CR234" s="29" t="s">
        <v>120</v>
      </c>
      <c r="CS234" s="29" t="s">
        <v>120</v>
      </c>
      <c r="CT234" s="29" t="s">
        <v>120</v>
      </c>
      <c r="CU234" s="29" t="s">
        <v>120</v>
      </c>
      <c r="CV234" s="29" t="s">
        <v>120</v>
      </c>
    </row>
    <row r="235" customHeight="1" spans="1:100">
      <c r="A235" s="29" t="s">
        <v>490</v>
      </c>
      <c r="B235" s="541"/>
      <c r="F235" s="308"/>
      <c r="G235" s="308"/>
      <c r="H235" s="29" t="b">
        <v>0</v>
      </c>
      <c r="I235" s="29" t="b">
        <v>0</v>
      </c>
      <c r="J235" s="29" t="b">
        <v>0</v>
      </c>
      <c r="K235" s="29" t="b">
        <v>0</v>
      </c>
      <c r="L235" s="29" t="b">
        <v>0</v>
      </c>
      <c r="M235" s="29" t="b">
        <v>0</v>
      </c>
      <c r="P235" s="29" t="b">
        <v>0</v>
      </c>
      <c r="Q235" s="29" t="b">
        <v>0</v>
      </c>
      <c r="R235" s="29" t="b">
        <v>0</v>
      </c>
      <c r="S235" s="29" t="b">
        <v>0</v>
      </c>
      <c r="T235" s="29" t="b">
        <f t="shared" si="1106"/>
        <v>0</v>
      </c>
      <c r="U235" s="29" t="s">
        <v>1071</v>
      </c>
      <c r="W235" s="29">
        <v>2</v>
      </c>
      <c r="X235" s="308"/>
      <c r="Y235" s="16" t="s">
        <v>1041</v>
      </c>
      <c r="Z235" s="308"/>
      <c r="AA235" s="554">
        <f t="shared" ref="AA235:AC235" si="1199">AVERAGE(AJ235,AM235,AP235,AV235,AY235,AS235,BZ235,BB235,BE235,BH235,BK235,BN235,BQ235,BT235)</f>
        <v>2</v>
      </c>
      <c r="AB235" s="555">
        <f t="shared" si="1199"/>
        <v>1.25</v>
      </c>
      <c r="AC235" s="556">
        <f t="shared" si="1199"/>
        <v>0.83</v>
      </c>
      <c r="AD235" s="29" t="b">
        <v>0</v>
      </c>
      <c r="AE235" s="29" t="b">
        <v>1</v>
      </c>
      <c r="AF235" s="29" t="b">
        <v>0</v>
      </c>
      <c r="AG235" s="566">
        <f t="shared" ref="AG235:AI235" si="1200">AA235</f>
        <v>2</v>
      </c>
      <c r="AH235" s="567">
        <f t="shared" si="1200"/>
        <v>1.25</v>
      </c>
      <c r="AI235" s="568">
        <f t="shared" si="1200"/>
        <v>0.83</v>
      </c>
      <c r="AJ235" s="567"/>
      <c r="AK235" s="567"/>
      <c r="AL235" s="568"/>
      <c r="AM235" s="567"/>
      <c r="AN235" s="567"/>
      <c r="AO235" s="568"/>
      <c r="AP235" s="569">
        <v>2</v>
      </c>
      <c r="AQ235" s="569">
        <v>1.25</v>
      </c>
      <c r="AR235" s="570">
        <v>0.83</v>
      </c>
      <c r="AS235" s="569"/>
      <c r="AT235" s="569"/>
      <c r="AU235" s="570"/>
      <c r="AV235" s="569"/>
      <c r="AW235" s="567"/>
      <c r="AX235" s="568"/>
      <c r="AY235" s="567"/>
      <c r="AZ235" s="567"/>
      <c r="BA235" s="568"/>
      <c r="BB235" s="567"/>
      <c r="BC235" s="567"/>
      <c r="BD235" s="568"/>
      <c r="BE235" s="567"/>
      <c r="BF235" s="567"/>
      <c r="BG235" s="568"/>
      <c r="BH235" s="567"/>
      <c r="BI235" s="567"/>
      <c r="BJ235" s="568"/>
      <c r="BK235" s="567"/>
      <c r="BL235" s="567"/>
      <c r="BM235" s="568"/>
      <c r="BN235" s="567"/>
      <c r="BO235" s="567"/>
      <c r="BP235" s="568"/>
      <c r="BQ235" s="567"/>
      <c r="BR235" s="567"/>
      <c r="BS235" s="568"/>
      <c r="BT235" s="567"/>
      <c r="BU235" s="567"/>
      <c r="BV235" s="568"/>
      <c r="BW235" s="567"/>
      <c r="BX235" s="567"/>
      <c r="BY235" s="568"/>
      <c r="BZ235" s="567"/>
      <c r="CA235" s="567"/>
      <c r="CB235" s="567"/>
      <c r="CC235" s="583"/>
      <c r="CD235" s="555">
        <f t="shared" ref="CD235:CF235" si="1201">MEDIAN(AM235,AP235,AS235,AY235,BB235,AV235,AA235,BE235,BK235,BZ235,BH235,BN235,BQ235,BT235,BW235)</f>
        <v>2</v>
      </c>
      <c r="CE235" s="555">
        <f t="shared" si="1201"/>
        <v>1.25</v>
      </c>
      <c r="CF235" s="556">
        <f t="shared" si="1201"/>
        <v>0.83</v>
      </c>
      <c r="CG235" s="555">
        <f t="shared" ref="CG235:CI235" si="1202">MAX(AP235,AS235,AV235,BB235,BE235,AY235,CD235,BK235,BZ235,AA235)-MIN(AP235,AS235,AV235,BB235,BE235,AY235,CD235,BK235,BZ235,AA235)</f>
        <v>0</v>
      </c>
      <c r="CH235" s="555">
        <f t="shared" si="1202"/>
        <v>0</v>
      </c>
      <c r="CI235" s="556">
        <f t="shared" si="1202"/>
        <v>0</v>
      </c>
      <c r="CJ235" s="555">
        <f t="shared" ref="CJ235:CL235" si="1203">STDEV(AS235,AV235,AY235,BE235,BK235,BB235,CG235,BZ235,AA235,CD235)</f>
        <v>1.15470053837925</v>
      </c>
      <c r="CK235" s="555">
        <f t="shared" si="1203"/>
        <v>0.721687836487032</v>
      </c>
      <c r="CL235" s="556">
        <f t="shared" si="1203"/>
        <v>0.479200723427389</v>
      </c>
      <c r="CM235" s="555">
        <f t="shared" ref="CM235:CO235" si="1204">CJ235/AA235</f>
        <v>0.577350269189626</v>
      </c>
      <c r="CN235" s="555">
        <f t="shared" si="1204"/>
        <v>0.577350269189626</v>
      </c>
      <c r="CO235" s="556">
        <f t="shared" si="1204"/>
        <v>0.577350269189626</v>
      </c>
      <c r="CP235" s="29" t="s">
        <v>120</v>
      </c>
      <c r="CQ235" s="535">
        <f t="shared" si="1132"/>
        <v>2</v>
      </c>
      <c r="CR235" s="29" t="s">
        <v>120</v>
      </c>
      <c r="CS235" s="29" t="s">
        <v>120</v>
      </c>
      <c r="CT235" s="29" t="s">
        <v>120</v>
      </c>
      <c r="CU235" s="29" t="s">
        <v>120</v>
      </c>
      <c r="CV235" s="29" t="s">
        <v>120</v>
      </c>
    </row>
    <row r="236" customHeight="1" spans="1:100">
      <c r="A236" s="29" t="s">
        <v>491</v>
      </c>
      <c r="B236" s="541"/>
      <c r="F236" s="308"/>
      <c r="G236" s="308"/>
      <c r="H236" s="29" t="b">
        <v>0</v>
      </c>
      <c r="I236" s="29" t="b">
        <v>0</v>
      </c>
      <c r="J236" s="29" t="b">
        <v>0</v>
      </c>
      <c r="K236" s="29" t="b">
        <v>0</v>
      </c>
      <c r="L236" s="29" t="b">
        <v>0</v>
      </c>
      <c r="M236" s="29" t="b">
        <v>0</v>
      </c>
      <c r="P236" s="29" t="b">
        <v>0</v>
      </c>
      <c r="Q236" s="29" t="b">
        <v>0</v>
      </c>
      <c r="R236" s="29" t="b">
        <v>0</v>
      </c>
      <c r="S236" s="29" t="b">
        <v>0</v>
      </c>
      <c r="T236" s="29" t="b">
        <f t="shared" si="1106"/>
        <v>0</v>
      </c>
      <c r="U236" s="29" t="s">
        <v>1071</v>
      </c>
      <c r="W236" s="29">
        <v>2</v>
      </c>
      <c r="X236" s="308"/>
      <c r="Y236" s="16" t="s">
        <v>1041</v>
      </c>
      <c r="Z236" s="308"/>
      <c r="AA236" s="554">
        <f t="shared" ref="AA236:AC236" si="1205">AVERAGE(AJ236,AM236,AP236,AV236,AY236,AS236,BZ236,BB236,BE236,BH236,BK236,BN236,BQ236,BT236)</f>
        <v>200</v>
      </c>
      <c r="AB236" s="555">
        <f t="shared" si="1205"/>
        <v>125</v>
      </c>
      <c r="AC236" s="556">
        <f t="shared" si="1205"/>
        <v>83.33</v>
      </c>
      <c r="AD236" s="29" t="b">
        <v>0</v>
      </c>
      <c r="AE236" s="29" t="b">
        <v>1</v>
      </c>
      <c r="AF236" s="29" t="b">
        <v>0</v>
      </c>
      <c r="AG236" s="566">
        <f t="shared" ref="AG236:AI236" si="1206">AA236</f>
        <v>200</v>
      </c>
      <c r="AH236" s="567">
        <f t="shared" si="1206"/>
        <v>125</v>
      </c>
      <c r="AI236" s="568">
        <f t="shared" si="1206"/>
        <v>83.33</v>
      </c>
      <c r="AJ236" s="567"/>
      <c r="AK236" s="567"/>
      <c r="AL236" s="568"/>
      <c r="AM236" s="567"/>
      <c r="AN236" s="567"/>
      <c r="AO236" s="568"/>
      <c r="AP236" s="569">
        <v>200</v>
      </c>
      <c r="AQ236" s="569">
        <v>125</v>
      </c>
      <c r="AR236" s="570">
        <v>83.33</v>
      </c>
      <c r="AS236" s="569"/>
      <c r="AT236" s="569"/>
      <c r="AU236" s="570"/>
      <c r="AV236" s="569"/>
      <c r="AW236" s="567"/>
      <c r="AX236" s="568"/>
      <c r="AY236" s="567"/>
      <c r="AZ236" s="567"/>
      <c r="BA236" s="568"/>
      <c r="BB236" s="567"/>
      <c r="BC236" s="567"/>
      <c r="BD236" s="568"/>
      <c r="BE236" s="567"/>
      <c r="BF236" s="567"/>
      <c r="BG236" s="568"/>
      <c r="BH236" s="567"/>
      <c r="BI236" s="567"/>
      <c r="BJ236" s="568"/>
      <c r="BK236" s="567"/>
      <c r="BL236" s="567"/>
      <c r="BM236" s="568"/>
      <c r="BN236" s="567"/>
      <c r="BO236" s="567"/>
      <c r="BP236" s="568"/>
      <c r="BQ236" s="567"/>
      <c r="BR236" s="567"/>
      <c r="BS236" s="568"/>
      <c r="BT236" s="567"/>
      <c r="BU236" s="567"/>
      <c r="BV236" s="568"/>
      <c r="BW236" s="567"/>
      <c r="BX236" s="567"/>
      <c r="BY236" s="568"/>
      <c r="BZ236" s="567"/>
      <c r="CA236" s="567"/>
      <c r="CB236" s="567"/>
      <c r="CC236" s="583"/>
      <c r="CD236" s="555">
        <f t="shared" ref="CD236:CF236" si="1207">MEDIAN(AM236,AP236,AS236,AY236,BB236,AV236,AA236,BE236,BK236,BZ236,BH236,BN236,BQ236,BT236,BW236)</f>
        <v>200</v>
      </c>
      <c r="CE236" s="555">
        <f t="shared" si="1207"/>
        <v>125</v>
      </c>
      <c r="CF236" s="556">
        <f t="shared" si="1207"/>
        <v>83.33</v>
      </c>
      <c r="CG236" s="555">
        <f t="shared" ref="CG236:CI236" si="1208">MAX(AP236,AS236,AV236,BB236,BE236,AY236,CD236,BK236,BZ236,AA236)-MIN(AP236,AS236,AV236,BB236,BE236,AY236,CD236,BK236,BZ236,AA236)</f>
        <v>0</v>
      </c>
      <c r="CH236" s="555">
        <f t="shared" si="1208"/>
        <v>0</v>
      </c>
      <c r="CI236" s="556">
        <f t="shared" si="1208"/>
        <v>0</v>
      </c>
      <c r="CJ236" s="555">
        <f t="shared" ref="CJ236:CL236" si="1209">STDEV(AS236,AV236,AY236,BE236,BK236,BB236,CG236,BZ236,AA236,CD236)</f>
        <v>115.470053837925</v>
      </c>
      <c r="CK236" s="555">
        <f t="shared" si="1209"/>
        <v>72.1687836487032</v>
      </c>
      <c r="CL236" s="556">
        <f t="shared" si="1209"/>
        <v>48.1105979315715</v>
      </c>
      <c r="CM236" s="555">
        <f t="shared" ref="CM236:CO236" si="1210">CJ236/AA236</f>
        <v>0.577350269189626</v>
      </c>
      <c r="CN236" s="555">
        <f t="shared" si="1210"/>
        <v>0.577350269189626</v>
      </c>
      <c r="CO236" s="556">
        <f t="shared" si="1210"/>
        <v>0.577350269189626</v>
      </c>
      <c r="CP236" s="29" t="s">
        <v>120</v>
      </c>
      <c r="CQ236" s="535">
        <f t="shared" si="1132"/>
        <v>2</v>
      </c>
      <c r="CR236" s="29" t="s">
        <v>120</v>
      </c>
      <c r="CS236" s="29" t="s">
        <v>120</v>
      </c>
      <c r="CT236" s="29" t="s">
        <v>120</v>
      </c>
      <c r="CU236" s="29" t="s">
        <v>120</v>
      </c>
      <c r="CV236" s="29" t="s">
        <v>120</v>
      </c>
    </row>
    <row r="237" customHeight="1" spans="1:100">
      <c r="A237" s="29" t="s">
        <v>492</v>
      </c>
      <c r="B237" s="541"/>
      <c r="F237" s="308"/>
      <c r="G237" s="308"/>
      <c r="H237" s="29" t="b">
        <v>0</v>
      </c>
      <c r="I237" s="29" t="b">
        <v>0</v>
      </c>
      <c r="J237" s="29" t="b">
        <v>0</v>
      </c>
      <c r="K237" s="29" t="b">
        <v>0</v>
      </c>
      <c r="L237" s="29" t="b">
        <v>0</v>
      </c>
      <c r="M237" s="29" t="b">
        <v>0</v>
      </c>
      <c r="P237" s="29" t="b">
        <v>0</v>
      </c>
      <c r="Q237" s="29" t="b">
        <v>0</v>
      </c>
      <c r="R237" s="29" t="b">
        <v>0</v>
      </c>
      <c r="S237" s="29" t="b">
        <v>0</v>
      </c>
      <c r="T237" s="29" t="b">
        <f t="shared" si="1106"/>
        <v>0</v>
      </c>
      <c r="U237" s="29" t="s">
        <v>1071</v>
      </c>
      <c r="W237" s="29">
        <v>2</v>
      </c>
      <c r="X237" s="308"/>
      <c r="Y237" s="16" t="s">
        <v>1041</v>
      </c>
      <c r="Z237" s="308"/>
      <c r="AA237" s="554">
        <f t="shared" ref="AA237:AC237" si="1211">AVERAGE(AJ237,AM237,AP237,AV237,AY237,AS237,BZ237,BB237,BE237,BH237,BK237,BN237,BQ237,BT237)</f>
        <v>4</v>
      </c>
      <c r="AB237" s="555">
        <f t="shared" si="1211"/>
        <v>2.5</v>
      </c>
      <c r="AC237" s="556">
        <f t="shared" si="1211"/>
        <v>1.67</v>
      </c>
      <c r="AD237" s="29" t="b">
        <v>0</v>
      </c>
      <c r="AE237" s="29" t="b">
        <v>1</v>
      </c>
      <c r="AF237" s="29" t="b">
        <v>0</v>
      </c>
      <c r="AG237" s="566">
        <f t="shared" ref="AG237:AI237" si="1212">AA237</f>
        <v>4</v>
      </c>
      <c r="AH237" s="567">
        <f t="shared" si="1212"/>
        <v>2.5</v>
      </c>
      <c r="AI237" s="568">
        <f t="shared" si="1212"/>
        <v>1.67</v>
      </c>
      <c r="AJ237" s="567"/>
      <c r="AK237" s="567"/>
      <c r="AL237" s="568"/>
      <c r="AM237" s="567"/>
      <c r="AN237" s="567"/>
      <c r="AO237" s="568"/>
      <c r="AP237" s="569">
        <v>4</v>
      </c>
      <c r="AQ237" s="569">
        <v>2.5</v>
      </c>
      <c r="AR237" s="570">
        <v>1.67</v>
      </c>
      <c r="AS237" s="569"/>
      <c r="AT237" s="569"/>
      <c r="AU237" s="570"/>
      <c r="AV237" s="569"/>
      <c r="AW237" s="567"/>
      <c r="AX237" s="568"/>
      <c r="AY237" s="567"/>
      <c r="AZ237" s="567"/>
      <c r="BA237" s="568"/>
      <c r="BB237" s="567"/>
      <c r="BC237" s="567"/>
      <c r="BD237" s="568"/>
      <c r="BE237" s="567"/>
      <c r="BF237" s="567"/>
      <c r="BG237" s="568"/>
      <c r="BH237" s="567"/>
      <c r="BI237" s="567"/>
      <c r="BJ237" s="568"/>
      <c r="BK237" s="567"/>
      <c r="BL237" s="567"/>
      <c r="BM237" s="568"/>
      <c r="BN237" s="567"/>
      <c r="BO237" s="567"/>
      <c r="BP237" s="568"/>
      <c r="BQ237" s="567"/>
      <c r="BR237" s="567"/>
      <c r="BS237" s="568"/>
      <c r="BT237" s="567"/>
      <c r="BU237" s="567"/>
      <c r="BV237" s="568"/>
      <c r="BW237" s="567"/>
      <c r="BX237" s="567"/>
      <c r="BY237" s="568"/>
      <c r="BZ237" s="567"/>
      <c r="CA237" s="567"/>
      <c r="CB237" s="567"/>
      <c r="CC237" s="583"/>
      <c r="CD237" s="555">
        <f t="shared" ref="CD237:CF237" si="1213">MEDIAN(AM237,AP237,AS237,AY237,BB237,AV237,AA237,BE237,BK237,BZ237,BH237,BN237,BQ237,BT237,BW237)</f>
        <v>4</v>
      </c>
      <c r="CE237" s="555">
        <f t="shared" si="1213"/>
        <v>2.5</v>
      </c>
      <c r="CF237" s="556">
        <f t="shared" si="1213"/>
        <v>1.67</v>
      </c>
      <c r="CG237" s="555">
        <f t="shared" ref="CG237:CI237" si="1214">MAX(AP237,AS237,AV237,BB237,BE237,AY237,CD237,BK237,BZ237,AA237)-MIN(AP237,AS237,AV237,BB237,BE237,AY237,CD237,BK237,BZ237,AA237)</f>
        <v>0</v>
      </c>
      <c r="CH237" s="555">
        <f t="shared" si="1214"/>
        <v>0</v>
      </c>
      <c r="CI237" s="556">
        <f t="shared" si="1214"/>
        <v>0</v>
      </c>
      <c r="CJ237" s="555">
        <f t="shared" ref="CJ237:CL237" si="1215">STDEV(AS237,AV237,AY237,BE237,BK237,BB237,CG237,BZ237,AA237,CD237)</f>
        <v>2.3094010767585</v>
      </c>
      <c r="CK237" s="555">
        <f t="shared" si="1215"/>
        <v>1.44337567297406</v>
      </c>
      <c r="CL237" s="556">
        <f t="shared" si="1215"/>
        <v>0.964174949546675</v>
      </c>
      <c r="CM237" s="555">
        <f t="shared" ref="CM237:CO237" si="1216">CJ237/AA237</f>
        <v>0.577350269189626</v>
      </c>
      <c r="CN237" s="555">
        <f t="shared" si="1216"/>
        <v>0.577350269189626</v>
      </c>
      <c r="CO237" s="556">
        <f t="shared" si="1216"/>
        <v>0.577350269189626</v>
      </c>
      <c r="CP237" s="29" t="s">
        <v>120</v>
      </c>
      <c r="CQ237" s="535">
        <f t="shared" si="1132"/>
        <v>2</v>
      </c>
      <c r="CR237" s="29" t="s">
        <v>120</v>
      </c>
      <c r="CS237" s="29" t="s">
        <v>120</v>
      </c>
      <c r="CT237" s="29" t="s">
        <v>120</v>
      </c>
      <c r="CU237" s="29" t="s">
        <v>120</v>
      </c>
      <c r="CV237" s="29" t="s">
        <v>120</v>
      </c>
    </row>
    <row r="238" customHeight="1" spans="1:100">
      <c r="A238" s="29" t="s">
        <v>493</v>
      </c>
      <c r="B238" s="541"/>
      <c r="F238" s="308"/>
      <c r="G238" s="308"/>
      <c r="H238" s="29" t="b">
        <v>0</v>
      </c>
      <c r="I238" s="29" t="b">
        <v>0</v>
      </c>
      <c r="J238" s="29" t="b">
        <v>0</v>
      </c>
      <c r="K238" s="29" t="b">
        <v>0</v>
      </c>
      <c r="L238" s="29" t="b">
        <v>0</v>
      </c>
      <c r="M238" s="29" t="b">
        <v>0</v>
      </c>
      <c r="P238" s="29" t="b">
        <v>0</v>
      </c>
      <c r="Q238" s="29" t="b">
        <v>0</v>
      </c>
      <c r="R238" s="29" t="b">
        <v>0</v>
      </c>
      <c r="S238" s="29" t="b">
        <v>0</v>
      </c>
      <c r="T238" s="29" t="b">
        <f t="shared" si="1106"/>
        <v>0</v>
      </c>
      <c r="U238" s="29" t="s">
        <v>1071</v>
      </c>
      <c r="W238" s="29">
        <v>2</v>
      </c>
      <c r="X238" s="308"/>
      <c r="Y238" s="16" t="s">
        <v>1041</v>
      </c>
      <c r="Z238" s="308"/>
      <c r="AA238" s="554">
        <f t="shared" ref="AA238:AC238" si="1217">AVERAGE(AJ238,AM238,AP238,AV238,AY238,AS238,BZ238,BB238,BE238,BH238,BK238,BN238,BQ238,BT238)</f>
        <v>175</v>
      </c>
      <c r="AB238" s="555">
        <f t="shared" si="1217"/>
        <v>109.38</v>
      </c>
      <c r="AC238" s="556">
        <f t="shared" si="1217"/>
        <v>72.92</v>
      </c>
      <c r="AD238" s="29" t="b">
        <v>0</v>
      </c>
      <c r="AE238" s="29" t="b">
        <v>1</v>
      </c>
      <c r="AF238" s="29" t="b">
        <v>0</v>
      </c>
      <c r="AG238" s="566">
        <f t="shared" ref="AG238:AI238" si="1218">AA238</f>
        <v>175</v>
      </c>
      <c r="AH238" s="567">
        <f t="shared" si="1218"/>
        <v>109.38</v>
      </c>
      <c r="AI238" s="568">
        <f t="shared" si="1218"/>
        <v>72.92</v>
      </c>
      <c r="AJ238" s="567"/>
      <c r="AK238" s="567"/>
      <c r="AL238" s="568"/>
      <c r="AM238" s="567"/>
      <c r="AN238" s="567"/>
      <c r="AO238" s="568"/>
      <c r="AP238" s="569">
        <v>175</v>
      </c>
      <c r="AQ238" s="569">
        <v>109.38</v>
      </c>
      <c r="AR238" s="570">
        <v>72.92</v>
      </c>
      <c r="AS238" s="569"/>
      <c r="AT238" s="569"/>
      <c r="AU238" s="570"/>
      <c r="AV238" s="569"/>
      <c r="AW238" s="567"/>
      <c r="AX238" s="568"/>
      <c r="AY238" s="567"/>
      <c r="AZ238" s="567"/>
      <c r="BA238" s="568"/>
      <c r="BB238" s="567"/>
      <c r="BC238" s="567"/>
      <c r="BD238" s="568"/>
      <c r="BE238" s="567"/>
      <c r="BF238" s="567"/>
      <c r="BG238" s="568"/>
      <c r="BH238" s="567"/>
      <c r="BI238" s="567"/>
      <c r="BJ238" s="568"/>
      <c r="BK238" s="567"/>
      <c r="BL238" s="567"/>
      <c r="BM238" s="568"/>
      <c r="BN238" s="567"/>
      <c r="BO238" s="567"/>
      <c r="BP238" s="568"/>
      <c r="BQ238" s="567"/>
      <c r="BR238" s="567"/>
      <c r="BS238" s="568"/>
      <c r="BT238" s="567"/>
      <c r="BU238" s="567"/>
      <c r="BV238" s="568"/>
      <c r="BW238" s="567"/>
      <c r="BX238" s="567"/>
      <c r="BY238" s="568"/>
      <c r="BZ238" s="567"/>
      <c r="CA238" s="567"/>
      <c r="CB238" s="567"/>
      <c r="CC238" s="583"/>
      <c r="CD238" s="555">
        <f t="shared" ref="CD238:CF238" si="1219">MEDIAN(AM238,AP238,AS238,AY238,BB238,AV238,AA238,BE238,BK238,BZ238,BH238,BN238,BQ238,BT238,BW238)</f>
        <v>175</v>
      </c>
      <c r="CE238" s="555">
        <f t="shared" si="1219"/>
        <v>109.38</v>
      </c>
      <c r="CF238" s="556">
        <f t="shared" si="1219"/>
        <v>72.92</v>
      </c>
      <c r="CG238" s="555">
        <f t="shared" ref="CG238:CI238" si="1220">MAX(AP238,AS238,AV238,BB238,BE238,AY238,CD238,BK238,BZ238,AA238)-MIN(AP238,AS238,AV238,BB238,BE238,AY238,CD238,BK238,BZ238,AA238)</f>
        <v>0</v>
      </c>
      <c r="CH238" s="555">
        <f t="shared" si="1220"/>
        <v>0</v>
      </c>
      <c r="CI238" s="556">
        <f t="shared" si="1220"/>
        <v>0</v>
      </c>
      <c r="CJ238" s="555">
        <f t="shared" ref="CJ238:CL238" si="1221">STDEV(AS238,AV238,AY238,BE238,BK238,BB238,CG238,BZ238,AA238,CD238)</f>
        <v>101.036297108185</v>
      </c>
      <c r="CK238" s="555">
        <f t="shared" si="1221"/>
        <v>63.1505724439613</v>
      </c>
      <c r="CL238" s="556">
        <f t="shared" si="1221"/>
        <v>42.1003816293075</v>
      </c>
      <c r="CM238" s="555">
        <f t="shared" ref="CM238:CO238" si="1222">CJ238/AA238</f>
        <v>0.577350269189626</v>
      </c>
      <c r="CN238" s="555">
        <f t="shared" si="1222"/>
        <v>0.577350269189626</v>
      </c>
      <c r="CO238" s="556">
        <f t="shared" si="1222"/>
        <v>0.577350269189626</v>
      </c>
      <c r="CP238" s="29" t="s">
        <v>120</v>
      </c>
      <c r="CQ238" s="535">
        <f t="shared" si="1132"/>
        <v>2</v>
      </c>
      <c r="CR238" s="29" t="s">
        <v>120</v>
      </c>
      <c r="CS238" s="29" t="s">
        <v>120</v>
      </c>
      <c r="CT238" s="29" t="s">
        <v>120</v>
      </c>
      <c r="CU238" s="29" t="s">
        <v>120</v>
      </c>
      <c r="CV238" s="29" t="s">
        <v>120</v>
      </c>
    </row>
    <row r="239" customHeight="1" spans="1:100">
      <c r="A239" s="29" t="s">
        <v>494</v>
      </c>
      <c r="B239" s="541"/>
      <c r="F239" s="308"/>
      <c r="G239" s="308"/>
      <c r="H239" s="29" t="b">
        <v>0</v>
      </c>
      <c r="I239" s="29" t="b">
        <v>0</v>
      </c>
      <c r="J239" s="29" t="b">
        <v>0</v>
      </c>
      <c r="K239" s="29" t="b">
        <v>0</v>
      </c>
      <c r="L239" s="29" t="b">
        <v>0</v>
      </c>
      <c r="M239" s="29" t="b">
        <v>0</v>
      </c>
      <c r="P239" s="29" t="b">
        <v>0</v>
      </c>
      <c r="Q239" s="29" t="b">
        <v>0</v>
      </c>
      <c r="R239" s="29" t="b">
        <v>0</v>
      </c>
      <c r="S239" s="29" t="b">
        <v>0</v>
      </c>
      <c r="T239" s="29" t="b">
        <f t="shared" si="1106"/>
        <v>0</v>
      </c>
      <c r="U239" s="29" t="s">
        <v>1071</v>
      </c>
      <c r="W239" s="29">
        <v>2</v>
      </c>
      <c r="X239" s="308"/>
      <c r="Y239" s="16" t="s">
        <v>1041</v>
      </c>
      <c r="Z239" s="308"/>
      <c r="AA239" s="554" t="e">
        <f t="shared" ref="AA239:AC239" si="1223">AVERAGE(AJ239,AM239,AP239,AV239,AY239,AS239,BZ239,BB239,BE239,BH239,BK239,BN239,BQ239,BT239)</f>
        <v>#DIV/0!</v>
      </c>
      <c r="AB239" s="555">
        <f t="shared" si="1223"/>
        <v>0</v>
      </c>
      <c r="AC239" s="556">
        <f t="shared" si="1223"/>
        <v>0</v>
      </c>
      <c r="AD239" s="29" t="b">
        <v>0</v>
      </c>
      <c r="AE239" s="29" t="b">
        <v>1</v>
      </c>
      <c r="AF239" s="29" t="b">
        <v>0</v>
      </c>
      <c r="AG239" s="566" t="e">
        <f t="shared" ref="AG239:AI239" si="1224">AA239</f>
        <v>#DIV/0!</v>
      </c>
      <c r="AH239" s="567">
        <f t="shared" si="1224"/>
        <v>0</v>
      </c>
      <c r="AI239" s="568">
        <f t="shared" si="1224"/>
        <v>0</v>
      </c>
      <c r="AJ239" s="567"/>
      <c r="AK239" s="567"/>
      <c r="AL239" s="568"/>
      <c r="AM239" s="567"/>
      <c r="AN239" s="567"/>
      <c r="AO239" s="568"/>
      <c r="AP239" s="567"/>
      <c r="AQ239" s="569">
        <v>0</v>
      </c>
      <c r="AR239" s="570">
        <v>0</v>
      </c>
      <c r="AS239" s="569"/>
      <c r="AT239" s="569"/>
      <c r="AU239" s="570"/>
      <c r="AV239" s="569"/>
      <c r="AW239" s="567"/>
      <c r="AX239" s="568"/>
      <c r="AY239" s="567"/>
      <c r="AZ239" s="567"/>
      <c r="BA239" s="568"/>
      <c r="BB239" s="567"/>
      <c r="BC239" s="567"/>
      <c r="BD239" s="568"/>
      <c r="BE239" s="567"/>
      <c r="BF239" s="567"/>
      <c r="BG239" s="568"/>
      <c r="BH239" s="567"/>
      <c r="BI239" s="567"/>
      <c r="BJ239" s="568"/>
      <c r="BK239" s="567"/>
      <c r="BL239" s="567"/>
      <c r="BM239" s="568"/>
      <c r="BN239" s="567"/>
      <c r="BO239" s="567"/>
      <c r="BP239" s="568"/>
      <c r="BQ239" s="567"/>
      <c r="BR239" s="567"/>
      <c r="BS239" s="568"/>
      <c r="BT239" s="567"/>
      <c r="BU239" s="567"/>
      <c r="BV239" s="568"/>
      <c r="BW239" s="567"/>
      <c r="BX239" s="567"/>
      <c r="BY239" s="568"/>
      <c r="BZ239" s="567"/>
      <c r="CA239" s="567"/>
      <c r="CB239" s="567"/>
      <c r="CC239" s="583"/>
      <c r="CD239" s="555" t="e">
        <f t="shared" ref="CD239:CF239" si="1225">MEDIAN(AM239,AP239,AS239,AY239,BB239,AV239,AA239,BE239,BK239,BZ239,BH239,BN239,BQ239,BT239,BW239)</f>
        <v>#DIV/0!</v>
      </c>
      <c r="CE239" s="555">
        <f t="shared" si="1225"/>
        <v>0</v>
      </c>
      <c r="CF239" s="556">
        <f t="shared" si="1225"/>
        <v>0</v>
      </c>
      <c r="CG239" s="555" t="e">
        <f t="shared" ref="CG239:CI239" si="1226">MAX(AP239,AS239,AV239,BB239,BE239,AY239,CD239,BK239,BZ239,AA239)-MIN(AP239,AS239,AV239,BB239,BE239,AY239,CD239,BK239,BZ239,AA239)</f>
        <v>#DIV/0!</v>
      </c>
      <c r="CH239" s="555">
        <f t="shared" si="1226"/>
        <v>0</v>
      </c>
      <c r="CI239" s="556">
        <f t="shared" si="1226"/>
        <v>0</v>
      </c>
      <c r="CJ239" s="555" t="e">
        <f t="shared" ref="CJ239:CL239" si="1227">STDEV(AS239,AV239,AY239,BE239,BK239,BB239,CG239,BZ239,AA239,CD239)</f>
        <v>#DIV/0!</v>
      </c>
      <c r="CK239" s="555">
        <f t="shared" si="1227"/>
        <v>0</v>
      </c>
      <c r="CL239" s="556">
        <f t="shared" si="1227"/>
        <v>0</v>
      </c>
      <c r="CM239" s="555" t="e">
        <f t="shared" ref="CM239:CO239" si="1228">CJ239/AA239</f>
        <v>#DIV/0!</v>
      </c>
      <c r="CN239" s="555" t="e">
        <f t="shared" si="1228"/>
        <v>#DIV/0!</v>
      </c>
      <c r="CO239" s="556" t="e">
        <f t="shared" si="1228"/>
        <v>#DIV/0!</v>
      </c>
      <c r="CP239" s="29" t="s">
        <v>120</v>
      </c>
      <c r="CQ239" s="535">
        <f t="shared" si="1132"/>
        <v>2</v>
      </c>
      <c r="CR239" s="29" t="s">
        <v>120</v>
      </c>
      <c r="CS239" s="29" t="s">
        <v>120</v>
      </c>
      <c r="CT239" s="29" t="s">
        <v>120</v>
      </c>
      <c r="CU239" s="29" t="s">
        <v>120</v>
      </c>
      <c r="CV239" s="29" t="s">
        <v>120</v>
      </c>
    </row>
    <row r="240" customHeight="1" spans="1:100">
      <c r="A240" s="29" t="s">
        <v>495</v>
      </c>
      <c r="B240" s="541"/>
      <c r="F240" s="308"/>
      <c r="G240" s="308"/>
      <c r="H240" s="29" t="b">
        <v>0</v>
      </c>
      <c r="I240" s="29" t="b">
        <v>0</v>
      </c>
      <c r="J240" s="29" t="b">
        <v>0</v>
      </c>
      <c r="K240" s="29" t="b">
        <v>0</v>
      </c>
      <c r="L240" s="29" t="b">
        <v>0</v>
      </c>
      <c r="M240" s="29" t="b">
        <v>0</v>
      </c>
      <c r="P240" s="29" t="b">
        <v>0</v>
      </c>
      <c r="Q240" s="29" t="b">
        <v>0</v>
      </c>
      <c r="R240" s="29" t="b">
        <v>0</v>
      </c>
      <c r="S240" s="29" t="b">
        <v>0</v>
      </c>
      <c r="T240" s="29" t="b">
        <f t="shared" si="1106"/>
        <v>0</v>
      </c>
      <c r="U240" s="29" t="s">
        <v>1071</v>
      </c>
      <c r="W240" s="29">
        <v>2</v>
      </c>
      <c r="X240" s="308"/>
      <c r="Y240" s="16" t="s">
        <v>1041</v>
      </c>
      <c r="Z240" s="308"/>
      <c r="AA240" s="554">
        <f t="shared" ref="AA240:AC240" si="1229">AVERAGE(AJ240,AM240,AP240,AV240,AY240,AS240,BZ240,BB240,BE240,BH240,BK240,BN240,BQ240,BT240)</f>
        <v>125</v>
      </c>
      <c r="AB240" s="555">
        <f t="shared" si="1229"/>
        <v>78.13</v>
      </c>
      <c r="AC240" s="556">
        <f t="shared" si="1229"/>
        <v>52.08</v>
      </c>
      <c r="AD240" s="29" t="b">
        <v>0</v>
      </c>
      <c r="AE240" s="29" t="b">
        <v>1</v>
      </c>
      <c r="AF240" s="29" t="b">
        <v>0</v>
      </c>
      <c r="AG240" s="566">
        <f t="shared" ref="AG240:AI240" si="1230">AA240</f>
        <v>125</v>
      </c>
      <c r="AH240" s="567">
        <f t="shared" si="1230"/>
        <v>78.13</v>
      </c>
      <c r="AI240" s="568">
        <f t="shared" si="1230"/>
        <v>52.08</v>
      </c>
      <c r="AJ240" s="567"/>
      <c r="AK240" s="567"/>
      <c r="AL240" s="568"/>
      <c r="AM240" s="567"/>
      <c r="AN240" s="567"/>
      <c r="AO240" s="568"/>
      <c r="AP240" s="569">
        <v>125</v>
      </c>
      <c r="AQ240" s="569">
        <v>78.13</v>
      </c>
      <c r="AR240" s="570">
        <v>52.08</v>
      </c>
      <c r="AS240" s="567"/>
      <c r="AT240" s="567"/>
      <c r="AU240" s="568"/>
      <c r="AV240" s="567"/>
      <c r="AW240" s="567"/>
      <c r="AX240" s="568"/>
      <c r="AY240" s="567"/>
      <c r="AZ240" s="567"/>
      <c r="BA240" s="568"/>
      <c r="BB240" s="567"/>
      <c r="BC240" s="567"/>
      <c r="BD240" s="568"/>
      <c r="BE240" s="567"/>
      <c r="BF240" s="567"/>
      <c r="BG240" s="568"/>
      <c r="BH240" s="567"/>
      <c r="BI240" s="567"/>
      <c r="BJ240" s="568"/>
      <c r="BK240" s="567"/>
      <c r="BL240" s="567"/>
      <c r="BM240" s="568"/>
      <c r="BN240" s="567"/>
      <c r="BO240" s="567"/>
      <c r="BP240" s="568"/>
      <c r="BQ240" s="567"/>
      <c r="BR240" s="567"/>
      <c r="BS240" s="568"/>
      <c r="BT240" s="567"/>
      <c r="BU240" s="567"/>
      <c r="BV240" s="568"/>
      <c r="BW240" s="567"/>
      <c r="BX240" s="567"/>
      <c r="BY240" s="568"/>
      <c r="BZ240" s="567"/>
      <c r="CA240" s="567"/>
      <c r="CB240" s="567"/>
      <c r="CC240" s="583"/>
      <c r="CD240" s="555">
        <f t="shared" ref="CD240:CF240" si="1231">MEDIAN(AM240,AP240,AS240,AY240,BB240,AV240,AA240,BE240,BK240,BZ240,BH240,BN240,BQ240,BT240,BW240)</f>
        <v>125</v>
      </c>
      <c r="CE240" s="555">
        <f t="shared" si="1231"/>
        <v>78.13</v>
      </c>
      <c r="CF240" s="556">
        <f t="shared" si="1231"/>
        <v>52.08</v>
      </c>
      <c r="CG240" s="555">
        <f t="shared" ref="CG240:CI240" si="1232">MAX(AP240,AS240,AV240,BB240,BE240,AY240,CD240,BK240,BZ240,AA240)-MIN(AP240,AS240,AV240,BB240,BE240,AY240,CD240,BK240,BZ240,AA240)</f>
        <v>0</v>
      </c>
      <c r="CH240" s="555">
        <f t="shared" si="1232"/>
        <v>0</v>
      </c>
      <c r="CI240" s="556">
        <f t="shared" si="1232"/>
        <v>0</v>
      </c>
      <c r="CJ240" s="555">
        <f t="shared" ref="CJ240:CL240" si="1233">STDEV(AS240,AV240,AY240,BE240,BK240,BB240,CG240,BZ240,AA240,CD240)</f>
        <v>72.1687836487032</v>
      </c>
      <c r="CK240" s="555">
        <f t="shared" si="1233"/>
        <v>45.1083765317855</v>
      </c>
      <c r="CL240" s="556">
        <f t="shared" si="1233"/>
        <v>30.0684020193957</v>
      </c>
      <c r="CM240" s="555">
        <f t="shared" ref="CM240:CO240" si="1234">CJ240/AA240</f>
        <v>0.577350269189626</v>
      </c>
      <c r="CN240" s="555">
        <f t="shared" si="1234"/>
        <v>0.577350269189626</v>
      </c>
      <c r="CO240" s="556">
        <f t="shared" si="1234"/>
        <v>0.577350269189626</v>
      </c>
      <c r="CP240" s="29" t="s">
        <v>120</v>
      </c>
      <c r="CQ240" s="535">
        <f t="shared" si="1132"/>
        <v>2</v>
      </c>
      <c r="CR240" s="29" t="s">
        <v>120</v>
      </c>
      <c r="CS240" s="29" t="s">
        <v>120</v>
      </c>
      <c r="CT240" s="29" t="s">
        <v>120</v>
      </c>
      <c r="CU240" s="29" t="s">
        <v>120</v>
      </c>
      <c r="CV240" s="29" t="s">
        <v>120</v>
      </c>
    </row>
    <row r="241" customHeight="1" spans="1:100">
      <c r="A241" s="29" t="s">
        <v>496</v>
      </c>
      <c r="B241" s="541"/>
      <c r="F241" s="308"/>
      <c r="G241" s="308"/>
      <c r="H241" s="29" t="b">
        <v>0</v>
      </c>
      <c r="I241" s="29" t="b">
        <v>0</v>
      </c>
      <c r="J241" s="29" t="b">
        <v>0</v>
      </c>
      <c r="K241" s="29" t="b">
        <v>0</v>
      </c>
      <c r="L241" s="29" t="b">
        <v>0</v>
      </c>
      <c r="M241" s="29" t="b">
        <v>0</v>
      </c>
      <c r="P241" s="29" t="b">
        <v>0</v>
      </c>
      <c r="Q241" s="29" t="b">
        <v>0</v>
      </c>
      <c r="R241" s="29" t="b">
        <v>0</v>
      </c>
      <c r="S241" s="29" t="b">
        <v>0</v>
      </c>
      <c r="T241" s="29" t="b">
        <f t="shared" si="1106"/>
        <v>0</v>
      </c>
      <c r="U241" s="29" t="s">
        <v>1071</v>
      </c>
      <c r="W241" s="29">
        <v>2</v>
      </c>
      <c r="X241" s="308"/>
      <c r="Y241" s="16" t="s">
        <v>1041</v>
      </c>
      <c r="Z241" s="308"/>
      <c r="AA241" s="554">
        <f t="shared" ref="AA241:AC241" si="1235">AVERAGE(AJ241,AM241,AP241,AV241,AY241,AS241,BZ241,BB241,BE241,BH241,BK241,BN241,BQ241,BT241)</f>
        <v>200</v>
      </c>
      <c r="AB241" s="555">
        <f t="shared" si="1235"/>
        <v>125</v>
      </c>
      <c r="AC241" s="556">
        <f t="shared" si="1235"/>
        <v>83.33</v>
      </c>
      <c r="AD241" s="29" t="b">
        <v>0</v>
      </c>
      <c r="AE241" s="29" t="b">
        <v>1</v>
      </c>
      <c r="AF241" s="29" t="b">
        <v>0</v>
      </c>
      <c r="AG241" s="566">
        <f t="shared" ref="AG241:AI241" si="1236">AA241</f>
        <v>200</v>
      </c>
      <c r="AH241" s="567">
        <f t="shared" si="1236"/>
        <v>125</v>
      </c>
      <c r="AI241" s="568">
        <f t="shared" si="1236"/>
        <v>83.33</v>
      </c>
      <c r="AJ241" s="567"/>
      <c r="AK241" s="567"/>
      <c r="AL241" s="568"/>
      <c r="AM241" s="567"/>
      <c r="AN241" s="567"/>
      <c r="AO241" s="568"/>
      <c r="AP241" s="569">
        <v>200</v>
      </c>
      <c r="AQ241" s="569">
        <v>125</v>
      </c>
      <c r="AR241" s="570">
        <v>83.33</v>
      </c>
      <c r="AS241" s="567"/>
      <c r="AT241" s="567"/>
      <c r="AU241" s="568"/>
      <c r="AV241" s="567"/>
      <c r="AW241" s="567"/>
      <c r="AX241" s="568"/>
      <c r="AY241" s="567"/>
      <c r="AZ241" s="567"/>
      <c r="BA241" s="568"/>
      <c r="BB241" s="567"/>
      <c r="BC241" s="567"/>
      <c r="BD241" s="568"/>
      <c r="BE241" s="567"/>
      <c r="BF241" s="567"/>
      <c r="BG241" s="568"/>
      <c r="BH241" s="567"/>
      <c r="BI241" s="567"/>
      <c r="BJ241" s="568"/>
      <c r="BK241" s="567"/>
      <c r="BL241" s="567"/>
      <c r="BM241" s="568"/>
      <c r="BN241" s="567"/>
      <c r="BO241" s="567"/>
      <c r="BP241" s="568"/>
      <c r="BQ241" s="567"/>
      <c r="BR241" s="567"/>
      <c r="BS241" s="568"/>
      <c r="BT241" s="567"/>
      <c r="BU241" s="567"/>
      <c r="BV241" s="568"/>
      <c r="BW241" s="567"/>
      <c r="BX241" s="567"/>
      <c r="BY241" s="568"/>
      <c r="BZ241" s="567"/>
      <c r="CA241" s="567"/>
      <c r="CB241" s="567"/>
      <c r="CC241" s="583"/>
      <c r="CD241" s="555">
        <f t="shared" ref="CD241:CF241" si="1237">MEDIAN(AM241,AP241,AS241,AY241,BB241,AV241,AA241,BE241,BK241,BZ241,BH241,BN241,BQ241,BT241,BW241)</f>
        <v>200</v>
      </c>
      <c r="CE241" s="555">
        <f t="shared" si="1237"/>
        <v>125</v>
      </c>
      <c r="CF241" s="556">
        <f t="shared" si="1237"/>
        <v>83.33</v>
      </c>
      <c r="CG241" s="555">
        <f t="shared" ref="CG241:CI241" si="1238">MAX(AP241,AS241,AV241,BB241,BE241,AY241,CD241,BK241,BZ241,AA241)-MIN(AP241,AS241,AV241,BB241,BE241,AY241,CD241,BK241,BZ241,AA241)</f>
        <v>0</v>
      </c>
      <c r="CH241" s="555">
        <f t="shared" si="1238"/>
        <v>0</v>
      </c>
      <c r="CI241" s="556">
        <f t="shared" si="1238"/>
        <v>0</v>
      </c>
      <c r="CJ241" s="555">
        <f t="shared" ref="CJ241:CL241" si="1239">STDEV(AS241,AV241,AY241,BE241,BK241,BB241,CG241,BZ241,AA241,CD241)</f>
        <v>115.470053837925</v>
      </c>
      <c r="CK241" s="555">
        <f t="shared" si="1239"/>
        <v>72.1687836487032</v>
      </c>
      <c r="CL241" s="556">
        <f t="shared" si="1239"/>
        <v>48.1105979315715</v>
      </c>
      <c r="CM241" s="555">
        <f t="shared" ref="CM241:CO241" si="1240">CJ241/AA241</f>
        <v>0.577350269189626</v>
      </c>
      <c r="CN241" s="555">
        <f t="shared" si="1240"/>
        <v>0.577350269189626</v>
      </c>
      <c r="CO241" s="556">
        <f t="shared" si="1240"/>
        <v>0.577350269189626</v>
      </c>
      <c r="CP241" s="29" t="s">
        <v>120</v>
      </c>
      <c r="CQ241" s="535">
        <f t="shared" si="1132"/>
        <v>2</v>
      </c>
      <c r="CR241" s="29" t="s">
        <v>120</v>
      </c>
      <c r="CS241" s="29" t="s">
        <v>120</v>
      </c>
      <c r="CT241" s="29" t="s">
        <v>120</v>
      </c>
      <c r="CU241" s="29" t="s">
        <v>120</v>
      </c>
      <c r="CV241" s="29" t="s">
        <v>120</v>
      </c>
    </row>
    <row r="242" customHeight="1" spans="1:100">
      <c r="A242" s="29" t="s">
        <v>497</v>
      </c>
      <c r="B242" s="541"/>
      <c r="F242" s="308"/>
      <c r="G242" s="308"/>
      <c r="H242" s="29" t="b">
        <v>0</v>
      </c>
      <c r="I242" s="29" t="b">
        <v>0</v>
      </c>
      <c r="J242" s="29" t="b">
        <v>0</v>
      </c>
      <c r="K242" s="29" t="b">
        <v>0</v>
      </c>
      <c r="L242" s="29" t="b">
        <v>0</v>
      </c>
      <c r="M242" s="29" t="b">
        <v>0</v>
      </c>
      <c r="P242" s="29" t="b">
        <v>0</v>
      </c>
      <c r="Q242" s="29" t="b">
        <v>0</v>
      </c>
      <c r="R242" s="29" t="b">
        <v>0</v>
      </c>
      <c r="S242" s="29" t="b">
        <v>0</v>
      </c>
      <c r="T242" s="29" t="b">
        <f t="shared" si="1106"/>
        <v>0</v>
      </c>
      <c r="U242" s="29" t="s">
        <v>1071</v>
      </c>
      <c r="W242" s="29">
        <v>2</v>
      </c>
      <c r="X242" s="308"/>
      <c r="Y242" s="16" t="s">
        <v>1041</v>
      </c>
      <c r="Z242" s="308"/>
      <c r="AA242" s="554">
        <f t="shared" ref="AA242:AC242" si="1241">AVERAGE(AJ242,AM242,AP242,AV242,AY242,AS242,BZ242,BB242,BE242,BH242,BK242,BN242,BQ242,BT242)</f>
        <v>1.33</v>
      </c>
      <c r="AB242" s="555">
        <f t="shared" si="1241"/>
        <v>0.83</v>
      </c>
      <c r="AC242" s="556">
        <f t="shared" si="1241"/>
        <v>0.55</v>
      </c>
      <c r="AD242" s="29" t="b">
        <v>0</v>
      </c>
      <c r="AE242" s="29" t="b">
        <v>1</v>
      </c>
      <c r="AF242" s="29" t="b">
        <v>0</v>
      </c>
      <c r="AG242" s="566">
        <f t="shared" ref="AG242:AI242" si="1242">AA242</f>
        <v>1.33</v>
      </c>
      <c r="AH242" s="567">
        <f t="shared" si="1242"/>
        <v>0.83</v>
      </c>
      <c r="AI242" s="568">
        <f t="shared" si="1242"/>
        <v>0.55</v>
      </c>
      <c r="AJ242" s="567"/>
      <c r="AK242" s="567"/>
      <c r="AL242" s="568"/>
      <c r="AM242" s="567"/>
      <c r="AN242" s="567"/>
      <c r="AO242" s="568"/>
      <c r="AP242" s="569">
        <v>1.33</v>
      </c>
      <c r="AQ242" s="569">
        <v>0.83</v>
      </c>
      <c r="AR242" s="570">
        <v>0.55</v>
      </c>
      <c r="AS242" s="567"/>
      <c r="AT242" s="567"/>
      <c r="AU242" s="568"/>
      <c r="AV242" s="567"/>
      <c r="AW242" s="567"/>
      <c r="AX242" s="568"/>
      <c r="AY242" s="567"/>
      <c r="AZ242" s="567"/>
      <c r="BA242" s="568"/>
      <c r="BB242" s="567"/>
      <c r="BC242" s="567"/>
      <c r="BD242" s="568"/>
      <c r="BE242" s="567"/>
      <c r="BF242" s="567"/>
      <c r="BG242" s="568"/>
      <c r="BH242" s="567"/>
      <c r="BI242" s="567"/>
      <c r="BJ242" s="568"/>
      <c r="BK242" s="567"/>
      <c r="BL242" s="567"/>
      <c r="BM242" s="568"/>
      <c r="BN242" s="567"/>
      <c r="BO242" s="567"/>
      <c r="BP242" s="568"/>
      <c r="BQ242" s="567"/>
      <c r="BR242" s="567"/>
      <c r="BS242" s="568"/>
      <c r="BT242" s="567"/>
      <c r="BU242" s="567"/>
      <c r="BV242" s="568"/>
      <c r="BW242" s="567"/>
      <c r="BX242" s="567"/>
      <c r="BY242" s="568"/>
      <c r="BZ242" s="567"/>
      <c r="CA242" s="567"/>
      <c r="CB242" s="567"/>
      <c r="CC242" s="583"/>
      <c r="CD242" s="555">
        <f t="shared" ref="CD242:CF242" si="1243">MEDIAN(AM242,AP242,AS242,AY242,BB242,AV242,AA242,BE242,BK242,BZ242,BH242,BN242,BQ242,BT242,BW242)</f>
        <v>1.33</v>
      </c>
      <c r="CE242" s="555">
        <f t="shared" si="1243"/>
        <v>0.83</v>
      </c>
      <c r="CF242" s="556">
        <f t="shared" si="1243"/>
        <v>0.55</v>
      </c>
      <c r="CG242" s="555">
        <f t="shared" ref="CG242:CI242" si="1244">MAX(AP242,AS242,AV242,BB242,BE242,AY242,CD242,BK242,BZ242,AA242)-MIN(AP242,AS242,AV242,BB242,BE242,AY242,CD242,BK242,BZ242,AA242)</f>
        <v>0</v>
      </c>
      <c r="CH242" s="555">
        <f t="shared" si="1244"/>
        <v>0</v>
      </c>
      <c r="CI242" s="556">
        <f t="shared" si="1244"/>
        <v>0</v>
      </c>
      <c r="CJ242" s="555">
        <f t="shared" ref="CJ242:CL242" si="1245">STDEV(AS242,AV242,AY242,BE242,BK242,BB242,CG242,BZ242,AA242,CD242)</f>
        <v>0.767875858022202</v>
      </c>
      <c r="CK242" s="555">
        <f t="shared" si="1245"/>
        <v>0.479200723427389</v>
      </c>
      <c r="CL242" s="556">
        <f t="shared" si="1245"/>
        <v>0.317542648054294</v>
      </c>
      <c r="CM242" s="555">
        <f t="shared" ref="CM242:CO242" si="1246">CJ242/AA242</f>
        <v>0.577350269189626</v>
      </c>
      <c r="CN242" s="555">
        <f t="shared" si="1246"/>
        <v>0.577350269189626</v>
      </c>
      <c r="CO242" s="556">
        <f t="shared" si="1246"/>
        <v>0.577350269189626</v>
      </c>
      <c r="CP242" s="29" t="s">
        <v>120</v>
      </c>
      <c r="CQ242" s="535">
        <f t="shared" si="1132"/>
        <v>2</v>
      </c>
      <c r="CR242" s="29" t="s">
        <v>120</v>
      </c>
      <c r="CS242" s="29" t="s">
        <v>120</v>
      </c>
      <c r="CT242" s="29" t="s">
        <v>120</v>
      </c>
      <c r="CU242" s="29" t="s">
        <v>120</v>
      </c>
      <c r="CV242" s="29" t="s">
        <v>120</v>
      </c>
    </row>
    <row r="243" customHeight="1" spans="1:100">
      <c r="A243" s="29" t="s">
        <v>498</v>
      </c>
      <c r="B243" s="541"/>
      <c r="F243" s="308"/>
      <c r="G243" s="308"/>
      <c r="H243" s="29" t="b">
        <v>0</v>
      </c>
      <c r="I243" s="29" t="b">
        <v>0</v>
      </c>
      <c r="J243" s="29" t="b">
        <v>0</v>
      </c>
      <c r="K243" s="29" t="b">
        <v>0</v>
      </c>
      <c r="L243" s="29" t="b">
        <v>0</v>
      </c>
      <c r="M243" s="29" t="b">
        <v>0</v>
      </c>
      <c r="P243" s="29" t="b">
        <v>0</v>
      </c>
      <c r="Q243" s="29" t="b">
        <v>0</v>
      </c>
      <c r="R243" s="29" t="b">
        <v>0</v>
      </c>
      <c r="S243" s="29" t="b">
        <v>0</v>
      </c>
      <c r="T243" s="29" t="b">
        <f t="shared" si="1106"/>
        <v>0</v>
      </c>
      <c r="U243" s="29" t="s">
        <v>1071</v>
      </c>
      <c r="W243" s="29">
        <v>2</v>
      </c>
      <c r="X243" s="308"/>
      <c r="Y243" s="16" t="s">
        <v>1041</v>
      </c>
      <c r="Z243" s="308"/>
      <c r="AA243" s="554">
        <f t="shared" ref="AA243:AC243" si="1247">AVERAGE(AJ243,AM243,AP243,AV243,AY243,AS243,BZ243,BB243,BE243,BH243,BK243,BN243,BQ243,BT243)</f>
        <v>4</v>
      </c>
      <c r="AB243" s="555">
        <f t="shared" si="1247"/>
        <v>2.5</v>
      </c>
      <c r="AC243" s="556">
        <f t="shared" si="1247"/>
        <v>1.67</v>
      </c>
      <c r="AD243" s="29" t="b">
        <v>0</v>
      </c>
      <c r="AE243" s="29" t="b">
        <v>1</v>
      </c>
      <c r="AF243" s="29" t="b">
        <v>0</v>
      </c>
      <c r="AG243" s="566">
        <f t="shared" ref="AG243:AI243" si="1248">AA243</f>
        <v>4</v>
      </c>
      <c r="AH243" s="567">
        <f t="shared" si="1248"/>
        <v>2.5</v>
      </c>
      <c r="AI243" s="568">
        <f t="shared" si="1248"/>
        <v>1.67</v>
      </c>
      <c r="AJ243" s="567"/>
      <c r="AK243" s="567"/>
      <c r="AL243" s="568"/>
      <c r="AM243" s="567"/>
      <c r="AN243" s="567"/>
      <c r="AO243" s="568"/>
      <c r="AP243" s="569">
        <v>4</v>
      </c>
      <c r="AQ243" s="569">
        <v>2.5</v>
      </c>
      <c r="AR243" s="570">
        <v>1.67</v>
      </c>
      <c r="AS243" s="567"/>
      <c r="AT243" s="567"/>
      <c r="AU243" s="568"/>
      <c r="AV243" s="567"/>
      <c r="AW243" s="567"/>
      <c r="AX243" s="568"/>
      <c r="AY243" s="567"/>
      <c r="AZ243" s="567"/>
      <c r="BA243" s="568"/>
      <c r="BB243" s="567"/>
      <c r="BC243" s="567"/>
      <c r="BD243" s="568"/>
      <c r="BE243" s="567"/>
      <c r="BF243" s="567"/>
      <c r="BG243" s="568"/>
      <c r="BH243" s="567"/>
      <c r="BI243" s="567"/>
      <c r="BJ243" s="568"/>
      <c r="BK243" s="567"/>
      <c r="BL243" s="567"/>
      <c r="BM243" s="568"/>
      <c r="BN243" s="567"/>
      <c r="BO243" s="567"/>
      <c r="BP243" s="568"/>
      <c r="BQ243" s="567"/>
      <c r="BR243" s="567"/>
      <c r="BS243" s="568"/>
      <c r="BT243" s="567"/>
      <c r="BU243" s="567"/>
      <c r="BV243" s="568"/>
      <c r="BW243" s="567"/>
      <c r="BX243" s="567"/>
      <c r="BY243" s="568"/>
      <c r="BZ243" s="567"/>
      <c r="CA243" s="567"/>
      <c r="CB243" s="567"/>
      <c r="CC243" s="583"/>
      <c r="CD243" s="555">
        <f t="shared" ref="CD243:CF243" si="1249">MEDIAN(AM243,AP243,AS243,AY243,BB243,AV243,AA243,BE243,BK243,BZ243,BH243,BN243,BQ243,BT243,BW243)</f>
        <v>4</v>
      </c>
      <c r="CE243" s="555">
        <f t="shared" si="1249"/>
        <v>2.5</v>
      </c>
      <c r="CF243" s="556">
        <f t="shared" si="1249"/>
        <v>1.67</v>
      </c>
      <c r="CG243" s="555">
        <f t="shared" ref="CG243:CI243" si="1250">MAX(AP243,AS243,AV243,BB243,BE243,AY243,CD243,BK243,BZ243,AA243)-MIN(AP243,AS243,AV243,BB243,BE243,AY243,CD243,BK243,BZ243,AA243)</f>
        <v>0</v>
      </c>
      <c r="CH243" s="555">
        <f t="shared" si="1250"/>
        <v>0</v>
      </c>
      <c r="CI243" s="556">
        <f t="shared" si="1250"/>
        <v>0</v>
      </c>
      <c r="CJ243" s="555">
        <f t="shared" ref="CJ243:CL243" si="1251">STDEV(AS243,AV243,AY243,BE243,BK243,BB243,CG243,BZ243,AA243,CD243)</f>
        <v>2.3094010767585</v>
      </c>
      <c r="CK243" s="555">
        <f t="shared" si="1251"/>
        <v>1.44337567297406</v>
      </c>
      <c r="CL243" s="556">
        <f t="shared" si="1251"/>
        <v>0.964174949546675</v>
      </c>
      <c r="CM243" s="555">
        <f t="shared" ref="CM243:CO243" si="1252">CJ243/AA243</f>
        <v>0.577350269189626</v>
      </c>
      <c r="CN243" s="555">
        <f t="shared" si="1252"/>
        <v>0.577350269189626</v>
      </c>
      <c r="CO243" s="556">
        <f t="shared" si="1252"/>
        <v>0.577350269189626</v>
      </c>
      <c r="CP243" s="29" t="s">
        <v>120</v>
      </c>
      <c r="CQ243" s="535">
        <f t="shared" si="1132"/>
        <v>2</v>
      </c>
      <c r="CR243" s="29" t="s">
        <v>120</v>
      </c>
      <c r="CS243" s="29" t="s">
        <v>120</v>
      </c>
      <c r="CT243" s="29" t="s">
        <v>120</v>
      </c>
      <c r="CU243" s="29" t="s">
        <v>120</v>
      </c>
      <c r="CV243" s="29" t="s">
        <v>120</v>
      </c>
    </row>
    <row r="244" customHeight="1" spans="1:100">
      <c r="A244" s="29" t="s">
        <v>323</v>
      </c>
      <c r="B244" s="541"/>
      <c r="F244" s="308"/>
      <c r="G244" s="308"/>
      <c r="H244" s="29" t="b">
        <v>0</v>
      </c>
      <c r="I244" s="29" t="b">
        <v>0</v>
      </c>
      <c r="J244" s="29" t="b">
        <v>0</v>
      </c>
      <c r="K244" s="29" t="b">
        <v>0</v>
      </c>
      <c r="L244" s="29" t="b">
        <v>0</v>
      </c>
      <c r="M244" s="29" t="b">
        <v>0</v>
      </c>
      <c r="P244" s="29" t="b">
        <v>0</v>
      </c>
      <c r="Q244" s="29" t="b">
        <v>0</v>
      </c>
      <c r="R244" s="29" t="b">
        <v>0</v>
      </c>
      <c r="S244" s="29" t="b">
        <v>0</v>
      </c>
      <c r="T244" s="29" t="b">
        <f t="shared" si="1106"/>
        <v>0</v>
      </c>
      <c r="U244" s="29" t="s">
        <v>1071</v>
      </c>
      <c r="W244" s="29">
        <v>2</v>
      </c>
      <c r="X244" s="308"/>
      <c r="Y244" s="16" t="s">
        <v>1041</v>
      </c>
      <c r="Z244" s="308"/>
      <c r="AA244" s="554">
        <f t="shared" ref="AA244:AC244" si="1253">AVERAGE(AJ244,AM244,AP244,AV244,AY244,AS244,BZ244,BB244,BE244,BH244,BK244,BN244,BQ244,BT244)</f>
        <v>1</v>
      </c>
      <c r="AB244" s="555">
        <f t="shared" si="1253"/>
        <v>0.63</v>
      </c>
      <c r="AC244" s="556">
        <f t="shared" si="1253"/>
        <v>0.42</v>
      </c>
      <c r="AD244" s="29" t="b">
        <v>0</v>
      </c>
      <c r="AE244" s="29" t="b">
        <v>1</v>
      </c>
      <c r="AF244" s="29" t="b">
        <v>0</v>
      </c>
      <c r="AG244" s="566">
        <f t="shared" ref="AG244:AI244" si="1254">AA244</f>
        <v>1</v>
      </c>
      <c r="AH244" s="567">
        <f t="shared" si="1254"/>
        <v>0.63</v>
      </c>
      <c r="AI244" s="568">
        <f t="shared" si="1254"/>
        <v>0.42</v>
      </c>
      <c r="AJ244" s="567"/>
      <c r="AK244" s="567"/>
      <c r="AL244" s="568"/>
      <c r="AM244" s="567"/>
      <c r="AN244" s="567"/>
      <c r="AO244" s="568"/>
      <c r="AP244" s="569">
        <v>1</v>
      </c>
      <c r="AQ244" s="569">
        <v>0.63</v>
      </c>
      <c r="AR244" s="570">
        <v>0.42</v>
      </c>
      <c r="AS244" s="567"/>
      <c r="AT244" s="567"/>
      <c r="AU244" s="568"/>
      <c r="AV244" s="567"/>
      <c r="AW244" s="567"/>
      <c r="AX244" s="568"/>
      <c r="AY244" s="567"/>
      <c r="AZ244" s="567"/>
      <c r="BA244" s="568"/>
      <c r="BB244" s="567"/>
      <c r="BC244" s="567"/>
      <c r="BD244" s="568"/>
      <c r="BE244" s="567"/>
      <c r="BF244" s="567"/>
      <c r="BG244" s="568"/>
      <c r="BH244" s="567"/>
      <c r="BI244" s="567"/>
      <c r="BJ244" s="568"/>
      <c r="BK244" s="567"/>
      <c r="BL244" s="567"/>
      <c r="BM244" s="568"/>
      <c r="BN244" s="567"/>
      <c r="BO244" s="567"/>
      <c r="BP244" s="568"/>
      <c r="BQ244" s="567"/>
      <c r="BR244" s="567"/>
      <c r="BS244" s="568"/>
      <c r="BT244" s="567"/>
      <c r="BU244" s="567"/>
      <c r="BV244" s="568"/>
      <c r="BW244" s="567"/>
      <c r="BX244" s="567"/>
      <c r="BY244" s="568"/>
      <c r="BZ244" s="567"/>
      <c r="CA244" s="567"/>
      <c r="CB244" s="567"/>
      <c r="CC244" s="583"/>
      <c r="CD244" s="555">
        <f t="shared" ref="CD244:CF244" si="1255">MEDIAN(AM244,AP244,AS244,AY244,BB244,AV244,AA244,BE244,BK244,BZ244,BH244,BN244,BQ244,BT244,BW244)</f>
        <v>1</v>
      </c>
      <c r="CE244" s="555">
        <f t="shared" si="1255"/>
        <v>0.63</v>
      </c>
      <c r="CF244" s="556">
        <f t="shared" si="1255"/>
        <v>0.42</v>
      </c>
      <c r="CG244" s="555">
        <f t="shared" ref="CG244:CI244" si="1256">MAX(AP244,AS244,AV244,BB244,BE244,AY244,CD244,BK244,BZ244,AA244)-MIN(AP244,AS244,AV244,BB244,BE244,AY244,CD244,BK244,BZ244,AA244)</f>
        <v>0</v>
      </c>
      <c r="CH244" s="555">
        <f t="shared" si="1256"/>
        <v>0</v>
      </c>
      <c r="CI244" s="556">
        <f t="shared" si="1256"/>
        <v>0</v>
      </c>
      <c r="CJ244" s="555">
        <f t="shared" ref="CJ244:CL244" si="1257">STDEV(AS244,AV244,AY244,BE244,BK244,BB244,CG244,BZ244,AA244,CD244)</f>
        <v>0.577350269189626</v>
      </c>
      <c r="CK244" s="555">
        <f t="shared" si="1257"/>
        <v>0.363730669589464</v>
      </c>
      <c r="CL244" s="556">
        <f t="shared" si="1257"/>
        <v>0.242487113059643</v>
      </c>
      <c r="CM244" s="555">
        <f t="shared" ref="CM244:CO244" si="1258">CJ244/AA244</f>
        <v>0.577350269189626</v>
      </c>
      <c r="CN244" s="555">
        <f t="shared" si="1258"/>
        <v>0.577350269189626</v>
      </c>
      <c r="CO244" s="556">
        <f t="shared" si="1258"/>
        <v>0.577350269189626</v>
      </c>
      <c r="CP244" s="29" t="s">
        <v>120</v>
      </c>
      <c r="CQ244" s="535">
        <f t="shared" si="1132"/>
        <v>2</v>
      </c>
      <c r="CR244" s="29" t="s">
        <v>120</v>
      </c>
      <c r="CS244" s="29" t="s">
        <v>120</v>
      </c>
      <c r="CT244" s="29" t="s">
        <v>120</v>
      </c>
      <c r="CU244" s="29" t="s">
        <v>120</v>
      </c>
      <c r="CV244" s="29" t="s">
        <v>120</v>
      </c>
    </row>
    <row r="245" customHeight="1" spans="1:100">
      <c r="A245" s="29" t="s">
        <v>499</v>
      </c>
      <c r="B245" s="541"/>
      <c r="F245" s="308"/>
      <c r="G245" s="308"/>
      <c r="H245" s="29" t="b">
        <v>0</v>
      </c>
      <c r="I245" s="29" t="b">
        <v>0</v>
      </c>
      <c r="J245" s="29" t="b">
        <v>0</v>
      </c>
      <c r="K245" s="29" t="b">
        <v>0</v>
      </c>
      <c r="L245" s="29" t="b">
        <v>0</v>
      </c>
      <c r="M245" s="29" t="b">
        <v>0</v>
      </c>
      <c r="P245" s="29" t="b">
        <v>0</v>
      </c>
      <c r="Q245" s="29" t="b">
        <v>0</v>
      </c>
      <c r="R245" s="29" t="b">
        <v>0</v>
      </c>
      <c r="S245" s="29" t="b">
        <v>0</v>
      </c>
      <c r="T245" s="29" t="b">
        <f t="shared" si="1106"/>
        <v>0</v>
      </c>
      <c r="U245" s="29" t="s">
        <v>1071</v>
      </c>
      <c r="W245" s="29">
        <v>2</v>
      </c>
      <c r="X245" s="308"/>
      <c r="Y245" s="16" t="s">
        <v>1041</v>
      </c>
      <c r="Z245" s="308"/>
      <c r="AA245" s="554">
        <f t="shared" ref="AA245:AC245" si="1259">AVERAGE(AJ245,AM245,AP245,AV245,AY245,AS245,BZ245,BB245,BE245,BH245,BK245,BN245,BQ245,BT245)</f>
        <v>0.33</v>
      </c>
      <c r="AB245" s="555">
        <f t="shared" si="1259"/>
        <v>0.21</v>
      </c>
      <c r="AC245" s="556">
        <f t="shared" si="1259"/>
        <v>0.14</v>
      </c>
      <c r="AD245" s="29" t="b">
        <v>0</v>
      </c>
      <c r="AE245" s="29" t="b">
        <v>1</v>
      </c>
      <c r="AF245" s="29" t="b">
        <v>0</v>
      </c>
      <c r="AG245" s="566">
        <f t="shared" ref="AG245:AI245" si="1260">AA245</f>
        <v>0.33</v>
      </c>
      <c r="AH245" s="567">
        <f t="shared" si="1260"/>
        <v>0.21</v>
      </c>
      <c r="AI245" s="568">
        <f t="shared" si="1260"/>
        <v>0.14</v>
      </c>
      <c r="AJ245" s="567"/>
      <c r="AK245" s="567"/>
      <c r="AL245" s="568"/>
      <c r="AM245" s="567"/>
      <c r="AN245" s="567"/>
      <c r="AO245" s="568"/>
      <c r="AP245" s="569">
        <v>0.33</v>
      </c>
      <c r="AQ245" s="569">
        <v>0.21</v>
      </c>
      <c r="AR245" s="570">
        <v>0.14</v>
      </c>
      <c r="AS245" s="567"/>
      <c r="AT245" s="567"/>
      <c r="AU245" s="568"/>
      <c r="AV245" s="567"/>
      <c r="AW245" s="567"/>
      <c r="AX245" s="568"/>
      <c r="AY245" s="567"/>
      <c r="AZ245" s="567"/>
      <c r="BA245" s="568"/>
      <c r="BB245" s="567"/>
      <c r="BC245" s="567"/>
      <c r="BD245" s="568"/>
      <c r="BE245" s="567"/>
      <c r="BF245" s="567"/>
      <c r="BG245" s="568"/>
      <c r="BH245" s="567"/>
      <c r="BI245" s="567"/>
      <c r="BJ245" s="568"/>
      <c r="BK245" s="567"/>
      <c r="BL245" s="567"/>
      <c r="BM245" s="568"/>
      <c r="BN245" s="567"/>
      <c r="BO245" s="567"/>
      <c r="BP245" s="568"/>
      <c r="BQ245" s="567"/>
      <c r="BR245" s="567"/>
      <c r="BS245" s="568"/>
      <c r="BT245" s="567"/>
      <c r="BU245" s="567"/>
      <c r="BV245" s="568"/>
      <c r="BW245" s="567"/>
      <c r="BX245" s="567"/>
      <c r="BY245" s="568"/>
      <c r="BZ245" s="567"/>
      <c r="CA245" s="567"/>
      <c r="CB245" s="567"/>
      <c r="CC245" s="583"/>
      <c r="CD245" s="555">
        <f t="shared" ref="CD245:CF245" si="1261">MEDIAN(AM245,AP245,AS245,AY245,BB245,AV245,AA245,BE245,BK245,BZ245,BH245,BN245,BQ245,BT245,BW245)</f>
        <v>0.33</v>
      </c>
      <c r="CE245" s="555">
        <f t="shared" si="1261"/>
        <v>0.21</v>
      </c>
      <c r="CF245" s="556">
        <f t="shared" si="1261"/>
        <v>0.14</v>
      </c>
      <c r="CG245" s="555">
        <f t="shared" ref="CG245:CI245" si="1262">MAX(AP245,AS245,AV245,BB245,BE245,AY245,CD245,BK245,BZ245,AA245)-MIN(AP245,AS245,AV245,BB245,BE245,AY245,CD245,BK245,BZ245,AA245)</f>
        <v>0</v>
      </c>
      <c r="CH245" s="555">
        <f t="shared" si="1262"/>
        <v>0</v>
      </c>
      <c r="CI245" s="556">
        <f t="shared" si="1262"/>
        <v>0</v>
      </c>
      <c r="CJ245" s="555">
        <f t="shared" ref="CJ245:CL245" si="1263">STDEV(AS245,AV245,AY245,BE245,BK245,BB245,CG245,BZ245,AA245,CD245)</f>
        <v>0.190525588832577</v>
      </c>
      <c r="CK245" s="555">
        <f t="shared" si="1263"/>
        <v>0.121243556529821</v>
      </c>
      <c r="CL245" s="556">
        <f t="shared" si="1263"/>
        <v>0.0808290376865476</v>
      </c>
      <c r="CM245" s="555">
        <f t="shared" ref="CM245:CO245" si="1264">CJ245/AA245</f>
        <v>0.577350269189626</v>
      </c>
      <c r="CN245" s="555">
        <f t="shared" si="1264"/>
        <v>0.577350269189626</v>
      </c>
      <c r="CO245" s="556">
        <f t="shared" si="1264"/>
        <v>0.577350269189626</v>
      </c>
      <c r="CP245" s="29" t="s">
        <v>120</v>
      </c>
      <c r="CQ245" s="535">
        <f t="shared" si="1132"/>
        <v>2</v>
      </c>
      <c r="CR245" s="29" t="s">
        <v>120</v>
      </c>
      <c r="CS245" s="29" t="s">
        <v>120</v>
      </c>
      <c r="CT245" s="29" t="s">
        <v>120</v>
      </c>
      <c r="CU245" s="29" t="s">
        <v>120</v>
      </c>
      <c r="CV245" s="29" t="s">
        <v>120</v>
      </c>
    </row>
    <row r="246" customHeight="1" spans="1:100">
      <c r="A246" s="29" t="s">
        <v>496</v>
      </c>
      <c r="B246" s="541"/>
      <c r="F246" s="308"/>
      <c r="G246" s="308"/>
      <c r="H246" s="29" t="b">
        <v>0</v>
      </c>
      <c r="I246" s="29" t="b">
        <v>0</v>
      </c>
      <c r="J246" s="29" t="b">
        <v>0</v>
      </c>
      <c r="K246" s="29" t="b">
        <v>0</v>
      </c>
      <c r="L246" s="29" t="b">
        <v>0</v>
      </c>
      <c r="M246" s="29" t="b">
        <v>0</v>
      </c>
      <c r="P246" s="29" t="b">
        <v>0</v>
      </c>
      <c r="Q246" s="29" t="b">
        <v>0</v>
      </c>
      <c r="R246" s="29" t="b">
        <v>0</v>
      </c>
      <c r="S246" s="29" t="b">
        <v>0</v>
      </c>
      <c r="T246" s="29" t="b">
        <f t="shared" si="1106"/>
        <v>0</v>
      </c>
      <c r="U246" s="29" t="s">
        <v>1071</v>
      </c>
      <c r="W246" s="29">
        <v>2</v>
      </c>
      <c r="X246" s="308"/>
      <c r="Y246" s="16" t="s">
        <v>1041</v>
      </c>
      <c r="Z246" s="308"/>
      <c r="AA246" s="554">
        <f t="shared" ref="AA246:AC246" si="1265">AVERAGE(AJ246,AM246,AP246,AV246,AY246,AS246,BZ246,BB246,BE246,BH246,BK246,BN246,BQ246,BT246)</f>
        <v>100</v>
      </c>
      <c r="AB246" s="555">
        <f t="shared" si="1265"/>
        <v>62.5</v>
      </c>
      <c r="AC246" s="556">
        <f t="shared" si="1265"/>
        <v>41.67</v>
      </c>
      <c r="AD246" s="29" t="b">
        <v>0</v>
      </c>
      <c r="AE246" s="29" t="b">
        <v>1</v>
      </c>
      <c r="AF246" s="29" t="b">
        <v>0</v>
      </c>
      <c r="AG246" s="566">
        <f t="shared" ref="AG246:AI246" si="1266">AA246</f>
        <v>100</v>
      </c>
      <c r="AH246" s="567">
        <f t="shared" si="1266"/>
        <v>62.5</v>
      </c>
      <c r="AI246" s="568">
        <f t="shared" si="1266"/>
        <v>41.67</v>
      </c>
      <c r="AJ246" s="567"/>
      <c r="AK246" s="567"/>
      <c r="AL246" s="568"/>
      <c r="AM246" s="567"/>
      <c r="AN246" s="567"/>
      <c r="AO246" s="568"/>
      <c r="AP246" s="569">
        <v>100</v>
      </c>
      <c r="AQ246" s="569">
        <v>62.5</v>
      </c>
      <c r="AR246" s="570">
        <v>41.67</v>
      </c>
      <c r="AS246" s="567"/>
      <c r="AT246" s="567"/>
      <c r="AU246" s="568"/>
      <c r="AV246" s="567"/>
      <c r="AW246" s="567"/>
      <c r="AX246" s="568"/>
      <c r="AY246" s="567"/>
      <c r="AZ246" s="567"/>
      <c r="BA246" s="568"/>
      <c r="BB246" s="567"/>
      <c r="BC246" s="567"/>
      <c r="BD246" s="568"/>
      <c r="BE246" s="567"/>
      <c r="BF246" s="567"/>
      <c r="BG246" s="568"/>
      <c r="BH246" s="567"/>
      <c r="BI246" s="567"/>
      <c r="BJ246" s="568"/>
      <c r="BK246" s="567"/>
      <c r="BL246" s="567"/>
      <c r="BM246" s="568"/>
      <c r="BN246" s="567"/>
      <c r="BO246" s="567"/>
      <c r="BP246" s="568"/>
      <c r="BQ246" s="567"/>
      <c r="BR246" s="567"/>
      <c r="BS246" s="568"/>
      <c r="BT246" s="567"/>
      <c r="BU246" s="567"/>
      <c r="BV246" s="568"/>
      <c r="BW246" s="567"/>
      <c r="BX246" s="567"/>
      <c r="BY246" s="568"/>
      <c r="BZ246" s="567"/>
      <c r="CA246" s="567"/>
      <c r="CB246" s="567"/>
      <c r="CC246" s="583"/>
      <c r="CD246" s="555">
        <f t="shared" ref="CD246:CF246" si="1267">MEDIAN(AM246,AP246,AS246,AY246,BB246,AV246,AA246,BE246,BK246,BZ246,BH246,BN246,BQ246,BT246,BW246)</f>
        <v>100</v>
      </c>
      <c r="CE246" s="555">
        <f t="shared" si="1267"/>
        <v>62.5</v>
      </c>
      <c r="CF246" s="556">
        <f t="shared" si="1267"/>
        <v>41.67</v>
      </c>
      <c r="CG246" s="555">
        <f t="shared" ref="CG246:CI246" si="1268">MAX(AP246,AS246,AV246,BB246,BE246,AY246,CD246,BK246,BZ246,AA246)-MIN(AP246,AS246,AV246,BB246,BE246,AY246,CD246,BK246,BZ246,AA246)</f>
        <v>0</v>
      </c>
      <c r="CH246" s="555">
        <f t="shared" si="1268"/>
        <v>0</v>
      </c>
      <c r="CI246" s="556">
        <f t="shared" si="1268"/>
        <v>0</v>
      </c>
      <c r="CJ246" s="555">
        <f t="shared" ref="CJ246:CL246" si="1269">STDEV(AS246,AV246,AY246,BE246,BK246,BB246,CG246,BZ246,AA246,CD246)</f>
        <v>57.7350269189626</v>
      </c>
      <c r="CK246" s="555">
        <f t="shared" si="1269"/>
        <v>36.0843918243516</v>
      </c>
      <c r="CL246" s="556">
        <f t="shared" si="1269"/>
        <v>24.0581857171317</v>
      </c>
      <c r="CM246" s="555">
        <f t="shared" ref="CM246:CO246" si="1270">CJ246/AA246</f>
        <v>0.577350269189626</v>
      </c>
      <c r="CN246" s="555">
        <f t="shared" si="1270"/>
        <v>0.577350269189626</v>
      </c>
      <c r="CO246" s="556">
        <f t="shared" si="1270"/>
        <v>0.577350269189626</v>
      </c>
      <c r="CP246" s="29" t="s">
        <v>120</v>
      </c>
      <c r="CQ246" s="535">
        <f t="shared" si="1132"/>
        <v>2</v>
      </c>
      <c r="CR246" s="29" t="s">
        <v>120</v>
      </c>
      <c r="CS246" s="29" t="s">
        <v>120</v>
      </c>
      <c r="CT246" s="29" t="s">
        <v>120</v>
      </c>
      <c r="CU246" s="29" t="s">
        <v>120</v>
      </c>
      <c r="CV246" s="29" t="s">
        <v>120</v>
      </c>
    </row>
    <row r="247" customHeight="1" spans="1:100">
      <c r="A247" s="29" t="s">
        <v>500</v>
      </c>
      <c r="B247" s="541"/>
      <c r="F247" s="308"/>
      <c r="G247" s="308"/>
      <c r="H247" s="29" t="b">
        <v>0</v>
      </c>
      <c r="I247" s="29" t="b">
        <v>0</v>
      </c>
      <c r="J247" s="29" t="b">
        <v>0</v>
      </c>
      <c r="K247" s="29" t="b">
        <v>0</v>
      </c>
      <c r="L247" s="29" t="b">
        <v>0</v>
      </c>
      <c r="M247" s="29" t="b">
        <v>0</v>
      </c>
      <c r="P247" s="29" t="b">
        <v>0</v>
      </c>
      <c r="Q247" s="29" t="b">
        <v>0</v>
      </c>
      <c r="R247" s="29" t="b">
        <v>0</v>
      </c>
      <c r="S247" s="29" t="b">
        <v>0</v>
      </c>
      <c r="T247" s="29" t="b">
        <f t="shared" si="1106"/>
        <v>0</v>
      </c>
      <c r="U247" s="29" t="s">
        <v>1071</v>
      </c>
      <c r="W247" s="29">
        <v>2</v>
      </c>
      <c r="X247" s="308"/>
      <c r="Y247" s="16" t="s">
        <v>1041</v>
      </c>
      <c r="Z247" s="308"/>
      <c r="AA247" s="554">
        <f t="shared" ref="AA247:AC247" si="1271">AVERAGE(AJ247,AM247,AP247,AV247,AY247,AS247,BZ247,BB247,BE247,BH247,BK247,BN247,BQ247,BT247)</f>
        <v>60</v>
      </c>
      <c r="AB247" s="555">
        <f t="shared" si="1271"/>
        <v>37.5</v>
      </c>
      <c r="AC247" s="556">
        <f t="shared" si="1271"/>
        <v>25</v>
      </c>
      <c r="AD247" s="29" t="b">
        <v>0</v>
      </c>
      <c r="AE247" s="29" t="b">
        <v>1</v>
      </c>
      <c r="AF247" s="29" t="b">
        <v>0</v>
      </c>
      <c r="AG247" s="566">
        <f t="shared" ref="AG247:AI247" si="1272">AA247</f>
        <v>60</v>
      </c>
      <c r="AH247" s="567">
        <f t="shared" si="1272"/>
        <v>37.5</v>
      </c>
      <c r="AI247" s="568">
        <f t="shared" si="1272"/>
        <v>25</v>
      </c>
      <c r="AJ247" s="567"/>
      <c r="AK247" s="567"/>
      <c r="AL247" s="568"/>
      <c r="AM247" s="567"/>
      <c r="AN247" s="567"/>
      <c r="AO247" s="568"/>
      <c r="AP247" s="569">
        <v>60</v>
      </c>
      <c r="AQ247" s="569">
        <v>37.5</v>
      </c>
      <c r="AR247" s="570">
        <v>25</v>
      </c>
      <c r="AS247" s="567"/>
      <c r="AT247" s="567"/>
      <c r="AU247" s="568"/>
      <c r="AV247" s="567"/>
      <c r="AW247" s="567"/>
      <c r="AX247" s="568"/>
      <c r="AY247" s="567"/>
      <c r="AZ247" s="567"/>
      <c r="BA247" s="568"/>
      <c r="BB247" s="567"/>
      <c r="BC247" s="567"/>
      <c r="BD247" s="568"/>
      <c r="BE247" s="567"/>
      <c r="BF247" s="567"/>
      <c r="BG247" s="568"/>
      <c r="BH247" s="567"/>
      <c r="BI247" s="567"/>
      <c r="BJ247" s="568"/>
      <c r="BK247" s="567"/>
      <c r="BL247" s="567"/>
      <c r="BM247" s="568"/>
      <c r="BN247" s="567"/>
      <c r="BO247" s="567"/>
      <c r="BP247" s="568"/>
      <c r="BQ247" s="567"/>
      <c r="BR247" s="567"/>
      <c r="BS247" s="568"/>
      <c r="BT247" s="567"/>
      <c r="BU247" s="567"/>
      <c r="BV247" s="568"/>
      <c r="BW247" s="567"/>
      <c r="BX247" s="567"/>
      <c r="BY247" s="568"/>
      <c r="BZ247" s="567"/>
      <c r="CA247" s="567"/>
      <c r="CB247" s="567"/>
      <c r="CC247" s="583"/>
      <c r="CD247" s="555">
        <f t="shared" ref="CD247:CF247" si="1273">MEDIAN(AM247,AP247,AS247,AY247,BB247,AV247,AA247,BE247,BK247,BZ247,BH247,BN247,BQ247,BT247,BW247)</f>
        <v>60</v>
      </c>
      <c r="CE247" s="555">
        <f t="shared" si="1273"/>
        <v>37.5</v>
      </c>
      <c r="CF247" s="556">
        <f t="shared" si="1273"/>
        <v>25</v>
      </c>
      <c r="CG247" s="555">
        <f t="shared" ref="CG247:CI247" si="1274">MAX(AP247,AS247,AV247,BB247,BE247,AY247,CD247,BK247,BZ247,AA247)-MIN(AP247,AS247,AV247,BB247,BE247,AY247,CD247,BK247,BZ247,AA247)</f>
        <v>0</v>
      </c>
      <c r="CH247" s="555">
        <f t="shared" si="1274"/>
        <v>0</v>
      </c>
      <c r="CI247" s="556">
        <f t="shared" si="1274"/>
        <v>0</v>
      </c>
      <c r="CJ247" s="555">
        <f t="shared" ref="CJ247:CL247" si="1275">STDEV(AS247,AV247,AY247,BE247,BK247,BB247,CG247,BZ247,AA247,CD247)</f>
        <v>34.6410161513775</v>
      </c>
      <c r="CK247" s="555">
        <f t="shared" si="1275"/>
        <v>21.650635094611</v>
      </c>
      <c r="CL247" s="556">
        <f t="shared" si="1275"/>
        <v>14.4337567297406</v>
      </c>
      <c r="CM247" s="555">
        <f t="shared" ref="CM247:CO247" si="1276">CJ247/AA247</f>
        <v>0.577350269189626</v>
      </c>
      <c r="CN247" s="555">
        <f t="shared" si="1276"/>
        <v>0.577350269189626</v>
      </c>
      <c r="CO247" s="556">
        <f t="shared" si="1276"/>
        <v>0.577350269189626</v>
      </c>
      <c r="CP247" s="29" t="s">
        <v>120</v>
      </c>
      <c r="CQ247" s="535">
        <f t="shared" si="1132"/>
        <v>2</v>
      </c>
      <c r="CR247" s="29" t="s">
        <v>120</v>
      </c>
      <c r="CS247" s="29" t="s">
        <v>120</v>
      </c>
      <c r="CT247" s="29" t="s">
        <v>120</v>
      </c>
      <c r="CU247" s="29" t="s">
        <v>120</v>
      </c>
      <c r="CV247" s="29" t="s">
        <v>120</v>
      </c>
    </row>
    <row r="248" customHeight="1" spans="1:100">
      <c r="A248" s="29" t="s">
        <v>501</v>
      </c>
      <c r="B248" s="541"/>
      <c r="F248" s="308"/>
      <c r="G248" s="308"/>
      <c r="H248" s="29" t="b">
        <v>0</v>
      </c>
      <c r="I248" s="29" t="b">
        <v>0</v>
      </c>
      <c r="J248" s="29" t="b">
        <v>0</v>
      </c>
      <c r="K248" s="29" t="b">
        <v>0</v>
      </c>
      <c r="L248" s="29" t="b">
        <v>0</v>
      </c>
      <c r="M248" s="29" t="b">
        <v>0</v>
      </c>
      <c r="P248" s="29" t="b">
        <v>0</v>
      </c>
      <c r="Q248" s="29" t="b">
        <v>0</v>
      </c>
      <c r="R248" s="29" t="b">
        <v>0</v>
      </c>
      <c r="S248" s="29" t="b">
        <v>0</v>
      </c>
      <c r="T248" s="29" t="b">
        <f t="shared" si="1106"/>
        <v>0</v>
      </c>
      <c r="U248" s="29" t="s">
        <v>1071</v>
      </c>
      <c r="W248" s="29">
        <v>2</v>
      </c>
      <c r="X248" s="308"/>
      <c r="Y248" s="16" t="s">
        <v>1041</v>
      </c>
      <c r="Z248" s="308"/>
      <c r="AA248" s="554">
        <f t="shared" ref="AA248:AC248" si="1277">AVERAGE(AJ248,AM248,AP248,AV248,AY248,AS248,BZ248,BB248,BE248,BH248,BK248,BN248,BQ248,BT248)</f>
        <v>150</v>
      </c>
      <c r="AB248" s="555">
        <f t="shared" si="1277"/>
        <v>93.75</v>
      </c>
      <c r="AC248" s="556">
        <f t="shared" si="1277"/>
        <v>62.5</v>
      </c>
      <c r="AD248" s="29" t="b">
        <v>0</v>
      </c>
      <c r="AE248" s="29" t="b">
        <v>1</v>
      </c>
      <c r="AF248" s="29" t="b">
        <v>0</v>
      </c>
      <c r="AG248" s="566">
        <f t="shared" ref="AG248:AI248" si="1278">AA248</f>
        <v>150</v>
      </c>
      <c r="AH248" s="567">
        <f t="shared" si="1278"/>
        <v>93.75</v>
      </c>
      <c r="AI248" s="568">
        <f t="shared" si="1278"/>
        <v>62.5</v>
      </c>
      <c r="AJ248" s="567"/>
      <c r="AK248" s="567"/>
      <c r="AL248" s="568"/>
      <c r="AM248" s="567"/>
      <c r="AN248" s="567"/>
      <c r="AO248" s="568"/>
      <c r="AP248" s="569">
        <v>150</v>
      </c>
      <c r="AQ248" s="569">
        <v>93.75</v>
      </c>
      <c r="AR248" s="570">
        <v>62.5</v>
      </c>
      <c r="AS248" s="567"/>
      <c r="AT248" s="567"/>
      <c r="AU248" s="568"/>
      <c r="AV248" s="567"/>
      <c r="AW248" s="567"/>
      <c r="AX248" s="568"/>
      <c r="AY248" s="567"/>
      <c r="AZ248" s="567"/>
      <c r="BA248" s="568"/>
      <c r="BB248" s="567"/>
      <c r="BC248" s="567"/>
      <c r="BD248" s="568"/>
      <c r="BE248" s="567"/>
      <c r="BF248" s="567"/>
      <c r="BG248" s="568"/>
      <c r="BH248" s="567"/>
      <c r="BI248" s="567"/>
      <c r="BJ248" s="568"/>
      <c r="BK248" s="567"/>
      <c r="BL248" s="567"/>
      <c r="BM248" s="568"/>
      <c r="BN248" s="567"/>
      <c r="BO248" s="567"/>
      <c r="BP248" s="568"/>
      <c r="BQ248" s="567"/>
      <c r="BR248" s="567"/>
      <c r="BS248" s="568"/>
      <c r="BT248" s="567"/>
      <c r="BU248" s="567"/>
      <c r="BV248" s="568"/>
      <c r="BW248" s="567"/>
      <c r="BX248" s="567"/>
      <c r="BY248" s="568"/>
      <c r="BZ248" s="567"/>
      <c r="CA248" s="567"/>
      <c r="CB248" s="567"/>
      <c r="CC248" s="583"/>
      <c r="CD248" s="555">
        <f t="shared" ref="CD248:CF248" si="1279">MEDIAN(AM248,AP248,AS248,AY248,BB248,AV248,AA248,BE248,BK248,BZ248,BH248,BN248,BQ248,BT248,BW248)</f>
        <v>150</v>
      </c>
      <c r="CE248" s="555">
        <f t="shared" si="1279"/>
        <v>93.75</v>
      </c>
      <c r="CF248" s="556">
        <f t="shared" si="1279"/>
        <v>62.5</v>
      </c>
      <c r="CG248" s="555">
        <f t="shared" ref="CG248:CI248" si="1280">MAX(AP248,AS248,AV248,BB248,BE248,AY248,CD248,BK248,BZ248,AA248)-MIN(AP248,AS248,AV248,BB248,BE248,AY248,CD248,BK248,BZ248,AA248)</f>
        <v>0</v>
      </c>
      <c r="CH248" s="555">
        <f t="shared" si="1280"/>
        <v>0</v>
      </c>
      <c r="CI248" s="556">
        <f t="shared" si="1280"/>
        <v>0</v>
      </c>
      <c r="CJ248" s="555">
        <f t="shared" ref="CJ248:CL248" si="1281">STDEV(AS248,AV248,AY248,BE248,BK248,BB248,CG248,BZ248,AA248,CD248)</f>
        <v>86.6025403784439</v>
      </c>
      <c r="CK248" s="555">
        <f t="shared" si="1281"/>
        <v>54.1265877365274</v>
      </c>
      <c r="CL248" s="556">
        <f t="shared" si="1281"/>
        <v>36.0843918243516</v>
      </c>
      <c r="CM248" s="555">
        <f t="shared" ref="CM248:CO248" si="1282">CJ248/AA248</f>
        <v>0.577350269189626</v>
      </c>
      <c r="CN248" s="555">
        <f t="shared" si="1282"/>
        <v>0.577350269189626</v>
      </c>
      <c r="CO248" s="556">
        <f t="shared" si="1282"/>
        <v>0.577350269189626</v>
      </c>
      <c r="CP248" s="29" t="s">
        <v>120</v>
      </c>
      <c r="CQ248" s="535">
        <f t="shared" si="1132"/>
        <v>2</v>
      </c>
      <c r="CR248" s="29" t="s">
        <v>120</v>
      </c>
      <c r="CS248" s="29" t="s">
        <v>120</v>
      </c>
      <c r="CT248" s="29" t="s">
        <v>120</v>
      </c>
      <c r="CU248" s="29" t="s">
        <v>120</v>
      </c>
      <c r="CV248" s="29" t="s">
        <v>120</v>
      </c>
    </row>
    <row r="249" customHeight="1" spans="1:100">
      <c r="A249" s="29" t="s">
        <v>502</v>
      </c>
      <c r="B249" s="541"/>
      <c r="F249" s="308"/>
      <c r="G249" s="308"/>
      <c r="H249" s="29" t="b">
        <v>0</v>
      </c>
      <c r="I249" s="29" t="b">
        <v>0</v>
      </c>
      <c r="J249" s="29" t="b">
        <v>0</v>
      </c>
      <c r="K249" s="29" t="b">
        <v>0</v>
      </c>
      <c r="L249" s="29" t="b">
        <v>0</v>
      </c>
      <c r="M249" s="29" t="b">
        <v>0</v>
      </c>
      <c r="P249" s="29" t="b">
        <v>0</v>
      </c>
      <c r="Q249" s="29" t="b">
        <v>0</v>
      </c>
      <c r="R249" s="29" t="b">
        <v>0</v>
      </c>
      <c r="S249" s="29" t="b">
        <v>0</v>
      </c>
      <c r="T249" s="29" t="b">
        <f t="shared" si="1106"/>
        <v>0</v>
      </c>
      <c r="U249" s="29" t="s">
        <v>1071</v>
      </c>
      <c r="W249" s="29">
        <v>2</v>
      </c>
      <c r="X249" s="308"/>
      <c r="Y249" s="16" t="s">
        <v>1041</v>
      </c>
      <c r="Z249" s="308"/>
      <c r="AA249" s="554">
        <f t="shared" ref="AA249:AC249" si="1283">AVERAGE(AJ249,AM249,AP249,AV249,AY249,AS249,BZ249,BB249,BE249,BH249,BK249,BN249,BQ249,BT249)</f>
        <v>15</v>
      </c>
      <c r="AB249" s="555">
        <f t="shared" si="1283"/>
        <v>9.38</v>
      </c>
      <c r="AC249" s="556">
        <f t="shared" si="1283"/>
        <v>6.25</v>
      </c>
      <c r="AD249" s="29" t="b">
        <v>0</v>
      </c>
      <c r="AE249" s="29" t="b">
        <v>1</v>
      </c>
      <c r="AF249" s="29" t="b">
        <v>0</v>
      </c>
      <c r="AG249" s="566">
        <f t="shared" ref="AG249:AI249" si="1284">AA249</f>
        <v>15</v>
      </c>
      <c r="AH249" s="567">
        <f t="shared" si="1284"/>
        <v>9.38</v>
      </c>
      <c r="AI249" s="568">
        <f t="shared" si="1284"/>
        <v>6.25</v>
      </c>
      <c r="AJ249" s="567"/>
      <c r="AK249" s="567"/>
      <c r="AL249" s="568"/>
      <c r="AM249" s="567"/>
      <c r="AN249" s="567"/>
      <c r="AO249" s="568"/>
      <c r="AP249" s="569">
        <v>15</v>
      </c>
      <c r="AQ249" s="569">
        <v>9.38</v>
      </c>
      <c r="AR249" s="570">
        <v>6.25</v>
      </c>
      <c r="AS249" s="567"/>
      <c r="AT249" s="567"/>
      <c r="AU249" s="568"/>
      <c r="AV249" s="567"/>
      <c r="AW249" s="567"/>
      <c r="AX249" s="568"/>
      <c r="AY249" s="567"/>
      <c r="AZ249" s="567"/>
      <c r="BA249" s="568"/>
      <c r="BB249" s="567"/>
      <c r="BC249" s="567"/>
      <c r="BD249" s="568"/>
      <c r="BE249" s="567"/>
      <c r="BF249" s="567"/>
      <c r="BG249" s="568"/>
      <c r="BH249" s="567"/>
      <c r="BI249" s="567"/>
      <c r="BJ249" s="568"/>
      <c r="BK249" s="567"/>
      <c r="BL249" s="567"/>
      <c r="BM249" s="568"/>
      <c r="BN249" s="567"/>
      <c r="BO249" s="567"/>
      <c r="BP249" s="568"/>
      <c r="BQ249" s="567"/>
      <c r="BR249" s="567"/>
      <c r="BS249" s="568"/>
      <c r="BT249" s="567"/>
      <c r="BU249" s="567"/>
      <c r="BV249" s="568"/>
      <c r="BW249" s="567"/>
      <c r="BX249" s="567"/>
      <c r="BY249" s="568"/>
      <c r="BZ249" s="567"/>
      <c r="CA249" s="567"/>
      <c r="CB249" s="567"/>
      <c r="CC249" s="583"/>
      <c r="CD249" s="555">
        <f t="shared" ref="CD249:CF249" si="1285">MEDIAN(AM249,AP249,AS249,AY249,BB249,AV249,AA249,BE249,BK249,BZ249,BH249,BN249,BQ249,BT249,BW249)</f>
        <v>15</v>
      </c>
      <c r="CE249" s="555">
        <f t="shared" si="1285"/>
        <v>9.38</v>
      </c>
      <c r="CF249" s="556">
        <f t="shared" si="1285"/>
        <v>6.25</v>
      </c>
      <c r="CG249" s="555">
        <f t="shared" ref="CG249:CI249" si="1286">MAX(AP249,AS249,AV249,BB249,BE249,AY249,CD249,BK249,BZ249,AA249)-MIN(AP249,AS249,AV249,BB249,BE249,AY249,CD249,BK249,BZ249,AA249)</f>
        <v>0</v>
      </c>
      <c r="CH249" s="555">
        <f t="shared" si="1286"/>
        <v>0</v>
      </c>
      <c r="CI249" s="556">
        <f t="shared" si="1286"/>
        <v>0</v>
      </c>
      <c r="CJ249" s="555">
        <f t="shared" ref="CJ249:CL249" si="1287">STDEV(AS249,AV249,AY249,BE249,BK249,BB249,CG249,BZ249,AA249,CD249)</f>
        <v>8.66025403784439</v>
      </c>
      <c r="CK249" s="555">
        <f t="shared" si="1287"/>
        <v>5.41554552499869</v>
      </c>
      <c r="CL249" s="556">
        <f t="shared" si="1287"/>
        <v>3.60843918243516</v>
      </c>
      <c r="CM249" s="555">
        <f t="shared" ref="CM249:CO249" si="1288">CJ249/AA249</f>
        <v>0.577350269189626</v>
      </c>
      <c r="CN249" s="555">
        <f t="shared" si="1288"/>
        <v>0.577350269189626</v>
      </c>
      <c r="CO249" s="556">
        <f t="shared" si="1288"/>
        <v>0.577350269189626</v>
      </c>
      <c r="CP249" s="29" t="s">
        <v>120</v>
      </c>
      <c r="CQ249" s="535">
        <f t="shared" si="1132"/>
        <v>2</v>
      </c>
      <c r="CR249" s="29" t="s">
        <v>120</v>
      </c>
      <c r="CS249" s="29" t="s">
        <v>120</v>
      </c>
      <c r="CT249" s="29" t="s">
        <v>120</v>
      </c>
      <c r="CU249" s="29" t="s">
        <v>120</v>
      </c>
      <c r="CV249" s="29" t="s">
        <v>120</v>
      </c>
    </row>
    <row r="250" customHeight="1" spans="1:100">
      <c r="A250" s="29" t="s">
        <v>503</v>
      </c>
      <c r="B250" s="541"/>
      <c r="F250" s="308"/>
      <c r="G250" s="308"/>
      <c r="H250" s="29" t="b">
        <v>0</v>
      </c>
      <c r="I250" s="29" t="b">
        <v>0</v>
      </c>
      <c r="J250" s="29" t="b">
        <v>0</v>
      </c>
      <c r="K250" s="29" t="b">
        <v>0</v>
      </c>
      <c r="L250" s="29" t="b">
        <v>0</v>
      </c>
      <c r="M250" s="29" t="b">
        <v>0</v>
      </c>
      <c r="P250" s="29" t="b">
        <v>0</v>
      </c>
      <c r="Q250" s="29" t="b">
        <v>0</v>
      </c>
      <c r="R250" s="29" t="b">
        <v>0</v>
      </c>
      <c r="S250" s="29" t="b">
        <v>0</v>
      </c>
      <c r="T250" s="29" t="b">
        <f t="shared" si="1106"/>
        <v>0</v>
      </c>
      <c r="U250" s="29" t="s">
        <v>1071</v>
      </c>
      <c r="W250" s="29">
        <v>2</v>
      </c>
      <c r="X250" s="308"/>
      <c r="Y250" s="16" t="s">
        <v>1041</v>
      </c>
      <c r="Z250" s="308"/>
      <c r="AA250" s="554">
        <f t="shared" ref="AA250:AC250" si="1289">AVERAGE(AJ250,AM250,AP250,AV250,AY250,AS250,BZ250,BB250,BE250,BH250,BK250,BN250,BQ250,BT250)</f>
        <v>16</v>
      </c>
      <c r="AB250" s="555">
        <f t="shared" si="1289"/>
        <v>10</v>
      </c>
      <c r="AC250" s="556">
        <f t="shared" si="1289"/>
        <v>6.67</v>
      </c>
      <c r="AD250" s="29" t="b">
        <v>0</v>
      </c>
      <c r="AE250" s="29" t="b">
        <v>1</v>
      </c>
      <c r="AF250" s="29" t="b">
        <v>0</v>
      </c>
      <c r="AG250" s="566">
        <f t="shared" ref="AG250:AI250" si="1290">AA250</f>
        <v>16</v>
      </c>
      <c r="AH250" s="567">
        <f t="shared" si="1290"/>
        <v>10</v>
      </c>
      <c r="AI250" s="568">
        <f t="shared" si="1290"/>
        <v>6.67</v>
      </c>
      <c r="AJ250" s="567"/>
      <c r="AK250" s="567"/>
      <c r="AL250" s="568"/>
      <c r="AM250" s="567"/>
      <c r="AN250" s="567"/>
      <c r="AO250" s="568"/>
      <c r="AP250" s="569">
        <v>16</v>
      </c>
      <c r="AQ250" s="569">
        <v>10</v>
      </c>
      <c r="AR250" s="570">
        <v>6.67</v>
      </c>
      <c r="AS250" s="567"/>
      <c r="AT250" s="567"/>
      <c r="AU250" s="568"/>
      <c r="AV250" s="567"/>
      <c r="AW250" s="567"/>
      <c r="AX250" s="568"/>
      <c r="AY250" s="567"/>
      <c r="AZ250" s="567"/>
      <c r="BA250" s="568"/>
      <c r="BB250" s="567"/>
      <c r="BC250" s="567"/>
      <c r="BD250" s="568"/>
      <c r="BE250" s="567"/>
      <c r="BF250" s="567"/>
      <c r="BG250" s="568"/>
      <c r="BH250" s="567"/>
      <c r="BI250" s="567"/>
      <c r="BJ250" s="568"/>
      <c r="BK250" s="567"/>
      <c r="BL250" s="567"/>
      <c r="BM250" s="568"/>
      <c r="BN250" s="567"/>
      <c r="BO250" s="567"/>
      <c r="BP250" s="568"/>
      <c r="BQ250" s="567"/>
      <c r="BR250" s="567"/>
      <c r="BS250" s="568"/>
      <c r="BT250" s="567"/>
      <c r="BU250" s="567"/>
      <c r="BV250" s="568"/>
      <c r="BW250" s="567"/>
      <c r="BX250" s="567"/>
      <c r="BY250" s="568"/>
      <c r="BZ250" s="567"/>
      <c r="CA250" s="567"/>
      <c r="CB250" s="567"/>
      <c r="CC250" s="583"/>
      <c r="CD250" s="555">
        <f t="shared" ref="CD250:CF250" si="1291">MEDIAN(AM250,AP250,AS250,AY250,BB250,AV250,AA250,BE250,BK250,BZ250,BH250,BN250,BQ250,BT250,BW250)</f>
        <v>16</v>
      </c>
      <c r="CE250" s="555">
        <f t="shared" si="1291"/>
        <v>10</v>
      </c>
      <c r="CF250" s="556">
        <f t="shared" si="1291"/>
        <v>6.67</v>
      </c>
      <c r="CG250" s="555">
        <f t="shared" ref="CG250:CI250" si="1292">MAX(AP250,AS250,AV250,BB250,BE250,AY250,CD250,BK250,BZ250,AA250)-MIN(AP250,AS250,AV250,BB250,BE250,AY250,CD250,BK250,BZ250,AA250)</f>
        <v>0</v>
      </c>
      <c r="CH250" s="555">
        <f t="shared" si="1292"/>
        <v>0</v>
      </c>
      <c r="CI250" s="556">
        <f t="shared" si="1292"/>
        <v>0</v>
      </c>
      <c r="CJ250" s="555">
        <f t="shared" ref="CJ250:CL250" si="1293">STDEV(AS250,AV250,AY250,BE250,BK250,BB250,CG250,BZ250,AA250,CD250)</f>
        <v>9.23760430703401</v>
      </c>
      <c r="CK250" s="555">
        <f t="shared" si="1293"/>
        <v>5.77350269189626</v>
      </c>
      <c r="CL250" s="556">
        <f t="shared" si="1293"/>
        <v>3.8509262954948</v>
      </c>
      <c r="CM250" s="555">
        <f t="shared" ref="CM250:CO250" si="1294">CJ250/AA250</f>
        <v>0.577350269189626</v>
      </c>
      <c r="CN250" s="555">
        <f t="shared" si="1294"/>
        <v>0.577350269189626</v>
      </c>
      <c r="CO250" s="556">
        <f t="shared" si="1294"/>
        <v>0.577350269189626</v>
      </c>
      <c r="CP250" s="29" t="s">
        <v>120</v>
      </c>
      <c r="CQ250" s="535">
        <f t="shared" si="1132"/>
        <v>2</v>
      </c>
      <c r="CR250" s="29" t="s">
        <v>120</v>
      </c>
      <c r="CS250" s="29" t="s">
        <v>120</v>
      </c>
      <c r="CT250" s="29" t="s">
        <v>120</v>
      </c>
      <c r="CU250" s="29" t="s">
        <v>120</v>
      </c>
      <c r="CV250" s="29" t="s">
        <v>120</v>
      </c>
    </row>
    <row r="251" customHeight="1" spans="1:100">
      <c r="A251" s="29" t="s">
        <v>504</v>
      </c>
      <c r="B251" s="541"/>
      <c r="F251" s="308"/>
      <c r="G251" s="308"/>
      <c r="H251" s="29" t="b">
        <v>0</v>
      </c>
      <c r="I251" s="29" t="b">
        <v>0</v>
      </c>
      <c r="J251" s="29" t="b">
        <v>0</v>
      </c>
      <c r="K251" s="29" t="b">
        <v>0</v>
      </c>
      <c r="L251" s="29" t="b">
        <v>0</v>
      </c>
      <c r="M251" s="29" t="b">
        <v>0</v>
      </c>
      <c r="P251" s="29" t="b">
        <v>0</v>
      </c>
      <c r="Q251" s="29" t="b">
        <v>0</v>
      </c>
      <c r="R251" s="29" t="b">
        <v>0</v>
      </c>
      <c r="S251" s="29" t="b">
        <v>0</v>
      </c>
      <c r="T251" s="29" t="b">
        <f t="shared" si="1106"/>
        <v>0</v>
      </c>
      <c r="U251" s="29" t="s">
        <v>1071</v>
      </c>
      <c r="W251" s="29">
        <v>2</v>
      </c>
      <c r="X251" s="308"/>
      <c r="Y251" s="16" t="s">
        <v>1041</v>
      </c>
      <c r="Z251" s="308"/>
      <c r="AA251" s="554">
        <f t="shared" ref="AA251:AC251" si="1295">AVERAGE(AJ251,AM251,AP251,AV251,AY251,AS251,BZ251,BB251,BE251,BH251,BK251,BN251,BQ251,BT251)</f>
        <v>8</v>
      </c>
      <c r="AB251" s="555">
        <f t="shared" si="1295"/>
        <v>5</v>
      </c>
      <c r="AC251" s="556">
        <f t="shared" si="1295"/>
        <v>3.33</v>
      </c>
      <c r="AD251" s="29" t="b">
        <v>0</v>
      </c>
      <c r="AE251" s="29" t="b">
        <v>1</v>
      </c>
      <c r="AF251" s="29" t="b">
        <v>0</v>
      </c>
      <c r="AG251" s="566">
        <f t="shared" ref="AG251:AI251" si="1296">AA251</f>
        <v>8</v>
      </c>
      <c r="AH251" s="567">
        <f t="shared" si="1296"/>
        <v>5</v>
      </c>
      <c r="AI251" s="568">
        <f t="shared" si="1296"/>
        <v>3.33</v>
      </c>
      <c r="AJ251" s="567"/>
      <c r="AK251" s="567"/>
      <c r="AL251" s="568"/>
      <c r="AM251" s="567"/>
      <c r="AN251" s="567"/>
      <c r="AO251" s="568"/>
      <c r="AP251" s="569">
        <v>8</v>
      </c>
      <c r="AQ251" s="569">
        <v>5</v>
      </c>
      <c r="AR251" s="570">
        <v>3.33</v>
      </c>
      <c r="AS251" s="567"/>
      <c r="AT251" s="567"/>
      <c r="AU251" s="568"/>
      <c r="AV251" s="567"/>
      <c r="AW251" s="567"/>
      <c r="AX251" s="568"/>
      <c r="AY251" s="567"/>
      <c r="AZ251" s="567"/>
      <c r="BA251" s="568"/>
      <c r="BB251" s="567"/>
      <c r="BC251" s="567"/>
      <c r="BD251" s="568"/>
      <c r="BE251" s="567"/>
      <c r="BF251" s="567"/>
      <c r="BG251" s="568"/>
      <c r="BH251" s="567"/>
      <c r="BI251" s="567"/>
      <c r="BJ251" s="568"/>
      <c r="BK251" s="567"/>
      <c r="BL251" s="567"/>
      <c r="BM251" s="568"/>
      <c r="BN251" s="567"/>
      <c r="BO251" s="567"/>
      <c r="BP251" s="568"/>
      <c r="BQ251" s="567"/>
      <c r="BR251" s="567"/>
      <c r="BS251" s="568"/>
      <c r="BT251" s="567"/>
      <c r="BU251" s="567"/>
      <c r="BV251" s="568"/>
      <c r="BW251" s="567"/>
      <c r="BX251" s="567"/>
      <c r="BY251" s="568"/>
      <c r="BZ251" s="567"/>
      <c r="CA251" s="567"/>
      <c r="CB251" s="567"/>
      <c r="CC251" s="583"/>
      <c r="CD251" s="555">
        <f t="shared" ref="CD251:CF251" si="1297">MEDIAN(AM251,AP251,AS251,AY251,BB251,AV251,AA251,BE251,BK251,BZ251,BH251,BN251,BQ251,BT251,BW251)</f>
        <v>8</v>
      </c>
      <c r="CE251" s="555">
        <f t="shared" si="1297"/>
        <v>5</v>
      </c>
      <c r="CF251" s="556">
        <f t="shared" si="1297"/>
        <v>3.33</v>
      </c>
      <c r="CG251" s="555">
        <f t="shared" ref="CG251:CI251" si="1298">MAX(AP251,AS251,AV251,BB251,BE251,AY251,CD251,BK251,BZ251,AA251)-MIN(AP251,AS251,AV251,BB251,BE251,AY251,CD251,BK251,BZ251,AA251)</f>
        <v>0</v>
      </c>
      <c r="CH251" s="555">
        <f t="shared" si="1298"/>
        <v>0</v>
      </c>
      <c r="CI251" s="556">
        <f t="shared" si="1298"/>
        <v>0</v>
      </c>
      <c r="CJ251" s="555">
        <f t="shared" ref="CJ251:CL251" si="1299">STDEV(AS251,AV251,AY251,BE251,BK251,BB251,CG251,BZ251,AA251,CD251)</f>
        <v>4.61880215351701</v>
      </c>
      <c r="CK251" s="555">
        <f t="shared" si="1299"/>
        <v>2.88675134594813</v>
      </c>
      <c r="CL251" s="556">
        <f t="shared" si="1299"/>
        <v>1.92257639640145</v>
      </c>
      <c r="CM251" s="555">
        <f t="shared" ref="CM251:CO251" si="1300">CJ251/AA251</f>
        <v>0.577350269189626</v>
      </c>
      <c r="CN251" s="555">
        <f t="shared" si="1300"/>
        <v>0.577350269189626</v>
      </c>
      <c r="CO251" s="556">
        <f t="shared" si="1300"/>
        <v>0.577350269189626</v>
      </c>
      <c r="CP251" s="29" t="s">
        <v>120</v>
      </c>
      <c r="CQ251" s="535">
        <f t="shared" si="1132"/>
        <v>2</v>
      </c>
      <c r="CR251" s="29" t="s">
        <v>120</v>
      </c>
      <c r="CS251" s="29" t="s">
        <v>120</v>
      </c>
      <c r="CT251" s="29" t="s">
        <v>120</v>
      </c>
      <c r="CU251" s="29" t="s">
        <v>120</v>
      </c>
      <c r="CV251" s="29" t="s">
        <v>120</v>
      </c>
    </row>
    <row r="252" customHeight="1" spans="1:100">
      <c r="A252" s="29" t="s">
        <v>505</v>
      </c>
      <c r="B252" s="541"/>
      <c r="F252" s="308"/>
      <c r="G252" s="308"/>
      <c r="H252" s="29" t="b">
        <v>0</v>
      </c>
      <c r="I252" s="29" t="b">
        <v>0</v>
      </c>
      <c r="J252" s="29" t="b">
        <v>0</v>
      </c>
      <c r="K252" s="29" t="b">
        <v>0</v>
      </c>
      <c r="L252" s="29" t="b">
        <v>0</v>
      </c>
      <c r="M252" s="29" t="b">
        <v>0</v>
      </c>
      <c r="P252" s="29" t="b">
        <v>0</v>
      </c>
      <c r="Q252" s="29" t="b">
        <v>0</v>
      </c>
      <c r="R252" s="29" t="b">
        <v>0</v>
      </c>
      <c r="S252" s="29" t="b">
        <v>0</v>
      </c>
      <c r="T252" s="29" t="b">
        <f t="shared" si="1106"/>
        <v>0</v>
      </c>
      <c r="U252" s="29" t="s">
        <v>1001</v>
      </c>
      <c r="W252" s="29">
        <v>2</v>
      </c>
      <c r="X252" s="29" t="s">
        <v>1064</v>
      </c>
      <c r="Y252" s="16" t="s">
        <v>1041</v>
      </c>
      <c r="Z252" s="29" t="s">
        <v>1052</v>
      </c>
      <c r="AA252" s="554">
        <f t="shared" ref="AA252:AC252" si="1301">AVERAGE(AJ252,AM252,AP252,AV252,AY252,AS252,BZ252,BB252,BE252,BH252,BK252,BN252,BQ252,BT252)</f>
        <v>0.166666666666667</v>
      </c>
      <c r="AB252" s="555" t="e">
        <f t="shared" si="1301"/>
        <v>#DIV/0!</v>
      </c>
      <c r="AC252" s="556" t="e">
        <f t="shared" si="1301"/>
        <v>#DIV/0!</v>
      </c>
      <c r="AD252" s="29" t="b">
        <v>0</v>
      </c>
      <c r="AE252" s="29" t="b">
        <v>1</v>
      </c>
      <c r="AF252" s="29" t="b">
        <v>0</v>
      </c>
      <c r="AG252" s="566">
        <f t="shared" ref="AG252:AI252" si="1302">AA252</f>
        <v>0.166666666666667</v>
      </c>
      <c r="AH252" s="567" t="e">
        <f t="shared" si="1302"/>
        <v>#DIV/0!</v>
      </c>
      <c r="AI252" s="568" t="e">
        <f t="shared" si="1302"/>
        <v>#DIV/0!</v>
      </c>
      <c r="AJ252" s="567"/>
      <c r="AK252" s="567"/>
      <c r="AL252" s="568"/>
      <c r="AM252" s="567"/>
      <c r="AN252" s="567"/>
      <c r="AO252" s="568"/>
      <c r="AP252" s="567"/>
      <c r="AQ252" s="567"/>
      <c r="AR252" s="568"/>
      <c r="AS252" s="569">
        <f>10/60</f>
        <v>0.166666666666667</v>
      </c>
      <c r="AT252" s="567"/>
      <c r="AU252" s="568"/>
      <c r="AV252" s="567"/>
      <c r="AW252" s="567"/>
      <c r="AX252" s="568"/>
      <c r="AY252" s="567"/>
      <c r="AZ252" s="567"/>
      <c r="BA252" s="568"/>
      <c r="BB252" s="567"/>
      <c r="BC252" s="567"/>
      <c r="BD252" s="568"/>
      <c r="BE252" s="567"/>
      <c r="BF252" s="567"/>
      <c r="BG252" s="568"/>
      <c r="BH252" s="567"/>
      <c r="BI252" s="567"/>
      <c r="BJ252" s="568"/>
      <c r="BK252" s="567"/>
      <c r="BL252" s="567"/>
      <c r="BM252" s="568"/>
      <c r="BN252" s="567"/>
      <c r="BO252" s="567"/>
      <c r="BP252" s="568"/>
      <c r="BQ252" s="567"/>
      <c r="BR252" s="567"/>
      <c r="BS252" s="568"/>
      <c r="BT252" s="567"/>
      <c r="BU252" s="567"/>
      <c r="BV252" s="568"/>
      <c r="BW252" s="567"/>
      <c r="BX252" s="567"/>
      <c r="BY252" s="568"/>
      <c r="BZ252" s="567"/>
      <c r="CA252" s="567"/>
      <c r="CB252" s="567"/>
      <c r="CC252" s="583"/>
      <c r="CD252" s="555">
        <f t="shared" ref="CD252:CF252" si="1303">MEDIAN(AM252,AP252,AS252,AY252,BB252,AV252,AA252,BE252,BK252,BZ252,BH252,BN252,BQ252,BT252,BW252)</f>
        <v>0.166666666666667</v>
      </c>
      <c r="CE252" s="555" t="e">
        <f t="shared" si="1303"/>
        <v>#DIV/0!</v>
      </c>
      <c r="CF252" s="556" t="e">
        <f t="shared" si="1303"/>
        <v>#DIV/0!</v>
      </c>
      <c r="CG252" s="555">
        <f t="shared" ref="CG252:CI252" si="1304">MAX(AP252,AS252,AV252,BB252,BE252,AY252,CD252,BK252,BZ252,AA252)-MIN(AP252,AS252,AV252,BB252,BE252,AY252,CD252,BK252,BZ252,AA252)</f>
        <v>0</v>
      </c>
      <c r="CH252" s="555" t="e">
        <f t="shared" si="1304"/>
        <v>#DIV/0!</v>
      </c>
      <c r="CI252" s="556" t="e">
        <f t="shared" si="1304"/>
        <v>#DIV/0!</v>
      </c>
      <c r="CJ252" s="555">
        <f t="shared" ref="CJ252:CL252" si="1305">STDEV(AS252,AV252,AY252,BE252,BK252,BB252,CG252,BZ252,AA252,CD252)</f>
        <v>0.0833333333333333</v>
      </c>
      <c r="CK252" s="555" t="e">
        <f t="shared" si="1305"/>
        <v>#DIV/0!</v>
      </c>
      <c r="CL252" s="556" t="e">
        <f t="shared" si="1305"/>
        <v>#DIV/0!</v>
      </c>
      <c r="CM252" s="555">
        <f t="shared" ref="CM252:CO252" si="1306">CJ252/AA252</f>
        <v>0.5</v>
      </c>
      <c r="CN252" s="555" t="e">
        <f t="shared" si="1306"/>
        <v>#DIV/0!</v>
      </c>
      <c r="CO252" s="556" t="e">
        <f t="shared" si="1306"/>
        <v>#DIV/0!</v>
      </c>
      <c r="CP252" s="29" t="s">
        <v>120</v>
      </c>
      <c r="CQ252" s="535">
        <f t="shared" si="1132"/>
        <v>2</v>
      </c>
      <c r="CR252" s="29" t="s">
        <v>120</v>
      </c>
      <c r="CS252" s="29" t="s">
        <v>120</v>
      </c>
      <c r="CT252" s="29" t="s">
        <v>120</v>
      </c>
      <c r="CU252" s="29" t="s">
        <v>120</v>
      </c>
      <c r="CV252" s="29" t="s">
        <v>120</v>
      </c>
    </row>
    <row r="253" customHeight="1" spans="1:100">
      <c r="A253" s="29" t="s">
        <v>506</v>
      </c>
      <c r="B253" s="541"/>
      <c r="F253" s="308"/>
      <c r="G253" s="308"/>
      <c r="H253" s="29" t="b">
        <v>0</v>
      </c>
      <c r="I253" s="29" t="b">
        <v>0</v>
      </c>
      <c r="J253" s="29" t="b">
        <v>0</v>
      </c>
      <c r="K253" s="29" t="b">
        <v>0</v>
      </c>
      <c r="L253" s="29" t="b">
        <v>0</v>
      </c>
      <c r="M253" s="29" t="b">
        <v>0</v>
      </c>
      <c r="P253" s="29" t="b">
        <v>0</v>
      </c>
      <c r="Q253" s="29" t="b">
        <v>0</v>
      </c>
      <c r="R253" s="29" t="b">
        <v>0</v>
      </c>
      <c r="S253" s="29" t="b">
        <v>0</v>
      </c>
      <c r="T253" s="29" t="b">
        <f t="shared" si="1106"/>
        <v>0</v>
      </c>
      <c r="U253" s="29" t="s">
        <v>1001</v>
      </c>
      <c r="W253" s="29">
        <v>2</v>
      </c>
      <c r="X253" s="308"/>
      <c r="Y253" s="16" t="s">
        <v>1041</v>
      </c>
      <c r="Z253" s="308"/>
      <c r="AA253" s="554">
        <f t="shared" ref="AA253:AC253" si="1307">AVERAGE(AJ253,AM253,AP253,AV253,AY253,AS253,BZ253,BB253,BE253,BH253,BK253,BN253,BQ253,BT253)</f>
        <v>20</v>
      </c>
      <c r="AB253" s="555" t="e">
        <f t="shared" si="1307"/>
        <v>#DIV/0!</v>
      </c>
      <c r="AC253" s="556" t="e">
        <f t="shared" si="1307"/>
        <v>#DIV/0!</v>
      </c>
      <c r="AD253" s="29" t="b">
        <v>0</v>
      </c>
      <c r="AE253" s="29" t="b">
        <v>1</v>
      </c>
      <c r="AF253" s="29" t="b">
        <v>0</v>
      </c>
      <c r="AG253" s="566">
        <f t="shared" ref="AG253:AI253" si="1308">AA253</f>
        <v>20</v>
      </c>
      <c r="AH253" s="567" t="e">
        <f t="shared" si="1308"/>
        <v>#DIV/0!</v>
      </c>
      <c r="AI253" s="568" t="e">
        <f t="shared" si="1308"/>
        <v>#DIV/0!</v>
      </c>
      <c r="AJ253" s="567"/>
      <c r="AK253" s="567"/>
      <c r="AL253" s="568"/>
      <c r="AM253" s="567"/>
      <c r="AN253" s="567"/>
      <c r="AO253" s="568"/>
      <c r="AP253" s="567"/>
      <c r="AQ253" s="567"/>
      <c r="AR253" s="568"/>
      <c r="AS253" s="569">
        <v>20</v>
      </c>
      <c r="AT253" s="567"/>
      <c r="AU253" s="568"/>
      <c r="AV253" s="567"/>
      <c r="AW253" s="567"/>
      <c r="AX253" s="568"/>
      <c r="AY253" s="567"/>
      <c r="AZ253" s="567"/>
      <c r="BA253" s="568"/>
      <c r="BB253" s="567"/>
      <c r="BC253" s="567"/>
      <c r="BD253" s="568"/>
      <c r="BE253" s="567"/>
      <c r="BF253" s="567"/>
      <c r="BG253" s="568"/>
      <c r="BH253" s="567"/>
      <c r="BI253" s="567"/>
      <c r="BJ253" s="568"/>
      <c r="BK253" s="567"/>
      <c r="BL253" s="567"/>
      <c r="BM253" s="568"/>
      <c r="BN253" s="567"/>
      <c r="BO253" s="567"/>
      <c r="BP253" s="568"/>
      <c r="BQ253" s="567"/>
      <c r="BR253" s="567"/>
      <c r="BS253" s="568"/>
      <c r="BT253" s="567"/>
      <c r="BU253" s="567"/>
      <c r="BV253" s="568"/>
      <c r="BW253" s="567"/>
      <c r="BX253" s="567"/>
      <c r="BY253" s="568"/>
      <c r="BZ253" s="567"/>
      <c r="CA253" s="567"/>
      <c r="CB253" s="567"/>
      <c r="CC253" s="583"/>
      <c r="CD253" s="555">
        <f t="shared" ref="CD253:CF253" si="1309">MEDIAN(AM253,AP253,AS253,AY253,BB253,AV253,AA253,BE253,BK253,BZ253,BH253,BN253,BQ253,BT253,BW253)</f>
        <v>20</v>
      </c>
      <c r="CE253" s="555" t="e">
        <f t="shared" si="1309"/>
        <v>#DIV/0!</v>
      </c>
      <c r="CF253" s="556" t="e">
        <f t="shared" si="1309"/>
        <v>#DIV/0!</v>
      </c>
      <c r="CG253" s="555">
        <f t="shared" ref="CG253:CI253" si="1310">MAX(AP253,AS253,AV253,BB253,BE253,AY253,CD253,BK253,BZ253,AA253)-MIN(AP253,AS253,AV253,BB253,BE253,AY253,CD253,BK253,BZ253,AA253)</f>
        <v>0</v>
      </c>
      <c r="CH253" s="555" t="e">
        <f t="shared" si="1310"/>
        <v>#DIV/0!</v>
      </c>
      <c r="CI253" s="556" t="e">
        <f t="shared" si="1310"/>
        <v>#DIV/0!</v>
      </c>
      <c r="CJ253" s="555">
        <f t="shared" ref="CJ253:CL253" si="1311">STDEV(AS253,AV253,AY253,BE253,BK253,BB253,CG253,BZ253,AA253,CD253)</f>
        <v>10</v>
      </c>
      <c r="CK253" s="555" t="e">
        <f t="shared" si="1311"/>
        <v>#DIV/0!</v>
      </c>
      <c r="CL253" s="556" t="e">
        <f t="shared" si="1311"/>
        <v>#DIV/0!</v>
      </c>
      <c r="CM253" s="555">
        <f t="shared" ref="CM253:CO253" si="1312">CJ253/AA253</f>
        <v>0.5</v>
      </c>
      <c r="CN253" s="555" t="e">
        <f t="shared" si="1312"/>
        <v>#DIV/0!</v>
      </c>
      <c r="CO253" s="556" t="e">
        <f t="shared" si="1312"/>
        <v>#DIV/0!</v>
      </c>
      <c r="CP253" s="29" t="s">
        <v>120</v>
      </c>
      <c r="CQ253" s="535">
        <f t="shared" si="1132"/>
        <v>2</v>
      </c>
      <c r="CR253" s="29" t="s">
        <v>120</v>
      </c>
      <c r="CS253" s="29" t="s">
        <v>120</v>
      </c>
      <c r="CT253" s="29" t="s">
        <v>120</v>
      </c>
      <c r="CU253" s="29" t="s">
        <v>120</v>
      </c>
      <c r="CV253" s="29" t="s">
        <v>120</v>
      </c>
    </row>
    <row r="254" customHeight="1" spans="1:100">
      <c r="A254" s="29" t="s">
        <v>507</v>
      </c>
      <c r="B254" s="541"/>
      <c r="F254" s="308"/>
      <c r="G254" s="308"/>
      <c r="H254" s="29" t="b">
        <v>0</v>
      </c>
      <c r="I254" s="29" t="b">
        <v>0</v>
      </c>
      <c r="J254" s="29" t="b">
        <v>0</v>
      </c>
      <c r="K254" s="29" t="b">
        <v>0</v>
      </c>
      <c r="L254" s="29" t="b">
        <v>0</v>
      </c>
      <c r="M254" s="29" t="b">
        <v>0</v>
      </c>
      <c r="P254" s="29" t="b">
        <v>0</v>
      </c>
      <c r="Q254" s="29" t="b">
        <v>0</v>
      </c>
      <c r="R254" s="29" t="b">
        <v>0</v>
      </c>
      <c r="S254" s="29" t="b">
        <v>0</v>
      </c>
      <c r="T254" s="29" t="b">
        <f t="shared" si="1106"/>
        <v>0</v>
      </c>
      <c r="U254" s="29" t="s">
        <v>1001</v>
      </c>
      <c r="W254" s="29">
        <v>2</v>
      </c>
      <c r="X254" s="308"/>
      <c r="Y254" s="16" t="s">
        <v>1041</v>
      </c>
      <c r="Z254" s="308"/>
      <c r="AA254" s="554">
        <f t="shared" ref="AA254:AC254" si="1313">AVERAGE(AJ254,AM254,AP254,AV254,AY254,AS254,BZ254,BB254,BE254,BH254,BK254,BN254,BQ254,BT254)</f>
        <v>15</v>
      </c>
      <c r="AB254" s="555" t="e">
        <f t="shared" si="1313"/>
        <v>#DIV/0!</v>
      </c>
      <c r="AC254" s="556" t="e">
        <f t="shared" si="1313"/>
        <v>#DIV/0!</v>
      </c>
      <c r="AD254" s="29" t="b">
        <v>0</v>
      </c>
      <c r="AE254" s="29" t="b">
        <v>1</v>
      </c>
      <c r="AF254" s="29" t="b">
        <v>0</v>
      </c>
      <c r="AG254" s="566">
        <f t="shared" ref="AG254:AI254" si="1314">AA254</f>
        <v>15</v>
      </c>
      <c r="AH254" s="567" t="e">
        <f t="shared" si="1314"/>
        <v>#DIV/0!</v>
      </c>
      <c r="AI254" s="568" t="e">
        <f t="shared" si="1314"/>
        <v>#DIV/0!</v>
      </c>
      <c r="AJ254" s="567"/>
      <c r="AK254" s="567"/>
      <c r="AL254" s="568"/>
      <c r="AM254" s="567"/>
      <c r="AN254" s="567"/>
      <c r="AO254" s="568"/>
      <c r="AP254" s="567"/>
      <c r="AQ254" s="567"/>
      <c r="AR254" s="568"/>
      <c r="AS254" s="569">
        <v>15</v>
      </c>
      <c r="AT254" s="567"/>
      <c r="AU254" s="568"/>
      <c r="AV254" s="567"/>
      <c r="AW254" s="567"/>
      <c r="AX254" s="568"/>
      <c r="AY254" s="567"/>
      <c r="AZ254" s="567"/>
      <c r="BA254" s="568"/>
      <c r="BB254" s="567"/>
      <c r="BC254" s="567"/>
      <c r="BD254" s="568"/>
      <c r="BE254" s="567"/>
      <c r="BF254" s="567"/>
      <c r="BG254" s="568"/>
      <c r="BH254" s="567"/>
      <c r="BI254" s="567"/>
      <c r="BJ254" s="568"/>
      <c r="BK254" s="567"/>
      <c r="BL254" s="567"/>
      <c r="BM254" s="568"/>
      <c r="BN254" s="567"/>
      <c r="BO254" s="567"/>
      <c r="BP254" s="568"/>
      <c r="BQ254" s="567"/>
      <c r="BR254" s="567"/>
      <c r="BS254" s="568"/>
      <c r="BT254" s="567"/>
      <c r="BU254" s="567"/>
      <c r="BV254" s="568"/>
      <c r="BW254" s="567"/>
      <c r="BX254" s="567"/>
      <c r="BY254" s="568"/>
      <c r="BZ254" s="567"/>
      <c r="CA254" s="567"/>
      <c r="CB254" s="567"/>
      <c r="CC254" s="583"/>
      <c r="CD254" s="555">
        <f t="shared" ref="CD254:CF254" si="1315">MEDIAN(AM254,AP254,AS254,AY254,BB254,AV254,AA254,BE254,BK254,BZ254,BH254,BN254,BQ254,BT254,BW254)</f>
        <v>15</v>
      </c>
      <c r="CE254" s="555" t="e">
        <f t="shared" si="1315"/>
        <v>#DIV/0!</v>
      </c>
      <c r="CF254" s="556" t="e">
        <f t="shared" si="1315"/>
        <v>#DIV/0!</v>
      </c>
      <c r="CG254" s="555">
        <f t="shared" ref="CG254:CI254" si="1316">MAX(AP254,AS254,AV254,BB254,BE254,AY254,CD254,BK254,BZ254,AA254)-MIN(AP254,AS254,AV254,BB254,BE254,AY254,CD254,BK254,BZ254,AA254)</f>
        <v>0</v>
      </c>
      <c r="CH254" s="555" t="e">
        <f t="shared" si="1316"/>
        <v>#DIV/0!</v>
      </c>
      <c r="CI254" s="556" t="e">
        <f t="shared" si="1316"/>
        <v>#DIV/0!</v>
      </c>
      <c r="CJ254" s="555">
        <f t="shared" ref="CJ254:CL254" si="1317">STDEV(AS254,AV254,AY254,BE254,BK254,BB254,CG254,BZ254,AA254,CD254)</f>
        <v>7.5</v>
      </c>
      <c r="CK254" s="555" t="e">
        <f t="shared" si="1317"/>
        <v>#DIV/0!</v>
      </c>
      <c r="CL254" s="556" t="e">
        <f t="shared" si="1317"/>
        <v>#DIV/0!</v>
      </c>
      <c r="CM254" s="555">
        <f t="shared" ref="CM254:CO254" si="1318">CJ254/AA254</f>
        <v>0.5</v>
      </c>
      <c r="CN254" s="555" t="e">
        <f t="shared" si="1318"/>
        <v>#DIV/0!</v>
      </c>
      <c r="CO254" s="556" t="e">
        <f t="shared" si="1318"/>
        <v>#DIV/0!</v>
      </c>
      <c r="CP254" s="29" t="s">
        <v>120</v>
      </c>
      <c r="CQ254" s="535">
        <f t="shared" si="1132"/>
        <v>2</v>
      </c>
      <c r="CR254" s="29" t="s">
        <v>120</v>
      </c>
      <c r="CS254" s="29" t="s">
        <v>120</v>
      </c>
      <c r="CT254" s="29" t="s">
        <v>120</v>
      </c>
      <c r="CU254" s="29" t="s">
        <v>120</v>
      </c>
      <c r="CV254" s="29" t="s">
        <v>120</v>
      </c>
    </row>
    <row r="255" customHeight="1" spans="1:100">
      <c r="A255" s="29" t="s">
        <v>508</v>
      </c>
      <c r="B255" s="541"/>
      <c r="F255" s="308"/>
      <c r="G255" s="308"/>
      <c r="H255" s="29" t="b">
        <v>0</v>
      </c>
      <c r="I255" s="29" t="b">
        <v>0</v>
      </c>
      <c r="J255" s="29" t="b">
        <v>0</v>
      </c>
      <c r="K255" s="29" t="b">
        <v>0</v>
      </c>
      <c r="L255" s="29" t="b">
        <v>0</v>
      </c>
      <c r="M255" s="29" t="b">
        <v>0</v>
      </c>
      <c r="P255" s="29" t="b">
        <v>0</v>
      </c>
      <c r="Q255" s="29" t="b">
        <v>0</v>
      </c>
      <c r="R255" s="29" t="b">
        <v>0</v>
      </c>
      <c r="S255" s="29" t="b">
        <v>0</v>
      </c>
      <c r="T255" s="29" t="b">
        <f t="shared" si="1106"/>
        <v>0</v>
      </c>
      <c r="U255" s="29" t="s">
        <v>1001</v>
      </c>
      <c r="W255" s="29">
        <v>2</v>
      </c>
      <c r="X255" s="308"/>
      <c r="Y255" s="16" t="s">
        <v>1041</v>
      </c>
      <c r="Z255" s="308"/>
      <c r="AA255" s="554">
        <f t="shared" ref="AA255:AC255" si="1319">AVERAGE(AJ255,AM255,AP255,AV255,AY255,AS255,BZ255,BB255,BE255,BH255,BK255,BN255,BQ255,BT255)</f>
        <v>9</v>
      </c>
      <c r="AB255" s="555" t="e">
        <f t="shared" si="1319"/>
        <v>#DIV/0!</v>
      </c>
      <c r="AC255" s="556" t="e">
        <f t="shared" si="1319"/>
        <v>#DIV/0!</v>
      </c>
      <c r="AD255" s="29" t="b">
        <v>0</v>
      </c>
      <c r="AE255" s="29" t="b">
        <v>1</v>
      </c>
      <c r="AF255" s="29" t="b">
        <v>0</v>
      </c>
      <c r="AG255" s="566">
        <f t="shared" ref="AG255:AI255" si="1320">AA255</f>
        <v>9</v>
      </c>
      <c r="AH255" s="567" t="e">
        <f t="shared" si="1320"/>
        <v>#DIV/0!</v>
      </c>
      <c r="AI255" s="568" t="e">
        <f t="shared" si="1320"/>
        <v>#DIV/0!</v>
      </c>
      <c r="AJ255" s="567"/>
      <c r="AK255" s="567"/>
      <c r="AL255" s="568"/>
      <c r="AM255" s="567"/>
      <c r="AN255" s="567"/>
      <c r="AO255" s="568"/>
      <c r="AP255" s="567"/>
      <c r="AQ255" s="567"/>
      <c r="AR255" s="568"/>
      <c r="AS255" s="569">
        <v>9</v>
      </c>
      <c r="AT255" s="567"/>
      <c r="AU255" s="568"/>
      <c r="AV255" s="567"/>
      <c r="AW255" s="567"/>
      <c r="AX255" s="568"/>
      <c r="AY255" s="567"/>
      <c r="AZ255" s="567"/>
      <c r="BA255" s="568"/>
      <c r="BB255" s="567"/>
      <c r="BC255" s="567"/>
      <c r="BD255" s="568"/>
      <c r="BE255" s="567"/>
      <c r="BF255" s="567"/>
      <c r="BG255" s="568"/>
      <c r="BH255" s="567"/>
      <c r="BI255" s="567"/>
      <c r="BJ255" s="568"/>
      <c r="BK255" s="567"/>
      <c r="BL255" s="567"/>
      <c r="BM255" s="568"/>
      <c r="BN255" s="567"/>
      <c r="BO255" s="567"/>
      <c r="BP255" s="568"/>
      <c r="BQ255" s="567"/>
      <c r="BR255" s="567"/>
      <c r="BS255" s="568"/>
      <c r="BT255" s="567"/>
      <c r="BU255" s="567"/>
      <c r="BV255" s="568"/>
      <c r="BW255" s="567"/>
      <c r="BX255" s="567"/>
      <c r="BY255" s="568"/>
      <c r="BZ255" s="567"/>
      <c r="CA255" s="567"/>
      <c r="CB255" s="567"/>
      <c r="CC255" s="583"/>
      <c r="CD255" s="555">
        <f t="shared" ref="CD255:CF255" si="1321">MEDIAN(AM255,AP255,AS255,AY255,BB255,AV255,AA255,BE255,BK255,BZ255,BH255,BN255,BQ255,BT255,BW255)</f>
        <v>9</v>
      </c>
      <c r="CE255" s="555" t="e">
        <f t="shared" si="1321"/>
        <v>#DIV/0!</v>
      </c>
      <c r="CF255" s="556" t="e">
        <f t="shared" si="1321"/>
        <v>#DIV/0!</v>
      </c>
      <c r="CG255" s="555">
        <f t="shared" ref="CG255:CI255" si="1322">MAX(AP255,AS255,AV255,BB255,BE255,AY255,CD255,BK255,BZ255,AA255)-MIN(AP255,AS255,AV255,BB255,BE255,AY255,CD255,BK255,BZ255,AA255)</f>
        <v>0</v>
      </c>
      <c r="CH255" s="555" t="e">
        <f t="shared" si="1322"/>
        <v>#DIV/0!</v>
      </c>
      <c r="CI255" s="556" t="e">
        <f t="shared" si="1322"/>
        <v>#DIV/0!</v>
      </c>
      <c r="CJ255" s="555">
        <f t="shared" ref="CJ255:CL255" si="1323">STDEV(AS255,AV255,AY255,BE255,BK255,BB255,CG255,BZ255,AA255,CD255)</f>
        <v>4.5</v>
      </c>
      <c r="CK255" s="555" t="e">
        <f t="shared" si="1323"/>
        <v>#DIV/0!</v>
      </c>
      <c r="CL255" s="556" t="e">
        <f t="shared" si="1323"/>
        <v>#DIV/0!</v>
      </c>
      <c r="CM255" s="555">
        <f t="shared" ref="CM255:CO255" si="1324">CJ255/AA255</f>
        <v>0.5</v>
      </c>
      <c r="CN255" s="555" t="e">
        <f t="shared" si="1324"/>
        <v>#DIV/0!</v>
      </c>
      <c r="CO255" s="556" t="e">
        <f t="shared" si="1324"/>
        <v>#DIV/0!</v>
      </c>
      <c r="CP255" s="29" t="s">
        <v>120</v>
      </c>
      <c r="CQ255" s="535">
        <f t="shared" si="1132"/>
        <v>2</v>
      </c>
      <c r="CR255" s="29" t="s">
        <v>120</v>
      </c>
      <c r="CS255" s="29" t="s">
        <v>120</v>
      </c>
      <c r="CT255" s="29" t="s">
        <v>120</v>
      </c>
      <c r="CU255" s="29" t="s">
        <v>120</v>
      </c>
      <c r="CV255" s="29" t="s">
        <v>120</v>
      </c>
    </row>
    <row r="256" customHeight="1" spans="1:100">
      <c r="A256" s="29" t="s">
        <v>509</v>
      </c>
      <c r="B256" s="541"/>
      <c r="F256" s="308"/>
      <c r="G256" s="308"/>
      <c r="H256" s="29" t="b">
        <v>0</v>
      </c>
      <c r="I256" s="29" t="b">
        <v>0</v>
      </c>
      <c r="J256" s="29" t="b">
        <v>0</v>
      </c>
      <c r="K256" s="29" t="b">
        <v>0</v>
      </c>
      <c r="L256" s="29" t="b">
        <v>0</v>
      </c>
      <c r="M256" s="29" t="b">
        <v>0</v>
      </c>
      <c r="P256" s="29" t="b">
        <v>0</v>
      </c>
      <c r="Q256" s="29" t="b">
        <v>0</v>
      </c>
      <c r="R256" s="29" t="b">
        <v>0</v>
      </c>
      <c r="S256" s="29" t="b">
        <v>0</v>
      </c>
      <c r="T256" s="29" t="b">
        <f t="shared" si="1106"/>
        <v>0</v>
      </c>
      <c r="U256" s="29" t="s">
        <v>1001</v>
      </c>
      <c r="W256" s="29">
        <v>2</v>
      </c>
      <c r="X256" s="308"/>
      <c r="Y256" s="16" t="s">
        <v>1041</v>
      </c>
      <c r="Z256" s="308"/>
      <c r="AA256" s="554">
        <f t="shared" ref="AA256:AC256" si="1325">AVERAGE(AJ256,AM256,AP256,AV256,AY256,AS256,BZ256,BB256,BE256,BH256,BK256,BN256,BQ256,BT256)</f>
        <v>70</v>
      </c>
      <c r="AB256" s="555" t="e">
        <f t="shared" si="1325"/>
        <v>#DIV/0!</v>
      </c>
      <c r="AC256" s="556" t="e">
        <f t="shared" si="1325"/>
        <v>#DIV/0!</v>
      </c>
      <c r="AD256" s="29" t="b">
        <v>0</v>
      </c>
      <c r="AE256" s="29" t="b">
        <v>1</v>
      </c>
      <c r="AF256" s="29" t="b">
        <v>0</v>
      </c>
      <c r="AG256" s="566">
        <f t="shared" ref="AG256:AI256" si="1326">AA256</f>
        <v>70</v>
      </c>
      <c r="AH256" s="567" t="e">
        <f t="shared" si="1326"/>
        <v>#DIV/0!</v>
      </c>
      <c r="AI256" s="568" t="e">
        <f t="shared" si="1326"/>
        <v>#DIV/0!</v>
      </c>
      <c r="AJ256" s="567"/>
      <c r="AK256" s="567"/>
      <c r="AL256" s="568"/>
      <c r="AM256" s="567"/>
      <c r="AN256" s="567"/>
      <c r="AO256" s="568"/>
      <c r="AP256" s="567"/>
      <c r="AQ256" s="567"/>
      <c r="AR256" s="568"/>
      <c r="AS256" s="569">
        <v>70</v>
      </c>
      <c r="AT256" s="567"/>
      <c r="AU256" s="568"/>
      <c r="AV256" s="567"/>
      <c r="AW256" s="567"/>
      <c r="AX256" s="568"/>
      <c r="AY256" s="567"/>
      <c r="AZ256" s="567"/>
      <c r="BA256" s="568"/>
      <c r="BB256" s="567"/>
      <c r="BC256" s="567"/>
      <c r="BD256" s="568"/>
      <c r="BE256" s="567"/>
      <c r="BF256" s="567"/>
      <c r="BG256" s="568"/>
      <c r="BH256" s="567"/>
      <c r="BI256" s="567"/>
      <c r="BJ256" s="568"/>
      <c r="BK256" s="567"/>
      <c r="BL256" s="567"/>
      <c r="BM256" s="568"/>
      <c r="BN256" s="567"/>
      <c r="BO256" s="567"/>
      <c r="BP256" s="568"/>
      <c r="BQ256" s="567"/>
      <c r="BR256" s="567"/>
      <c r="BS256" s="568"/>
      <c r="BT256" s="567"/>
      <c r="BU256" s="567"/>
      <c r="BV256" s="568"/>
      <c r="BW256" s="567"/>
      <c r="BX256" s="567"/>
      <c r="BY256" s="568"/>
      <c r="BZ256" s="567"/>
      <c r="CA256" s="567"/>
      <c r="CB256" s="567"/>
      <c r="CC256" s="583"/>
      <c r="CD256" s="555">
        <f t="shared" ref="CD256:CF256" si="1327">MEDIAN(AM256,AP256,AS256,AY256,BB256,AV256,AA256,BE256,BK256,BZ256,BH256,BN256,BQ256,BT256,BW256)</f>
        <v>70</v>
      </c>
      <c r="CE256" s="555" t="e">
        <f t="shared" si="1327"/>
        <v>#DIV/0!</v>
      </c>
      <c r="CF256" s="556" t="e">
        <f t="shared" si="1327"/>
        <v>#DIV/0!</v>
      </c>
      <c r="CG256" s="555">
        <f t="shared" ref="CG256:CI256" si="1328">MAX(AP256,AS256,AV256,BB256,BE256,AY256,CD256,BK256,BZ256,AA256)-MIN(AP256,AS256,AV256,BB256,BE256,AY256,CD256,BK256,BZ256,AA256)</f>
        <v>0</v>
      </c>
      <c r="CH256" s="555" t="e">
        <f t="shared" si="1328"/>
        <v>#DIV/0!</v>
      </c>
      <c r="CI256" s="556" t="e">
        <f t="shared" si="1328"/>
        <v>#DIV/0!</v>
      </c>
      <c r="CJ256" s="555">
        <f t="shared" ref="CJ256:CL256" si="1329">STDEV(AS256,AV256,AY256,BE256,BK256,BB256,CG256,BZ256,AA256,CD256)</f>
        <v>35</v>
      </c>
      <c r="CK256" s="555" t="e">
        <f t="shared" si="1329"/>
        <v>#DIV/0!</v>
      </c>
      <c r="CL256" s="556" t="e">
        <f t="shared" si="1329"/>
        <v>#DIV/0!</v>
      </c>
      <c r="CM256" s="555">
        <f t="shared" ref="CM256:CO256" si="1330">CJ256/AA256</f>
        <v>0.5</v>
      </c>
      <c r="CN256" s="555" t="e">
        <f t="shared" si="1330"/>
        <v>#DIV/0!</v>
      </c>
      <c r="CO256" s="556" t="e">
        <f t="shared" si="1330"/>
        <v>#DIV/0!</v>
      </c>
      <c r="CP256" s="29" t="s">
        <v>120</v>
      </c>
      <c r="CQ256" s="535">
        <f t="shared" si="1132"/>
        <v>2</v>
      </c>
      <c r="CR256" s="29" t="s">
        <v>120</v>
      </c>
      <c r="CS256" s="29" t="s">
        <v>120</v>
      </c>
      <c r="CT256" s="29" t="s">
        <v>120</v>
      </c>
      <c r="CU256" s="29" t="s">
        <v>120</v>
      </c>
      <c r="CV256" s="29" t="s">
        <v>120</v>
      </c>
    </row>
    <row r="257" customHeight="1" spans="1:100">
      <c r="A257" s="29" t="s">
        <v>510</v>
      </c>
      <c r="B257" s="541"/>
      <c r="F257" s="308"/>
      <c r="G257" s="308"/>
      <c r="H257" s="29" t="b">
        <v>0</v>
      </c>
      <c r="I257" s="29" t="b">
        <v>0</v>
      </c>
      <c r="J257" s="29" t="b">
        <v>0</v>
      </c>
      <c r="K257" s="29" t="b">
        <v>0</v>
      </c>
      <c r="L257" s="29" t="b">
        <v>0</v>
      </c>
      <c r="M257" s="29" t="b">
        <v>0</v>
      </c>
      <c r="P257" s="29" t="b">
        <v>0</v>
      </c>
      <c r="Q257" s="29" t="b">
        <v>0</v>
      </c>
      <c r="R257" s="29" t="b">
        <v>0</v>
      </c>
      <c r="S257" s="29" t="b">
        <v>0</v>
      </c>
      <c r="T257" s="29" t="b">
        <f t="shared" si="1106"/>
        <v>0</v>
      </c>
      <c r="U257" s="29" t="s">
        <v>1001</v>
      </c>
      <c r="W257" s="29">
        <v>2</v>
      </c>
      <c r="X257" s="308"/>
      <c r="Y257" s="16" t="s">
        <v>1041</v>
      </c>
      <c r="Z257" s="308"/>
      <c r="AA257" s="554">
        <f t="shared" ref="AA257:AC257" si="1331">AVERAGE(AJ257,AM257,AP257,AV257,AY257,AS257,BZ257,BB257,BE257,BH257,BK257,BN257,BQ257,BT257)</f>
        <v>50</v>
      </c>
      <c r="AB257" s="555" t="e">
        <f t="shared" si="1331"/>
        <v>#DIV/0!</v>
      </c>
      <c r="AC257" s="556" t="e">
        <f t="shared" si="1331"/>
        <v>#DIV/0!</v>
      </c>
      <c r="AD257" s="29" t="b">
        <v>0</v>
      </c>
      <c r="AE257" s="29" t="b">
        <v>1</v>
      </c>
      <c r="AF257" s="29" t="b">
        <v>0</v>
      </c>
      <c r="AG257" s="566">
        <f t="shared" ref="AG257:AI257" si="1332">AA257</f>
        <v>50</v>
      </c>
      <c r="AH257" s="567" t="e">
        <f t="shared" si="1332"/>
        <v>#DIV/0!</v>
      </c>
      <c r="AI257" s="568" t="e">
        <f t="shared" si="1332"/>
        <v>#DIV/0!</v>
      </c>
      <c r="AJ257" s="567"/>
      <c r="AK257" s="567"/>
      <c r="AL257" s="568"/>
      <c r="AM257" s="567"/>
      <c r="AN257" s="567"/>
      <c r="AO257" s="568"/>
      <c r="AP257" s="567"/>
      <c r="AQ257" s="567"/>
      <c r="AR257" s="568"/>
      <c r="AS257" s="569">
        <v>50</v>
      </c>
      <c r="AT257" s="567"/>
      <c r="AU257" s="568"/>
      <c r="AV257" s="567"/>
      <c r="AW257" s="567"/>
      <c r="AX257" s="568"/>
      <c r="AY257" s="567"/>
      <c r="AZ257" s="567"/>
      <c r="BA257" s="568"/>
      <c r="BB257" s="567"/>
      <c r="BC257" s="567"/>
      <c r="BD257" s="568"/>
      <c r="BE257" s="567"/>
      <c r="BF257" s="567"/>
      <c r="BG257" s="568"/>
      <c r="BH257" s="567"/>
      <c r="BI257" s="567"/>
      <c r="BJ257" s="568"/>
      <c r="BK257" s="567"/>
      <c r="BL257" s="567"/>
      <c r="BM257" s="568"/>
      <c r="BN257" s="567"/>
      <c r="BO257" s="567"/>
      <c r="BP257" s="568"/>
      <c r="BQ257" s="567"/>
      <c r="BR257" s="567"/>
      <c r="BS257" s="568"/>
      <c r="BT257" s="567"/>
      <c r="BU257" s="567"/>
      <c r="BV257" s="568"/>
      <c r="BW257" s="567"/>
      <c r="BX257" s="567"/>
      <c r="BY257" s="568"/>
      <c r="BZ257" s="567"/>
      <c r="CA257" s="567"/>
      <c r="CB257" s="567"/>
      <c r="CC257" s="583"/>
      <c r="CD257" s="555">
        <f t="shared" ref="CD257:CF257" si="1333">MEDIAN(AM257,AP257,AS257,AY257,BB257,AV257,AA257,BE257,BK257,BZ257,BH257,BN257,BQ257,BT257,BW257)</f>
        <v>50</v>
      </c>
      <c r="CE257" s="555" t="e">
        <f t="shared" si="1333"/>
        <v>#DIV/0!</v>
      </c>
      <c r="CF257" s="556" t="e">
        <f t="shared" si="1333"/>
        <v>#DIV/0!</v>
      </c>
      <c r="CG257" s="555">
        <f t="shared" ref="CG257:CI257" si="1334">MAX(AP257,AS257,AV257,BB257,BE257,AY257,CD257,BK257,BZ257,AA257)-MIN(AP257,AS257,AV257,BB257,BE257,AY257,CD257,BK257,BZ257,AA257)</f>
        <v>0</v>
      </c>
      <c r="CH257" s="555" t="e">
        <f t="shared" si="1334"/>
        <v>#DIV/0!</v>
      </c>
      <c r="CI257" s="556" t="e">
        <f t="shared" si="1334"/>
        <v>#DIV/0!</v>
      </c>
      <c r="CJ257" s="555">
        <f t="shared" ref="CJ257:CL257" si="1335">STDEV(AS257,AV257,AY257,BE257,BK257,BB257,CG257,BZ257,AA257,CD257)</f>
        <v>25</v>
      </c>
      <c r="CK257" s="555" t="e">
        <f t="shared" si="1335"/>
        <v>#DIV/0!</v>
      </c>
      <c r="CL257" s="556" t="e">
        <f t="shared" si="1335"/>
        <v>#DIV/0!</v>
      </c>
      <c r="CM257" s="555">
        <f t="shared" ref="CM257:CO257" si="1336">CJ257/AA257</f>
        <v>0.5</v>
      </c>
      <c r="CN257" s="555" t="e">
        <f t="shared" si="1336"/>
        <v>#DIV/0!</v>
      </c>
      <c r="CO257" s="556" t="e">
        <f t="shared" si="1336"/>
        <v>#DIV/0!</v>
      </c>
      <c r="CP257" s="29" t="s">
        <v>120</v>
      </c>
      <c r="CQ257" s="535">
        <f t="shared" si="1132"/>
        <v>2</v>
      </c>
      <c r="CR257" s="29" t="s">
        <v>120</v>
      </c>
      <c r="CS257" s="29" t="s">
        <v>120</v>
      </c>
      <c r="CT257" s="29" t="s">
        <v>120</v>
      </c>
      <c r="CU257" s="29" t="s">
        <v>120</v>
      </c>
      <c r="CV257" s="29" t="s">
        <v>120</v>
      </c>
    </row>
    <row r="258" customHeight="1" spans="1:100">
      <c r="A258" s="29" t="s">
        <v>511</v>
      </c>
      <c r="B258" s="541"/>
      <c r="F258" s="308"/>
      <c r="G258" s="308"/>
      <c r="H258" s="29" t="b">
        <v>0</v>
      </c>
      <c r="I258" s="29" t="b">
        <v>0</v>
      </c>
      <c r="J258" s="29" t="b">
        <v>0</v>
      </c>
      <c r="K258" s="29" t="b">
        <v>0</v>
      </c>
      <c r="L258" s="29" t="b">
        <v>0</v>
      </c>
      <c r="M258" s="29" t="b">
        <v>0</v>
      </c>
      <c r="P258" s="29" t="b">
        <v>0</v>
      </c>
      <c r="Q258" s="29" t="b">
        <v>0</v>
      </c>
      <c r="R258" s="29" t="b">
        <v>0</v>
      </c>
      <c r="S258" s="29" t="b">
        <v>0</v>
      </c>
      <c r="T258" s="29" t="b">
        <f t="shared" si="1106"/>
        <v>0</v>
      </c>
      <c r="U258" s="29" t="s">
        <v>1001</v>
      </c>
      <c r="W258" s="29">
        <v>2</v>
      </c>
      <c r="X258" s="308"/>
      <c r="Y258" s="16" t="s">
        <v>1041</v>
      </c>
      <c r="Z258" s="308"/>
      <c r="AA258" s="554">
        <f t="shared" ref="AA258:AC258" si="1337">AVERAGE(AJ258,AM258,AP258,AV258,AY258,AS258,BZ258,BB258,BE258,BH258,BK258,BN258,BQ258,BT258)</f>
        <v>35</v>
      </c>
      <c r="AB258" s="555" t="e">
        <f t="shared" si="1337"/>
        <v>#DIV/0!</v>
      </c>
      <c r="AC258" s="556" t="e">
        <f t="shared" si="1337"/>
        <v>#DIV/0!</v>
      </c>
      <c r="AD258" s="29" t="b">
        <v>0</v>
      </c>
      <c r="AE258" s="29" t="b">
        <v>1</v>
      </c>
      <c r="AF258" s="29" t="b">
        <v>0</v>
      </c>
      <c r="AG258" s="566">
        <f t="shared" ref="AG258:AI258" si="1338">AA258</f>
        <v>35</v>
      </c>
      <c r="AH258" s="567" t="e">
        <f t="shared" si="1338"/>
        <v>#DIV/0!</v>
      </c>
      <c r="AI258" s="568" t="e">
        <f t="shared" si="1338"/>
        <v>#DIV/0!</v>
      </c>
      <c r="AJ258" s="567"/>
      <c r="AK258" s="567"/>
      <c r="AL258" s="568"/>
      <c r="AM258" s="567"/>
      <c r="AN258" s="567"/>
      <c r="AO258" s="568"/>
      <c r="AP258" s="567"/>
      <c r="AQ258" s="567"/>
      <c r="AR258" s="568"/>
      <c r="AS258" s="569">
        <v>35</v>
      </c>
      <c r="AT258" s="567"/>
      <c r="AU258" s="568"/>
      <c r="AV258" s="567"/>
      <c r="AW258" s="567"/>
      <c r="AX258" s="568"/>
      <c r="AY258" s="567"/>
      <c r="AZ258" s="567"/>
      <c r="BA258" s="568"/>
      <c r="BB258" s="567"/>
      <c r="BC258" s="567"/>
      <c r="BD258" s="568"/>
      <c r="BE258" s="567"/>
      <c r="BF258" s="567"/>
      <c r="BG258" s="568"/>
      <c r="BH258" s="567"/>
      <c r="BI258" s="567"/>
      <c r="BJ258" s="568"/>
      <c r="BK258" s="567"/>
      <c r="BL258" s="567"/>
      <c r="BM258" s="568"/>
      <c r="BN258" s="567"/>
      <c r="BO258" s="567"/>
      <c r="BP258" s="568"/>
      <c r="BQ258" s="567"/>
      <c r="BR258" s="567"/>
      <c r="BS258" s="568"/>
      <c r="BT258" s="567"/>
      <c r="BU258" s="567"/>
      <c r="BV258" s="568"/>
      <c r="BW258" s="567"/>
      <c r="BX258" s="567"/>
      <c r="BY258" s="568"/>
      <c r="BZ258" s="567"/>
      <c r="CA258" s="567"/>
      <c r="CB258" s="567"/>
      <c r="CC258" s="583"/>
      <c r="CD258" s="555">
        <f t="shared" ref="CD258:CF258" si="1339">MEDIAN(AM258,AP258,AS258,AY258,BB258,AV258,AA258,BE258,BK258,BZ258,BH258,BN258,BQ258,BT258,BW258)</f>
        <v>35</v>
      </c>
      <c r="CE258" s="555" t="e">
        <f t="shared" si="1339"/>
        <v>#DIV/0!</v>
      </c>
      <c r="CF258" s="556" t="e">
        <f t="shared" si="1339"/>
        <v>#DIV/0!</v>
      </c>
      <c r="CG258" s="555">
        <f t="shared" ref="CG258:CI258" si="1340">MAX(AP258,AS258,AV258,BB258,BE258,AY258,CD258,BK258,BZ258,AA258)-MIN(AP258,AS258,AV258,BB258,BE258,AY258,CD258,BK258,BZ258,AA258)</f>
        <v>0</v>
      </c>
      <c r="CH258" s="555" t="e">
        <f t="shared" si="1340"/>
        <v>#DIV/0!</v>
      </c>
      <c r="CI258" s="556" t="e">
        <f t="shared" si="1340"/>
        <v>#DIV/0!</v>
      </c>
      <c r="CJ258" s="555">
        <f t="shared" ref="CJ258:CL258" si="1341">STDEV(AS258,AV258,AY258,BE258,BK258,BB258,CG258,BZ258,AA258,CD258)</f>
        <v>17.5</v>
      </c>
      <c r="CK258" s="555" t="e">
        <f t="shared" si="1341"/>
        <v>#DIV/0!</v>
      </c>
      <c r="CL258" s="556" t="e">
        <f t="shared" si="1341"/>
        <v>#DIV/0!</v>
      </c>
      <c r="CM258" s="555">
        <f t="shared" ref="CM258:CO258" si="1342">CJ258/AA258</f>
        <v>0.5</v>
      </c>
      <c r="CN258" s="555" t="e">
        <f t="shared" si="1342"/>
        <v>#DIV/0!</v>
      </c>
      <c r="CO258" s="556" t="e">
        <f t="shared" si="1342"/>
        <v>#DIV/0!</v>
      </c>
      <c r="CP258" s="29" t="s">
        <v>120</v>
      </c>
      <c r="CQ258" s="535">
        <f t="shared" si="1132"/>
        <v>2</v>
      </c>
      <c r="CR258" s="29" t="s">
        <v>120</v>
      </c>
      <c r="CS258" s="29" t="s">
        <v>120</v>
      </c>
      <c r="CT258" s="29" t="s">
        <v>120</v>
      </c>
      <c r="CU258" s="29" t="s">
        <v>120</v>
      </c>
      <c r="CV258" s="29" t="s">
        <v>120</v>
      </c>
    </row>
    <row r="259" customHeight="1" spans="1:100">
      <c r="A259" s="29" t="s">
        <v>512</v>
      </c>
      <c r="B259" s="541"/>
      <c r="F259" s="308"/>
      <c r="G259" s="308"/>
      <c r="H259" s="29" t="b">
        <v>0</v>
      </c>
      <c r="I259" s="29" t="b">
        <v>0</v>
      </c>
      <c r="J259" s="29" t="b">
        <v>0</v>
      </c>
      <c r="K259" s="29" t="b">
        <v>0</v>
      </c>
      <c r="L259" s="29" t="b">
        <v>0</v>
      </c>
      <c r="M259" s="29" t="b">
        <v>0</v>
      </c>
      <c r="P259" s="29" t="b">
        <v>0</v>
      </c>
      <c r="Q259" s="29" t="b">
        <v>0</v>
      </c>
      <c r="R259" s="29" t="b">
        <v>0</v>
      </c>
      <c r="S259" s="29" t="b">
        <v>0</v>
      </c>
      <c r="T259" s="29" t="b">
        <f t="shared" si="1106"/>
        <v>0</v>
      </c>
      <c r="U259" s="29" t="s">
        <v>1001</v>
      </c>
      <c r="W259" s="29">
        <v>2</v>
      </c>
      <c r="X259" s="308"/>
      <c r="Y259" s="16" t="s">
        <v>1041</v>
      </c>
      <c r="Z259" s="308"/>
      <c r="AA259" s="554">
        <f t="shared" ref="AA259:AC259" si="1343">AVERAGE(AJ259,AM259,AP259,AV259,AY259,AS259,BZ259,BB259,BE259,BH259,BK259,BN259,BQ259,BT259)</f>
        <v>60</v>
      </c>
      <c r="AB259" s="555" t="e">
        <f t="shared" si="1343"/>
        <v>#DIV/0!</v>
      </c>
      <c r="AC259" s="556" t="e">
        <f t="shared" si="1343"/>
        <v>#DIV/0!</v>
      </c>
      <c r="AD259" s="29" t="b">
        <v>0</v>
      </c>
      <c r="AE259" s="29" t="b">
        <v>1</v>
      </c>
      <c r="AF259" s="29" t="b">
        <v>0</v>
      </c>
      <c r="AG259" s="566">
        <f t="shared" ref="AG259:AI259" si="1344">AA259</f>
        <v>60</v>
      </c>
      <c r="AH259" s="567" t="e">
        <f t="shared" si="1344"/>
        <v>#DIV/0!</v>
      </c>
      <c r="AI259" s="568" t="e">
        <f t="shared" si="1344"/>
        <v>#DIV/0!</v>
      </c>
      <c r="AJ259" s="567"/>
      <c r="AK259" s="567"/>
      <c r="AL259" s="568"/>
      <c r="AM259" s="567"/>
      <c r="AN259" s="567"/>
      <c r="AO259" s="568"/>
      <c r="AP259" s="567"/>
      <c r="AQ259" s="567"/>
      <c r="AR259" s="568"/>
      <c r="AS259" s="569">
        <v>60</v>
      </c>
      <c r="AT259" s="567"/>
      <c r="AU259" s="568"/>
      <c r="AV259" s="567"/>
      <c r="AW259" s="567"/>
      <c r="AX259" s="568"/>
      <c r="AY259" s="567"/>
      <c r="AZ259" s="567"/>
      <c r="BA259" s="568"/>
      <c r="BB259" s="567"/>
      <c r="BC259" s="567"/>
      <c r="BD259" s="568"/>
      <c r="BE259" s="567"/>
      <c r="BF259" s="567"/>
      <c r="BG259" s="568"/>
      <c r="BH259" s="567"/>
      <c r="BI259" s="567"/>
      <c r="BJ259" s="568"/>
      <c r="BK259" s="567"/>
      <c r="BL259" s="567"/>
      <c r="BM259" s="568"/>
      <c r="BN259" s="567"/>
      <c r="BO259" s="567"/>
      <c r="BP259" s="568"/>
      <c r="BQ259" s="567"/>
      <c r="BR259" s="567"/>
      <c r="BS259" s="568"/>
      <c r="BT259" s="567"/>
      <c r="BU259" s="567"/>
      <c r="BV259" s="568"/>
      <c r="BW259" s="567"/>
      <c r="BX259" s="567"/>
      <c r="BY259" s="568"/>
      <c r="BZ259" s="567"/>
      <c r="CA259" s="567"/>
      <c r="CB259" s="567"/>
      <c r="CC259" s="583"/>
      <c r="CD259" s="555">
        <f t="shared" ref="CD259:CF259" si="1345">MEDIAN(AM259,AP259,AS259,AY259,BB259,AV259,AA259,BE259,BK259,BZ259,BH259,BN259,BQ259,BT259,BW259)</f>
        <v>60</v>
      </c>
      <c r="CE259" s="555" t="e">
        <f t="shared" si="1345"/>
        <v>#DIV/0!</v>
      </c>
      <c r="CF259" s="556" t="e">
        <f t="shared" si="1345"/>
        <v>#DIV/0!</v>
      </c>
      <c r="CG259" s="555">
        <f t="shared" ref="CG259:CI259" si="1346">MAX(AP259,AS259,AV259,BB259,BE259,AY259,CD259,BK259,BZ259,AA259)-MIN(AP259,AS259,AV259,BB259,BE259,AY259,CD259,BK259,BZ259,AA259)</f>
        <v>0</v>
      </c>
      <c r="CH259" s="555" t="e">
        <f t="shared" si="1346"/>
        <v>#DIV/0!</v>
      </c>
      <c r="CI259" s="556" t="e">
        <f t="shared" si="1346"/>
        <v>#DIV/0!</v>
      </c>
      <c r="CJ259" s="555">
        <f t="shared" ref="CJ259:CL259" si="1347">STDEV(AS259,AV259,AY259,BE259,BK259,BB259,CG259,BZ259,AA259,CD259)</f>
        <v>30</v>
      </c>
      <c r="CK259" s="555" t="e">
        <f t="shared" si="1347"/>
        <v>#DIV/0!</v>
      </c>
      <c r="CL259" s="556" t="e">
        <f t="shared" si="1347"/>
        <v>#DIV/0!</v>
      </c>
      <c r="CM259" s="555">
        <f t="shared" ref="CM259:CO259" si="1348">CJ259/AA259</f>
        <v>0.5</v>
      </c>
      <c r="CN259" s="555" t="e">
        <f t="shared" si="1348"/>
        <v>#DIV/0!</v>
      </c>
      <c r="CO259" s="556" t="e">
        <f t="shared" si="1348"/>
        <v>#DIV/0!</v>
      </c>
      <c r="CP259" s="29" t="s">
        <v>120</v>
      </c>
      <c r="CQ259" s="535">
        <f t="shared" si="1132"/>
        <v>2</v>
      </c>
      <c r="CR259" s="29" t="s">
        <v>120</v>
      </c>
      <c r="CS259" s="29" t="s">
        <v>120</v>
      </c>
      <c r="CT259" s="29" t="s">
        <v>120</v>
      </c>
      <c r="CU259" s="29" t="s">
        <v>120</v>
      </c>
      <c r="CV259" s="29" t="s">
        <v>120</v>
      </c>
    </row>
    <row r="260" customHeight="1" spans="1:100">
      <c r="A260" s="29" t="s">
        <v>513</v>
      </c>
      <c r="B260" s="541"/>
      <c r="F260" s="308"/>
      <c r="G260" s="308"/>
      <c r="H260" s="29" t="b">
        <v>0</v>
      </c>
      <c r="I260" s="29" t="b">
        <v>0</v>
      </c>
      <c r="J260" s="29" t="b">
        <v>0</v>
      </c>
      <c r="K260" s="29" t="b">
        <v>0</v>
      </c>
      <c r="L260" s="29" t="b">
        <v>0</v>
      </c>
      <c r="M260" s="29" t="b">
        <v>0</v>
      </c>
      <c r="P260" s="29" t="b">
        <v>0</v>
      </c>
      <c r="Q260" s="29" t="b">
        <v>0</v>
      </c>
      <c r="R260" s="29" t="b">
        <v>0</v>
      </c>
      <c r="S260" s="29" t="b">
        <v>0</v>
      </c>
      <c r="T260" s="29" t="b">
        <f t="shared" si="1106"/>
        <v>0</v>
      </c>
      <c r="U260" s="29" t="s">
        <v>1001</v>
      </c>
      <c r="W260" s="29">
        <v>2</v>
      </c>
      <c r="X260" s="308"/>
      <c r="Y260" s="16" t="s">
        <v>1041</v>
      </c>
      <c r="Z260" s="308"/>
      <c r="AA260" s="554">
        <f t="shared" ref="AA260:AC260" si="1349">AVERAGE(AJ260,AM260,AP260,AV260,AY260,AS260,BZ260,BB260,BE260,BH260,BK260,BN260,BQ260,BT260)</f>
        <v>20</v>
      </c>
      <c r="AB260" s="555" t="e">
        <f t="shared" si="1349"/>
        <v>#DIV/0!</v>
      </c>
      <c r="AC260" s="556" t="e">
        <f t="shared" si="1349"/>
        <v>#DIV/0!</v>
      </c>
      <c r="AD260" s="29" t="b">
        <v>0</v>
      </c>
      <c r="AE260" s="29" t="b">
        <v>1</v>
      </c>
      <c r="AF260" s="29" t="b">
        <v>0</v>
      </c>
      <c r="AG260" s="566">
        <f t="shared" ref="AG260:AI260" si="1350">AA260</f>
        <v>20</v>
      </c>
      <c r="AH260" s="567" t="e">
        <f t="shared" si="1350"/>
        <v>#DIV/0!</v>
      </c>
      <c r="AI260" s="568" t="e">
        <f t="shared" si="1350"/>
        <v>#DIV/0!</v>
      </c>
      <c r="AJ260" s="567"/>
      <c r="AK260" s="567"/>
      <c r="AL260" s="568"/>
      <c r="AM260" s="567"/>
      <c r="AN260" s="567"/>
      <c r="AO260" s="568"/>
      <c r="AP260" s="567"/>
      <c r="AQ260" s="567"/>
      <c r="AR260" s="568"/>
      <c r="AS260" s="569">
        <v>20</v>
      </c>
      <c r="AT260" s="567"/>
      <c r="AU260" s="568"/>
      <c r="AV260" s="567"/>
      <c r="AW260" s="567"/>
      <c r="AX260" s="568"/>
      <c r="AY260" s="567"/>
      <c r="AZ260" s="567"/>
      <c r="BA260" s="568"/>
      <c r="BB260" s="567"/>
      <c r="BC260" s="567"/>
      <c r="BD260" s="568"/>
      <c r="BE260" s="567"/>
      <c r="BF260" s="567"/>
      <c r="BG260" s="568"/>
      <c r="BH260" s="567"/>
      <c r="BI260" s="567"/>
      <c r="BJ260" s="568"/>
      <c r="BK260" s="567"/>
      <c r="BL260" s="567"/>
      <c r="BM260" s="568"/>
      <c r="BN260" s="567"/>
      <c r="BO260" s="567"/>
      <c r="BP260" s="568"/>
      <c r="BQ260" s="567"/>
      <c r="BR260" s="567"/>
      <c r="BS260" s="568"/>
      <c r="BT260" s="567"/>
      <c r="BU260" s="567"/>
      <c r="BV260" s="568"/>
      <c r="BW260" s="567"/>
      <c r="BX260" s="567"/>
      <c r="BY260" s="568"/>
      <c r="BZ260" s="567"/>
      <c r="CA260" s="567"/>
      <c r="CB260" s="567"/>
      <c r="CC260" s="583"/>
      <c r="CD260" s="555">
        <f t="shared" ref="CD260:CF260" si="1351">MEDIAN(AM260,AP260,AS260,AY260,BB260,AV260,AA260,BE260,BK260,BZ260,BH260,BN260,BQ260,BT260,BW260)</f>
        <v>20</v>
      </c>
      <c r="CE260" s="555" t="e">
        <f t="shared" si="1351"/>
        <v>#DIV/0!</v>
      </c>
      <c r="CF260" s="556" t="e">
        <f t="shared" si="1351"/>
        <v>#DIV/0!</v>
      </c>
      <c r="CG260" s="555">
        <f t="shared" ref="CG260:CI260" si="1352">MAX(AP260,AS260,AV260,BB260,BE260,AY260,CD260,BK260,BZ260,AA260)-MIN(AP260,AS260,AV260,BB260,BE260,AY260,CD260,BK260,BZ260,AA260)</f>
        <v>0</v>
      </c>
      <c r="CH260" s="555" t="e">
        <f t="shared" si="1352"/>
        <v>#DIV/0!</v>
      </c>
      <c r="CI260" s="556" t="e">
        <f t="shared" si="1352"/>
        <v>#DIV/0!</v>
      </c>
      <c r="CJ260" s="555">
        <f t="shared" ref="CJ260:CL260" si="1353">STDEV(AS260,AV260,AY260,BE260,BK260,BB260,CG260,BZ260,AA260,CD260)</f>
        <v>10</v>
      </c>
      <c r="CK260" s="555" t="e">
        <f t="shared" si="1353"/>
        <v>#DIV/0!</v>
      </c>
      <c r="CL260" s="556" t="e">
        <f t="shared" si="1353"/>
        <v>#DIV/0!</v>
      </c>
      <c r="CM260" s="555">
        <f t="shared" ref="CM260:CO260" si="1354">CJ260/AA260</f>
        <v>0.5</v>
      </c>
      <c r="CN260" s="555" t="e">
        <f t="shared" si="1354"/>
        <v>#DIV/0!</v>
      </c>
      <c r="CO260" s="556" t="e">
        <f t="shared" si="1354"/>
        <v>#DIV/0!</v>
      </c>
      <c r="CP260" s="29" t="s">
        <v>120</v>
      </c>
      <c r="CQ260" s="535">
        <f t="shared" si="1132"/>
        <v>2</v>
      </c>
      <c r="CR260" s="29" t="s">
        <v>120</v>
      </c>
      <c r="CS260" s="29" t="s">
        <v>120</v>
      </c>
      <c r="CT260" s="29" t="s">
        <v>120</v>
      </c>
      <c r="CU260" s="29" t="s">
        <v>120</v>
      </c>
      <c r="CV260" s="29" t="s">
        <v>120</v>
      </c>
    </row>
    <row r="261" customHeight="1" spans="1:100">
      <c r="A261" s="29" t="s">
        <v>514</v>
      </c>
      <c r="B261" s="541"/>
      <c r="F261" s="308"/>
      <c r="G261" s="308"/>
      <c r="H261" s="29" t="b">
        <v>0</v>
      </c>
      <c r="I261" s="29" t="b">
        <v>0</v>
      </c>
      <c r="J261" s="29" t="b">
        <v>0</v>
      </c>
      <c r="K261" s="29" t="b">
        <v>0</v>
      </c>
      <c r="L261" s="29" t="b">
        <v>0</v>
      </c>
      <c r="M261" s="29" t="b">
        <v>0</v>
      </c>
      <c r="P261" s="29" t="b">
        <v>0</v>
      </c>
      <c r="Q261" s="29" t="b">
        <v>0</v>
      </c>
      <c r="R261" s="29" t="b">
        <v>0</v>
      </c>
      <c r="S261" s="29" t="b">
        <v>0</v>
      </c>
      <c r="T261" s="29" t="b">
        <f t="shared" si="1106"/>
        <v>0</v>
      </c>
      <c r="U261" s="29" t="s">
        <v>1001</v>
      </c>
      <c r="W261" s="29">
        <v>2</v>
      </c>
      <c r="X261" s="308"/>
      <c r="Y261" s="16" t="s">
        <v>1041</v>
      </c>
      <c r="Z261" s="308"/>
      <c r="AA261" s="554">
        <f t="shared" ref="AA261:AC261" si="1355">AVERAGE(AJ261,AM261,AP261,AV261,AY261,AS261,BZ261,BB261,BE261,BH261,BK261,BN261,BQ261,BT261)</f>
        <v>10</v>
      </c>
      <c r="AB261" s="555" t="e">
        <f t="shared" si="1355"/>
        <v>#DIV/0!</v>
      </c>
      <c r="AC261" s="556" t="e">
        <f t="shared" si="1355"/>
        <v>#DIV/0!</v>
      </c>
      <c r="AD261" s="29" t="b">
        <v>0</v>
      </c>
      <c r="AE261" s="29" t="b">
        <v>1</v>
      </c>
      <c r="AF261" s="29" t="b">
        <v>0</v>
      </c>
      <c r="AG261" s="566">
        <f t="shared" ref="AG261:AI261" si="1356">AA261</f>
        <v>10</v>
      </c>
      <c r="AH261" s="567" t="e">
        <f t="shared" si="1356"/>
        <v>#DIV/0!</v>
      </c>
      <c r="AI261" s="568" t="e">
        <f t="shared" si="1356"/>
        <v>#DIV/0!</v>
      </c>
      <c r="AJ261" s="567"/>
      <c r="AK261" s="567"/>
      <c r="AL261" s="568"/>
      <c r="AM261" s="567"/>
      <c r="AN261" s="567"/>
      <c r="AO261" s="568"/>
      <c r="AP261" s="567"/>
      <c r="AQ261" s="567"/>
      <c r="AR261" s="568"/>
      <c r="AS261" s="569">
        <v>10</v>
      </c>
      <c r="AT261" s="567"/>
      <c r="AU261" s="568"/>
      <c r="AV261" s="567"/>
      <c r="AW261" s="567"/>
      <c r="AX261" s="568"/>
      <c r="AY261" s="567"/>
      <c r="AZ261" s="567"/>
      <c r="BA261" s="568"/>
      <c r="BB261" s="567"/>
      <c r="BC261" s="567"/>
      <c r="BD261" s="568"/>
      <c r="BE261" s="567"/>
      <c r="BF261" s="567"/>
      <c r="BG261" s="568"/>
      <c r="BH261" s="567"/>
      <c r="BI261" s="567"/>
      <c r="BJ261" s="568"/>
      <c r="BK261" s="567"/>
      <c r="BL261" s="567"/>
      <c r="BM261" s="568"/>
      <c r="BN261" s="567"/>
      <c r="BO261" s="567"/>
      <c r="BP261" s="568"/>
      <c r="BQ261" s="567"/>
      <c r="BR261" s="567"/>
      <c r="BS261" s="568"/>
      <c r="BT261" s="567"/>
      <c r="BU261" s="567"/>
      <c r="BV261" s="568"/>
      <c r="BW261" s="567"/>
      <c r="BX261" s="567"/>
      <c r="BY261" s="568"/>
      <c r="BZ261" s="567"/>
      <c r="CA261" s="567"/>
      <c r="CB261" s="567"/>
      <c r="CC261" s="583"/>
      <c r="CD261" s="555">
        <f t="shared" ref="CD261:CF261" si="1357">MEDIAN(AM261,AP261,AS261,AY261,BB261,AV261,AA261,BE261,BK261,BZ261,BH261,BN261,BQ261,BT261,BW261)</f>
        <v>10</v>
      </c>
      <c r="CE261" s="555" t="e">
        <f t="shared" si="1357"/>
        <v>#DIV/0!</v>
      </c>
      <c r="CF261" s="556" t="e">
        <f t="shared" si="1357"/>
        <v>#DIV/0!</v>
      </c>
      <c r="CG261" s="555">
        <f t="shared" ref="CG261:CI261" si="1358">MAX(AP261,AS261,AV261,BB261,BE261,AY261,CD261,BK261,BZ261,AA261)-MIN(AP261,AS261,AV261,BB261,BE261,AY261,CD261,BK261,BZ261,AA261)</f>
        <v>0</v>
      </c>
      <c r="CH261" s="555" t="e">
        <f t="shared" si="1358"/>
        <v>#DIV/0!</v>
      </c>
      <c r="CI261" s="556" t="e">
        <f t="shared" si="1358"/>
        <v>#DIV/0!</v>
      </c>
      <c r="CJ261" s="555">
        <f t="shared" ref="CJ261:CL261" si="1359">STDEV(AS261,AV261,AY261,BE261,BK261,BB261,CG261,BZ261,AA261,CD261)</f>
        <v>5</v>
      </c>
      <c r="CK261" s="555" t="e">
        <f t="shared" si="1359"/>
        <v>#DIV/0!</v>
      </c>
      <c r="CL261" s="556" t="e">
        <f t="shared" si="1359"/>
        <v>#DIV/0!</v>
      </c>
      <c r="CM261" s="555">
        <f t="shared" ref="CM261:CO261" si="1360">CJ261/AA261</f>
        <v>0.5</v>
      </c>
      <c r="CN261" s="555" t="e">
        <f t="shared" si="1360"/>
        <v>#DIV/0!</v>
      </c>
      <c r="CO261" s="556" t="e">
        <f t="shared" si="1360"/>
        <v>#DIV/0!</v>
      </c>
      <c r="CP261" s="29" t="s">
        <v>120</v>
      </c>
      <c r="CQ261" s="535">
        <f t="shared" si="1132"/>
        <v>2</v>
      </c>
      <c r="CR261" s="29" t="s">
        <v>120</v>
      </c>
      <c r="CS261" s="29" t="s">
        <v>120</v>
      </c>
      <c r="CT261" s="29" t="s">
        <v>120</v>
      </c>
      <c r="CU261" s="29" t="s">
        <v>120</v>
      </c>
      <c r="CV261" s="29" t="s">
        <v>120</v>
      </c>
    </row>
    <row r="262" customHeight="1" spans="1:100">
      <c r="A262" s="29" t="s">
        <v>515</v>
      </c>
      <c r="B262" s="541"/>
      <c r="F262" s="308"/>
      <c r="G262" s="308"/>
      <c r="H262" s="29" t="b">
        <v>0</v>
      </c>
      <c r="I262" s="29" t="b">
        <v>0</v>
      </c>
      <c r="J262" s="29" t="b">
        <v>0</v>
      </c>
      <c r="K262" s="29" t="b">
        <v>0</v>
      </c>
      <c r="L262" s="29" t="b">
        <v>0</v>
      </c>
      <c r="M262" s="29" t="b">
        <v>0</v>
      </c>
      <c r="P262" s="29" t="b">
        <v>0</v>
      </c>
      <c r="Q262" s="29" t="b">
        <v>0</v>
      </c>
      <c r="R262" s="29" t="b">
        <v>0</v>
      </c>
      <c r="S262" s="29" t="b">
        <v>0</v>
      </c>
      <c r="T262" s="29" t="b">
        <f t="shared" si="1106"/>
        <v>0</v>
      </c>
      <c r="U262" s="29" t="s">
        <v>1001</v>
      </c>
      <c r="W262" s="29">
        <v>2</v>
      </c>
      <c r="X262" s="308"/>
      <c r="Y262" s="16" t="s">
        <v>1041</v>
      </c>
      <c r="Z262" s="308"/>
      <c r="AA262" s="554">
        <f t="shared" ref="AA262:AC262" si="1361">AVERAGE(AJ262,AM262,AP262,AV262,AY262,AS262,BZ262,BB262,BE262,BH262,BK262,BN262,BQ262,BT262)</f>
        <v>60</v>
      </c>
      <c r="AB262" s="555" t="e">
        <f t="shared" si="1361"/>
        <v>#DIV/0!</v>
      </c>
      <c r="AC262" s="556" t="e">
        <f t="shared" si="1361"/>
        <v>#DIV/0!</v>
      </c>
      <c r="AD262" s="29" t="b">
        <v>0</v>
      </c>
      <c r="AE262" s="29" t="b">
        <v>1</v>
      </c>
      <c r="AF262" s="29" t="b">
        <v>0</v>
      </c>
      <c r="AG262" s="566">
        <f t="shared" ref="AG262:AI262" si="1362">AA262</f>
        <v>60</v>
      </c>
      <c r="AH262" s="567" t="e">
        <f t="shared" si="1362"/>
        <v>#DIV/0!</v>
      </c>
      <c r="AI262" s="568" t="e">
        <f t="shared" si="1362"/>
        <v>#DIV/0!</v>
      </c>
      <c r="AJ262" s="567"/>
      <c r="AK262" s="567"/>
      <c r="AL262" s="568"/>
      <c r="AM262" s="567"/>
      <c r="AN262" s="567"/>
      <c r="AO262" s="568"/>
      <c r="AP262" s="567"/>
      <c r="AQ262" s="567"/>
      <c r="AR262" s="568"/>
      <c r="AS262" s="569">
        <v>60</v>
      </c>
      <c r="AT262" s="567"/>
      <c r="AU262" s="568"/>
      <c r="AV262" s="567"/>
      <c r="AW262" s="567"/>
      <c r="AX262" s="568"/>
      <c r="AY262" s="567"/>
      <c r="AZ262" s="567"/>
      <c r="BA262" s="568"/>
      <c r="BB262" s="567"/>
      <c r="BC262" s="567"/>
      <c r="BD262" s="568"/>
      <c r="BE262" s="567"/>
      <c r="BF262" s="567"/>
      <c r="BG262" s="568"/>
      <c r="BH262" s="567"/>
      <c r="BI262" s="567"/>
      <c r="BJ262" s="568"/>
      <c r="BK262" s="567"/>
      <c r="BL262" s="567"/>
      <c r="BM262" s="568"/>
      <c r="BN262" s="567"/>
      <c r="BO262" s="567"/>
      <c r="BP262" s="568"/>
      <c r="BQ262" s="567"/>
      <c r="BR262" s="567"/>
      <c r="BS262" s="568"/>
      <c r="BT262" s="567"/>
      <c r="BU262" s="567"/>
      <c r="BV262" s="568"/>
      <c r="BW262" s="567"/>
      <c r="BX262" s="567"/>
      <c r="BY262" s="568"/>
      <c r="BZ262" s="567"/>
      <c r="CA262" s="567"/>
      <c r="CB262" s="567"/>
      <c r="CC262" s="583"/>
      <c r="CD262" s="555">
        <f t="shared" ref="CD262:CF262" si="1363">MEDIAN(AM262,AP262,AS262,AY262,BB262,AV262,AA262,BE262,BK262,BZ262,BH262,BN262,BQ262,BT262,BW262)</f>
        <v>60</v>
      </c>
      <c r="CE262" s="555" t="e">
        <f t="shared" si="1363"/>
        <v>#DIV/0!</v>
      </c>
      <c r="CF262" s="556" t="e">
        <f t="shared" si="1363"/>
        <v>#DIV/0!</v>
      </c>
      <c r="CG262" s="555">
        <f t="shared" ref="CG262:CI262" si="1364">MAX(AP262,AS262,AV262,BB262,BE262,AY262,CD262,BK262,BZ262,AA262)-MIN(AP262,AS262,AV262,BB262,BE262,AY262,CD262,BK262,BZ262,AA262)</f>
        <v>0</v>
      </c>
      <c r="CH262" s="555" t="e">
        <f t="shared" si="1364"/>
        <v>#DIV/0!</v>
      </c>
      <c r="CI262" s="556" t="e">
        <f t="shared" si="1364"/>
        <v>#DIV/0!</v>
      </c>
      <c r="CJ262" s="555">
        <f t="shared" ref="CJ262:CL262" si="1365">STDEV(AS262,AV262,AY262,BE262,BK262,BB262,CG262,BZ262,AA262,CD262)</f>
        <v>30</v>
      </c>
      <c r="CK262" s="555" t="e">
        <f t="shared" si="1365"/>
        <v>#DIV/0!</v>
      </c>
      <c r="CL262" s="556" t="e">
        <f t="shared" si="1365"/>
        <v>#DIV/0!</v>
      </c>
      <c r="CM262" s="555">
        <f t="shared" ref="CM262:CO262" si="1366">CJ262/AA262</f>
        <v>0.5</v>
      </c>
      <c r="CN262" s="555" t="e">
        <f t="shared" si="1366"/>
        <v>#DIV/0!</v>
      </c>
      <c r="CO262" s="556" t="e">
        <f t="shared" si="1366"/>
        <v>#DIV/0!</v>
      </c>
      <c r="CP262" s="29" t="s">
        <v>120</v>
      </c>
      <c r="CQ262" s="535">
        <f t="shared" si="1132"/>
        <v>2</v>
      </c>
      <c r="CR262" s="29" t="s">
        <v>120</v>
      </c>
      <c r="CS262" s="29" t="s">
        <v>120</v>
      </c>
      <c r="CT262" s="29" t="s">
        <v>120</v>
      </c>
      <c r="CU262" s="29" t="s">
        <v>120</v>
      </c>
      <c r="CV262" s="29" t="s">
        <v>120</v>
      </c>
    </row>
    <row r="263" customHeight="1" spans="1:100">
      <c r="A263" s="29" t="s">
        <v>516</v>
      </c>
      <c r="B263" s="541"/>
      <c r="F263" s="308"/>
      <c r="G263" s="308"/>
      <c r="H263" s="29" t="b">
        <v>0</v>
      </c>
      <c r="I263" s="29" t="b">
        <v>0</v>
      </c>
      <c r="J263" s="29" t="b">
        <v>0</v>
      </c>
      <c r="K263" s="29" t="b">
        <v>0</v>
      </c>
      <c r="L263" s="29" t="b">
        <v>0</v>
      </c>
      <c r="M263" s="29" t="b">
        <v>0</v>
      </c>
      <c r="P263" s="29" t="b">
        <v>0</v>
      </c>
      <c r="Q263" s="29" t="b">
        <v>0</v>
      </c>
      <c r="R263" s="29" t="b">
        <v>0</v>
      </c>
      <c r="S263" s="29" t="b">
        <v>0</v>
      </c>
      <c r="T263" s="29" t="b">
        <f t="shared" si="1106"/>
        <v>0</v>
      </c>
      <c r="U263" s="29" t="s">
        <v>1001</v>
      </c>
      <c r="W263" s="29">
        <v>2</v>
      </c>
      <c r="X263" s="308"/>
      <c r="Y263" s="16" t="s">
        <v>1041</v>
      </c>
      <c r="Z263" s="308"/>
      <c r="AA263" s="554">
        <f t="shared" ref="AA263:AC263" si="1367">AVERAGE(AJ263,AM263,AP263,AV263,AY263,AS263,BZ263,BB263,BE263,BH263,BK263,BN263,BQ263,BT263)</f>
        <v>15</v>
      </c>
      <c r="AB263" s="555" t="e">
        <f t="shared" si="1367"/>
        <v>#DIV/0!</v>
      </c>
      <c r="AC263" s="556" t="e">
        <f t="shared" si="1367"/>
        <v>#DIV/0!</v>
      </c>
      <c r="AD263" s="29" t="b">
        <v>0</v>
      </c>
      <c r="AE263" s="29" t="b">
        <v>1</v>
      </c>
      <c r="AF263" s="29" t="b">
        <v>0</v>
      </c>
      <c r="AG263" s="566">
        <f t="shared" ref="AG263:AI263" si="1368">AA263</f>
        <v>15</v>
      </c>
      <c r="AH263" s="567" t="e">
        <f t="shared" si="1368"/>
        <v>#DIV/0!</v>
      </c>
      <c r="AI263" s="568" t="e">
        <f t="shared" si="1368"/>
        <v>#DIV/0!</v>
      </c>
      <c r="AJ263" s="567"/>
      <c r="AK263" s="567"/>
      <c r="AL263" s="568"/>
      <c r="AM263" s="567"/>
      <c r="AN263" s="567"/>
      <c r="AO263" s="568"/>
      <c r="AP263" s="567"/>
      <c r="AQ263" s="567"/>
      <c r="AR263" s="568"/>
      <c r="AS263" s="569">
        <v>15</v>
      </c>
      <c r="AT263" s="567"/>
      <c r="AU263" s="568"/>
      <c r="AV263" s="567"/>
      <c r="AW263" s="567"/>
      <c r="AX263" s="568"/>
      <c r="AY263" s="567"/>
      <c r="AZ263" s="567"/>
      <c r="BA263" s="568"/>
      <c r="BB263" s="567"/>
      <c r="BC263" s="567"/>
      <c r="BD263" s="568"/>
      <c r="BE263" s="567"/>
      <c r="BF263" s="567"/>
      <c r="BG263" s="568"/>
      <c r="BH263" s="567"/>
      <c r="BI263" s="567"/>
      <c r="BJ263" s="568"/>
      <c r="BK263" s="567"/>
      <c r="BL263" s="567"/>
      <c r="BM263" s="568"/>
      <c r="BN263" s="567"/>
      <c r="BO263" s="567"/>
      <c r="BP263" s="568"/>
      <c r="BQ263" s="567"/>
      <c r="BR263" s="567"/>
      <c r="BS263" s="568"/>
      <c r="BT263" s="567"/>
      <c r="BU263" s="567"/>
      <c r="BV263" s="568"/>
      <c r="BW263" s="567"/>
      <c r="BX263" s="567"/>
      <c r="BY263" s="568"/>
      <c r="BZ263" s="567"/>
      <c r="CA263" s="567"/>
      <c r="CB263" s="567"/>
      <c r="CC263" s="583"/>
      <c r="CD263" s="555">
        <f t="shared" ref="CD263:CF263" si="1369">MEDIAN(AM263,AP263,AS263,AY263,BB263,AV263,AA263,BE263,BK263,BZ263,BH263,BN263,BQ263,BT263,BW263)</f>
        <v>15</v>
      </c>
      <c r="CE263" s="555" t="e">
        <f t="shared" si="1369"/>
        <v>#DIV/0!</v>
      </c>
      <c r="CF263" s="556" t="e">
        <f t="shared" si="1369"/>
        <v>#DIV/0!</v>
      </c>
      <c r="CG263" s="555">
        <f t="shared" ref="CG263:CI263" si="1370">MAX(AP263,AS263,AV263,BB263,BE263,AY263,CD263,BK263,BZ263,AA263)-MIN(AP263,AS263,AV263,BB263,BE263,AY263,CD263,BK263,BZ263,AA263)</f>
        <v>0</v>
      </c>
      <c r="CH263" s="555" t="e">
        <f t="shared" si="1370"/>
        <v>#DIV/0!</v>
      </c>
      <c r="CI263" s="556" t="e">
        <f t="shared" si="1370"/>
        <v>#DIV/0!</v>
      </c>
      <c r="CJ263" s="555">
        <f t="shared" ref="CJ263:CL263" si="1371">STDEV(AS263,AV263,AY263,BE263,BK263,BB263,CG263,BZ263,AA263,CD263)</f>
        <v>7.5</v>
      </c>
      <c r="CK263" s="555" t="e">
        <f t="shared" si="1371"/>
        <v>#DIV/0!</v>
      </c>
      <c r="CL263" s="556" t="e">
        <f t="shared" si="1371"/>
        <v>#DIV/0!</v>
      </c>
      <c r="CM263" s="555">
        <f t="shared" ref="CM263:CO263" si="1372">CJ263/AA263</f>
        <v>0.5</v>
      </c>
      <c r="CN263" s="555" t="e">
        <f t="shared" si="1372"/>
        <v>#DIV/0!</v>
      </c>
      <c r="CO263" s="556" t="e">
        <f t="shared" si="1372"/>
        <v>#DIV/0!</v>
      </c>
      <c r="CP263" s="29" t="s">
        <v>120</v>
      </c>
      <c r="CQ263" s="535">
        <f t="shared" si="1132"/>
        <v>2</v>
      </c>
      <c r="CR263" s="29" t="s">
        <v>120</v>
      </c>
      <c r="CS263" s="29" t="s">
        <v>120</v>
      </c>
      <c r="CT263" s="29" t="s">
        <v>120</v>
      </c>
      <c r="CU263" s="29" t="s">
        <v>120</v>
      </c>
      <c r="CV263" s="29" t="s">
        <v>120</v>
      </c>
    </row>
    <row r="264" customHeight="1" spans="1:100">
      <c r="A264" s="29" t="s">
        <v>251</v>
      </c>
      <c r="B264" s="541"/>
      <c r="F264" s="308"/>
      <c r="G264" s="308"/>
      <c r="H264" s="29" t="b">
        <v>0</v>
      </c>
      <c r="I264" s="29" t="b">
        <v>0</v>
      </c>
      <c r="J264" s="29" t="b">
        <v>0</v>
      </c>
      <c r="K264" s="29" t="b">
        <v>0</v>
      </c>
      <c r="L264" s="29" t="b">
        <v>0</v>
      </c>
      <c r="M264" s="29" t="b">
        <v>0</v>
      </c>
      <c r="P264" s="29" t="b">
        <v>0</v>
      </c>
      <c r="Q264" s="29" t="b">
        <v>0</v>
      </c>
      <c r="R264" s="29" t="b">
        <v>0</v>
      </c>
      <c r="S264" s="29" t="b">
        <v>0</v>
      </c>
      <c r="T264" s="29" t="b">
        <f t="shared" si="1106"/>
        <v>0</v>
      </c>
      <c r="U264" s="29" t="s">
        <v>1001</v>
      </c>
      <c r="W264" s="29">
        <v>2</v>
      </c>
      <c r="X264" s="308"/>
      <c r="Y264" s="16" t="s">
        <v>1041</v>
      </c>
      <c r="Z264" s="308"/>
      <c r="AA264" s="554">
        <f t="shared" ref="AA264:AC264" si="1373">AVERAGE(AJ264,AM264,AP264,AV264,AY264,AS264,BZ264,BB264,BE264,BH264,BK264,BN264,BQ264,BT264)</f>
        <v>15</v>
      </c>
      <c r="AB264" s="555" t="e">
        <f t="shared" si="1373"/>
        <v>#DIV/0!</v>
      </c>
      <c r="AC264" s="556" t="e">
        <f t="shared" si="1373"/>
        <v>#DIV/0!</v>
      </c>
      <c r="AD264" s="29" t="b">
        <v>0</v>
      </c>
      <c r="AE264" s="29" t="b">
        <v>1</v>
      </c>
      <c r="AF264" s="29" t="b">
        <v>0</v>
      </c>
      <c r="AG264" s="566">
        <f t="shared" ref="AG264:AI264" si="1374">AA264</f>
        <v>15</v>
      </c>
      <c r="AH264" s="567" t="e">
        <f t="shared" si="1374"/>
        <v>#DIV/0!</v>
      </c>
      <c r="AI264" s="568" t="e">
        <f t="shared" si="1374"/>
        <v>#DIV/0!</v>
      </c>
      <c r="AJ264" s="567"/>
      <c r="AK264" s="567"/>
      <c r="AL264" s="568"/>
      <c r="AM264" s="567"/>
      <c r="AN264" s="567"/>
      <c r="AO264" s="568"/>
      <c r="AP264" s="567"/>
      <c r="AQ264" s="567"/>
      <c r="AR264" s="568"/>
      <c r="AS264" s="569">
        <v>15</v>
      </c>
      <c r="AT264" s="567"/>
      <c r="AU264" s="568"/>
      <c r="AV264" s="567"/>
      <c r="AW264" s="567"/>
      <c r="AX264" s="568"/>
      <c r="AY264" s="567"/>
      <c r="AZ264" s="567"/>
      <c r="BA264" s="568"/>
      <c r="BB264" s="567"/>
      <c r="BC264" s="567"/>
      <c r="BD264" s="568"/>
      <c r="BE264" s="567"/>
      <c r="BF264" s="567"/>
      <c r="BG264" s="568"/>
      <c r="BH264" s="567"/>
      <c r="BI264" s="567"/>
      <c r="BJ264" s="568"/>
      <c r="BK264" s="567"/>
      <c r="BL264" s="567"/>
      <c r="BM264" s="568"/>
      <c r="BN264" s="567"/>
      <c r="BO264" s="567"/>
      <c r="BP264" s="568"/>
      <c r="BQ264" s="567"/>
      <c r="BR264" s="567"/>
      <c r="BS264" s="568"/>
      <c r="BT264" s="567"/>
      <c r="BU264" s="567"/>
      <c r="BV264" s="568"/>
      <c r="BW264" s="567"/>
      <c r="BX264" s="567"/>
      <c r="BY264" s="568"/>
      <c r="BZ264" s="567"/>
      <c r="CA264" s="567"/>
      <c r="CB264" s="567"/>
      <c r="CC264" s="583"/>
      <c r="CD264" s="555">
        <f t="shared" ref="CD264:CF264" si="1375">MEDIAN(AM264,AP264,AS264,AY264,BB264,AV264,AA264,BE264,BK264,BZ264,BH264,BN264,BQ264,BT264,BW264)</f>
        <v>15</v>
      </c>
      <c r="CE264" s="555" t="e">
        <f t="shared" si="1375"/>
        <v>#DIV/0!</v>
      </c>
      <c r="CF264" s="556" t="e">
        <f t="shared" si="1375"/>
        <v>#DIV/0!</v>
      </c>
      <c r="CG264" s="555">
        <f t="shared" ref="CG264:CI264" si="1376">MAX(AP264,AS264,AV264,BB264,BE264,AY264,CD264,BK264,BZ264,AA264)-MIN(AP264,AS264,AV264,BB264,BE264,AY264,CD264,BK264,BZ264,AA264)</f>
        <v>0</v>
      </c>
      <c r="CH264" s="555" t="e">
        <f t="shared" si="1376"/>
        <v>#DIV/0!</v>
      </c>
      <c r="CI264" s="556" t="e">
        <f t="shared" si="1376"/>
        <v>#DIV/0!</v>
      </c>
      <c r="CJ264" s="555">
        <f t="shared" ref="CJ264:CL264" si="1377">STDEV(AS264,AV264,AY264,BE264,BK264,BB264,CG264,BZ264,AA264,CD264)</f>
        <v>7.5</v>
      </c>
      <c r="CK264" s="555" t="e">
        <f t="shared" si="1377"/>
        <v>#DIV/0!</v>
      </c>
      <c r="CL264" s="556" t="e">
        <f t="shared" si="1377"/>
        <v>#DIV/0!</v>
      </c>
      <c r="CM264" s="555">
        <f t="shared" ref="CM264:CO264" si="1378">CJ264/AA264</f>
        <v>0.5</v>
      </c>
      <c r="CN264" s="555" t="e">
        <f t="shared" si="1378"/>
        <v>#DIV/0!</v>
      </c>
      <c r="CO264" s="556" t="e">
        <f t="shared" si="1378"/>
        <v>#DIV/0!</v>
      </c>
      <c r="CP264" s="29" t="s">
        <v>120</v>
      </c>
      <c r="CQ264" s="535">
        <f t="shared" si="1132"/>
        <v>2</v>
      </c>
      <c r="CR264" s="29" t="s">
        <v>120</v>
      </c>
      <c r="CS264" s="29" t="s">
        <v>120</v>
      </c>
      <c r="CT264" s="29" t="s">
        <v>120</v>
      </c>
      <c r="CU264" s="29" t="s">
        <v>120</v>
      </c>
      <c r="CV264" s="29" t="s">
        <v>120</v>
      </c>
    </row>
    <row r="265" customHeight="1" spans="1:100">
      <c r="A265" s="29" t="s">
        <v>252</v>
      </c>
      <c r="B265" s="541"/>
      <c r="F265" s="308"/>
      <c r="G265" s="308"/>
      <c r="H265" s="29" t="b">
        <v>0</v>
      </c>
      <c r="I265" s="29" t="b">
        <v>0</v>
      </c>
      <c r="J265" s="29" t="b">
        <v>0</v>
      </c>
      <c r="K265" s="29" t="b">
        <v>0</v>
      </c>
      <c r="L265" s="29" t="b">
        <v>0</v>
      </c>
      <c r="M265" s="29" t="b">
        <v>0</v>
      </c>
      <c r="P265" s="29" t="b">
        <v>0</v>
      </c>
      <c r="Q265" s="29" t="b">
        <v>0</v>
      </c>
      <c r="R265" s="29" t="b">
        <v>0</v>
      </c>
      <c r="S265" s="29" t="b">
        <v>0</v>
      </c>
      <c r="T265" s="29" t="b">
        <f t="shared" si="1106"/>
        <v>0</v>
      </c>
      <c r="U265" s="29" t="s">
        <v>1001</v>
      </c>
      <c r="W265" s="29">
        <v>2</v>
      </c>
      <c r="X265" s="308"/>
      <c r="Y265" s="16" t="s">
        <v>1041</v>
      </c>
      <c r="Z265" s="308"/>
      <c r="AA265" s="554">
        <f t="shared" ref="AA265:AC265" si="1379">AVERAGE(AJ265,AM265,AP265,AV265,AY265,AS265,BZ265,BB265,BE265,BH265,BK265,BN265,BQ265,BT265)</f>
        <v>15</v>
      </c>
      <c r="AB265" s="555" t="e">
        <f t="shared" si="1379"/>
        <v>#DIV/0!</v>
      </c>
      <c r="AC265" s="556" t="e">
        <f t="shared" si="1379"/>
        <v>#DIV/0!</v>
      </c>
      <c r="AD265" s="29" t="b">
        <v>0</v>
      </c>
      <c r="AE265" s="29" t="b">
        <v>1</v>
      </c>
      <c r="AF265" s="29" t="b">
        <v>0</v>
      </c>
      <c r="AG265" s="566">
        <f t="shared" ref="AG265:AI265" si="1380">AA265</f>
        <v>15</v>
      </c>
      <c r="AH265" s="567" t="e">
        <f t="shared" si="1380"/>
        <v>#DIV/0!</v>
      </c>
      <c r="AI265" s="568" t="e">
        <f t="shared" si="1380"/>
        <v>#DIV/0!</v>
      </c>
      <c r="AJ265" s="567"/>
      <c r="AK265" s="567"/>
      <c r="AL265" s="568"/>
      <c r="AM265" s="567"/>
      <c r="AN265" s="567"/>
      <c r="AO265" s="568"/>
      <c r="AP265" s="567"/>
      <c r="AQ265" s="567"/>
      <c r="AR265" s="568"/>
      <c r="AS265" s="569">
        <v>15</v>
      </c>
      <c r="AT265" s="567"/>
      <c r="AU265" s="568"/>
      <c r="AV265" s="567"/>
      <c r="AW265" s="567"/>
      <c r="AX265" s="568"/>
      <c r="AY265" s="567"/>
      <c r="AZ265" s="567"/>
      <c r="BA265" s="568"/>
      <c r="BB265" s="567"/>
      <c r="BC265" s="567"/>
      <c r="BD265" s="568"/>
      <c r="BE265" s="567"/>
      <c r="BF265" s="567"/>
      <c r="BG265" s="568"/>
      <c r="BH265" s="567"/>
      <c r="BI265" s="567"/>
      <c r="BJ265" s="568"/>
      <c r="BK265" s="567"/>
      <c r="BL265" s="567"/>
      <c r="BM265" s="568"/>
      <c r="BN265" s="567"/>
      <c r="BO265" s="567"/>
      <c r="BP265" s="568"/>
      <c r="BQ265" s="567"/>
      <c r="BR265" s="567"/>
      <c r="BS265" s="568"/>
      <c r="BT265" s="567"/>
      <c r="BU265" s="567"/>
      <c r="BV265" s="568"/>
      <c r="BW265" s="567"/>
      <c r="BX265" s="567"/>
      <c r="BY265" s="568"/>
      <c r="BZ265" s="567"/>
      <c r="CA265" s="567"/>
      <c r="CB265" s="567"/>
      <c r="CC265" s="583"/>
      <c r="CD265" s="555">
        <f t="shared" ref="CD265:CF265" si="1381">MEDIAN(AM265,AP265,AS265,AY265,BB265,AV265,AA265,BE265,BK265,BZ265,BH265,BN265,BQ265,BT265,BW265)</f>
        <v>15</v>
      </c>
      <c r="CE265" s="555" t="e">
        <f t="shared" si="1381"/>
        <v>#DIV/0!</v>
      </c>
      <c r="CF265" s="556" t="e">
        <f t="shared" si="1381"/>
        <v>#DIV/0!</v>
      </c>
      <c r="CG265" s="555">
        <f t="shared" ref="CG265:CI265" si="1382">MAX(AP265,AS265,AV265,BB265,BE265,AY265,CD265,BK265,BZ265,AA265)-MIN(AP265,AS265,AV265,BB265,BE265,AY265,CD265,BK265,BZ265,AA265)</f>
        <v>0</v>
      </c>
      <c r="CH265" s="555" t="e">
        <f t="shared" si="1382"/>
        <v>#DIV/0!</v>
      </c>
      <c r="CI265" s="556" t="e">
        <f t="shared" si="1382"/>
        <v>#DIV/0!</v>
      </c>
      <c r="CJ265" s="555">
        <f t="shared" ref="CJ265:CL265" si="1383">STDEV(AS265,AV265,AY265,BE265,BK265,BB265,CG265,BZ265,AA265,CD265)</f>
        <v>7.5</v>
      </c>
      <c r="CK265" s="555" t="e">
        <f t="shared" si="1383"/>
        <v>#DIV/0!</v>
      </c>
      <c r="CL265" s="556" t="e">
        <f t="shared" si="1383"/>
        <v>#DIV/0!</v>
      </c>
      <c r="CM265" s="555">
        <f t="shared" ref="CM265:CO265" si="1384">CJ265/AA265</f>
        <v>0.5</v>
      </c>
      <c r="CN265" s="555" t="e">
        <f t="shared" si="1384"/>
        <v>#DIV/0!</v>
      </c>
      <c r="CO265" s="556" t="e">
        <f t="shared" si="1384"/>
        <v>#DIV/0!</v>
      </c>
      <c r="CP265" s="29" t="s">
        <v>120</v>
      </c>
      <c r="CQ265" s="535">
        <f t="shared" si="1132"/>
        <v>2</v>
      </c>
      <c r="CR265" s="29" t="s">
        <v>120</v>
      </c>
      <c r="CS265" s="29" t="s">
        <v>120</v>
      </c>
      <c r="CT265" s="29" t="s">
        <v>120</v>
      </c>
      <c r="CU265" s="29" t="s">
        <v>120</v>
      </c>
      <c r="CV265" s="29" t="s">
        <v>120</v>
      </c>
    </row>
    <row r="266" customHeight="1" spans="1:100">
      <c r="A266" s="29" t="s">
        <v>253</v>
      </c>
      <c r="B266" s="541"/>
      <c r="F266" s="308"/>
      <c r="G266" s="308"/>
      <c r="H266" s="29" t="b">
        <v>0</v>
      </c>
      <c r="I266" s="29" t="b">
        <v>0</v>
      </c>
      <c r="J266" s="29" t="b">
        <v>0</v>
      </c>
      <c r="K266" s="29" t="b">
        <v>0</v>
      </c>
      <c r="L266" s="29" t="b">
        <v>0</v>
      </c>
      <c r="M266" s="29" t="b">
        <v>0</v>
      </c>
      <c r="P266" s="29" t="b">
        <v>0</v>
      </c>
      <c r="Q266" s="29" t="b">
        <v>0</v>
      </c>
      <c r="R266" s="29" t="b">
        <v>0</v>
      </c>
      <c r="S266" s="29" t="b">
        <v>0</v>
      </c>
      <c r="T266" s="29" t="b">
        <f t="shared" si="1106"/>
        <v>0</v>
      </c>
      <c r="U266" s="29" t="s">
        <v>1001</v>
      </c>
      <c r="W266" s="29">
        <v>2</v>
      </c>
      <c r="X266" s="308"/>
      <c r="Y266" s="16" t="s">
        <v>1041</v>
      </c>
      <c r="Z266" s="308"/>
      <c r="AA266" s="554">
        <f t="shared" ref="AA266:AC266" si="1385">AVERAGE(AJ266,AM266,AP266,AV266,AY266,AS266,BZ266,BB266,BE266,BH266,BK266,BN266,BQ266,BT266)</f>
        <v>15</v>
      </c>
      <c r="AB266" s="555" t="e">
        <f t="shared" si="1385"/>
        <v>#DIV/0!</v>
      </c>
      <c r="AC266" s="556" t="e">
        <f t="shared" si="1385"/>
        <v>#DIV/0!</v>
      </c>
      <c r="AD266" s="29" t="b">
        <v>0</v>
      </c>
      <c r="AE266" s="29" t="b">
        <v>1</v>
      </c>
      <c r="AF266" s="29" t="b">
        <v>0</v>
      </c>
      <c r="AG266" s="566">
        <f t="shared" ref="AG266:AI266" si="1386">AA266</f>
        <v>15</v>
      </c>
      <c r="AH266" s="567" t="e">
        <f t="shared" si="1386"/>
        <v>#DIV/0!</v>
      </c>
      <c r="AI266" s="568" t="e">
        <f t="shared" si="1386"/>
        <v>#DIV/0!</v>
      </c>
      <c r="AJ266" s="567"/>
      <c r="AK266" s="567"/>
      <c r="AL266" s="568"/>
      <c r="AM266" s="567"/>
      <c r="AN266" s="567"/>
      <c r="AO266" s="568"/>
      <c r="AP266" s="567"/>
      <c r="AQ266" s="567"/>
      <c r="AR266" s="568"/>
      <c r="AS266" s="569">
        <v>15</v>
      </c>
      <c r="AT266" s="567"/>
      <c r="AU266" s="568"/>
      <c r="AV266" s="567"/>
      <c r="AW266" s="567"/>
      <c r="AX266" s="568"/>
      <c r="AY266" s="567"/>
      <c r="AZ266" s="567"/>
      <c r="BA266" s="568"/>
      <c r="BB266" s="567"/>
      <c r="BC266" s="567"/>
      <c r="BD266" s="568"/>
      <c r="BE266" s="567"/>
      <c r="BF266" s="567"/>
      <c r="BG266" s="568"/>
      <c r="BH266" s="567"/>
      <c r="BI266" s="567"/>
      <c r="BJ266" s="568"/>
      <c r="BK266" s="567"/>
      <c r="BL266" s="567"/>
      <c r="BM266" s="568"/>
      <c r="BN266" s="567"/>
      <c r="BO266" s="567"/>
      <c r="BP266" s="568"/>
      <c r="BQ266" s="567"/>
      <c r="BR266" s="567"/>
      <c r="BS266" s="568"/>
      <c r="BT266" s="567"/>
      <c r="BU266" s="567"/>
      <c r="BV266" s="568"/>
      <c r="BW266" s="567"/>
      <c r="BX266" s="567"/>
      <c r="BY266" s="568"/>
      <c r="BZ266" s="567"/>
      <c r="CA266" s="567"/>
      <c r="CB266" s="567"/>
      <c r="CC266" s="583"/>
      <c r="CD266" s="555">
        <f t="shared" ref="CD266:CF266" si="1387">MEDIAN(AM266,AP266,AS266,AY266,BB266,AV266,AA266,BE266,BK266,BZ266,BH266,BN266,BQ266,BT266,BW266)</f>
        <v>15</v>
      </c>
      <c r="CE266" s="555" t="e">
        <f t="shared" si="1387"/>
        <v>#DIV/0!</v>
      </c>
      <c r="CF266" s="556" t="e">
        <f t="shared" si="1387"/>
        <v>#DIV/0!</v>
      </c>
      <c r="CG266" s="555">
        <f t="shared" ref="CG266:CI266" si="1388">MAX(AP266,AS266,AV266,BB266,BE266,AY266,CD266,BK266,BZ266,AA266)-MIN(AP266,AS266,AV266,BB266,BE266,AY266,CD266,BK266,BZ266,AA266)</f>
        <v>0</v>
      </c>
      <c r="CH266" s="555" t="e">
        <f t="shared" si="1388"/>
        <v>#DIV/0!</v>
      </c>
      <c r="CI266" s="556" t="e">
        <f t="shared" si="1388"/>
        <v>#DIV/0!</v>
      </c>
      <c r="CJ266" s="555">
        <f t="shared" ref="CJ266:CL266" si="1389">STDEV(AS266,AV266,AY266,BE266,BK266,BB266,CG266,BZ266,AA266,CD266)</f>
        <v>7.5</v>
      </c>
      <c r="CK266" s="555" t="e">
        <f t="shared" si="1389"/>
        <v>#DIV/0!</v>
      </c>
      <c r="CL266" s="556" t="e">
        <f t="shared" si="1389"/>
        <v>#DIV/0!</v>
      </c>
      <c r="CM266" s="555">
        <f t="shared" ref="CM266:CO266" si="1390">CJ266/AA266</f>
        <v>0.5</v>
      </c>
      <c r="CN266" s="555" t="e">
        <f t="shared" si="1390"/>
        <v>#DIV/0!</v>
      </c>
      <c r="CO266" s="556" t="e">
        <f t="shared" si="1390"/>
        <v>#DIV/0!</v>
      </c>
      <c r="CP266" s="29" t="s">
        <v>120</v>
      </c>
      <c r="CQ266" s="535">
        <f t="shared" si="1132"/>
        <v>2</v>
      </c>
      <c r="CR266" s="29" t="s">
        <v>120</v>
      </c>
      <c r="CS266" s="29" t="s">
        <v>120</v>
      </c>
      <c r="CT266" s="29" t="s">
        <v>120</v>
      </c>
      <c r="CU266" s="29" t="s">
        <v>120</v>
      </c>
      <c r="CV266" s="29" t="s">
        <v>120</v>
      </c>
    </row>
    <row r="267" customHeight="1" spans="1:100">
      <c r="A267" s="29" t="s">
        <v>517</v>
      </c>
      <c r="B267" s="541"/>
      <c r="F267" s="308"/>
      <c r="G267" s="308"/>
      <c r="H267" s="29" t="b">
        <v>0</v>
      </c>
      <c r="I267" s="29" t="b">
        <v>0</v>
      </c>
      <c r="J267" s="29" t="b">
        <v>0</v>
      </c>
      <c r="K267" s="29" t="b">
        <v>0</v>
      </c>
      <c r="L267" s="29" t="b">
        <v>0</v>
      </c>
      <c r="M267" s="29" t="b">
        <v>0</v>
      </c>
      <c r="P267" s="29" t="b">
        <v>0</v>
      </c>
      <c r="Q267" s="29" t="b">
        <v>0</v>
      </c>
      <c r="R267" s="29" t="b">
        <v>0</v>
      </c>
      <c r="S267" s="29" t="b">
        <v>0</v>
      </c>
      <c r="T267" s="29" t="b">
        <f t="shared" si="1106"/>
        <v>0</v>
      </c>
      <c r="U267" s="29" t="s">
        <v>1001</v>
      </c>
      <c r="W267" s="29">
        <v>2</v>
      </c>
      <c r="X267" s="308"/>
      <c r="Y267" s="16" t="s">
        <v>1041</v>
      </c>
      <c r="Z267" s="308"/>
      <c r="AA267" s="554">
        <f t="shared" ref="AA267:AC267" si="1391">AVERAGE(AJ267,AM267,AP267,AV267,AY267,AS267,BZ267,BB267,BE267,BH267,BK267,BN267,BQ267,BT267)</f>
        <v>15</v>
      </c>
      <c r="AB267" s="555" t="e">
        <f t="shared" si="1391"/>
        <v>#DIV/0!</v>
      </c>
      <c r="AC267" s="556" t="e">
        <f t="shared" si="1391"/>
        <v>#DIV/0!</v>
      </c>
      <c r="AD267" s="29" t="b">
        <v>0</v>
      </c>
      <c r="AE267" s="29" t="b">
        <v>1</v>
      </c>
      <c r="AF267" s="29" t="b">
        <v>0</v>
      </c>
      <c r="AG267" s="566">
        <f t="shared" ref="AG267:AI267" si="1392">AA267</f>
        <v>15</v>
      </c>
      <c r="AH267" s="567" t="e">
        <f t="shared" si="1392"/>
        <v>#DIV/0!</v>
      </c>
      <c r="AI267" s="568" t="e">
        <f t="shared" si="1392"/>
        <v>#DIV/0!</v>
      </c>
      <c r="AJ267" s="567"/>
      <c r="AK267" s="567"/>
      <c r="AL267" s="568"/>
      <c r="AM267" s="567"/>
      <c r="AN267" s="567"/>
      <c r="AO267" s="568"/>
      <c r="AP267" s="567"/>
      <c r="AQ267" s="567"/>
      <c r="AR267" s="568"/>
      <c r="AS267" s="569">
        <v>15</v>
      </c>
      <c r="AT267" s="567"/>
      <c r="AU267" s="568"/>
      <c r="AV267" s="567"/>
      <c r="AW267" s="567"/>
      <c r="AX267" s="568"/>
      <c r="AY267" s="567"/>
      <c r="AZ267" s="567"/>
      <c r="BA267" s="568"/>
      <c r="BB267" s="567"/>
      <c r="BC267" s="567"/>
      <c r="BD267" s="568"/>
      <c r="BE267" s="567"/>
      <c r="BF267" s="567"/>
      <c r="BG267" s="568"/>
      <c r="BH267" s="567"/>
      <c r="BI267" s="567"/>
      <c r="BJ267" s="568"/>
      <c r="BK267" s="567"/>
      <c r="BL267" s="567"/>
      <c r="BM267" s="568"/>
      <c r="BN267" s="567"/>
      <c r="BO267" s="567"/>
      <c r="BP267" s="568"/>
      <c r="BQ267" s="567"/>
      <c r="BR267" s="567"/>
      <c r="BS267" s="568"/>
      <c r="BT267" s="567"/>
      <c r="BU267" s="567"/>
      <c r="BV267" s="568"/>
      <c r="BW267" s="567"/>
      <c r="BX267" s="567"/>
      <c r="BY267" s="568"/>
      <c r="BZ267" s="567"/>
      <c r="CA267" s="567"/>
      <c r="CB267" s="567"/>
      <c r="CC267" s="583"/>
      <c r="CD267" s="555">
        <f t="shared" ref="CD267:CF267" si="1393">MEDIAN(AM267,AP267,AS267,AY267,BB267,AV267,AA267,BE267,BK267,BZ267,BH267,BN267,BQ267,BT267,BW267)</f>
        <v>15</v>
      </c>
      <c r="CE267" s="555" t="e">
        <f t="shared" si="1393"/>
        <v>#DIV/0!</v>
      </c>
      <c r="CF267" s="556" t="e">
        <f t="shared" si="1393"/>
        <v>#DIV/0!</v>
      </c>
      <c r="CG267" s="555">
        <f t="shared" ref="CG267:CI267" si="1394">MAX(AP267,AS267,AV267,BB267,BE267,AY267,CD267,BK267,BZ267,AA267)-MIN(AP267,AS267,AV267,BB267,BE267,AY267,CD267,BK267,BZ267,AA267)</f>
        <v>0</v>
      </c>
      <c r="CH267" s="555" t="e">
        <f t="shared" si="1394"/>
        <v>#DIV/0!</v>
      </c>
      <c r="CI267" s="556" t="e">
        <f t="shared" si="1394"/>
        <v>#DIV/0!</v>
      </c>
      <c r="CJ267" s="555">
        <f t="shared" ref="CJ267:CL267" si="1395">STDEV(AS267,AV267,AY267,BE267,BK267,BB267,CG267,BZ267,AA267,CD267)</f>
        <v>7.5</v>
      </c>
      <c r="CK267" s="555" t="e">
        <f t="shared" si="1395"/>
        <v>#DIV/0!</v>
      </c>
      <c r="CL267" s="556" t="e">
        <f t="shared" si="1395"/>
        <v>#DIV/0!</v>
      </c>
      <c r="CM267" s="555">
        <f t="shared" ref="CM267:CO267" si="1396">CJ267/AA267</f>
        <v>0.5</v>
      </c>
      <c r="CN267" s="555" t="e">
        <f t="shared" si="1396"/>
        <v>#DIV/0!</v>
      </c>
      <c r="CO267" s="556" t="e">
        <f t="shared" si="1396"/>
        <v>#DIV/0!</v>
      </c>
      <c r="CP267" s="29" t="s">
        <v>120</v>
      </c>
      <c r="CQ267" s="535">
        <f t="shared" si="1132"/>
        <v>2</v>
      </c>
      <c r="CR267" s="29" t="s">
        <v>120</v>
      </c>
      <c r="CS267" s="29" t="s">
        <v>120</v>
      </c>
      <c r="CT267" s="29" t="s">
        <v>120</v>
      </c>
      <c r="CU267" s="29" t="s">
        <v>120</v>
      </c>
      <c r="CV267" s="29" t="s">
        <v>120</v>
      </c>
    </row>
    <row r="268" customHeight="1" spans="1:100">
      <c r="A268" s="29" t="s">
        <v>518</v>
      </c>
      <c r="B268" s="541"/>
      <c r="F268" s="308"/>
      <c r="G268" s="308"/>
      <c r="H268" s="29" t="b">
        <v>0</v>
      </c>
      <c r="I268" s="29" t="b">
        <v>0</v>
      </c>
      <c r="J268" s="29" t="b">
        <v>0</v>
      </c>
      <c r="K268" s="29" t="b">
        <v>0</v>
      </c>
      <c r="L268" s="29" t="b">
        <v>0</v>
      </c>
      <c r="M268" s="29" t="b">
        <v>0</v>
      </c>
      <c r="P268" s="29" t="b">
        <v>0</v>
      </c>
      <c r="Q268" s="29" t="b">
        <v>0</v>
      </c>
      <c r="R268" s="29" t="b">
        <v>0</v>
      </c>
      <c r="S268" s="29" t="b">
        <v>0</v>
      </c>
      <c r="T268" s="29" t="b">
        <f t="shared" si="1106"/>
        <v>0</v>
      </c>
      <c r="U268" s="29" t="s">
        <v>1001</v>
      </c>
      <c r="W268" s="29">
        <v>2</v>
      </c>
      <c r="X268" s="308"/>
      <c r="Y268" s="16" t="s">
        <v>1041</v>
      </c>
      <c r="Z268" s="308"/>
      <c r="AA268" s="554">
        <f t="shared" ref="AA268:AC268" si="1397">AVERAGE(AJ268,AM268,AP268,AV268,AY268,AS268,BZ268,BB268,BE268,BH268,BK268,BN268,BQ268,BT268)</f>
        <v>150</v>
      </c>
      <c r="AB268" s="555" t="e">
        <f t="shared" si="1397"/>
        <v>#DIV/0!</v>
      </c>
      <c r="AC268" s="556" t="e">
        <f t="shared" si="1397"/>
        <v>#DIV/0!</v>
      </c>
      <c r="AD268" s="29" t="b">
        <v>0</v>
      </c>
      <c r="AE268" s="29" t="b">
        <v>1</v>
      </c>
      <c r="AF268" s="29" t="b">
        <v>0</v>
      </c>
      <c r="AG268" s="566">
        <f t="shared" ref="AG268:AI268" si="1398">AA268</f>
        <v>150</v>
      </c>
      <c r="AH268" s="567" t="e">
        <f t="shared" si="1398"/>
        <v>#DIV/0!</v>
      </c>
      <c r="AI268" s="568" t="e">
        <f t="shared" si="1398"/>
        <v>#DIV/0!</v>
      </c>
      <c r="AJ268" s="567"/>
      <c r="AK268" s="567"/>
      <c r="AL268" s="568"/>
      <c r="AM268" s="567"/>
      <c r="AN268" s="567"/>
      <c r="AO268" s="568"/>
      <c r="AP268" s="567"/>
      <c r="AQ268" s="567"/>
      <c r="AR268" s="568"/>
      <c r="AS268" s="569">
        <v>150</v>
      </c>
      <c r="AT268" s="567"/>
      <c r="AU268" s="568"/>
      <c r="AV268" s="567"/>
      <c r="AW268" s="567"/>
      <c r="AX268" s="568"/>
      <c r="AY268" s="567"/>
      <c r="AZ268" s="567"/>
      <c r="BA268" s="568"/>
      <c r="BB268" s="567"/>
      <c r="BC268" s="567"/>
      <c r="BD268" s="568"/>
      <c r="BE268" s="567"/>
      <c r="BF268" s="567"/>
      <c r="BG268" s="568"/>
      <c r="BH268" s="567"/>
      <c r="BI268" s="567"/>
      <c r="BJ268" s="568"/>
      <c r="BK268" s="567"/>
      <c r="BL268" s="567"/>
      <c r="BM268" s="568"/>
      <c r="BN268" s="567"/>
      <c r="BO268" s="567"/>
      <c r="BP268" s="568"/>
      <c r="BQ268" s="567"/>
      <c r="BR268" s="567"/>
      <c r="BS268" s="568"/>
      <c r="BT268" s="567"/>
      <c r="BU268" s="567"/>
      <c r="BV268" s="568"/>
      <c r="BW268" s="567"/>
      <c r="BX268" s="567"/>
      <c r="BY268" s="568"/>
      <c r="BZ268" s="567"/>
      <c r="CA268" s="567"/>
      <c r="CB268" s="567"/>
      <c r="CC268" s="583"/>
      <c r="CD268" s="555">
        <f t="shared" ref="CD268:CF268" si="1399">MEDIAN(AM268,AP268,AS268,AY268,BB268,AV268,AA268,BE268,BK268,BZ268,BH268,BN268,BQ268,BT268,BW268)</f>
        <v>150</v>
      </c>
      <c r="CE268" s="555" t="e">
        <f t="shared" si="1399"/>
        <v>#DIV/0!</v>
      </c>
      <c r="CF268" s="556" t="e">
        <f t="shared" si="1399"/>
        <v>#DIV/0!</v>
      </c>
      <c r="CG268" s="555">
        <f t="shared" ref="CG268:CI268" si="1400">MAX(AP268,AS268,AV268,BB268,BE268,AY268,CD268,BK268,BZ268,AA268)-MIN(AP268,AS268,AV268,BB268,BE268,AY268,CD268,BK268,BZ268,AA268)</f>
        <v>0</v>
      </c>
      <c r="CH268" s="555" t="e">
        <f t="shared" si="1400"/>
        <v>#DIV/0!</v>
      </c>
      <c r="CI268" s="556" t="e">
        <f t="shared" si="1400"/>
        <v>#DIV/0!</v>
      </c>
      <c r="CJ268" s="555">
        <f t="shared" ref="CJ268:CL268" si="1401">STDEV(AS268,AV268,AY268,BE268,BK268,BB268,CG268,BZ268,AA268,CD268)</f>
        <v>75</v>
      </c>
      <c r="CK268" s="555" t="e">
        <f t="shared" si="1401"/>
        <v>#DIV/0!</v>
      </c>
      <c r="CL268" s="556" t="e">
        <f t="shared" si="1401"/>
        <v>#DIV/0!</v>
      </c>
      <c r="CM268" s="555">
        <f t="shared" ref="CM268:CO268" si="1402">CJ268/AA268</f>
        <v>0.5</v>
      </c>
      <c r="CN268" s="555" t="e">
        <f t="shared" si="1402"/>
        <v>#DIV/0!</v>
      </c>
      <c r="CO268" s="556" t="e">
        <f t="shared" si="1402"/>
        <v>#DIV/0!</v>
      </c>
      <c r="CP268" s="29" t="s">
        <v>120</v>
      </c>
      <c r="CQ268" s="535">
        <f t="shared" si="1132"/>
        <v>2</v>
      </c>
      <c r="CR268" s="29" t="s">
        <v>120</v>
      </c>
      <c r="CS268" s="29" t="s">
        <v>120</v>
      </c>
      <c r="CT268" s="29" t="s">
        <v>120</v>
      </c>
      <c r="CU268" s="29" t="s">
        <v>120</v>
      </c>
      <c r="CV268" s="29" t="s">
        <v>120</v>
      </c>
    </row>
    <row r="269" customHeight="1" spans="1:100">
      <c r="A269" s="29" t="s">
        <v>519</v>
      </c>
      <c r="B269" s="541"/>
      <c r="F269" s="308"/>
      <c r="G269" s="308"/>
      <c r="H269" s="29" t="b">
        <v>0</v>
      </c>
      <c r="I269" s="29" t="b">
        <v>0</v>
      </c>
      <c r="J269" s="29" t="b">
        <v>0</v>
      </c>
      <c r="K269" s="29" t="b">
        <v>0</v>
      </c>
      <c r="L269" s="29" t="b">
        <v>0</v>
      </c>
      <c r="M269" s="29" t="b">
        <v>0</v>
      </c>
      <c r="P269" s="29" t="b">
        <v>0</v>
      </c>
      <c r="Q269" s="29" t="b">
        <v>0</v>
      </c>
      <c r="R269" s="29" t="b">
        <v>0</v>
      </c>
      <c r="S269" s="29" t="b">
        <v>0</v>
      </c>
      <c r="T269" s="29" t="b">
        <f t="shared" si="1106"/>
        <v>0</v>
      </c>
      <c r="U269" s="29" t="s">
        <v>1001</v>
      </c>
      <c r="W269" s="29">
        <v>2</v>
      </c>
      <c r="X269" s="308"/>
      <c r="Y269" s="16" t="s">
        <v>1041</v>
      </c>
      <c r="Z269" s="308"/>
      <c r="AA269" s="554">
        <f t="shared" ref="AA269:AC269" si="1403">AVERAGE(AJ269,AM269,AP269,AV269,AY269,AS269,BZ269,BB269,BE269,BH269,BK269,BN269,BQ269,BT269)</f>
        <v>100</v>
      </c>
      <c r="AB269" s="555" t="e">
        <f t="shared" si="1403"/>
        <v>#DIV/0!</v>
      </c>
      <c r="AC269" s="556" t="e">
        <f t="shared" si="1403"/>
        <v>#DIV/0!</v>
      </c>
      <c r="AD269" s="29" t="b">
        <v>0</v>
      </c>
      <c r="AE269" s="29" t="b">
        <v>1</v>
      </c>
      <c r="AF269" s="29" t="b">
        <v>0</v>
      </c>
      <c r="AG269" s="566">
        <f t="shared" ref="AG269:AI269" si="1404">AA269</f>
        <v>100</v>
      </c>
      <c r="AH269" s="567" t="e">
        <f t="shared" si="1404"/>
        <v>#DIV/0!</v>
      </c>
      <c r="AI269" s="568" t="e">
        <f t="shared" si="1404"/>
        <v>#DIV/0!</v>
      </c>
      <c r="AJ269" s="567"/>
      <c r="AK269" s="567"/>
      <c r="AL269" s="568"/>
      <c r="AM269" s="567"/>
      <c r="AN269" s="567"/>
      <c r="AO269" s="568"/>
      <c r="AP269" s="567"/>
      <c r="AQ269" s="567"/>
      <c r="AR269" s="568"/>
      <c r="AS269" s="569">
        <v>100</v>
      </c>
      <c r="AT269" s="567"/>
      <c r="AU269" s="568"/>
      <c r="AV269" s="567"/>
      <c r="AW269" s="567"/>
      <c r="AX269" s="568"/>
      <c r="AY269" s="567"/>
      <c r="AZ269" s="567"/>
      <c r="BA269" s="568"/>
      <c r="BB269" s="567"/>
      <c r="BC269" s="567"/>
      <c r="BD269" s="568"/>
      <c r="BE269" s="567"/>
      <c r="BF269" s="567"/>
      <c r="BG269" s="568"/>
      <c r="BH269" s="567"/>
      <c r="BI269" s="567"/>
      <c r="BJ269" s="568"/>
      <c r="BK269" s="567"/>
      <c r="BL269" s="567"/>
      <c r="BM269" s="568"/>
      <c r="BN269" s="567"/>
      <c r="BO269" s="567"/>
      <c r="BP269" s="568"/>
      <c r="BQ269" s="567"/>
      <c r="BR269" s="567"/>
      <c r="BS269" s="568"/>
      <c r="BT269" s="567"/>
      <c r="BU269" s="567"/>
      <c r="BV269" s="568"/>
      <c r="BW269" s="567"/>
      <c r="BX269" s="567"/>
      <c r="BY269" s="568"/>
      <c r="BZ269" s="567"/>
      <c r="CA269" s="567"/>
      <c r="CB269" s="567"/>
      <c r="CC269" s="583"/>
      <c r="CD269" s="555">
        <f t="shared" ref="CD269:CF269" si="1405">MEDIAN(AM269,AP269,AS269,AY269,BB269,AV269,AA269,BE269,BK269,BZ269,BH269,BN269,BQ269,BT269,BW269)</f>
        <v>100</v>
      </c>
      <c r="CE269" s="555" t="e">
        <f t="shared" si="1405"/>
        <v>#DIV/0!</v>
      </c>
      <c r="CF269" s="556" t="e">
        <f t="shared" si="1405"/>
        <v>#DIV/0!</v>
      </c>
      <c r="CG269" s="555">
        <f t="shared" ref="CG269:CI269" si="1406">MAX(AP269,AS269,AV269,BB269,BE269,AY269,CD269,BK269,BZ269,AA269)-MIN(AP269,AS269,AV269,BB269,BE269,AY269,CD269,BK269,BZ269,AA269)</f>
        <v>0</v>
      </c>
      <c r="CH269" s="555" t="e">
        <f t="shared" si="1406"/>
        <v>#DIV/0!</v>
      </c>
      <c r="CI269" s="556" t="e">
        <f t="shared" si="1406"/>
        <v>#DIV/0!</v>
      </c>
      <c r="CJ269" s="555">
        <f t="shared" ref="CJ269:CL269" si="1407">STDEV(AS269,AV269,AY269,BE269,BK269,BB269,CG269,BZ269,AA269,CD269)</f>
        <v>50</v>
      </c>
      <c r="CK269" s="555" t="e">
        <f t="shared" si="1407"/>
        <v>#DIV/0!</v>
      </c>
      <c r="CL269" s="556" t="e">
        <f t="shared" si="1407"/>
        <v>#DIV/0!</v>
      </c>
      <c r="CM269" s="555">
        <f t="shared" ref="CM269:CO269" si="1408">CJ269/AA269</f>
        <v>0.5</v>
      </c>
      <c r="CN269" s="555" t="e">
        <f t="shared" si="1408"/>
        <v>#DIV/0!</v>
      </c>
      <c r="CO269" s="556" t="e">
        <f t="shared" si="1408"/>
        <v>#DIV/0!</v>
      </c>
      <c r="CP269" s="29" t="s">
        <v>120</v>
      </c>
      <c r="CQ269" s="535">
        <f t="shared" si="1132"/>
        <v>2</v>
      </c>
      <c r="CR269" s="29" t="s">
        <v>120</v>
      </c>
      <c r="CS269" s="29" t="s">
        <v>120</v>
      </c>
      <c r="CT269" s="29" t="s">
        <v>120</v>
      </c>
      <c r="CU269" s="29" t="s">
        <v>120</v>
      </c>
      <c r="CV269" s="29" t="s">
        <v>120</v>
      </c>
    </row>
    <row r="270" customHeight="1" spans="1:100">
      <c r="A270" s="29" t="s">
        <v>520</v>
      </c>
      <c r="B270" s="541"/>
      <c r="F270" s="308"/>
      <c r="G270" s="308"/>
      <c r="H270" s="29" t="b">
        <v>0</v>
      </c>
      <c r="I270" s="29" t="b">
        <v>0</v>
      </c>
      <c r="J270" s="29" t="b">
        <v>0</v>
      </c>
      <c r="K270" s="29" t="b">
        <v>0</v>
      </c>
      <c r="L270" s="29" t="b">
        <v>0</v>
      </c>
      <c r="M270" s="29" t="b">
        <v>0</v>
      </c>
      <c r="P270" s="29" t="b">
        <v>0</v>
      </c>
      <c r="Q270" s="29" t="b">
        <v>0</v>
      </c>
      <c r="R270" s="29" t="b">
        <v>0</v>
      </c>
      <c r="S270" s="29" t="b">
        <v>0</v>
      </c>
      <c r="T270" s="29" t="b">
        <f t="shared" si="1106"/>
        <v>0</v>
      </c>
      <c r="U270" s="29" t="s">
        <v>1001</v>
      </c>
      <c r="W270" s="29">
        <v>2</v>
      </c>
      <c r="X270" s="308"/>
      <c r="Y270" s="16" t="s">
        <v>1041</v>
      </c>
      <c r="Z270" s="308"/>
      <c r="AA270" s="554">
        <f t="shared" ref="AA270:AC270" si="1409">AVERAGE(AJ270,AM270,AP270,AV270,AY270,AS270,BZ270,BB270,BE270,BH270,BK270,BN270,BQ270,BT270)</f>
        <v>70</v>
      </c>
      <c r="AB270" s="555" t="e">
        <f t="shared" si="1409"/>
        <v>#DIV/0!</v>
      </c>
      <c r="AC270" s="556" t="e">
        <f t="shared" si="1409"/>
        <v>#DIV/0!</v>
      </c>
      <c r="AD270" s="29" t="b">
        <v>0</v>
      </c>
      <c r="AE270" s="29" t="b">
        <v>1</v>
      </c>
      <c r="AF270" s="29" t="b">
        <v>0</v>
      </c>
      <c r="AG270" s="566">
        <f t="shared" ref="AG270:AI270" si="1410">AA270</f>
        <v>70</v>
      </c>
      <c r="AH270" s="567" t="e">
        <f t="shared" si="1410"/>
        <v>#DIV/0!</v>
      </c>
      <c r="AI270" s="568" t="e">
        <f t="shared" si="1410"/>
        <v>#DIV/0!</v>
      </c>
      <c r="AJ270" s="567"/>
      <c r="AK270" s="567"/>
      <c r="AL270" s="568"/>
      <c r="AM270" s="567"/>
      <c r="AN270" s="567"/>
      <c r="AO270" s="568"/>
      <c r="AP270" s="567"/>
      <c r="AQ270" s="567"/>
      <c r="AR270" s="568"/>
      <c r="AS270" s="569">
        <v>70</v>
      </c>
      <c r="AT270" s="567"/>
      <c r="AU270" s="568"/>
      <c r="AV270" s="567"/>
      <c r="AW270" s="567"/>
      <c r="AX270" s="568"/>
      <c r="AY270" s="567"/>
      <c r="AZ270" s="567"/>
      <c r="BA270" s="568"/>
      <c r="BB270" s="567"/>
      <c r="BC270" s="567"/>
      <c r="BD270" s="568"/>
      <c r="BE270" s="567"/>
      <c r="BF270" s="567"/>
      <c r="BG270" s="568"/>
      <c r="BH270" s="567"/>
      <c r="BI270" s="567"/>
      <c r="BJ270" s="568"/>
      <c r="BK270" s="567"/>
      <c r="BL270" s="567"/>
      <c r="BM270" s="568"/>
      <c r="BN270" s="567"/>
      <c r="BO270" s="567"/>
      <c r="BP270" s="568"/>
      <c r="BQ270" s="567"/>
      <c r="BR270" s="567"/>
      <c r="BS270" s="568"/>
      <c r="BT270" s="567"/>
      <c r="BU270" s="567"/>
      <c r="BV270" s="568"/>
      <c r="BW270" s="567"/>
      <c r="BX270" s="567"/>
      <c r="BY270" s="568"/>
      <c r="BZ270" s="567"/>
      <c r="CA270" s="567"/>
      <c r="CB270" s="567"/>
      <c r="CC270" s="583"/>
      <c r="CD270" s="555">
        <f t="shared" ref="CD270:CF270" si="1411">MEDIAN(AM270,AP270,AS270,AY270,BB270,AV270,AA270,BE270,BK270,BZ270,BH270,BN270,BQ270,BT270,BW270)</f>
        <v>70</v>
      </c>
      <c r="CE270" s="555" t="e">
        <f t="shared" si="1411"/>
        <v>#DIV/0!</v>
      </c>
      <c r="CF270" s="556" t="e">
        <f t="shared" si="1411"/>
        <v>#DIV/0!</v>
      </c>
      <c r="CG270" s="555">
        <f t="shared" ref="CG270:CI270" si="1412">MAX(AP270,AS270,AV270,BB270,BE270,AY270,CD270,BK270,BZ270,AA270)-MIN(AP270,AS270,AV270,BB270,BE270,AY270,CD270,BK270,BZ270,AA270)</f>
        <v>0</v>
      </c>
      <c r="CH270" s="555" t="e">
        <f t="shared" si="1412"/>
        <v>#DIV/0!</v>
      </c>
      <c r="CI270" s="556" t="e">
        <f t="shared" si="1412"/>
        <v>#DIV/0!</v>
      </c>
      <c r="CJ270" s="555">
        <f t="shared" ref="CJ270:CL270" si="1413">STDEV(AS270,AV270,AY270,BE270,BK270,BB270,CG270,BZ270,AA270,CD270)</f>
        <v>35</v>
      </c>
      <c r="CK270" s="555" t="e">
        <f t="shared" si="1413"/>
        <v>#DIV/0!</v>
      </c>
      <c r="CL270" s="556" t="e">
        <f t="shared" si="1413"/>
        <v>#DIV/0!</v>
      </c>
      <c r="CM270" s="555">
        <f t="shared" ref="CM270:CO270" si="1414">CJ270/AA270</f>
        <v>0.5</v>
      </c>
      <c r="CN270" s="555" t="e">
        <f t="shared" si="1414"/>
        <v>#DIV/0!</v>
      </c>
      <c r="CO270" s="556" t="e">
        <f t="shared" si="1414"/>
        <v>#DIV/0!</v>
      </c>
      <c r="CP270" s="29" t="s">
        <v>120</v>
      </c>
      <c r="CQ270" s="535">
        <f t="shared" si="1132"/>
        <v>2</v>
      </c>
      <c r="CR270" s="29" t="s">
        <v>120</v>
      </c>
      <c r="CS270" s="29" t="s">
        <v>120</v>
      </c>
      <c r="CT270" s="29" t="s">
        <v>120</v>
      </c>
      <c r="CU270" s="29" t="s">
        <v>120</v>
      </c>
      <c r="CV270" s="29" t="s">
        <v>120</v>
      </c>
    </row>
    <row r="271" customHeight="1" spans="1:100">
      <c r="A271" s="29" t="s">
        <v>254</v>
      </c>
      <c r="B271" s="541"/>
      <c r="F271" s="308"/>
      <c r="G271" s="308"/>
      <c r="H271" s="29" t="b">
        <v>0</v>
      </c>
      <c r="I271" s="29" t="b">
        <v>0</v>
      </c>
      <c r="J271" s="29" t="b">
        <v>0</v>
      </c>
      <c r="K271" s="29" t="b">
        <v>0</v>
      </c>
      <c r="L271" s="29" t="b">
        <v>0</v>
      </c>
      <c r="M271" s="29" t="b">
        <v>0</v>
      </c>
      <c r="P271" s="29" t="b">
        <v>0</v>
      </c>
      <c r="Q271" s="29" t="b">
        <v>0</v>
      </c>
      <c r="R271" s="29" t="b">
        <v>0</v>
      </c>
      <c r="S271" s="29" t="b">
        <v>0</v>
      </c>
      <c r="T271" s="29" t="b">
        <f t="shared" si="1106"/>
        <v>0</v>
      </c>
      <c r="U271" s="29" t="s">
        <v>1001</v>
      </c>
      <c r="W271" s="29">
        <v>2</v>
      </c>
      <c r="X271" s="308"/>
      <c r="Y271" s="16" t="s">
        <v>1041</v>
      </c>
      <c r="Z271" s="308"/>
      <c r="AA271" s="554">
        <f t="shared" ref="AA271:AC271" si="1415">AVERAGE(AJ271,AM271,AP271,AV271,AY271,AS271,BZ271,BB271,BE271,BH271,BK271,BN271,BQ271,BT271)</f>
        <v>50</v>
      </c>
      <c r="AB271" s="555" t="e">
        <f t="shared" si="1415"/>
        <v>#DIV/0!</v>
      </c>
      <c r="AC271" s="556" t="e">
        <f t="shared" si="1415"/>
        <v>#DIV/0!</v>
      </c>
      <c r="AD271" s="29" t="b">
        <v>0</v>
      </c>
      <c r="AE271" s="29" t="b">
        <v>1</v>
      </c>
      <c r="AF271" s="29" t="b">
        <v>0</v>
      </c>
      <c r="AG271" s="566">
        <f t="shared" ref="AG271:AI271" si="1416">AA271</f>
        <v>50</v>
      </c>
      <c r="AH271" s="567" t="e">
        <f t="shared" si="1416"/>
        <v>#DIV/0!</v>
      </c>
      <c r="AI271" s="568" t="e">
        <f t="shared" si="1416"/>
        <v>#DIV/0!</v>
      </c>
      <c r="AJ271" s="567"/>
      <c r="AK271" s="567"/>
      <c r="AL271" s="568"/>
      <c r="AM271" s="567"/>
      <c r="AN271" s="567"/>
      <c r="AO271" s="568"/>
      <c r="AP271" s="567"/>
      <c r="AQ271" s="567"/>
      <c r="AR271" s="568"/>
      <c r="AS271" s="569">
        <v>50</v>
      </c>
      <c r="AT271" s="567"/>
      <c r="AU271" s="568"/>
      <c r="AV271" s="567"/>
      <c r="AW271" s="567"/>
      <c r="AX271" s="568"/>
      <c r="AY271" s="567"/>
      <c r="AZ271" s="567"/>
      <c r="BA271" s="568"/>
      <c r="BB271" s="567"/>
      <c r="BC271" s="567"/>
      <c r="BD271" s="568"/>
      <c r="BE271" s="567"/>
      <c r="BF271" s="567"/>
      <c r="BG271" s="568"/>
      <c r="BH271" s="567"/>
      <c r="BI271" s="567"/>
      <c r="BJ271" s="568"/>
      <c r="BK271" s="567"/>
      <c r="BL271" s="567"/>
      <c r="BM271" s="568"/>
      <c r="BN271" s="567"/>
      <c r="BO271" s="567"/>
      <c r="BP271" s="568"/>
      <c r="BQ271" s="567"/>
      <c r="BR271" s="567"/>
      <c r="BS271" s="568"/>
      <c r="BT271" s="567"/>
      <c r="BU271" s="567"/>
      <c r="BV271" s="568"/>
      <c r="BW271" s="567"/>
      <c r="BX271" s="567"/>
      <c r="BY271" s="568"/>
      <c r="BZ271" s="567"/>
      <c r="CA271" s="567"/>
      <c r="CB271" s="567"/>
      <c r="CC271" s="583"/>
      <c r="CD271" s="555">
        <f t="shared" ref="CD271:CF271" si="1417">MEDIAN(AM271,AP271,AS271,AY271,BB271,AV271,AA271,BE271,BK271,BZ271,BH271,BN271,BQ271,BT271,BW271)</f>
        <v>50</v>
      </c>
      <c r="CE271" s="555" t="e">
        <f t="shared" si="1417"/>
        <v>#DIV/0!</v>
      </c>
      <c r="CF271" s="556" t="e">
        <f t="shared" si="1417"/>
        <v>#DIV/0!</v>
      </c>
      <c r="CG271" s="555">
        <f t="shared" ref="CG271:CI271" si="1418">MAX(AP271,AS271,AV271,BB271,BE271,AY271,CD271,BK271,BZ271,AA271)-MIN(AP271,AS271,AV271,BB271,BE271,AY271,CD271,BK271,BZ271,AA271)</f>
        <v>0</v>
      </c>
      <c r="CH271" s="555" t="e">
        <f t="shared" si="1418"/>
        <v>#DIV/0!</v>
      </c>
      <c r="CI271" s="556" t="e">
        <f t="shared" si="1418"/>
        <v>#DIV/0!</v>
      </c>
      <c r="CJ271" s="555">
        <f t="shared" ref="CJ271:CL271" si="1419">STDEV(AS271,AV271,AY271,BE271,BK271,BB271,CG271,BZ271,AA271,CD271)</f>
        <v>25</v>
      </c>
      <c r="CK271" s="555" t="e">
        <f t="shared" si="1419"/>
        <v>#DIV/0!</v>
      </c>
      <c r="CL271" s="556" t="e">
        <f t="shared" si="1419"/>
        <v>#DIV/0!</v>
      </c>
      <c r="CM271" s="555">
        <f t="shared" ref="CM271:CO271" si="1420">CJ271/AA271</f>
        <v>0.5</v>
      </c>
      <c r="CN271" s="555" t="e">
        <f t="shared" si="1420"/>
        <v>#DIV/0!</v>
      </c>
      <c r="CO271" s="556" t="e">
        <f t="shared" si="1420"/>
        <v>#DIV/0!</v>
      </c>
      <c r="CP271" s="29" t="s">
        <v>120</v>
      </c>
      <c r="CQ271" s="535">
        <f t="shared" si="1132"/>
        <v>2</v>
      </c>
      <c r="CR271" s="29" t="s">
        <v>120</v>
      </c>
      <c r="CS271" s="29" t="s">
        <v>120</v>
      </c>
      <c r="CT271" s="29" t="s">
        <v>120</v>
      </c>
      <c r="CU271" s="29" t="s">
        <v>120</v>
      </c>
      <c r="CV271" s="29" t="s">
        <v>120</v>
      </c>
    </row>
    <row r="272" customHeight="1" spans="1:100">
      <c r="A272" s="29" t="s">
        <v>1129</v>
      </c>
      <c r="B272" s="541"/>
      <c r="F272" s="308"/>
      <c r="G272" s="308"/>
      <c r="H272" s="29" t="b">
        <v>0</v>
      </c>
      <c r="I272" s="29" t="b">
        <v>0</v>
      </c>
      <c r="J272" s="29" t="b">
        <v>0</v>
      </c>
      <c r="K272" s="29" t="b">
        <v>0</v>
      </c>
      <c r="L272" s="29" t="b">
        <v>0</v>
      </c>
      <c r="M272" s="29" t="b">
        <v>0</v>
      </c>
      <c r="P272" s="29" t="b">
        <v>0</v>
      </c>
      <c r="Q272" s="29" t="b">
        <v>0</v>
      </c>
      <c r="R272" s="29" t="b">
        <v>0</v>
      </c>
      <c r="S272" s="29" t="b">
        <v>0</v>
      </c>
      <c r="T272" s="29" t="b">
        <f t="shared" si="1106"/>
        <v>0</v>
      </c>
      <c r="U272" s="29" t="s">
        <v>999</v>
      </c>
      <c r="V272" s="29" t="s">
        <v>157</v>
      </c>
      <c r="W272" s="29">
        <v>1</v>
      </c>
      <c r="X272" s="29" t="s">
        <v>1040</v>
      </c>
      <c r="Y272" s="16" t="s">
        <v>1041</v>
      </c>
      <c r="Z272" s="29" t="s">
        <v>1042</v>
      </c>
      <c r="AA272" s="554">
        <f t="shared" ref="AA272:AC272" si="1421">AVERAGE(AJ272,AM272,AP272,AV272,AY272,AS272,BZ272,BB272,BE272,BH272,BK272,BN272,BQ272,BT272)</f>
        <v>300</v>
      </c>
      <c r="AB272" s="555" t="e">
        <f t="shared" si="1421"/>
        <v>#DIV/0!</v>
      </c>
      <c r="AC272" s="556" t="e">
        <f t="shared" si="1421"/>
        <v>#DIV/0!</v>
      </c>
      <c r="AD272" s="29" t="b">
        <v>0</v>
      </c>
      <c r="AE272" s="29" t="b">
        <v>1</v>
      </c>
      <c r="AF272" s="29" t="b">
        <v>0</v>
      </c>
      <c r="AG272" s="574">
        <v>300</v>
      </c>
      <c r="AH272" s="569" t="s">
        <v>13</v>
      </c>
      <c r="AI272" s="570" t="s">
        <v>13</v>
      </c>
      <c r="AJ272" s="567"/>
      <c r="AK272" s="567"/>
      <c r="AL272" s="568"/>
      <c r="AM272" s="569">
        <v>300</v>
      </c>
      <c r="AN272" s="569" t="s">
        <v>13</v>
      </c>
      <c r="AO272" s="570" t="s">
        <v>13</v>
      </c>
      <c r="AP272" s="567"/>
      <c r="AQ272" s="567"/>
      <c r="AR272" s="568"/>
      <c r="AS272" s="567"/>
      <c r="AT272" s="567"/>
      <c r="AU272" s="568"/>
      <c r="AV272" s="567"/>
      <c r="AW272" s="567"/>
      <c r="AX272" s="568"/>
      <c r="AY272" s="567"/>
      <c r="AZ272" s="567"/>
      <c r="BA272" s="568"/>
      <c r="BB272" s="567"/>
      <c r="BC272" s="567"/>
      <c r="BD272" s="568"/>
      <c r="BE272" s="567"/>
      <c r="BF272" s="567"/>
      <c r="BG272" s="568"/>
      <c r="BH272" s="567"/>
      <c r="BI272" s="567"/>
      <c r="BJ272" s="568"/>
      <c r="BK272" s="567"/>
      <c r="BL272" s="567"/>
      <c r="BM272" s="568"/>
      <c r="BN272" s="567"/>
      <c r="BO272" s="567"/>
      <c r="BP272" s="568"/>
      <c r="BQ272" s="567"/>
      <c r="BR272" s="567"/>
      <c r="BS272" s="568"/>
      <c r="BT272" s="567"/>
      <c r="BU272" s="567"/>
      <c r="BV272" s="568"/>
      <c r="BW272" s="567"/>
      <c r="BX272" s="567"/>
      <c r="BY272" s="568"/>
      <c r="BZ272" s="567"/>
      <c r="CA272" s="567"/>
      <c r="CB272" s="567"/>
      <c r="CC272" s="583"/>
      <c r="CD272" s="555">
        <f t="shared" ref="CD272:CF272" si="1422">MEDIAN(AM272,AP272,AS272,AY272,BB272,AV272,AA272,BE272,BK272,BZ272,BH272,BN272,BQ272,BT272,BW272)</f>
        <v>300</v>
      </c>
      <c r="CE272" s="555" t="e">
        <f t="shared" si="1422"/>
        <v>#DIV/0!</v>
      </c>
      <c r="CF272" s="556" t="e">
        <f t="shared" si="1422"/>
        <v>#DIV/0!</v>
      </c>
      <c r="CG272" s="555">
        <f t="shared" ref="CG272:CI272" si="1423">MAX(AP272,AS272,AV272,BB272,BE272,AY272,CD272,BK272,BZ272,AA272)-MIN(AP272,AS272,AV272,BB272,BE272,AY272,CD272,BK272,BZ272,AA272)</f>
        <v>0</v>
      </c>
      <c r="CH272" s="555" t="e">
        <f t="shared" si="1423"/>
        <v>#DIV/0!</v>
      </c>
      <c r="CI272" s="556" t="e">
        <f t="shared" si="1423"/>
        <v>#DIV/0!</v>
      </c>
      <c r="CJ272" s="555">
        <f t="shared" ref="CJ272:CL272" si="1424">STDEV(AS272,AV272,AY272,BE272,BK272,BB272,CG272,BZ272,AA272,CD272)</f>
        <v>173.205080756888</v>
      </c>
      <c r="CK272" s="555" t="e">
        <f t="shared" si="1424"/>
        <v>#DIV/0!</v>
      </c>
      <c r="CL272" s="556" t="e">
        <f t="shared" si="1424"/>
        <v>#DIV/0!</v>
      </c>
      <c r="CM272" s="555">
        <f t="shared" ref="CM272:CO272" si="1425">CJ272/AA272</f>
        <v>0.577350269189626</v>
      </c>
      <c r="CN272" s="555" t="e">
        <f t="shared" si="1425"/>
        <v>#DIV/0!</v>
      </c>
      <c r="CO272" s="556" t="e">
        <f t="shared" si="1425"/>
        <v>#DIV/0!</v>
      </c>
      <c r="CP272" s="29" t="s">
        <v>120</v>
      </c>
      <c r="CQ272" s="535">
        <f t="shared" si="1132"/>
        <v>1</v>
      </c>
      <c r="CR272" s="29" t="s">
        <v>120</v>
      </c>
      <c r="CS272" s="29"/>
      <c r="CT272" s="29"/>
      <c r="CU272" s="29"/>
      <c r="CV272" s="29"/>
    </row>
    <row r="273" customHeight="1" spans="1:100">
      <c r="A273" s="29" t="s">
        <v>224</v>
      </c>
      <c r="B273" s="541"/>
      <c r="F273" s="308"/>
      <c r="G273" s="308"/>
      <c r="H273" s="29" t="b">
        <v>0</v>
      </c>
      <c r="I273" s="29" t="b">
        <v>0</v>
      </c>
      <c r="J273" s="29" t="b">
        <v>0</v>
      </c>
      <c r="K273" s="29" t="b">
        <v>0</v>
      </c>
      <c r="L273" s="29" t="b">
        <v>0</v>
      </c>
      <c r="M273" s="29" t="b">
        <v>0</v>
      </c>
      <c r="P273" s="29" t="b">
        <v>0</v>
      </c>
      <c r="Q273" s="29" t="b">
        <v>0</v>
      </c>
      <c r="R273" s="29" t="b">
        <v>0</v>
      </c>
      <c r="S273" s="29" t="b">
        <v>0</v>
      </c>
      <c r="T273" s="29" t="b">
        <f t="shared" si="1106"/>
        <v>0</v>
      </c>
      <c r="U273" s="29" t="s">
        <v>999</v>
      </c>
      <c r="V273" s="29" t="s">
        <v>157</v>
      </c>
      <c r="W273" s="29">
        <v>1</v>
      </c>
      <c r="X273" s="29" t="s">
        <v>1040</v>
      </c>
      <c r="Y273" s="16" t="s">
        <v>1041</v>
      </c>
      <c r="Z273" s="29" t="s">
        <v>1042</v>
      </c>
      <c r="AA273" s="554">
        <f t="shared" ref="AA273:AC273" si="1426">AVERAGE(AJ273,AM273,AP273,AV273,AY273,AS273,BZ273,BB273,BE273,BH273,BK273,BN273,BQ273,BT273)</f>
        <v>450</v>
      </c>
      <c r="AB273" s="555" t="e">
        <f t="shared" si="1426"/>
        <v>#DIV/0!</v>
      </c>
      <c r="AC273" s="556" t="e">
        <f t="shared" si="1426"/>
        <v>#DIV/0!</v>
      </c>
      <c r="AD273" s="29" t="b">
        <v>0</v>
      </c>
      <c r="AE273" s="29" t="b">
        <v>1</v>
      </c>
      <c r="AF273" s="29" t="b">
        <v>0</v>
      </c>
      <c r="AG273" s="574">
        <v>450</v>
      </c>
      <c r="AH273" s="569" t="s">
        <v>13</v>
      </c>
      <c r="AI273" s="570" t="s">
        <v>13</v>
      </c>
      <c r="AJ273" s="567"/>
      <c r="AK273" s="567"/>
      <c r="AL273" s="568"/>
      <c r="AM273" s="569">
        <v>450</v>
      </c>
      <c r="AN273" s="569" t="s">
        <v>13</v>
      </c>
      <c r="AO273" s="570" t="s">
        <v>13</v>
      </c>
      <c r="AP273" s="567"/>
      <c r="AQ273" s="567"/>
      <c r="AR273" s="568"/>
      <c r="AS273" s="567"/>
      <c r="AT273" s="567"/>
      <c r="AU273" s="568"/>
      <c r="AV273" s="567"/>
      <c r="AW273" s="567"/>
      <c r="AX273" s="568"/>
      <c r="AY273" s="567"/>
      <c r="AZ273" s="567"/>
      <c r="BA273" s="568"/>
      <c r="BB273" s="567"/>
      <c r="BC273" s="567"/>
      <c r="BD273" s="568"/>
      <c r="BE273" s="567"/>
      <c r="BF273" s="567"/>
      <c r="BG273" s="568"/>
      <c r="BH273" s="567"/>
      <c r="BI273" s="567"/>
      <c r="BJ273" s="568"/>
      <c r="BK273" s="567"/>
      <c r="BL273" s="567"/>
      <c r="BM273" s="568"/>
      <c r="BN273" s="567"/>
      <c r="BO273" s="567"/>
      <c r="BP273" s="568"/>
      <c r="BQ273" s="567"/>
      <c r="BR273" s="567"/>
      <c r="BS273" s="568"/>
      <c r="BT273" s="567"/>
      <c r="BU273" s="567"/>
      <c r="BV273" s="568"/>
      <c r="BW273" s="567"/>
      <c r="BX273" s="567"/>
      <c r="BY273" s="568"/>
      <c r="BZ273" s="567"/>
      <c r="CA273" s="567"/>
      <c r="CB273" s="567"/>
      <c r="CC273" s="583"/>
      <c r="CD273" s="555">
        <f t="shared" ref="CD273:CF273" si="1427">MEDIAN(AM273,AP273,AS273,AY273,BB273,AV273,AA273,BE273,BK273,BZ273,BH273,BN273,BQ273,BT273,BW273)</f>
        <v>450</v>
      </c>
      <c r="CE273" s="555" t="e">
        <f t="shared" si="1427"/>
        <v>#DIV/0!</v>
      </c>
      <c r="CF273" s="556" t="e">
        <f t="shared" si="1427"/>
        <v>#DIV/0!</v>
      </c>
      <c r="CG273" s="555">
        <f t="shared" ref="CG273:CI273" si="1428">MAX(AP273,AS273,AV273,BB273,BE273,AY273,CD273,BK273,BZ273,AA273)-MIN(AP273,AS273,AV273,BB273,BE273,AY273,CD273,BK273,BZ273,AA273)</f>
        <v>0</v>
      </c>
      <c r="CH273" s="555" t="e">
        <f t="shared" si="1428"/>
        <v>#DIV/0!</v>
      </c>
      <c r="CI273" s="556" t="e">
        <f t="shared" si="1428"/>
        <v>#DIV/0!</v>
      </c>
      <c r="CJ273" s="555">
        <f t="shared" ref="CJ273:CL273" si="1429">STDEV(AS273,AV273,AY273,BE273,BK273,BB273,CG273,BZ273,AA273,CD273)</f>
        <v>259.807621135332</v>
      </c>
      <c r="CK273" s="555" t="e">
        <f t="shared" si="1429"/>
        <v>#DIV/0!</v>
      </c>
      <c r="CL273" s="556" t="e">
        <f t="shared" si="1429"/>
        <v>#DIV/0!</v>
      </c>
      <c r="CM273" s="555">
        <f t="shared" ref="CM273:CO273" si="1430">CJ273/AA273</f>
        <v>0.577350269189626</v>
      </c>
      <c r="CN273" s="555" t="e">
        <f t="shared" si="1430"/>
        <v>#DIV/0!</v>
      </c>
      <c r="CO273" s="556" t="e">
        <f t="shared" si="1430"/>
        <v>#DIV/0!</v>
      </c>
      <c r="CP273" s="29" t="s">
        <v>120</v>
      </c>
      <c r="CQ273" s="535">
        <f t="shared" si="1132"/>
        <v>1</v>
      </c>
      <c r="CR273" s="29" t="s">
        <v>120</v>
      </c>
      <c r="CS273" s="29"/>
      <c r="CT273" s="29"/>
      <c r="CU273" s="29"/>
      <c r="CV273" s="29"/>
    </row>
    <row r="274" customHeight="1" spans="1:100">
      <c r="A274" s="29" t="s">
        <v>1130</v>
      </c>
      <c r="B274" s="541"/>
      <c r="F274" s="308"/>
      <c r="G274" s="308"/>
      <c r="H274" s="29" t="b">
        <v>0</v>
      </c>
      <c r="I274" s="29" t="b">
        <v>0</v>
      </c>
      <c r="J274" s="29" t="b">
        <v>0</v>
      </c>
      <c r="K274" s="29" t="b">
        <v>0</v>
      </c>
      <c r="L274" s="29" t="b">
        <v>0</v>
      </c>
      <c r="M274" s="29" t="b">
        <v>0</v>
      </c>
      <c r="P274" s="29" t="b">
        <v>0</v>
      </c>
      <c r="Q274" s="29" t="b">
        <v>0</v>
      </c>
      <c r="R274" s="29" t="b">
        <v>0</v>
      </c>
      <c r="S274" s="29" t="b">
        <v>0</v>
      </c>
      <c r="T274" s="29" t="b">
        <f t="shared" si="1106"/>
        <v>0</v>
      </c>
      <c r="U274" s="29" t="s">
        <v>999</v>
      </c>
      <c r="V274" s="29" t="s">
        <v>157</v>
      </c>
      <c r="W274" s="29">
        <v>1</v>
      </c>
      <c r="X274" s="29" t="s">
        <v>1040</v>
      </c>
      <c r="Y274" s="16" t="s">
        <v>1041</v>
      </c>
      <c r="Z274" s="29" t="s">
        <v>1042</v>
      </c>
      <c r="AA274" s="554">
        <f t="shared" ref="AA274:AC274" si="1431">AVERAGE(AJ274,AM274,AP274,AV274,AY274,AS274,BZ274,BB274,BE274,BH274,BK274,BN274,BQ274,BT274)</f>
        <v>300</v>
      </c>
      <c r="AB274" s="555" t="e">
        <f t="shared" si="1431"/>
        <v>#DIV/0!</v>
      </c>
      <c r="AC274" s="556" t="e">
        <f t="shared" si="1431"/>
        <v>#DIV/0!</v>
      </c>
      <c r="AD274" s="29" t="b">
        <v>0</v>
      </c>
      <c r="AE274" s="29" t="b">
        <v>1</v>
      </c>
      <c r="AF274" s="29" t="b">
        <v>0</v>
      </c>
      <c r="AG274" s="574">
        <v>300</v>
      </c>
      <c r="AH274" s="569" t="s">
        <v>13</v>
      </c>
      <c r="AI274" s="570" t="s">
        <v>13</v>
      </c>
      <c r="AJ274" s="567"/>
      <c r="AK274" s="567"/>
      <c r="AL274" s="568"/>
      <c r="AM274" s="569">
        <v>300</v>
      </c>
      <c r="AN274" s="569" t="s">
        <v>13</v>
      </c>
      <c r="AO274" s="570" t="s">
        <v>13</v>
      </c>
      <c r="AP274" s="567"/>
      <c r="AQ274" s="567"/>
      <c r="AR274" s="568"/>
      <c r="AS274" s="567"/>
      <c r="AT274" s="567"/>
      <c r="AU274" s="568"/>
      <c r="AV274" s="567"/>
      <c r="AW274" s="567"/>
      <c r="AX274" s="568"/>
      <c r="AY274" s="567"/>
      <c r="AZ274" s="567"/>
      <c r="BA274" s="568"/>
      <c r="BB274" s="567"/>
      <c r="BC274" s="567"/>
      <c r="BD274" s="568"/>
      <c r="BE274" s="567"/>
      <c r="BF274" s="567"/>
      <c r="BG274" s="568"/>
      <c r="BH274" s="567"/>
      <c r="BI274" s="567"/>
      <c r="BJ274" s="568"/>
      <c r="BK274" s="567"/>
      <c r="BL274" s="567"/>
      <c r="BM274" s="568"/>
      <c r="BN274" s="567"/>
      <c r="BO274" s="567"/>
      <c r="BP274" s="568"/>
      <c r="BQ274" s="567"/>
      <c r="BR274" s="567"/>
      <c r="BS274" s="568"/>
      <c r="BT274" s="567"/>
      <c r="BU274" s="567"/>
      <c r="BV274" s="568"/>
      <c r="BW274" s="567"/>
      <c r="BX274" s="567"/>
      <c r="BY274" s="568"/>
      <c r="BZ274" s="567"/>
      <c r="CA274" s="567"/>
      <c r="CB274" s="567"/>
      <c r="CC274" s="583"/>
      <c r="CD274" s="555">
        <f t="shared" ref="CD274:CF274" si="1432">MEDIAN(AM274,AP274,AS274,AY274,BB274,AV274,AA274,BE274,BK274,BZ274,BH274,BN274,BQ274,BT274,BW274)</f>
        <v>300</v>
      </c>
      <c r="CE274" s="555" t="e">
        <f t="shared" si="1432"/>
        <v>#DIV/0!</v>
      </c>
      <c r="CF274" s="556" t="e">
        <f t="shared" si="1432"/>
        <v>#DIV/0!</v>
      </c>
      <c r="CG274" s="555">
        <f t="shared" ref="CG274:CI274" si="1433">MAX(AP274,AS274,AV274,BB274,BE274,AY274,CD274,BK274,BZ274,AA274)-MIN(AP274,AS274,AV274,BB274,BE274,AY274,CD274,BK274,BZ274,AA274)</f>
        <v>0</v>
      </c>
      <c r="CH274" s="555" t="e">
        <f t="shared" si="1433"/>
        <v>#DIV/0!</v>
      </c>
      <c r="CI274" s="556" t="e">
        <f t="shared" si="1433"/>
        <v>#DIV/0!</v>
      </c>
      <c r="CJ274" s="555">
        <f t="shared" ref="CJ274:CL274" si="1434">STDEV(AS274,AV274,AY274,BE274,BK274,BB274,CG274,BZ274,AA274,CD274)</f>
        <v>173.205080756888</v>
      </c>
      <c r="CK274" s="555" t="e">
        <f t="shared" si="1434"/>
        <v>#DIV/0!</v>
      </c>
      <c r="CL274" s="556" t="e">
        <f t="shared" si="1434"/>
        <v>#DIV/0!</v>
      </c>
      <c r="CM274" s="555">
        <f t="shared" ref="CM274:CO274" si="1435">CJ274/AA274</f>
        <v>0.577350269189626</v>
      </c>
      <c r="CN274" s="555" t="e">
        <f t="shared" si="1435"/>
        <v>#DIV/0!</v>
      </c>
      <c r="CO274" s="556" t="e">
        <f t="shared" si="1435"/>
        <v>#DIV/0!</v>
      </c>
      <c r="CP274" s="29" t="s">
        <v>120</v>
      </c>
      <c r="CQ274" s="535">
        <f t="shared" si="1132"/>
        <v>1</v>
      </c>
      <c r="CR274" s="29" t="s">
        <v>120</v>
      </c>
      <c r="CS274" s="29"/>
      <c r="CT274" s="29"/>
      <c r="CU274" s="29"/>
      <c r="CV274" s="29"/>
    </row>
    <row r="275" customHeight="1" spans="1:100">
      <c r="A275" s="29" t="s">
        <v>521</v>
      </c>
      <c r="B275" s="541"/>
      <c r="F275" s="308"/>
      <c r="G275" s="308"/>
      <c r="H275" s="29" t="b">
        <v>0</v>
      </c>
      <c r="I275" s="29" t="b">
        <v>0</v>
      </c>
      <c r="J275" s="29" t="b">
        <v>0</v>
      </c>
      <c r="K275" s="29" t="b">
        <v>0</v>
      </c>
      <c r="L275" s="29" t="b">
        <v>0</v>
      </c>
      <c r="M275" s="29" t="b">
        <v>0</v>
      </c>
      <c r="P275" s="29" t="b">
        <v>0</v>
      </c>
      <c r="Q275" s="29" t="b">
        <v>0</v>
      </c>
      <c r="R275" s="29" t="b">
        <v>0</v>
      </c>
      <c r="S275" s="29" t="b">
        <v>0</v>
      </c>
      <c r="T275" s="29" t="b">
        <f t="shared" si="1106"/>
        <v>0</v>
      </c>
      <c r="U275" s="29" t="s">
        <v>999</v>
      </c>
      <c r="V275" s="29" t="s">
        <v>129</v>
      </c>
      <c r="W275" s="29">
        <v>1</v>
      </c>
      <c r="X275" s="29" t="s">
        <v>1040</v>
      </c>
      <c r="Y275" s="16" t="s">
        <v>1041</v>
      </c>
      <c r="Z275" s="29" t="s">
        <v>1042</v>
      </c>
      <c r="AA275" s="554">
        <f t="shared" ref="AA275:AC275" si="1436">AVERAGE(AJ275,AM275,AP275,AV275,AY275,AS275,BZ275,BB275,BE275,BH275,BK275,BN275,BQ275,BT275)</f>
        <v>800</v>
      </c>
      <c r="AB275" s="555" t="e">
        <f t="shared" si="1436"/>
        <v>#DIV/0!</v>
      </c>
      <c r="AC275" s="556" t="e">
        <f t="shared" si="1436"/>
        <v>#DIV/0!</v>
      </c>
      <c r="AD275" s="29" t="b">
        <v>0</v>
      </c>
      <c r="AE275" s="29" t="b">
        <v>1</v>
      </c>
      <c r="AF275" s="29" t="b">
        <v>0</v>
      </c>
      <c r="AG275" s="574">
        <v>800</v>
      </c>
      <c r="AH275" s="569" t="s">
        <v>13</v>
      </c>
      <c r="AI275" s="570" t="s">
        <v>13</v>
      </c>
      <c r="AJ275" s="567"/>
      <c r="AK275" s="567"/>
      <c r="AL275" s="568"/>
      <c r="AM275" s="569">
        <v>800</v>
      </c>
      <c r="AN275" s="569" t="s">
        <v>13</v>
      </c>
      <c r="AO275" s="570" t="s">
        <v>13</v>
      </c>
      <c r="AP275" s="567"/>
      <c r="AQ275" s="567"/>
      <c r="AR275" s="568"/>
      <c r="AS275" s="567"/>
      <c r="AT275" s="567"/>
      <c r="AU275" s="568"/>
      <c r="AV275" s="567"/>
      <c r="AW275" s="567"/>
      <c r="AX275" s="568"/>
      <c r="AY275" s="567"/>
      <c r="AZ275" s="567"/>
      <c r="BA275" s="568"/>
      <c r="BB275" s="567"/>
      <c r="BC275" s="567"/>
      <c r="BD275" s="568"/>
      <c r="BE275" s="567"/>
      <c r="BF275" s="567"/>
      <c r="BG275" s="568"/>
      <c r="BH275" s="567"/>
      <c r="BI275" s="567"/>
      <c r="BJ275" s="568"/>
      <c r="BK275" s="567"/>
      <c r="BL275" s="567"/>
      <c r="BM275" s="568"/>
      <c r="BN275" s="567"/>
      <c r="BO275" s="567"/>
      <c r="BP275" s="568"/>
      <c r="BQ275" s="567"/>
      <c r="BR275" s="567"/>
      <c r="BS275" s="568"/>
      <c r="BT275" s="567"/>
      <c r="BU275" s="567"/>
      <c r="BV275" s="568"/>
      <c r="BW275" s="567"/>
      <c r="BX275" s="567"/>
      <c r="BY275" s="568"/>
      <c r="BZ275" s="567"/>
      <c r="CA275" s="567"/>
      <c r="CB275" s="567"/>
      <c r="CC275" s="583"/>
      <c r="CD275" s="555">
        <f t="shared" ref="CD275:CF275" si="1437">MEDIAN(AM275,AP275,AS275,AY275,BB275,AV275,AA275,BE275,BK275,BZ275,BH275,BN275,BQ275,BT275,BW275)</f>
        <v>800</v>
      </c>
      <c r="CE275" s="555" t="e">
        <f t="shared" si="1437"/>
        <v>#DIV/0!</v>
      </c>
      <c r="CF275" s="556" t="e">
        <f t="shared" si="1437"/>
        <v>#DIV/0!</v>
      </c>
      <c r="CG275" s="555">
        <f t="shared" ref="CG275:CI275" si="1438">MAX(AP275,AS275,AV275,BB275,BE275,AY275,CD275,BK275,BZ275,AA275)-MIN(AP275,AS275,AV275,BB275,BE275,AY275,CD275,BK275,BZ275,AA275)</f>
        <v>0</v>
      </c>
      <c r="CH275" s="555" t="e">
        <f t="shared" si="1438"/>
        <v>#DIV/0!</v>
      </c>
      <c r="CI275" s="556" t="e">
        <f t="shared" si="1438"/>
        <v>#DIV/0!</v>
      </c>
      <c r="CJ275" s="555">
        <f t="shared" ref="CJ275:CL275" si="1439">STDEV(AS275,AV275,AY275,BE275,BK275,BB275,CG275,BZ275,AA275,CD275)</f>
        <v>461.880215351701</v>
      </c>
      <c r="CK275" s="555" t="e">
        <f t="shared" si="1439"/>
        <v>#DIV/0!</v>
      </c>
      <c r="CL275" s="556" t="e">
        <f t="shared" si="1439"/>
        <v>#DIV/0!</v>
      </c>
      <c r="CM275" s="555">
        <f t="shared" ref="CM275:CO275" si="1440">CJ275/AA275</f>
        <v>0.577350269189626</v>
      </c>
      <c r="CN275" s="555" t="e">
        <f t="shared" si="1440"/>
        <v>#DIV/0!</v>
      </c>
      <c r="CO275" s="556" t="e">
        <f t="shared" si="1440"/>
        <v>#DIV/0!</v>
      </c>
      <c r="CP275" s="29" t="s">
        <v>120</v>
      </c>
      <c r="CQ275" s="535">
        <f t="shared" si="1132"/>
        <v>1</v>
      </c>
      <c r="CR275" s="29" t="s">
        <v>120</v>
      </c>
      <c r="CS275" s="29"/>
      <c r="CT275" s="29"/>
      <c r="CU275" s="29"/>
      <c r="CV275" s="29"/>
    </row>
    <row r="276" customHeight="1" spans="1:100">
      <c r="A276" s="29" t="s">
        <v>522</v>
      </c>
      <c r="B276" s="541"/>
      <c r="F276" s="308"/>
      <c r="G276" s="308"/>
      <c r="H276" s="29" t="b">
        <v>0</v>
      </c>
      <c r="I276" s="29" t="b">
        <v>0</v>
      </c>
      <c r="J276" s="29" t="b">
        <v>0</v>
      </c>
      <c r="K276" s="29" t="b">
        <v>0</v>
      </c>
      <c r="L276" s="29" t="b">
        <v>0</v>
      </c>
      <c r="M276" s="29" t="b">
        <v>0</v>
      </c>
      <c r="P276" s="29" t="b">
        <v>0</v>
      </c>
      <c r="Q276" s="29" t="b">
        <v>0</v>
      </c>
      <c r="R276" s="29" t="b">
        <v>0</v>
      </c>
      <c r="S276" s="29" t="b">
        <v>0</v>
      </c>
      <c r="T276" s="29" t="b">
        <f t="shared" si="1106"/>
        <v>0</v>
      </c>
      <c r="U276" s="29" t="s">
        <v>999</v>
      </c>
      <c r="V276" s="29" t="s">
        <v>157</v>
      </c>
      <c r="W276" s="29">
        <v>1</v>
      </c>
      <c r="X276" s="29" t="s">
        <v>1083</v>
      </c>
      <c r="Y276" s="16" t="s">
        <v>1041</v>
      </c>
      <c r="Z276" s="29" t="s">
        <v>1064</v>
      </c>
      <c r="AA276" s="554">
        <f t="shared" ref="AA276:AC276" si="1441">AVERAGE(AJ276,AM276,AP276,AV276,AY276,AS276,BZ276,BB276,BE276,BH276,BK276,BN276,BQ276,BT276)</f>
        <v>2</v>
      </c>
      <c r="AB276" s="555" t="e">
        <f t="shared" si="1441"/>
        <v>#DIV/0!</v>
      </c>
      <c r="AC276" s="556" t="e">
        <f t="shared" si="1441"/>
        <v>#DIV/0!</v>
      </c>
      <c r="AD276" s="29" t="b">
        <v>0</v>
      </c>
      <c r="AE276" s="29" t="b">
        <v>1</v>
      </c>
      <c r="AF276" s="29" t="b">
        <v>0</v>
      </c>
      <c r="AG276" s="574">
        <v>2</v>
      </c>
      <c r="AH276" s="569" t="s">
        <v>13</v>
      </c>
      <c r="AI276" s="570" t="s">
        <v>13</v>
      </c>
      <c r="AJ276" s="567"/>
      <c r="AK276" s="567"/>
      <c r="AL276" s="568"/>
      <c r="AM276" s="569">
        <v>2</v>
      </c>
      <c r="AN276" s="569" t="s">
        <v>13</v>
      </c>
      <c r="AO276" s="570" t="s">
        <v>13</v>
      </c>
      <c r="AP276" s="567"/>
      <c r="AQ276" s="567"/>
      <c r="AR276" s="568"/>
      <c r="AS276" s="567"/>
      <c r="AT276" s="567"/>
      <c r="AU276" s="568"/>
      <c r="AV276" s="567"/>
      <c r="AW276" s="567"/>
      <c r="AX276" s="568"/>
      <c r="AY276" s="567"/>
      <c r="AZ276" s="567"/>
      <c r="BA276" s="568"/>
      <c r="BB276" s="567"/>
      <c r="BC276" s="567"/>
      <c r="BD276" s="568"/>
      <c r="BE276" s="567"/>
      <c r="BF276" s="567"/>
      <c r="BG276" s="568"/>
      <c r="BH276" s="567"/>
      <c r="BI276" s="567"/>
      <c r="BJ276" s="568"/>
      <c r="BK276" s="567"/>
      <c r="BL276" s="567"/>
      <c r="BM276" s="568"/>
      <c r="BN276" s="567"/>
      <c r="BO276" s="567"/>
      <c r="BP276" s="568"/>
      <c r="BQ276" s="567"/>
      <c r="BR276" s="567"/>
      <c r="BS276" s="568"/>
      <c r="BT276" s="567"/>
      <c r="BU276" s="567"/>
      <c r="BV276" s="568"/>
      <c r="BW276" s="567"/>
      <c r="BX276" s="567"/>
      <c r="BY276" s="568"/>
      <c r="BZ276" s="567"/>
      <c r="CA276" s="567"/>
      <c r="CB276" s="567"/>
      <c r="CC276" s="583"/>
      <c r="CD276" s="555">
        <f t="shared" ref="CD276:CF276" si="1442">MEDIAN(AM276,AP276,AS276,AY276,BB276,AV276,AA276,BE276,BK276,BZ276,BH276,BN276,BQ276,BT276,BW276)</f>
        <v>2</v>
      </c>
      <c r="CE276" s="555" t="e">
        <f t="shared" si="1442"/>
        <v>#DIV/0!</v>
      </c>
      <c r="CF276" s="556" t="e">
        <f t="shared" si="1442"/>
        <v>#DIV/0!</v>
      </c>
      <c r="CG276" s="555">
        <f t="shared" ref="CG276:CI276" si="1443">MAX(AP276,AS276,AV276,BB276,BE276,AY276,CD276,BK276,BZ276,AA276)-MIN(AP276,AS276,AV276,BB276,BE276,AY276,CD276,BK276,BZ276,AA276)</f>
        <v>0</v>
      </c>
      <c r="CH276" s="555" t="e">
        <f t="shared" si="1443"/>
        <v>#DIV/0!</v>
      </c>
      <c r="CI276" s="556" t="e">
        <f t="shared" si="1443"/>
        <v>#DIV/0!</v>
      </c>
      <c r="CJ276" s="555">
        <f t="shared" ref="CJ276:CL276" si="1444">STDEV(AS276,AV276,AY276,BE276,BK276,BB276,CG276,BZ276,AA276,CD276)</f>
        <v>1.15470053837925</v>
      </c>
      <c r="CK276" s="555" t="e">
        <f t="shared" si="1444"/>
        <v>#DIV/0!</v>
      </c>
      <c r="CL276" s="556" t="e">
        <f t="shared" si="1444"/>
        <v>#DIV/0!</v>
      </c>
      <c r="CM276" s="555">
        <f t="shared" ref="CM276:CO276" si="1445">CJ276/AA276</f>
        <v>0.577350269189626</v>
      </c>
      <c r="CN276" s="555" t="e">
        <f t="shared" si="1445"/>
        <v>#DIV/0!</v>
      </c>
      <c r="CO276" s="556" t="e">
        <f t="shared" si="1445"/>
        <v>#DIV/0!</v>
      </c>
      <c r="CP276" s="29" t="s">
        <v>120</v>
      </c>
      <c r="CQ276" s="535">
        <f t="shared" si="1132"/>
        <v>1</v>
      </c>
      <c r="CR276" s="29" t="s">
        <v>120</v>
      </c>
      <c r="CS276" s="29"/>
      <c r="CT276" s="29"/>
      <c r="CU276" s="29"/>
      <c r="CV276" s="29"/>
    </row>
    <row r="277" customHeight="1" spans="1:100">
      <c r="A277" s="29" t="s">
        <v>523</v>
      </c>
      <c r="B277" s="541"/>
      <c r="F277" s="308"/>
      <c r="G277" s="308"/>
      <c r="H277" s="29" t="b">
        <v>0</v>
      </c>
      <c r="I277" s="29" t="b">
        <v>0</v>
      </c>
      <c r="J277" s="29" t="b">
        <v>1</v>
      </c>
      <c r="K277" s="29" t="b">
        <v>0</v>
      </c>
      <c r="L277" s="29" t="b">
        <v>0</v>
      </c>
      <c r="M277" s="29" t="b">
        <v>0</v>
      </c>
      <c r="P277" s="29" t="b">
        <v>0</v>
      </c>
      <c r="Q277" s="29" t="b">
        <v>0</v>
      </c>
      <c r="R277" s="29" t="b">
        <v>0</v>
      </c>
      <c r="S277" s="29" t="b">
        <v>0</v>
      </c>
      <c r="T277" s="29" t="b">
        <f t="shared" si="1106"/>
        <v>0</v>
      </c>
      <c r="W277" s="29">
        <v>2</v>
      </c>
      <c r="X277" s="308"/>
      <c r="Y277" s="16" t="s">
        <v>1041</v>
      </c>
      <c r="Z277" s="308"/>
      <c r="AA277" s="554" t="e">
        <f t="shared" ref="AA277:AC277" si="1446">AVERAGE(AJ277,AM277,AP277,AV277,AY277,AS277,BZ277,BB277,BE277,BH277,BK277,BN277,BQ277,BT277)</f>
        <v>#DIV/0!</v>
      </c>
      <c r="AB277" s="555" t="e">
        <f t="shared" si="1446"/>
        <v>#DIV/0!</v>
      </c>
      <c r="AC277" s="556" t="e">
        <f t="shared" si="1446"/>
        <v>#DIV/0!</v>
      </c>
      <c r="AD277" s="29" t="b">
        <v>0</v>
      </c>
      <c r="AE277" s="29" t="b">
        <v>1</v>
      </c>
      <c r="AF277" s="29" t="b">
        <v>0</v>
      </c>
      <c r="AG277" s="566"/>
      <c r="AH277" s="567"/>
      <c r="AI277" s="568"/>
      <c r="AJ277" s="567"/>
      <c r="AK277" s="567"/>
      <c r="AL277" s="568"/>
      <c r="AM277" s="567"/>
      <c r="AN277" s="567"/>
      <c r="AO277" s="568"/>
      <c r="AP277" s="567"/>
      <c r="AQ277" s="567"/>
      <c r="AR277" s="568"/>
      <c r="AS277" s="567"/>
      <c r="AT277" s="567"/>
      <c r="AU277" s="568"/>
      <c r="AV277" s="567"/>
      <c r="AW277" s="567"/>
      <c r="AX277" s="568"/>
      <c r="AY277" s="567"/>
      <c r="AZ277" s="567"/>
      <c r="BA277" s="568"/>
      <c r="BB277" s="567"/>
      <c r="BC277" s="567"/>
      <c r="BD277" s="568"/>
      <c r="BE277" s="567"/>
      <c r="BF277" s="567"/>
      <c r="BG277" s="568"/>
      <c r="BH277" s="567"/>
      <c r="BI277" s="567"/>
      <c r="BJ277" s="568"/>
      <c r="BK277" s="567"/>
      <c r="BL277" s="567"/>
      <c r="BM277" s="568"/>
      <c r="BN277" s="567"/>
      <c r="BO277" s="567"/>
      <c r="BP277" s="568"/>
      <c r="BQ277" s="567"/>
      <c r="BR277" s="567"/>
      <c r="BS277" s="568"/>
      <c r="BT277" s="567"/>
      <c r="BU277" s="567"/>
      <c r="BV277" s="568"/>
      <c r="BW277" s="567"/>
      <c r="BX277" s="567"/>
      <c r="BY277" s="568"/>
      <c r="BZ277" s="567"/>
      <c r="CA277" s="567"/>
      <c r="CB277" s="567"/>
      <c r="CC277" s="583"/>
      <c r="CD277" s="555" t="e">
        <f t="shared" ref="CD277:CF277" si="1447">MEDIAN(AM277,AP277,AS277,AY277,BB277,AV277,AA277,BE277,BK277,BZ277,BH277,BN277,BQ277,BT277,BW277)</f>
        <v>#DIV/0!</v>
      </c>
      <c r="CE277" s="555" t="e">
        <f t="shared" si="1447"/>
        <v>#DIV/0!</v>
      </c>
      <c r="CF277" s="556" t="e">
        <f t="shared" si="1447"/>
        <v>#DIV/0!</v>
      </c>
      <c r="CG277" s="555" t="e">
        <f t="shared" ref="CG277:CI277" si="1448">MAX(AP277,AS277,AV277,BB277,BE277,AY277,CD277,BK277,BZ277,AA277)-MIN(AP277,AS277,AV277,BB277,BE277,AY277,CD277,BK277,BZ277,AA277)</f>
        <v>#DIV/0!</v>
      </c>
      <c r="CH277" s="555" t="e">
        <f t="shared" si="1448"/>
        <v>#DIV/0!</v>
      </c>
      <c r="CI277" s="556" t="e">
        <f t="shared" si="1448"/>
        <v>#DIV/0!</v>
      </c>
      <c r="CJ277" s="555" t="e">
        <f t="shared" ref="CJ277:CL277" si="1449">STDEV(AS277,AV277,AY277,BE277,BK277,BB277,CG277,BZ277,AA277,CD277)</f>
        <v>#DIV/0!</v>
      </c>
      <c r="CK277" s="555" t="e">
        <f t="shared" si="1449"/>
        <v>#DIV/0!</v>
      </c>
      <c r="CL277" s="556" t="e">
        <f t="shared" si="1449"/>
        <v>#DIV/0!</v>
      </c>
      <c r="CM277" s="555" t="e">
        <f t="shared" ref="CM277:CO277" si="1450">CJ277/AA277</f>
        <v>#DIV/0!</v>
      </c>
      <c r="CN277" s="555" t="e">
        <f t="shared" si="1450"/>
        <v>#DIV/0!</v>
      </c>
      <c r="CO277" s="556" t="e">
        <f t="shared" si="1450"/>
        <v>#DIV/0!</v>
      </c>
      <c r="CP277" s="29" t="s">
        <v>120</v>
      </c>
      <c r="CQ277" s="535">
        <f t="shared" si="1132"/>
        <v>2</v>
      </c>
      <c r="CR277" s="29" t="s">
        <v>120</v>
      </c>
      <c r="CS277" s="29"/>
      <c r="CT277" s="29"/>
      <c r="CU277" s="29"/>
      <c r="CV277" s="29"/>
    </row>
    <row r="278" customHeight="1" spans="1:100">
      <c r="A278" s="29" t="s">
        <v>524</v>
      </c>
      <c r="B278" s="541"/>
      <c r="F278" s="308"/>
      <c r="G278" s="308"/>
      <c r="H278" s="29" t="b">
        <v>0</v>
      </c>
      <c r="I278" s="29" t="b">
        <v>0</v>
      </c>
      <c r="J278" s="29" t="b">
        <v>1</v>
      </c>
      <c r="K278" s="29" t="b">
        <v>0</v>
      </c>
      <c r="L278" s="29" t="b">
        <v>0</v>
      </c>
      <c r="M278" s="29" t="b">
        <v>0</v>
      </c>
      <c r="P278" s="29" t="b">
        <v>0</v>
      </c>
      <c r="Q278" s="29" t="b">
        <v>0</v>
      </c>
      <c r="R278" s="29" t="b">
        <v>0</v>
      </c>
      <c r="S278" s="29" t="b">
        <v>0</v>
      </c>
      <c r="T278" s="29" t="b">
        <f t="shared" si="1106"/>
        <v>0</v>
      </c>
      <c r="W278" s="29">
        <v>2</v>
      </c>
      <c r="X278" s="308"/>
      <c r="Y278" s="16" t="s">
        <v>1041</v>
      </c>
      <c r="Z278" s="308"/>
      <c r="AA278" s="554" t="e">
        <f t="shared" ref="AA278:AC278" si="1451">AVERAGE(AJ278,AM278,AP278,AV278,AY278,AS278,BZ278,BB278,BE278,BH278,BK278,BN278,BQ278,BT278)</f>
        <v>#DIV/0!</v>
      </c>
      <c r="AB278" s="555" t="e">
        <f t="shared" si="1451"/>
        <v>#DIV/0!</v>
      </c>
      <c r="AC278" s="556" t="e">
        <f t="shared" si="1451"/>
        <v>#DIV/0!</v>
      </c>
      <c r="AD278" s="29" t="b">
        <v>0</v>
      </c>
      <c r="AE278" s="29" t="b">
        <v>1</v>
      </c>
      <c r="AF278" s="29" t="b">
        <v>0</v>
      </c>
      <c r="AG278" s="566"/>
      <c r="AH278" s="567"/>
      <c r="AI278" s="568"/>
      <c r="AJ278" s="567"/>
      <c r="AK278" s="567"/>
      <c r="AL278" s="568"/>
      <c r="AM278" s="567"/>
      <c r="AN278" s="567"/>
      <c r="AO278" s="568"/>
      <c r="AP278" s="567"/>
      <c r="AQ278" s="567"/>
      <c r="AR278" s="568"/>
      <c r="AS278" s="567"/>
      <c r="AT278" s="567"/>
      <c r="AU278" s="568"/>
      <c r="AV278" s="567"/>
      <c r="AW278" s="567"/>
      <c r="AX278" s="568"/>
      <c r="AY278" s="567"/>
      <c r="AZ278" s="567"/>
      <c r="BA278" s="568"/>
      <c r="BB278" s="567"/>
      <c r="BC278" s="567"/>
      <c r="BD278" s="568"/>
      <c r="BE278" s="567"/>
      <c r="BF278" s="567"/>
      <c r="BG278" s="568"/>
      <c r="BH278" s="567"/>
      <c r="BI278" s="567"/>
      <c r="BJ278" s="568"/>
      <c r="BK278" s="567"/>
      <c r="BL278" s="567"/>
      <c r="BM278" s="568"/>
      <c r="BN278" s="567"/>
      <c r="BO278" s="567"/>
      <c r="BP278" s="568"/>
      <c r="BQ278" s="567"/>
      <c r="BR278" s="567"/>
      <c r="BS278" s="568"/>
      <c r="BT278" s="567"/>
      <c r="BU278" s="567"/>
      <c r="BV278" s="568"/>
      <c r="BW278" s="567"/>
      <c r="BX278" s="567"/>
      <c r="BY278" s="568"/>
      <c r="BZ278" s="567"/>
      <c r="CA278" s="567"/>
      <c r="CB278" s="567"/>
      <c r="CC278" s="583"/>
      <c r="CD278" s="555" t="e">
        <f t="shared" ref="CD278:CF278" si="1452">MEDIAN(AM278,AP278,AS278,AY278,BB278,AV278,AA278,BE278,BK278,BZ278,BH278,BN278,BQ278,BT278,BW278)</f>
        <v>#DIV/0!</v>
      </c>
      <c r="CE278" s="555" t="e">
        <f t="shared" si="1452"/>
        <v>#DIV/0!</v>
      </c>
      <c r="CF278" s="556" t="e">
        <f t="shared" si="1452"/>
        <v>#DIV/0!</v>
      </c>
      <c r="CG278" s="555" t="e">
        <f t="shared" ref="CG278:CI278" si="1453">MAX(AP278,AS278,AV278,BB278,BE278,AY278,CD278,BK278,BZ278,AA278)-MIN(AP278,AS278,AV278,BB278,BE278,AY278,CD278,BK278,BZ278,AA278)</f>
        <v>#DIV/0!</v>
      </c>
      <c r="CH278" s="555" t="e">
        <f t="shared" si="1453"/>
        <v>#DIV/0!</v>
      </c>
      <c r="CI278" s="556" t="e">
        <f t="shared" si="1453"/>
        <v>#DIV/0!</v>
      </c>
      <c r="CJ278" s="555" t="e">
        <f t="shared" ref="CJ278:CL278" si="1454">STDEV(AS278,AV278,AY278,BE278,BK278,BB278,CG278,BZ278,AA278,CD278)</f>
        <v>#DIV/0!</v>
      </c>
      <c r="CK278" s="555" t="e">
        <f t="shared" si="1454"/>
        <v>#DIV/0!</v>
      </c>
      <c r="CL278" s="556" t="e">
        <f t="shared" si="1454"/>
        <v>#DIV/0!</v>
      </c>
      <c r="CM278" s="555" t="e">
        <f t="shared" ref="CM278:CO278" si="1455">CJ278/AA278</f>
        <v>#DIV/0!</v>
      </c>
      <c r="CN278" s="555" t="e">
        <f t="shared" si="1455"/>
        <v>#DIV/0!</v>
      </c>
      <c r="CO278" s="556" t="e">
        <f t="shared" si="1455"/>
        <v>#DIV/0!</v>
      </c>
      <c r="CP278" s="29" t="s">
        <v>120</v>
      </c>
      <c r="CQ278" s="535">
        <f t="shared" si="1132"/>
        <v>2</v>
      </c>
      <c r="CR278" s="29" t="s">
        <v>120</v>
      </c>
      <c r="CS278" s="29"/>
      <c r="CT278" s="29"/>
      <c r="CU278" s="29"/>
      <c r="CV278" s="29"/>
    </row>
    <row r="279" customHeight="1" spans="1:100">
      <c r="A279" s="308" t="s">
        <v>525</v>
      </c>
      <c r="B279" s="541"/>
      <c r="F279" s="308"/>
      <c r="G279" s="308"/>
      <c r="H279" s="29" t="b">
        <v>0</v>
      </c>
      <c r="I279" s="29" t="b">
        <v>0</v>
      </c>
      <c r="J279" s="29" t="b">
        <v>0</v>
      </c>
      <c r="K279" s="29" t="b">
        <v>0</v>
      </c>
      <c r="L279" s="29" t="b">
        <v>0</v>
      </c>
      <c r="M279" s="29" t="b">
        <v>0</v>
      </c>
      <c r="P279" s="29" t="b">
        <v>0</v>
      </c>
      <c r="Q279" s="29" t="b">
        <v>0</v>
      </c>
      <c r="R279" s="29" t="b">
        <v>0</v>
      </c>
      <c r="S279" s="29" t="b">
        <v>0</v>
      </c>
      <c r="T279" s="29" t="b">
        <f t="shared" si="1106"/>
        <v>0</v>
      </c>
      <c r="U279" s="29" t="s">
        <v>1002</v>
      </c>
      <c r="W279" s="29">
        <v>2</v>
      </c>
      <c r="X279" s="308"/>
      <c r="Y279" s="16" t="s">
        <v>1041</v>
      </c>
      <c r="Z279" s="308"/>
      <c r="AA279" s="554" t="e">
        <f t="shared" ref="AA279:AC279" si="1456">AVERAGE(AJ279,AM279,AP279,AV279,AY279,AS279,BZ279,BB279,BE279,BH279,BK279,BN279,BQ279,BT279)</f>
        <v>#DIV/0!</v>
      </c>
      <c r="AB279" s="555" t="e">
        <f t="shared" si="1456"/>
        <v>#DIV/0!</v>
      </c>
      <c r="AC279" s="556" t="e">
        <f t="shared" si="1456"/>
        <v>#DIV/0!</v>
      </c>
      <c r="AD279" s="29" t="b">
        <v>0</v>
      </c>
      <c r="AE279" s="29" t="b">
        <v>1</v>
      </c>
      <c r="AF279" s="29" t="b">
        <v>0</v>
      </c>
      <c r="AG279" s="566"/>
      <c r="AH279" s="567"/>
      <c r="AI279" s="568"/>
      <c r="AJ279" s="567"/>
      <c r="AK279" s="567"/>
      <c r="AL279" s="568"/>
      <c r="AM279" s="567"/>
      <c r="AN279" s="567"/>
      <c r="AO279" s="568"/>
      <c r="AP279" s="567"/>
      <c r="AQ279" s="567"/>
      <c r="AR279" s="568"/>
      <c r="AS279" s="567"/>
      <c r="AT279" s="567"/>
      <c r="AU279" s="568"/>
      <c r="AV279" s="567"/>
      <c r="AW279" s="567"/>
      <c r="AX279" s="568"/>
      <c r="AY279" s="567"/>
      <c r="AZ279" s="567"/>
      <c r="BA279" s="568"/>
      <c r="BB279" s="567"/>
      <c r="BC279" s="567"/>
      <c r="BD279" s="568"/>
      <c r="BE279" s="567"/>
      <c r="BF279" s="567"/>
      <c r="BG279" s="568"/>
      <c r="BH279" s="567"/>
      <c r="BI279" s="567"/>
      <c r="BJ279" s="568"/>
      <c r="BK279" s="567"/>
      <c r="BL279" s="567"/>
      <c r="BM279" s="568"/>
      <c r="BN279" s="567"/>
      <c r="BO279" s="567"/>
      <c r="BP279" s="568"/>
      <c r="BQ279" s="567"/>
      <c r="BR279" s="567"/>
      <c r="BS279" s="568"/>
      <c r="BT279" s="567"/>
      <c r="BU279" s="567"/>
      <c r="BV279" s="568"/>
      <c r="BW279" s="567"/>
      <c r="BX279" s="567"/>
      <c r="BY279" s="568"/>
      <c r="BZ279" s="567"/>
      <c r="CA279" s="567"/>
      <c r="CB279" s="567"/>
      <c r="CC279" s="583"/>
      <c r="CD279" s="555" t="e">
        <f t="shared" ref="CD279:CF279" si="1457">MEDIAN(AM279,AP279,AS279,AY279,BB279,AV279,AA279,BE279,BK279,BZ279,BH279,BN279,BQ279,BT279,BW279)</f>
        <v>#DIV/0!</v>
      </c>
      <c r="CE279" s="555" t="e">
        <f t="shared" si="1457"/>
        <v>#DIV/0!</v>
      </c>
      <c r="CF279" s="556" t="e">
        <f t="shared" si="1457"/>
        <v>#DIV/0!</v>
      </c>
      <c r="CG279" s="555" t="e">
        <f t="shared" ref="CG279:CI279" si="1458">MAX(AP279,AS279,AV279,BB279,BE279,AY279,CD279,BK279,BZ279,AA279)-MIN(AP279,AS279,AV279,BB279,BE279,AY279,CD279,BK279,BZ279,AA279)</f>
        <v>#DIV/0!</v>
      </c>
      <c r="CH279" s="555" t="e">
        <f t="shared" si="1458"/>
        <v>#DIV/0!</v>
      </c>
      <c r="CI279" s="556" t="e">
        <f t="shared" si="1458"/>
        <v>#DIV/0!</v>
      </c>
      <c r="CJ279" s="555" t="e">
        <f t="shared" ref="CJ279:CL279" si="1459">STDEV(AS279,AV279,AY279,BE279,BK279,BB279,CG279,BZ279,AA279,CD279)</f>
        <v>#DIV/0!</v>
      </c>
      <c r="CK279" s="555" t="e">
        <f t="shared" si="1459"/>
        <v>#DIV/0!</v>
      </c>
      <c r="CL279" s="556" t="e">
        <f t="shared" si="1459"/>
        <v>#DIV/0!</v>
      </c>
      <c r="CM279" s="555" t="e">
        <f t="shared" ref="CM279:CO279" si="1460">CJ279/AA279</f>
        <v>#DIV/0!</v>
      </c>
      <c r="CN279" s="555" t="e">
        <f t="shared" si="1460"/>
        <v>#DIV/0!</v>
      </c>
      <c r="CO279" s="556" t="e">
        <f t="shared" si="1460"/>
        <v>#DIV/0!</v>
      </c>
      <c r="CP279" s="29" t="s">
        <v>120</v>
      </c>
      <c r="CQ279" s="535">
        <f t="shared" si="1132"/>
        <v>2</v>
      </c>
      <c r="CR279" s="29" t="s">
        <v>120</v>
      </c>
      <c r="CS279" s="29"/>
      <c r="CT279" s="29"/>
      <c r="CU279" s="29"/>
      <c r="CV279" s="29"/>
    </row>
    <row r="280" customHeight="1" spans="1:100">
      <c r="A280" s="308" t="s">
        <v>526</v>
      </c>
      <c r="B280" s="541"/>
      <c r="F280" s="308"/>
      <c r="G280" s="308"/>
      <c r="H280" s="29" t="b">
        <v>0</v>
      </c>
      <c r="I280" s="29" t="b">
        <v>0</v>
      </c>
      <c r="J280" s="29" t="b">
        <v>0</v>
      </c>
      <c r="K280" s="29" t="b">
        <v>0</v>
      </c>
      <c r="L280" s="29" t="b">
        <v>0</v>
      </c>
      <c r="M280" s="29" t="b">
        <v>0</v>
      </c>
      <c r="P280" s="29" t="b">
        <v>0</v>
      </c>
      <c r="Q280" s="29" t="b">
        <v>0</v>
      </c>
      <c r="R280" s="29" t="b">
        <v>0</v>
      </c>
      <c r="S280" s="29" t="b">
        <v>0</v>
      </c>
      <c r="T280" s="29" t="b">
        <f t="shared" si="1106"/>
        <v>0</v>
      </c>
      <c r="U280" s="29" t="s">
        <v>1002</v>
      </c>
      <c r="W280" s="29">
        <v>2</v>
      </c>
      <c r="X280" s="308"/>
      <c r="Y280" s="16" t="s">
        <v>1041</v>
      </c>
      <c r="Z280" s="308"/>
      <c r="AA280" s="554" t="e">
        <f t="shared" ref="AA280:AC280" si="1461">AVERAGE(AJ280,AM280,AP280,AV280,AY280,AS280,BZ280,BB280,BE280,BH280,BK280,BN280,BQ280,BT280)</f>
        <v>#DIV/0!</v>
      </c>
      <c r="AB280" s="555" t="e">
        <f t="shared" si="1461"/>
        <v>#DIV/0!</v>
      </c>
      <c r="AC280" s="556" t="e">
        <f t="shared" si="1461"/>
        <v>#DIV/0!</v>
      </c>
      <c r="AD280" s="29" t="b">
        <v>0</v>
      </c>
      <c r="AE280" s="29" t="b">
        <v>1</v>
      </c>
      <c r="AF280" s="29" t="b">
        <v>0</v>
      </c>
      <c r="AG280" s="566"/>
      <c r="AH280" s="567"/>
      <c r="AI280" s="568"/>
      <c r="AJ280" s="567"/>
      <c r="AK280" s="567"/>
      <c r="AL280" s="568"/>
      <c r="AM280" s="567"/>
      <c r="AN280" s="567"/>
      <c r="AO280" s="568"/>
      <c r="AP280" s="567"/>
      <c r="AQ280" s="567"/>
      <c r="AR280" s="568"/>
      <c r="AS280" s="567"/>
      <c r="AT280" s="567"/>
      <c r="AU280" s="568"/>
      <c r="AV280" s="567"/>
      <c r="AW280" s="567"/>
      <c r="AX280" s="568"/>
      <c r="AY280" s="567"/>
      <c r="AZ280" s="567"/>
      <c r="BA280" s="568"/>
      <c r="BB280" s="567"/>
      <c r="BC280" s="567"/>
      <c r="BD280" s="568"/>
      <c r="BE280" s="567"/>
      <c r="BF280" s="567"/>
      <c r="BG280" s="568"/>
      <c r="BH280" s="567"/>
      <c r="BI280" s="567"/>
      <c r="BJ280" s="568"/>
      <c r="BK280" s="567"/>
      <c r="BL280" s="567"/>
      <c r="BM280" s="568"/>
      <c r="BN280" s="567"/>
      <c r="BO280" s="567"/>
      <c r="BP280" s="568"/>
      <c r="BQ280" s="567"/>
      <c r="BR280" s="567"/>
      <c r="BS280" s="568"/>
      <c r="BT280" s="567"/>
      <c r="BU280" s="567"/>
      <c r="BV280" s="568"/>
      <c r="BW280" s="567"/>
      <c r="BX280" s="567"/>
      <c r="BY280" s="568"/>
      <c r="BZ280" s="567"/>
      <c r="CA280" s="567"/>
      <c r="CB280" s="567"/>
      <c r="CC280" s="583"/>
      <c r="CD280" s="555" t="e">
        <f t="shared" ref="CD280:CF280" si="1462">MEDIAN(AM280,AP280,AS280,AY280,BB280,AV280,AA280,BE280,BK280,BZ280,BH280,BN280,BQ280,BT280,BW280)</f>
        <v>#DIV/0!</v>
      </c>
      <c r="CE280" s="555" t="e">
        <f t="shared" si="1462"/>
        <v>#DIV/0!</v>
      </c>
      <c r="CF280" s="556" t="e">
        <f t="shared" si="1462"/>
        <v>#DIV/0!</v>
      </c>
      <c r="CG280" s="555" t="e">
        <f t="shared" ref="CG280:CI280" si="1463">MAX(AP280,AS280,AV280,BB280,BE280,AY280,CD280,BK280,BZ280,AA280)-MIN(AP280,AS280,AV280,BB280,BE280,AY280,CD280,BK280,BZ280,AA280)</f>
        <v>#DIV/0!</v>
      </c>
      <c r="CH280" s="555" t="e">
        <f t="shared" si="1463"/>
        <v>#DIV/0!</v>
      </c>
      <c r="CI280" s="556" t="e">
        <f t="shared" si="1463"/>
        <v>#DIV/0!</v>
      </c>
      <c r="CJ280" s="555" t="e">
        <f t="shared" ref="CJ280:CL280" si="1464">STDEV(AS280,AV280,AY280,BE280,BK280,BB280,CG280,BZ280,AA280,CD280)</f>
        <v>#DIV/0!</v>
      </c>
      <c r="CK280" s="555" t="e">
        <f t="shared" si="1464"/>
        <v>#DIV/0!</v>
      </c>
      <c r="CL280" s="556" t="e">
        <f t="shared" si="1464"/>
        <v>#DIV/0!</v>
      </c>
      <c r="CM280" s="555" t="e">
        <f t="shared" ref="CM280:CO280" si="1465">CJ280/AA280</f>
        <v>#DIV/0!</v>
      </c>
      <c r="CN280" s="555" t="e">
        <f t="shared" si="1465"/>
        <v>#DIV/0!</v>
      </c>
      <c r="CO280" s="556" t="e">
        <f t="shared" si="1465"/>
        <v>#DIV/0!</v>
      </c>
      <c r="CP280" s="29" t="s">
        <v>120</v>
      </c>
      <c r="CQ280" s="535">
        <f t="shared" si="1132"/>
        <v>2</v>
      </c>
      <c r="CR280" s="29" t="s">
        <v>120</v>
      </c>
      <c r="CS280" s="29"/>
      <c r="CT280" s="29"/>
      <c r="CU280" s="29"/>
      <c r="CV280" s="29"/>
    </row>
    <row r="281" customHeight="1" spans="1:100">
      <c r="A281" s="308" t="s">
        <v>527</v>
      </c>
      <c r="B281" s="541"/>
      <c r="F281" s="308"/>
      <c r="G281" s="308"/>
      <c r="H281" s="29" t="b">
        <v>0</v>
      </c>
      <c r="I281" s="29" t="b">
        <v>0</v>
      </c>
      <c r="J281" s="29" t="b">
        <v>0</v>
      </c>
      <c r="K281" s="29" t="b">
        <v>0</v>
      </c>
      <c r="L281" s="29" t="b">
        <v>0</v>
      </c>
      <c r="M281" s="29" t="b">
        <v>0</v>
      </c>
      <c r="P281" s="29" t="b">
        <v>0</v>
      </c>
      <c r="Q281" s="29" t="b">
        <v>0</v>
      </c>
      <c r="R281" s="29" t="b">
        <v>0</v>
      </c>
      <c r="S281" s="29" t="b">
        <v>0</v>
      </c>
      <c r="T281" s="29" t="b">
        <f t="shared" si="1106"/>
        <v>0</v>
      </c>
      <c r="U281" s="29" t="s">
        <v>1002</v>
      </c>
      <c r="W281" s="29">
        <v>2</v>
      </c>
      <c r="X281" s="308"/>
      <c r="Y281" s="16" t="s">
        <v>1041</v>
      </c>
      <c r="Z281" s="308"/>
      <c r="AA281" s="554" t="e">
        <f t="shared" ref="AA281:AC281" si="1466">AVERAGE(AJ281,AM281,AP281,AV281,AY281,AS281,BZ281,BB281,BE281,BH281,BK281,BN281,BQ281,BT281)</f>
        <v>#DIV/0!</v>
      </c>
      <c r="AB281" s="555" t="e">
        <f t="shared" si="1466"/>
        <v>#DIV/0!</v>
      </c>
      <c r="AC281" s="556" t="e">
        <f t="shared" si="1466"/>
        <v>#DIV/0!</v>
      </c>
      <c r="AD281" s="29" t="b">
        <v>0</v>
      </c>
      <c r="AE281" s="29" t="b">
        <v>1</v>
      </c>
      <c r="AF281" s="29" t="b">
        <v>0</v>
      </c>
      <c r="AG281" s="566"/>
      <c r="AH281" s="567"/>
      <c r="AI281" s="568"/>
      <c r="AJ281" s="567"/>
      <c r="AK281" s="567"/>
      <c r="AL281" s="568"/>
      <c r="AM281" s="567"/>
      <c r="AN281" s="567"/>
      <c r="AO281" s="568"/>
      <c r="AP281" s="567"/>
      <c r="AQ281" s="567"/>
      <c r="AR281" s="568"/>
      <c r="AS281" s="567"/>
      <c r="AT281" s="567"/>
      <c r="AU281" s="568"/>
      <c r="AV281" s="567"/>
      <c r="AW281" s="567"/>
      <c r="AX281" s="568"/>
      <c r="AY281" s="567"/>
      <c r="AZ281" s="567"/>
      <c r="BA281" s="568"/>
      <c r="BB281" s="567"/>
      <c r="BC281" s="567"/>
      <c r="BD281" s="568"/>
      <c r="BE281" s="567"/>
      <c r="BF281" s="567"/>
      <c r="BG281" s="568"/>
      <c r="BH281" s="567"/>
      <c r="BI281" s="567"/>
      <c r="BJ281" s="568"/>
      <c r="BK281" s="567"/>
      <c r="BL281" s="567"/>
      <c r="BM281" s="568"/>
      <c r="BN281" s="567"/>
      <c r="BO281" s="567"/>
      <c r="BP281" s="568"/>
      <c r="BQ281" s="567"/>
      <c r="BR281" s="567"/>
      <c r="BS281" s="568"/>
      <c r="BT281" s="567"/>
      <c r="BU281" s="567"/>
      <c r="BV281" s="568"/>
      <c r="BW281" s="567"/>
      <c r="BX281" s="567"/>
      <c r="BY281" s="568"/>
      <c r="BZ281" s="567"/>
      <c r="CA281" s="567"/>
      <c r="CB281" s="567"/>
      <c r="CC281" s="583"/>
      <c r="CD281" s="555" t="e">
        <f t="shared" ref="CD281:CF281" si="1467">MEDIAN(AM281,AP281,AS281,AY281,BB281,AV281,AA281,BE281,BK281,BZ281,BH281,BN281,BQ281,BT281,BW281)</f>
        <v>#DIV/0!</v>
      </c>
      <c r="CE281" s="555" t="e">
        <f t="shared" si="1467"/>
        <v>#DIV/0!</v>
      </c>
      <c r="CF281" s="556" t="e">
        <f t="shared" si="1467"/>
        <v>#DIV/0!</v>
      </c>
      <c r="CG281" s="555" t="e">
        <f t="shared" ref="CG281:CI281" si="1468">MAX(AP281,AS281,AV281,BB281,BE281,AY281,CD281,BK281,BZ281,AA281)-MIN(AP281,AS281,AV281,BB281,BE281,AY281,CD281,BK281,BZ281,AA281)</f>
        <v>#DIV/0!</v>
      </c>
      <c r="CH281" s="555" t="e">
        <f t="shared" si="1468"/>
        <v>#DIV/0!</v>
      </c>
      <c r="CI281" s="556" t="e">
        <f t="shared" si="1468"/>
        <v>#DIV/0!</v>
      </c>
      <c r="CJ281" s="555" t="e">
        <f t="shared" ref="CJ281:CL281" si="1469">STDEV(AS281,AV281,AY281,BE281,BK281,BB281,CG281,BZ281,AA281,CD281)</f>
        <v>#DIV/0!</v>
      </c>
      <c r="CK281" s="555" t="e">
        <f t="shared" si="1469"/>
        <v>#DIV/0!</v>
      </c>
      <c r="CL281" s="556" t="e">
        <f t="shared" si="1469"/>
        <v>#DIV/0!</v>
      </c>
      <c r="CM281" s="555" t="e">
        <f t="shared" ref="CM281:CO281" si="1470">CJ281/AA281</f>
        <v>#DIV/0!</v>
      </c>
      <c r="CN281" s="555" t="e">
        <f t="shared" si="1470"/>
        <v>#DIV/0!</v>
      </c>
      <c r="CO281" s="556" t="e">
        <f t="shared" si="1470"/>
        <v>#DIV/0!</v>
      </c>
      <c r="CP281" s="29" t="s">
        <v>120</v>
      </c>
      <c r="CQ281" s="535">
        <f t="shared" si="1132"/>
        <v>2</v>
      </c>
      <c r="CR281" s="29" t="s">
        <v>120</v>
      </c>
      <c r="CS281" s="29"/>
      <c r="CT281" s="29"/>
      <c r="CU281" s="29"/>
      <c r="CV281" s="29"/>
    </row>
    <row r="282" customHeight="1" spans="1:100">
      <c r="A282" s="308" t="s">
        <v>528</v>
      </c>
      <c r="B282" s="541"/>
      <c r="F282" s="308"/>
      <c r="G282" s="308"/>
      <c r="H282" s="29" t="b">
        <v>0</v>
      </c>
      <c r="I282" s="29" t="b">
        <v>0</v>
      </c>
      <c r="J282" s="29" t="b">
        <v>0</v>
      </c>
      <c r="K282" s="29" t="b">
        <v>0</v>
      </c>
      <c r="L282" s="29" t="b">
        <v>0</v>
      </c>
      <c r="M282" s="29" t="b">
        <v>0</v>
      </c>
      <c r="P282" s="29" t="b">
        <v>0</v>
      </c>
      <c r="Q282" s="29" t="b">
        <v>0</v>
      </c>
      <c r="R282" s="29" t="b">
        <v>0</v>
      </c>
      <c r="S282" s="29" t="b">
        <v>0</v>
      </c>
      <c r="T282" s="29" t="b">
        <f t="shared" si="1106"/>
        <v>0</v>
      </c>
      <c r="U282" s="29" t="s">
        <v>1002</v>
      </c>
      <c r="W282" s="29">
        <v>2</v>
      </c>
      <c r="X282" s="308"/>
      <c r="Y282" s="16" t="s">
        <v>1041</v>
      </c>
      <c r="Z282" s="308"/>
      <c r="AA282" s="554" t="e">
        <f t="shared" ref="AA282:AC282" si="1471">AVERAGE(AJ282,AM282,AP282,AV282,AY282,AS282,BZ282,BB282,BE282,BH282,BK282,BN282,BQ282,BT282)</f>
        <v>#DIV/0!</v>
      </c>
      <c r="AB282" s="555" t="e">
        <f t="shared" si="1471"/>
        <v>#DIV/0!</v>
      </c>
      <c r="AC282" s="556" t="e">
        <f t="shared" si="1471"/>
        <v>#DIV/0!</v>
      </c>
      <c r="AD282" s="29" t="b">
        <v>0</v>
      </c>
      <c r="AE282" s="29" t="b">
        <v>1</v>
      </c>
      <c r="AF282" s="29" t="b">
        <v>0</v>
      </c>
      <c r="AG282" s="566"/>
      <c r="AH282" s="567"/>
      <c r="AI282" s="568"/>
      <c r="AJ282" s="567"/>
      <c r="AK282" s="567"/>
      <c r="AL282" s="568"/>
      <c r="AM282" s="567"/>
      <c r="AN282" s="567"/>
      <c r="AO282" s="568"/>
      <c r="AP282" s="567"/>
      <c r="AQ282" s="567"/>
      <c r="AR282" s="568"/>
      <c r="AS282" s="567"/>
      <c r="AT282" s="567"/>
      <c r="AU282" s="568"/>
      <c r="AV282" s="567"/>
      <c r="AW282" s="567"/>
      <c r="AX282" s="568"/>
      <c r="AY282" s="567"/>
      <c r="AZ282" s="567"/>
      <c r="BA282" s="568"/>
      <c r="BB282" s="567"/>
      <c r="BC282" s="567"/>
      <c r="BD282" s="568"/>
      <c r="BE282" s="567"/>
      <c r="BF282" s="567"/>
      <c r="BG282" s="568"/>
      <c r="BH282" s="567"/>
      <c r="BI282" s="567"/>
      <c r="BJ282" s="568"/>
      <c r="BK282" s="567"/>
      <c r="BL282" s="567"/>
      <c r="BM282" s="568"/>
      <c r="BN282" s="567"/>
      <c r="BO282" s="567"/>
      <c r="BP282" s="568"/>
      <c r="BQ282" s="567"/>
      <c r="BR282" s="567"/>
      <c r="BS282" s="568"/>
      <c r="BT282" s="567"/>
      <c r="BU282" s="567"/>
      <c r="BV282" s="568"/>
      <c r="BW282" s="567"/>
      <c r="BX282" s="567"/>
      <c r="BY282" s="568"/>
      <c r="BZ282" s="567"/>
      <c r="CA282" s="567"/>
      <c r="CB282" s="567"/>
      <c r="CC282" s="583"/>
      <c r="CD282" s="555" t="e">
        <f t="shared" ref="CD282:CF282" si="1472">MEDIAN(AM282,AP282,AS282,AY282,BB282,AV282,AA282,BE282,BK282,BZ282,BH282,BN282,BQ282,BT282,BW282)</f>
        <v>#DIV/0!</v>
      </c>
      <c r="CE282" s="555" t="e">
        <f t="shared" si="1472"/>
        <v>#DIV/0!</v>
      </c>
      <c r="CF282" s="556" t="e">
        <f t="shared" si="1472"/>
        <v>#DIV/0!</v>
      </c>
      <c r="CG282" s="555" t="e">
        <f t="shared" ref="CG282:CI282" si="1473">MAX(AP282,AS282,AV282,BB282,BE282,AY282,CD282,BK282,BZ282,AA282)-MIN(AP282,AS282,AV282,BB282,BE282,AY282,CD282,BK282,BZ282,AA282)</f>
        <v>#DIV/0!</v>
      </c>
      <c r="CH282" s="555" t="e">
        <f t="shared" si="1473"/>
        <v>#DIV/0!</v>
      </c>
      <c r="CI282" s="556" t="e">
        <f t="shared" si="1473"/>
        <v>#DIV/0!</v>
      </c>
      <c r="CJ282" s="555" t="e">
        <f t="shared" ref="CJ282:CL282" si="1474">STDEV(AS282,AV282,AY282,BE282,BK282,BB282,CG282,BZ282,AA282,CD282)</f>
        <v>#DIV/0!</v>
      </c>
      <c r="CK282" s="555" t="e">
        <f t="shared" si="1474"/>
        <v>#DIV/0!</v>
      </c>
      <c r="CL282" s="556" t="e">
        <f t="shared" si="1474"/>
        <v>#DIV/0!</v>
      </c>
      <c r="CM282" s="555" t="e">
        <f t="shared" ref="CM282:CO282" si="1475">CJ282/AA282</f>
        <v>#DIV/0!</v>
      </c>
      <c r="CN282" s="555" t="e">
        <f t="shared" si="1475"/>
        <v>#DIV/0!</v>
      </c>
      <c r="CO282" s="556" t="e">
        <f t="shared" si="1475"/>
        <v>#DIV/0!</v>
      </c>
      <c r="CP282" s="29" t="s">
        <v>120</v>
      </c>
      <c r="CQ282" s="535">
        <f t="shared" si="1132"/>
        <v>2</v>
      </c>
      <c r="CR282" s="29" t="s">
        <v>120</v>
      </c>
      <c r="CS282" s="29"/>
      <c r="CT282" s="29"/>
      <c r="CU282" s="29"/>
      <c r="CV282" s="29"/>
    </row>
    <row r="283" customHeight="1" spans="1:100">
      <c r="A283" s="308" t="s">
        <v>529</v>
      </c>
      <c r="B283" s="541"/>
      <c r="F283" s="308"/>
      <c r="G283" s="308"/>
      <c r="H283" s="29" t="b">
        <v>0</v>
      </c>
      <c r="I283" s="29" t="b">
        <v>0</v>
      </c>
      <c r="J283" s="29" t="b">
        <v>0</v>
      </c>
      <c r="K283" s="29" t="b">
        <v>0</v>
      </c>
      <c r="L283" s="29" t="b">
        <v>0</v>
      </c>
      <c r="M283" s="29" t="b">
        <v>0</v>
      </c>
      <c r="P283" s="29" t="b">
        <v>0</v>
      </c>
      <c r="Q283" s="29" t="b">
        <v>0</v>
      </c>
      <c r="R283" s="29" t="b">
        <v>0</v>
      </c>
      <c r="S283" s="29" t="b">
        <v>0</v>
      </c>
      <c r="T283" s="29" t="b">
        <f t="shared" si="1106"/>
        <v>0</v>
      </c>
      <c r="U283" s="29" t="s">
        <v>1002</v>
      </c>
      <c r="W283" s="29">
        <v>2</v>
      </c>
      <c r="X283" s="308"/>
      <c r="Y283" s="16" t="s">
        <v>1041</v>
      </c>
      <c r="Z283" s="308"/>
      <c r="AA283" s="554" t="e">
        <f t="shared" ref="AA283:AC283" si="1476">AVERAGE(AJ283,AM283,AP283,AV283,AY283,AS283,BZ283,BB283,BE283,BH283,BK283,BN283,BQ283,BT283)</f>
        <v>#DIV/0!</v>
      </c>
      <c r="AB283" s="555" t="e">
        <f t="shared" si="1476"/>
        <v>#DIV/0!</v>
      </c>
      <c r="AC283" s="556" t="e">
        <f t="shared" si="1476"/>
        <v>#DIV/0!</v>
      </c>
      <c r="AD283" s="29" t="b">
        <v>0</v>
      </c>
      <c r="AE283" s="29" t="b">
        <v>1</v>
      </c>
      <c r="AF283" s="29" t="b">
        <v>0</v>
      </c>
      <c r="AG283" s="566"/>
      <c r="AH283" s="567"/>
      <c r="AI283" s="568"/>
      <c r="AJ283" s="567"/>
      <c r="AK283" s="567"/>
      <c r="AL283" s="568"/>
      <c r="AM283" s="567"/>
      <c r="AN283" s="567"/>
      <c r="AO283" s="568"/>
      <c r="AP283" s="567"/>
      <c r="AQ283" s="567"/>
      <c r="AR283" s="568"/>
      <c r="AS283" s="567"/>
      <c r="AT283" s="567"/>
      <c r="AU283" s="568"/>
      <c r="AV283" s="567"/>
      <c r="AW283" s="567"/>
      <c r="AX283" s="568"/>
      <c r="AY283" s="567"/>
      <c r="AZ283" s="567"/>
      <c r="BA283" s="568"/>
      <c r="BB283" s="567"/>
      <c r="BC283" s="567"/>
      <c r="BD283" s="568"/>
      <c r="BE283" s="567"/>
      <c r="BF283" s="567"/>
      <c r="BG283" s="568"/>
      <c r="BH283" s="567"/>
      <c r="BI283" s="567"/>
      <c r="BJ283" s="568"/>
      <c r="BK283" s="567"/>
      <c r="BL283" s="567"/>
      <c r="BM283" s="568"/>
      <c r="BN283" s="567"/>
      <c r="BO283" s="567"/>
      <c r="BP283" s="568"/>
      <c r="BQ283" s="567"/>
      <c r="BR283" s="567"/>
      <c r="BS283" s="568"/>
      <c r="BT283" s="567"/>
      <c r="BU283" s="567"/>
      <c r="BV283" s="568"/>
      <c r="BW283" s="567"/>
      <c r="BX283" s="567"/>
      <c r="BY283" s="568"/>
      <c r="BZ283" s="567"/>
      <c r="CA283" s="567"/>
      <c r="CB283" s="567"/>
      <c r="CC283" s="583"/>
      <c r="CD283" s="555" t="e">
        <f t="shared" ref="CD283:CF283" si="1477">MEDIAN(AM283,AP283,AS283,AY283,BB283,AV283,AA283,BE283,BK283,BZ283,BH283,BN283,BQ283,BT283,BW283)</f>
        <v>#DIV/0!</v>
      </c>
      <c r="CE283" s="555" t="e">
        <f t="shared" si="1477"/>
        <v>#DIV/0!</v>
      </c>
      <c r="CF283" s="556" t="e">
        <f t="shared" si="1477"/>
        <v>#DIV/0!</v>
      </c>
      <c r="CG283" s="555" t="e">
        <f t="shared" ref="CG283:CI283" si="1478">MAX(AP283,AS283,AV283,BB283,BE283,AY283,CD283,BK283,BZ283,AA283)-MIN(AP283,AS283,AV283,BB283,BE283,AY283,CD283,BK283,BZ283,AA283)</f>
        <v>#DIV/0!</v>
      </c>
      <c r="CH283" s="555" t="e">
        <f t="shared" si="1478"/>
        <v>#DIV/0!</v>
      </c>
      <c r="CI283" s="556" t="e">
        <f t="shared" si="1478"/>
        <v>#DIV/0!</v>
      </c>
      <c r="CJ283" s="555" t="e">
        <f t="shared" ref="CJ283:CL283" si="1479">STDEV(AS283,AV283,AY283,BE283,BK283,BB283,CG283,BZ283,AA283,CD283)</f>
        <v>#DIV/0!</v>
      </c>
      <c r="CK283" s="555" t="e">
        <f t="shared" si="1479"/>
        <v>#DIV/0!</v>
      </c>
      <c r="CL283" s="556" t="e">
        <f t="shared" si="1479"/>
        <v>#DIV/0!</v>
      </c>
      <c r="CM283" s="555" t="e">
        <f t="shared" ref="CM283:CO283" si="1480">CJ283/AA283</f>
        <v>#DIV/0!</v>
      </c>
      <c r="CN283" s="555" t="e">
        <f t="shared" si="1480"/>
        <v>#DIV/0!</v>
      </c>
      <c r="CO283" s="556" t="e">
        <f t="shared" si="1480"/>
        <v>#DIV/0!</v>
      </c>
      <c r="CP283" s="29" t="s">
        <v>120</v>
      </c>
      <c r="CQ283" s="535">
        <f t="shared" si="1132"/>
        <v>2</v>
      </c>
      <c r="CR283" s="29" t="s">
        <v>120</v>
      </c>
      <c r="CS283" s="29"/>
      <c r="CT283" s="29"/>
      <c r="CU283" s="29"/>
      <c r="CV283" s="29"/>
    </row>
    <row r="284" customHeight="1" spans="1:100">
      <c r="A284" s="308" t="s">
        <v>530</v>
      </c>
      <c r="B284" s="541"/>
      <c r="F284" s="308"/>
      <c r="G284" s="308"/>
      <c r="H284" s="29" t="b">
        <v>0</v>
      </c>
      <c r="I284" s="29" t="b">
        <v>0</v>
      </c>
      <c r="J284" s="29" t="b">
        <v>0</v>
      </c>
      <c r="K284" s="29" t="b">
        <v>0</v>
      </c>
      <c r="L284" s="29" t="b">
        <v>0</v>
      </c>
      <c r="M284" s="29" t="b">
        <v>0</v>
      </c>
      <c r="P284" s="29" t="b">
        <v>0</v>
      </c>
      <c r="Q284" s="29" t="b">
        <v>0</v>
      </c>
      <c r="R284" s="29" t="b">
        <v>0</v>
      </c>
      <c r="S284" s="29" t="b">
        <v>0</v>
      </c>
      <c r="T284" s="29" t="b">
        <f t="shared" si="1106"/>
        <v>0</v>
      </c>
      <c r="U284" s="29" t="s">
        <v>1002</v>
      </c>
      <c r="W284" s="29">
        <v>2</v>
      </c>
      <c r="X284" s="308"/>
      <c r="Y284" s="16" t="s">
        <v>1041</v>
      </c>
      <c r="Z284" s="308"/>
      <c r="AA284" s="554" t="e">
        <f t="shared" ref="AA284:AC284" si="1481">AVERAGE(AJ284,AM284,AP284,AV284,AY284,AS284,BZ284,BB284,BE284,BH284,BK284,BN284,BQ284,BT284)</f>
        <v>#DIV/0!</v>
      </c>
      <c r="AB284" s="555" t="e">
        <f t="shared" si="1481"/>
        <v>#DIV/0!</v>
      </c>
      <c r="AC284" s="556" t="e">
        <f t="shared" si="1481"/>
        <v>#DIV/0!</v>
      </c>
      <c r="AD284" s="29" t="b">
        <v>0</v>
      </c>
      <c r="AE284" s="29" t="b">
        <v>1</v>
      </c>
      <c r="AF284" s="29" t="b">
        <v>0</v>
      </c>
      <c r="AG284" s="566"/>
      <c r="AH284" s="567"/>
      <c r="AI284" s="568"/>
      <c r="AJ284" s="567"/>
      <c r="AK284" s="567"/>
      <c r="AL284" s="568"/>
      <c r="AM284" s="567"/>
      <c r="AN284" s="567"/>
      <c r="AO284" s="568"/>
      <c r="AP284" s="567"/>
      <c r="AQ284" s="567"/>
      <c r="AR284" s="568"/>
      <c r="AS284" s="567"/>
      <c r="AT284" s="567"/>
      <c r="AU284" s="568"/>
      <c r="AV284" s="567"/>
      <c r="AW284" s="567"/>
      <c r="AX284" s="568"/>
      <c r="AY284" s="567"/>
      <c r="AZ284" s="567"/>
      <c r="BA284" s="568"/>
      <c r="BB284" s="567"/>
      <c r="BC284" s="567"/>
      <c r="BD284" s="568"/>
      <c r="BE284" s="567"/>
      <c r="BF284" s="567"/>
      <c r="BG284" s="568"/>
      <c r="BH284" s="567"/>
      <c r="BI284" s="567"/>
      <c r="BJ284" s="568"/>
      <c r="BK284" s="567"/>
      <c r="BL284" s="567"/>
      <c r="BM284" s="568"/>
      <c r="BN284" s="567"/>
      <c r="BO284" s="567"/>
      <c r="BP284" s="568"/>
      <c r="BQ284" s="567"/>
      <c r="BR284" s="567"/>
      <c r="BS284" s="568"/>
      <c r="BT284" s="567"/>
      <c r="BU284" s="567"/>
      <c r="BV284" s="568"/>
      <c r="BW284" s="567"/>
      <c r="BX284" s="567"/>
      <c r="BY284" s="568"/>
      <c r="BZ284" s="567"/>
      <c r="CA284" s="567"/>
      <c r="CB284" s="567"/>
      <c r="CC284" s="583"/>
      <c r="CD284" s="555" t="e">
        <f t="shared" ref="CD284:CF284" si="1482">MEDIAN(AM284,AP284,AS284,AY284,BB284,AV284,AA284,BE284,BK284,BZ284,BH284,BN284,BQ284,BT284,BW284)</f>
        <v>#DIV/0!</v>
      </c>
      <c r="CE284" s="555" t="e">
        <f t="shared" si="1482"/>
        <v>#DIV/0!</v>
      </c>
      <c r="CF284" s="556" t="e">
        <f t="shared" si="1482"/>
        <v>#DIV/0!</v>
      </c>
      <c r="CG284" s="555" t="e">
        <f t="shared" ref="CG284:CI284" si="1483">MAX(AP284,AS284,AV284,BB284,BE284,AY284,CD284,BK284,BZ284,AA284)-MIN(AP284,AS284,AV284,BB284,BE284,AY284,CD284,BK284,BZ284,AA284)</f>
        <v>#DIV/0!</v>
      </c>
      <c r="CH284" s="555" t="e">
        <f t="shared" si="1483"/>
        <v>#DIV/0!</v>
      </c>
      <c r="CI284" s="556" t="e">
        <f t="shared" si="1483"/>
        <v>#DIV/0!</v>
      </c>
      <c r="CJ284" s="555" t="e">
        <f t="shared" ref="CJ284:CL284" si="1484">STDEV(AS284,AV284,AY284,BE284,BK284,BB284,CG284,BZ284,AA284,CD284)</f>
        <v>#DIV/0!</v>
      </c>
      <c r="CK284" s="555" t="e">
        <f t="shared" si="1484"/>
        <v>#DIV/0!</v>
      </c>
      <c r="CL284" s="556" t="e">
        <f t="shared" si="1484"/>
        <v>#DIV/0!</v>
      </c>
      <c r="CM284" s="555" t="e">
        <f t="shared" ref="CM284:CO284" si="1485">CJ284/AA284</f>
        <v>#DIV/0!</v>
      </c>
      <c r="CN284" s="555" t="e">
        <f t="shared" si="1485"/>
        <v>#DIV/0!</v>
      </c>
      <c r="CO284" s="556" t="e">
        <f t="shared" si="1485"/>
        <v>#DIV/0!</v>
      </c>
      <c r="CP284" s="29" t="s">
        <v>120</v>
      </c>
      <c r="CQ284" s="535">
        <f t="shared" si="1132"/>
        <v>2</v>
      </c>
      <c r="CR284" s="29" t="s">
        <v>120</v>
      </c>
      <c r="CS284" s="29"/>
      <c r="CT284" s="29"/>
      <c r="CU284" s="29"/>
      <c r="CV284" s="29"/>
    </row>
    <row r="285" customHeight="1" spans="1:100">
      <c r="A285" s="308" t="s">
        <v>531</v>
      </c>
      <c r="B285" s="541"/>
      <c r="F285" s="308"/>
      <c r="G285" s="308"/>
      <c r="H285" s="29" t="b">
        <v>0</v>
      </c>
      <c r="I285" s="29" t="b">
        <v>0</v>
      </c>
      <c r="J285" s="29" t="b">
        <v>0</v>
      </c>
      <c r="K285" s="29" t="b">
        <v>0</v>
      </c>
      <c r="L285" s="29" t="b">
        <v>0</v>
      </c>
      <c r="M285" s="29" t="b">
        <v>0</v>
      </c>
      <c r="P285" s="29" t="b">
        <v>0</v>
      </c>
      <c r="Q285" s="29" t="b">
        <v>0</v>
      </c>
      <c r="R285" s="29" t="b">
        <v>0</v>
      </c>
      <c r="S285" s="29" t="b">
        <v>0</v>
      </c>
      <c r="T285" s="29" t="b">
        <f t="shared" si="1106"/>
        <v>0</v>
      </c>
      <c r="U285" s="29" t="s">
        <v>1002</v>
      </c>
      <c r="W285" s="29">
        <v>2</v>
      </c>
      <c r="X285" s="308"/>
      <c r="Y285" s="16" t="s">
        <v>1041</v>
      </c>
      <c r="Z285" s="308"/>
      <c r="AA285" s="554" t="e">
        <f t="shared" ref="AA285:AC285" si="1486">AVERAGE(AJ285,AM285,AP285,AV285,AY285,AS285,BZ285,BB285,BE285,BH285,BK285,BN285,BQ285,BT285)</f>
        <v>#DIV/0!</v>
      </c>
      <c r="AB285" s="555" t="e">
        <f t="shared" si="1486"/>
        <v>#DIV/0!</v>
      </c>
      <c r="AC285" s="556" t="e">
        <f t="shared" si="1486"/>
        <v>#DIV/0!</v>
      </c>
      <c r="AD285" s="29" t="b">
        <v>0</v>
      </c>
      <c r="AE285" s="29" t="b">
        <v>1</v>
      </c>
      <c r="AF285" s="29" t="b">
        <v>0</v>
      </c>
      <c r="AG285" s="566"/>
      <c r="AH285" s="567"/>
      <c r="AI285" s="568"/>
      <c r="AJ285" s="567"/>
      <c r="AK285" s="567"/>
      <c r="AL285" s="568"/>
      <c r="AM285" s="567"/>
      <c r="AN285" s="567"/>
      <c r="AO285" s="568"/>
      <c r="AP285" s="567"/>
      <c r="AQ285" s="567"/>
      <c r="AR285" s="568"/>
      <c r="AS285" s="567"/>
      <c r="AT285" s="567"/>
      <c r="AU285" s="568"/>
      <c r="AV285" s="567"/>
      <c r="AW285" s="567"/>
      <c r="AX285" s="568"/>
      <c r="AY285" s="567"/>
      <c r="AZ285" s="567"/>
      <c r="BA285" s="568"/>
      <c r="BB285" s="567"/>
      <c r="BC285" s="567"/>
      <c r="BD285" s="568"/>
      <c r="BE285" s="567"/>
      <c r="BF285" s="567"/>
      <c r="BG285" s="568"/>
      <c r="BH285" s="567"/>
      <c r="BI285" s="567"/>
      <c r="BJ285" s="568"/>
      <c r="BK285" s="567"/>
      <c r="BL285" s="567"/>
      <c r="BM285" s="568"/>
      <c r="BN285" s="567"/>
      <c r="BO285" s="567"/>
      <c r="BP285" s="568"/>
      <c r="BQ285" s="567"/>
      <c r="BR285" s="567"/>
      <c r="BS285" s="568"/>
      <c r="BT285" s="567"/>
      <c r="BU285" s="567"/>
      <c r="BV285" s="568"/>
      <c r="BW285" s="567"/>
      <c r="BX285" s="567"/>
      <c r="BY285" s="568"/>
      <c r="BZ285" s="567"/>
      <c r="CA285" s="567"/>
      <c r="CB285" s="567"/>
      <c r="CC285" s="583"/>
      <c r="CD285" s="555" t="e">
        <f t="shared" ref="CD285:CF285" si="1487">MEDIAN(AM285,AP285,AS285,AY285,BB285,AV285,AA285,BE285,BK285,BZ285,BH285,BN285,BQ285,BT285,BW285)</f>
        <v>#DIV/0!</v>
      </c>
      <c r="CE285" s="555" t="e">
        <f t="shared" si="1487"/>
        <v>#DIV/0!</v>
      </c>
      <c r="CF285" s="556" t="e">
        <f t="shared" si="1487"/>
        <v>#DIV/0!</v>
      </c>
      <c r="CG285" s="555" t="e">
        <f t="shared" ref="CG285:CI285" si="1488">MAX(AP285,AS285,AV285,BB285,BE285,AY285,CD285,BK285,BZ285,AA285)-MIN(AP285,AS285,AV285,BB285,BE285,AY285,CD285,BK285,BZ285,AA285)</f>
        <v>#DIV/0!</v>
      </c>
      <c r="CH285" s="555" t="e">
        <f t="shared" si="1488"/>
        <v>#DIV/0!</v>
      </c>
      <c r="CI285" s="556" t="e">
        <f t="shared" si="1488"/>
        <v>#DIV/0!</v>
      </c>
      <c r="CJ285" s="555" t="e">
        <f t="shared" ref="CJ285:CL285" si="1489">STDEV(AS285,AV285,AY285,BE285,BK285,BB285,CG285,BZ285,AA285,CD285)</f>
        <v>#DIV/0!</v>
      </c>
      <c r="CK285" s="555" t="e">
        <f t="shared" si="1489"/>
        <v>#DIV/0!</v>
      </c>
      <c r="CL285" s="556" t="e">
        <f t="shared" si="1489"/>
        <v>#DIV/0!</v>
      </c>
      <c r="CM285" s="555" t="e">
        <f t="shared" ref="CM285:CO285" si="1490">CJ285/AA285</f>
        <v>#DIV/0!</v>
      </c>
      <c r="CN285" s="555" t="e">
        <f t="shared" si="1490"/>
        <v>#DIV/0!</v>
      </c>
      <c r="CO285" s="556" t="e">
        <f t="shared" si="1490"/>
        <v>#DIV/0!</v>
      </c>
      <c r="CP285" s="29" t="s">
        <v>120</v>
      </c>
      <c r="CQ285" s="535">
        <f t="shared" si="1132"/>
        <v>2</v>
      </c>
      <c r="CR285" s="29" t="s">
        <v>120</v>
      </c>
      <c r="CS285" s="29"/>
      <c r="CT285" s="29"/>
      <c r="CU285" s="29"/>
      <c r="CV285" s="29"/>
    </row>
    <row r="286" customHeight="1" spans="1:100">
      <c r="A286" s="308" t="s">
        <v>532</v>
      </c>
      <c r="B286" s="541"/>
      <c r="F286" s="308"/>
      <c r="G286" s="308"/>
      <c r="H286" s="29" t="b">
        <v>0</v>
      </c>
      <c r="I286" s="29" t="b">
        <v>0</v>
      </c>
      <c r="J286" s="29" t="b">
        <v>0</v>
      </c>
      <c r="K286" s="29" t="b">
        <v>0</v>
      </c>
      <c r="L286" s="29" t="b">
        <v>0</v>
      </c>
      <c r="M286" s="29" t="b">
        <v>0</v>
      </c>
      <c r="P286" s="29" t="b">
        <v>0</v>
      </c>
      <c r="Q286" s="29" t="b">
        <v>0</v>
      </c>
      <c r="R286" s="29" t="b">
        <v>0</v>
      </c>
      <c r="S286" s="29" t="b">
        <v>0</v>
      </c>
      <c r="T286" s="29" t="b">
        <f t="shared" si="1106"/>
        <v>0</v>
      </c>
      <c r="U286" s="29" t="s">
        <v>1002</v>
      </c>
      <c r="W286" s="29">
        <v>2</v>
      </c>
      <c r="X286" s="308"/>
      <c r="Y286" s="16" t="s">
        <v>1041</v>
      </c>
      <c r="Z286" s="308"/>
      <c r="AA286" s="554" t="e">
        <f t="shared" ref="AA286:AC286" si="1491">AVERAGE(AJ286,AM286,AP286,AV286,AY286,AS286,BZ286,BB286,BE286,BH286,BK286,BN286,BQ286,BT286)</f>
        <v>#DIV/0!</v>
      </c>
      <c r="AB286" s="555" t="e">
        <f t="shared" si="1491"/>
        <v>#DIV/0!</v>
      </c>
      <c r="AC286" s="556" t="e">
        <f t="shared" si="1491"/>
        <v>#DIV/0!</v>
      </c>
      <c r="AD286" s="29" t="b">
        <v>0</v>
      </c>
      <c r="AE286" s="29" t="b">
        <v>1</v>
      </c>
      <c r="AF286" s="29" t="b">
        <v>0</v>
      </c>
      <c r="AG286" s="566"/>
      <c r="AH286" s="567"/>
      <c r="AI286" s="568"/>
      <c r="AJ286" s="567"/>
      <c r="AK286" s="567"/>
      <c r="AL286" s="568"/>
      <c r="AM286" s="567"/>
      <c r="AN286" s="567"/>
      <c r="AO286" s="568"/>
      <c r="AP286" s="567"/>
      <c r="AQ286" s="567"/>
      <c r="AR286" s="568"/>
      <c r="AS286" s="567"/>
      <c r="AT286" s="567"/>
      <c r="AU286" s="568"/>
      <c r="AV286" s="567"/>
      <c r="AW286" s="567"/>
      <c r="AX286" s="568"/>
      <c r="AY286" s="567"/>
      <c r="AZ286" s="567"/>
      <c r="BA286" s="568"/>
      <c r="BB286" s="567"/>
      <c r="BC286" s="567"/>
      <c r="BD286" s="568"/>
      <c r="BE286" s="567"/>
      <c r="BF286" s="567"/>
      <c r="BG286" s="568"/>
      <c r="BH286" s="567"/>
      <c r="BI286" s="567"/>
      <c r="BJ286" s="568"/>
      <c r="BK286" s="567"/>
      <c r="BL286" s="567"/>
      <c r="BM286" s="568"/>
      <c r="BN286" s="567"/>
      <c r="BO286" s="567"/>
      <c r="BP286" s="568"/>
      <c r="BQ286" s="567"/>
      <c r="BR286" s="567"/>
      <c r="BS286" s="568"/>
      <c r="BT286" s="567"/>
      <c r="BU286" s="567"/>
      <c r="BV286" s="568"/>
      <c r="BW286" s="567"/>
      <c r="BX286" s="567"/>
      <c r="BY286" s="568"/>
      <c r="BZ286" s="567"/>
      <c r="CA286" s="567"/>
      <c r="CB286" s="567"/>
      <c r="CC286" s="583"/>
      <c r="CD286" s="555" t="e">
        <f t="shared" ref="CD286:CF286" si="1492">MEDIAN(AM286,AP286,AS286,AY286,BB286,AV286,AA286,BE286,BK286,BZ286,BH286,BN286,BQ286,BT286,BW286)</f>
        <v>#DIV/0!</v>
      </c>
      <c r="CE286" s="555" t="e">
        <f t="shared" si="1492"/>
        <v>#DIV/0!</v>
      </c>
      <c r="CF286" s="556" t="e">
        <f t="shared" si="1492"/>
        <v>#DIV/0!</v>
      </c>
      <c r="CG286" s="555" t="e">
        <f t="shared" ref="CG286:CI286" si="1493">MAX(AP286,AS286,AV286,BB286,BE286,AY286,CD286,BK286,BZ286,AA286)-MIN(AP286,AS286,AV286,BB286,BE286,AY286,CD286,BK286,BZ286,AA286)</f>
        <v>#DIV/0!</v>
      </c>
      <c r="CH286" s="555" t="e">
        <f t="shared" si="1493"/>
        <v>#DIV/0!</v>
      </c>
      <c r="CI286" s="556" t="e">
        <f t="shared" si="1493"/>
        <v>#DIV/0!</v>
      </c>
      <c r="CJ286" s="555" t="e">
        <f t="shared" ref="CJ286:CL286" si="1494">STDEV(AS286,AV286,AY286,BE286,BK286,BB286,CG286,BZ286,AA286,CD286)</f>
        <v>#DIV/0!</v>
      </c>
      <c r="CK286" s="555" t="e">
        <f t="shared" si="1494"/>
        <v>#DIV/0!</v>
      </c>
      <c r="CL286" s="556" t="e">
        <f t="shared" si="1494"/>
        <v>#DIV/0!</v>
      </c>
      <c r="CM286" s="555" t="e">
        <f t="shared" ref="CM286:CO286" si="1495">CJ286/AA286</f>
        <v>#DIV/0!</v>
      </c>
      <c r="CN286" s="555" t="e">
        <f t="shared" si="1495"/>
        <v>#DIV/0!</v>
      </c>
      <c r="CO286" s="556" t="e">
        <f t="shared" si="1495"/>
        <v>#DIV/0!</v>
      </c>
      <c r="CP286" s="29" t="s">
        <v>120</v>
      </c>
      <c r="CQ286" s="535">
        <f t="shared" si="1132"/>
        <v>2</v>
      </c>
      <c r="CR286" s="29" t="s">
        <v>120</v>
      </c>
      <c r="CS286" s="29"/>
      <c r="CT286" s="29"/>
      <c r="CU286" s="29"/>
      <c r="CV286" s="29"/>
    </row>
    <row r="287" customHeight="1" spans="1:100">
      <c r="A287" s="308" t="s">
        <v>533</v>
      </c>
      <c r="B287" s="541"/>
      <c r="F287" s="308"/>
      <c r="G287" s="308"/>
      <c r="H287" s="29" t="b">
        <v>0</v>
      </c>
      <c r="I287" s="29" t="b">
        <v>0</v>
      </c>
      <c r="J287" s="29" t="b">
        <v>0</v>
      </c>
      <c r="K287" s="29" t="b">
        <v>0</v>
      </c>
      <c r="L287" s="29" t="b">
        <v>0</v>
      </c>
      <c r="M287" s="29" t="b">
        <v>0</v>
      </c>
      <c r="P287" s="29" t="b">
        <v>0</v>
      </c>
      <c r="Q287" s="29" t="b">
        <v>0</v>
      </c>
      <c r="R287" s="29" t="b">
        <v>0</v>
      </c>
      <c r="S287" s="29" t="b">
        <v>0</v>
      </c>
      <c r="T287" s="29" t="b">
        <f t="shared" si="1106"/>
        <v>0</v>
      </c>
      <c r="U287" s="29" t="s">
        <v>1002</v>
      </c>
      <c r="W287" s="29">
        <v>2</v>
      </c>
      <c r="X287" s="308"/>
      <c r="Y287" s="16" t="s">
        <v>1041</v>
      </c>
      <c r="Z287" s="308"/>
      <c r="AA287" s="554" t="e">
        <f t="shared" ref="AA287:AC287" si="1496">AVERAGE(AJ287,AM287,AP287,AV287,AY287,AS287,BZ287,BB287,BE287,BH287,BK287,BN287,BQ287,BT287)</f>
        <v>#DIV/0!</v>
      </c>
      <c r="AB287" s="555" t="e">
        <f t="shared" si="1496"/>
        <v>#DIV/0!</v>
      </c>
      <c r="AC287" s="556" t="e">
        <f t="shared" si="1496"/>
        <v>#DIV/0!</v>
      </c>
      <c r="AD287" s="29" t="b">
        <v>0</v>
      </c>
      <c r="AE287" s="29" t="b">
        <v>1</v>
      </c>
      <c r="AF287" s="29" t="b">
        <v>0</v>
      </c>
      <c r="AG287" s="566"/>
      <c r="AH287" s="567"/>
      <c r="AI287" s="568"/>
      <c r="AJ287" s="567"/>
      <c r="AK287" s="567"/>
      <c r="AL287" s="568"/>
      <c r="AM287" s="567"/>
      <c r="AN287" s="567"/>
      <c r="AO287" s="568"/>
      <c r="AP287" s="567"/>
      <c r="AQ287" s="567"/>
      <c r="AR287" s="568"/>
      <c r="AS287" s="567"/>
      <c r="AT287" s="567"/>
      <c r="AU287" s="568"/>
      <c r="AV287" s="567"/>
      <c r="AW287" s="567"/>
      <c r="AX287" s="568"/>
      <c r="AY287" s="567"/>
      <c r="AZ287" s="567"/>
      <c r="BA287" s="568"/>
      <c r="BB287" s="567"/>
      <c r="BC287" s="567"/>
      <c r="BD287" s="568"/>
      <c r="BE287" s="567"/>
      <c r="BF287" s="567"/>
      <c r="BG287" s="568"/>
      <c r="BH287" s="567"/>
      <c r="BI287" s="567"/>
      <c r="BJ287" s="568"/>
      <c r="BK287" s="567"/>
      <c r="BL287" s="567"/>
      <c r="BM287" s="568"/>
      <c r="BN287" s="567"/>
      <c r="BO287" s="567"/>
      <c r="BP287" s="568"/>
      <c r="BQ287" s="567"/>
      <c r="BR287" s="567"/>
      <c r="BS287" s="568"/>
      <c r="BT287" s="567"/>
      <c r="BU287" s="567"/>
      <c r="BV287" s="568"/>
      <c r="BW287" s="567"/>
      <c r="BX287" s="567"/>
      <c r="BY287" s="568"/>
      <c r="BZ287" s="567"/>
      <c r="CA287" s="567"/>
      <c r="CB287" s="567"/>
      <c r="CC287" s="583"/>
      <c r="CD287" s="555" t="e">
        <f t="shared" ref="CD287:CF287" si="1497">MEDIAN(AM287,AP287,AS287,AY287,BB287,AV287,AA287,BE287,BK287,BZ287,BH287,BN287,BQ287,BT287,BW287)</f>
        <v>#DIV/0!</v>
      </c>
      <c r="CE287" s="555" t="e">
        <f t="shared" si="1497"/>
        <v>#DIV/0!</v>
      </c>
      <c r="CF287" s="556" t="e">
        <f t="shared" si="1497"/>
        <v>#DIV/0!</v>
      </c>
      <c r="CG287" s="555" t="e">
        <f t="shared" ref="CG287:CI287" si="1498">MAX(AP287,AS287,AV287,BB287,BE287,AY287,CD287,BK287,BZ287,AA287)-MIN(AP287,AS287,AV287,BB287,BE287,AY287,CD287,BK287,BZ287,AA287)</f>
        <v>#DIV/0!</v>
      </c>
      <c r="CH287" s="555" t="e">
        <f t="shared" si="1498"/>
        <v>#DIV/0!</v>
      </c>
      <c r="CI287" s="556" t="e">
        <f t="shared" si="1498"/>
        <v>#DIV/0!</v>
      </c>
      <c r="CJ287" s="555" t="e">
        <f t="shared" ref="CJ287:CL287" si="1499">STDEV(AS287,AV287,AY287,BE287,BK287,BB287,CG287,BZ287,AA287,CD287)</f>
        <v>#DIV/0!</v>
      </c>
      <c r="CK287" s="555" t="e">
        <f t="shared" si="1499"/>
        <v>#DIV/0!</v>
      </c>
      <c r="CL287" s="556" t="e">
        <f t="shared" si="1499"/>
        <v>#DIV/0!</v>
      </c>
      <c r="CM287" s="555" t="e">
        <f t="shared" ref="CM287:CO287" si="1500">CJ287/AA287</f>
        <v>#DIV/0!</v>
      </c>
      <c r="CN287" s="555" t="e">
        <f t="shared" si="1500"/>
        <v>#DIV/0!</v>
      </c>
      <c r="CO287" s="556" t="e">
        <f t="shared" si="1500"/>
        <v>#DIV/0!</v>
      </c>
      <c r="CP287" s="29" t="s">
        <v>120</v>
      </c>
      <c r="CQ287" s="535">
        <f t="shared" si="1132"/>
        <v>2</v>
      </c>
      <c r="CR287" s="29" t="s">
        <v>120</v>
      </c>
      <c r="CS287" s="29"/>
      <c r="CT287" s="29"/>
      <c r="CU287" s="29"/>
      <c r="CV287" s="29"/>
    </row>
    <row r="288" customHeight="1" spans="1:100">
      <c r="A288" s="308" t="s">
        <v>534</v>
      </c>
      <c r="B288" s="541"/>
      <c r="F288" s="308"/>
      <c r="G288" s="308"/>
      <c r="H288" s="29" t="b">
        <v>0</v>
      </c>
      <c r="I288" s="29" t="b">
        <v>0</v>
      </c>
      <c r="J288" s="29" t="b">
        <v>0</v>
      </c>
      <c r="K288" s="29" t="b">
        <v>0</v>
      </c>
      <c r="L288" s="29" t="b">
        <v>0</v>
      </c>
      <c r="M288" s="29" t="b">
        <v>0</v>
      </c>
      <c r="P288" s="29" t="b">
        <v>0</v>
      </c>
      <c r="Q288" s="29" t="b">
        <v>0</v>
      </c>
      <c r="R288" s="29" t="b">
        <v>0</v>
      </c>
      <c r="S288" s="29" t="b">
        <v>0</v>
      </c>
      <c r="T288" s="29" t="b">
        <f t="shared" si="1106"/>
        <v>0</v>
      </c>
      <c r="U288" s="29" t="s">
        <v>1002</v>
      </c>
      <c r="W288" s="29">
        <v>2</v>
      </c>
      <c r="X288" s="308"/>
      <c r="Y288" s="16" t="s">
        <v>1041</v>
      </c>
      <c r="Z288" s="308"/>
      <c r="AA288" s="554" t="e">
        <f t="shared" ref="AA288:AC288" si="1501">AVERAGE(AJ288,AM288,AP288,AV288,AY288,AS288,BZ288,BB288,BE288,BH288,BK288,BN288,BQ288,BT288)</f>
        <v>#DIV/0!</v>
      </c>
      <c r="AB288" s="555" t="e">
        <f t="shared" si="1501"/>
        <v>#DIV/0!</v>
      </c>
      <c r="AC288" s="556" t="e">
        <f t="shared" si="1501"/>
        <v>#DIV/0!</v>
      </c>
      <c r="AD288" s="29" t="b">
        <v>0</v>
      </c>
      <c r="AE288" s="29" t="b">
        <v>1</v>
      </c>
      <c r="AF288" s="29" t="b">
        <v>0</v>
      </c>
      <c r="AG288" s="566"/>
      <c r="AH288" s="567"/>
      <c r="AI288" s="568"/>
      <c r="AJ288" s="567"/>
      <c r="AK288" s="567"/>
      <c r="AL288" s="568"/>
      <c r="AM288" s="567"/>
      <c r="AN288" s="567"/>
      <c r="AO288" s="568"/>
      <c r="AP288" s="567"/>
      <c r="AQ288" s="567"/>
      <c r="AR288" s="568"/>
      <c r="AS288" s="567"/>
      <c r="AT288" s="567"/>
      <c r="AU288" s="568"/>
      <c r="AV288" s="567"/>
      <c r="AW288" s="567"/>
      <c r="AX288" s="568"/>
      <c r="AY288" s="567"/>
      <c r="AZ288" s="567"/>
      <c r="BA288" s="568"/>
      <c r="BB288" s="567"/>
      <c r="BC288" s="567"/>
      <c r="BD288" s="568"/>
      <c r="BE288" s="567"/>
      <c r="BF288" s="567"/>
      <c r="BG288" s="568"/>
      <c r="BH288" s="567"/>
      <c r="BI288" s="567"/>
      <c r="BJ288" s="568"/>
      <c r="BK288" s="567"/>
      <c r="BL288" s="567"/>
      <c r="BM288" s="568"/>
      <c r="BN288" s="567"/>
      <c r="BO288" s="567"/>
      <c r="BP288" s="568"/>
      <c r="BQ288" s="567"/>
      <c r="BR288" s="567"/>
      <c r="BS288" s="568"/>
      <c r="BT288" s="567"/>
      <c r="BU288" s="567"/>
      <c r="BV288" s="568"/>
      <c r="BW288" s="567"/>
      <c r="BX288" s="567"/>
      <c r="BY288" s="568"/>
      <c r="BZ288" s="567"/>
      <c r="CA288" s="567"/>
      <c r="CB288" s="567"/>
      <c r="CC288" s="583"/>
      <c r="CD288" s="555" t="e">
        <f t="shared" ref="CD288:CF288" si="1502">MEDIAN(AM288,AP288,AS288,AY288,BB288,AV288,AA288,BE288,BK288,BZ288,BH288,BN288,BQ288,BT288,BW288)</f>
        <v>#DIV/0!</v>
      </c>
      <c r="CE288" s="555" t="e">
        <f t="shared" si="1502"/>
        <v>#DIV/0!</v>
      </c>
      <c r="CF288" s="556" t="e">
        <f t="shared" si="1502"/>
        <v>#DIV/0!</v>
      </c>
      <c r="CG288" s="555" t="e">
        <f t="shared" ref="CG288:CI288" si="1503">MAX(AP288,AS288,AV288,BB288,BE288,AY288,CD288,BK288,BZ288,AA288)-MIN(AP288,AS288,AV288,BB288,BE288,AY288,CD288,BK288,BZ288,AA288)</f>
        <v>#DIV/0!</v>
      </c>
      <c r="CH288" s="555" t="e">
        <f t="shared" si="1503"/>
        <v>#DIV/0!</v>
      </c>
      <c r="CI288" s="556" t="e">
        <f t="shared" si="1503"/>
        <v>#DIV/0!</v>
      </c>
      <c r="CJ288" s="555" t="e">
        <f t="shared" ref="CJ288:CL288" si="1504">STDEV(AS288,AV288,AY288,BE288,BK288,BB288,CG288,BZ288,AA288,CD288)</f>
        <v>#DIV/0!</v>
      </c>
      <c r="CK288" s="555" t="e">
        <f t="shared" si="1504"/>
        <v>#DIV/0!</v>
      </c>
      <c r="CL288" s="556" t="e">
        <f t="shared" si="1504"/>
        <v>#DIV/0!</v>
      </c>
      <c r="CM288" s="555" t="e">
        <f t="shared" ref="CM288:CO288" si="1505">CJ288/AA288</f>
        <v>#DIV/0!</v>
      </c>
      <c r="CN288" s="555" t="e">
        <f t="shared" si="1505"/>
        <v>#DIV/0!</v>
      </c>
      <c r="CO288" s="556" t="e">
        <f t="shared" si="1505"/>
        <v>#DIV/0!</v>
      </c>
      <c r="CP288" s="29" t="s">
        <v>120</v>
      </c>
      <c r="CQ288" s="535">
        <f t="shared" si="1132"/>
        <v>2</v>
      </c>
      <c r="CR288" s="29" t="s">
        <v>120</v>
      </c>
      <c r="CS288" s="29"/>
      <c r="CT288" s="29"/>
      <c r="CU288" s="29"/>
      <c r="CV288" s="29"/>
    </row>
    <row r="289" customHeight="1" spans="1:100">
      <c r="A289" s="308" t="s">
        <v>535</v>
      </c>
      <c r="B289" s="541"/>
      <c r="F289" s="308"/>
      <c r="G289" s="308"/>
      <c r="H289" s="29" t="b">
        <v>0</v>
      </c>
      <c r="I289" s="29" t="b">
        <v>0</v>
      </c>
      <c r="J289" s="29" t="b">
        <v>0</v>
      </c>
      <c r="K289" s="29" t="b">
        <v>0</v>
      </c>
      <c r="L289" s="29" t="b">
        <v>0</v>
      </c>
      <c r="M289" s="29" t="b">
        <v>0</v>
      </c>
      <c r="P289" s="29" t="b">
        <v>0</v>
      </c>
      <c r="Q289" s="29" t="b">
        <v>0</v>
      </c>
      <c r="R289" s="29" t="b">
        <v>0</v>
      </c>
      <c r="S289" s="29" t="b">
        <v>0</v>
      </c>
      <c r="T289" s="29" t="b">
        <f t="shared" si="1106"/>
        <v>0</v>
      </c>
      <c r="U289" s="29" t="s">
        <v>1002</v>
      </c>
      <c r="W289" s="29">
        <v>2</v>
      </c>
      <c r="X289" s="308"/>
      <c r="Y289" s="16" t="s">
        <v>1041</v>
      </c>
      <c r="Z289" s="308"/>
      <c r="AA289" s="554" t="e">
        <f t="shared" ref="AA289:AC289" si="1506">AVERAGE(AJ289,AM289,AP289,AV289,AY289,AS289,BZ289,BB289,BE289,BH289,BK289,BN289,BQ289,BT289)</f>
        <v>#DIV/0!</v>
      </c>
      <c r="AB289" s="555" t="e">
        <f t="shared" si="1506"/>
        <v>#DIV/0!</v>
      </c>
      <c r="AC289" s="556" t="e">
        <f t="shared" si="1506"/>
        <v>#DIV/0!</v>
      </c>
      <c r="AD289" s="29" t="b">
        <v>0</v>
      </c>
      <c r="AE289" s="29" t="b">
        <v>1</v>
      </c>
      <c r="AF289" s="29" t="b">
        <v>0</v>
      </c>
      <c r="AG289" s="566"/>
      <c r="AH289" s="567"/>
      <c r="AI289" s="568"/>
      <c r="AJ289" s="567"/>
      <c r="AK289" s="567"/>
      <c r="AL289" s="568"/>
      <c r="AM289" s="567"/>
      <c r="AN289" s="567"/>
      <c r="AO289" s="568"/>
      <c r="AP289" s="567"/>
      <c r="AQ289" s="567"/>
      <c r="AR289" s="568"/>
      <c r="AS289" s="567"/>
      <c r="AT289" s="567"/>
      <c r="AU289" s="568"/>
      <c r="AV289" s="567"/>
      <c r="AW289" s="567"/>
      <c r="AX289" s="568"/>
      <c r="AY289" s="567"/>
      <c r="AZ289" s="567"/>
      <c r="BA289" s="568"/>
      <c r="BB289" s="567"/>
      <c r="BC289" s="567"/>
      <c r="BD289" s="568"/>
      <c r="BE289" s="567"/>
      <c r="BF289" s="567"/>
      <c r="BG289" s="568"/>
      <c r="BH289" s="567"/>
      <c r="BI289" s="567"/>
      <c r="BJ289" s="568"/>
      <c r="BK289" s="567"/>
      <c r="BL289" s="567"/>
      <c r="BM289" s="568"/>
      <c r="BN289" s="567"/>
      <c r="BO289" s="567"/>
      <c r="BP289" s="568"/>
      <c r="BQ289" s="567"/>
      <c r="BR289" s="567"/>
      <c r="BS289" s="568"/>
      <c r="BT289" s="567"/>
      <c r="BU289" s="567"/>
      <c r="BV289" s="568"/>
      <c r="BW289" s="567"/>
      <c r="BX289" s="567"/>
      <c r="BY289" s="568"/>
      <c r="BZ289" s="567"/>
      <c r="CA289" s="567"/>
      <c r="CB289" s="567"/>
      <c r="CC289" s="583"/>
      <c r="CD289" s="555" t="e">
        <f t="shared" ref="CD289:CF289" si="1507">MEDIAN(AM289,AP289,AS289,AY289,BB289,AV289,AA289,BE289,BK289,BZ289,BH289,BN289,BQ289,BT289,BW289)</f>
        <v>#DIV/0!</v>
      </c>
      <c r="CE289" s="555" t="e">
        <f t="shared" si="1507"/>
        <v>#DIV/0!</v>
      </c>
      <c r="CF289" s="556" t="e">
        <f t="shared" si="1507"/>
        <v>#DIV/0!</v>
      </c>
      <c r="CG289" s="555" t="e">
        <f t="shared" ref="CG289:CI289" si="1508">MAX(AP289,AS289,AV289,BB289,BE289,AY289,CD289,BK289,BZ289,AA289)-MIN(AP289,AS289,AV289,BB289,BE289,AY289,CD289,BK289,BZ289,AA289)</f>
        <v>#DIV/0!</v>
      </c>
      <c r="CH289" s="555" t="e">
        <f t="shared" si="1508"/>
        <v>#DIV/0!</v>
      </c>
      <c r="CI289" s="556" t="e">
        <f t="shared" si="1508"/>
        <v>#DIV/0!</v>
      </c>
      <c r="CJ289" s="555" t="e">
        <f t="shared" ref="CJ289:CL289" si="1509">STDEV(AS289,AV289,AY289,BE289,BK289,BB289,CG289,BZ289,AA289,CD289)</f>
        <v>#DIV/0!</v>
      </c>
      <c r="CK289" s="555" t="e">
        <f t="shared" si="1509"/>
        <v>#DIV/0!</v>
      </c>
      <c r="CL289" s="556" t="e">
        <f t="shared" si="1509"/>
        <v>#DIV/0!</v>
      </c>
      <c r="CM289" s="555" t="e">
        <f t="shared" ref="CM289:CO289" si="1510">CJ289/AA289</f>
        <v>#DIV/0!</v>
      </c>
      <c r="CN289" s="555" t="e">
        <f t="shared" si="1510"/>
        <v>#DIV/0!</v>
      </c>
      <c r="CO289" s="556" t="e">
        <f t="shared" si="1510"/>
        <v>#DIV/0!</v>
      </c>
      <c r="CP289" s="29" t="s">
        <v>120</v>
      </c>
      <c r="CQ289" s="535">
        <f t="shared" si="1132"/>
        <v>2</v>
      </c>
      <c r="CR289" s="29" t="s">
        <v>120</v>
      </c>
      <c r="CS289" s="29"/>
      <c r="CT289" s="29"/>
      <c r="CU289" s="29"/>
      <c r="CV289" s="29"/>
    </row>
    <row r="290" customHeight="1" spans="1:100">
      <c r="A290" s="308" t="s">
        <v>536</v>
      </c>
      <c r="B290" s="541"/>
      <c r="F290" s="308"/>
      <c r="G290" s="308"/>
      <c r="H290" s="29" t="b">
        <v>0</v>
      </c>
      <c r="I290" s="29" t="b">
        <v>0</v>
      </c>
      <c r="J290" s="29" t="b">
        <v>0</v>
      </c>
      <c r="K290" s="29" t="b">
        <v>0</v>
      </c>
      <c r="L290" s="29" t="b">
        <v>0</v>
      </c>
      <c r="M290" s="29" t="b">
        <v>0</v>
      </c>
      <c r="P290" s="29" t="b">
        <v>0</v>
      </c>
      <c r="Q290" s="29" t="b">
        <v>0</v>
      </c>
      <c r="R290" s="29" t="b">
        <v>0</v>
      </c>
      <c r="S290" s="29" t="b">
        <v>0</v>
      </c>
      <c r="T290" s="29" t="b">
        <f t="shared" si="1106"/>
        <v>0</v>
      </c>
      <c r="U290" s="29" t="s">
        <v>1002</v>
      </c>
      <c r="W290" s="29">
        <v>2</v>
      </c>
      <c r="X290" s="308"/>
      <c r="Y290" s="16" t="s">
        <v>1041</v>
      </c>
      <c r="Z290" s="308"/>
      <c r="AA290" s="554" t="e">
        <f t="shared" ref="AA290:AC290" si="1511">AVERAGE(AJ290,AM290,AP290,AV290,AY290,AS290,BZ290,BB290,BE290,BH290,BK290,BN290,BQ290,BT290)</f>
        <v>#DIV/0!</v>
      </c>
      <c r="AB290" s="555" t="e">
        <f t="shared" si="1511"/>
        <v>#DIV/0!</v>
      </c>
      <c r="AC290" s="556" t="e">
        <f t="shared" si="1511"/>
        <v>#DIV/0!</v>
      </c>
      <c r="AD290" s="29" t="b">
        <v>0</v>
      </c>
      <c r="AE290" s="29" t="b">
        <v>1</v>
      </c>
      <c r="AF290" s="29" t="b">
        <v>0</v>
      </c>
      <c r="AG290" s="566"/>
      <c r="AH290" s="567"/>
      <c r="AI290" s="568"/>
      <c r="AJ290" s="567"/>
      <c r="AK290" s="567"/>
      <c r="AL290" s="568"/>
      <c r="AM290" s="567"/>
      <c r="AN290" s="567"/>
      <c r="AO290" s="568"/>
      <c r="AP290" s="567"/>
      <c r="AQ290" s="567"/>
      <c r="AR290" s="568"/>
      <c r="AS290" s="567"/>
      <c r="AT290" s="567"/>
      <c r="AU290" s="568"/>
      <c r="AV290" s="567"/>
      <c r="AW290" s="567"/>
      <c r="AX290" s="568"/>
      <c r="AY290" s="567"/>
      <c r="AZ290" s="567"/>
      <c r="BA290" s="568"/>
      <c r="BB290" s="567"/>
      <c r="BC290" s="567"/>
      <c r="BD290" s="568"/>
      <c r="BE290" s="567"/>
      <c r="BF290" s="567"/>
      <c r="BG290" s="568"/>
      <c r="BH290" s="567"/>
      <c r="BI290" s="567"/>
      <c r="BJ290" s="568"/>
      <c r="BK290" s="567"/>
      <c r="BL290" s="567"/>
      <c r="BM290" s="568"/>
      <c r="BN290" s="567"/>
      <c r="BO290" s="567"/>
      <c r="BP290" s="568"/>
      <c r="BQ290" s="567"/>
      <c r="BR290" s="567"/>
      <c r="BS290" s="568"/>
      <c r="BT290" s="567"/>
      <c r="BU290" s="567"/>
      <c r="BV290" s="568"/>
      <c r="BW290" s="567"/>
      <c r="BX290" s="567"/>
      <c r="BY290" s="568"/>
      <c r="BZ290" s="567"/>
      <c r="CA290" s="567"/>
      <c r="CB290" s="567"/>
      <c r="CC290" s="583"/>
      <c r="CD290" s="555" t="e">
        <f t="shared" ref="CD290:CF290" si="1512">MEDIAN(AM290,AP290,AS290,AY290,BB290,AV290,AA290,BE290,BK290,BZ290,BH290,BN290,BQ290,BT290,BW290)</f>
        <v>#DIV/0!</v>
      </c>
      <c r="CE290" s="555" t="e">
        <f t="shared" si="1512"/>
        <v>#DIV/0!</v>
      </c>
      <c r="CF290" s="556" t="e">
        <f t="shared" si="1512"/>
        <v>#DIV/0!</v>
      </c>
      <c r="CG290" s="555" t="e">
        <f t="shared" ref="CG290:CI290" si="1513">MAX(AP290,AS290,AV290,BB290,BE290,AY290,CD290,BK290,BZ290,AA290)-MIN(AP290,AS290,AV290,BB290,BE290,AY290,CD290,BK290,BZ290,AA290)</f>
        <v>#DIV/0!</v>
      </c>
      <c r="CH290" s="555" t="e">
        <f t="shared" si="1513"/>
        <v>#DIV/0!</v>
      </c>
      <c r="CI290" s="556" t="e">
        <f t="shared" si="1513"/>
        <v>#DIV/0!</v>
      </c>
      <c r="CJ290" s="555" t="e">
        <f t="shared" ref="CJ290:CL290" si="1514">STDEV(AS290,AV290,AY290,BE290,BK290,BB290,CG290,BZ290,AA290,CD290)</f>
        <v>#DIV/0!</v>
      </c>
      <c r="CK290" s="555" t="e">
        <f t="shared" si="1514"/>
        <v>#DIV/0!</v>
      </c>
      <c r="CL290" s="556" t="e">
        <f t="shared" si="1514"/>
        <v>#DIV/0!</v>
      </c>
      <c r="CM290" s="555" t="e">
        <f t="shared" ref="CM290:CO290" si="1515">CJ290/AA290</f>
        <v>#DIV/0!</v>
      </c>
      <c r="CN290" s="555" t="e">
        <f t="shared" si="1515"/>
        <v>#DIV/0!</v>
      </c>
      <c r="CO290" s="556" t="e">
        <f t="shared" si="1515"/>
        <v>#DIV/0!</v>
      </c>
      <c r="CP290" s="29" t="s">
        <v>120</v>
      </c>
      <c r="CQ290" s="535">
        <f t="shared" si="1132"/>
        <v>2</v>
      </c>
      <c r="CR290" s="29" t="s">
        <v>120</v>
      </c>
      <c r="CS290" s="29"/>
      <c r="CT290" s="29"/>
      <c r="CU290" s="29"/>
      <c r="CV290" s="29"/>
    </row>
    <row r="291" customHeight="1" spans="1:100">
      <c r="A291" s="308" t="s">
        <v>537</v>
      </c>
      <c r="B291" s="541"/>
      <c r="F291" s="308"/>
      <c r="G291" s="308"/>
      <c r="H291" s="29" t="b">
        <v>0</v>
      </c>
      <c r="I291" s="29" t="b">
        <v>0</v>
      </c>
      <c r="J291" s="29" t="b">
        <v>0</v>
      </c>
      <c r="K291" s="29" t="b">
        <v>0</v>
      </c>
      <c r="L291" s="29" t="b">
        <v>0</v>
      </c>
      <c r="M291" s="29" t="b">
        <v>0</v>
      </c>
      <c r="P291" s="29" t="b">
        <v>0</v>
      </c>
      <c r="Q291" s="29" t="b">
        <v>0</v>
      </c>
      <c r="R291" s="29" t="b">
        <v>0</v>
      </c>
      <c r="S291" s="29" t="b">
        <v>0</v>
      </c>
      <c r="T291" s="29" t="b">
        <f t="shared" si="1106"/>
        <v>0</v>
      </c>
      <c r="U291" s="29" t="s">
        <v>1002</v>
      </c>
      <c r="W291" s="29">
        <v>2</v>
      </c>
      <c r="X291" s="308"/>
      <c r="Y291" s="16" t="s">
        <v>1041</v>
      </c>
      <c r="Z291" s="308"/>
      <c r="AA291" s="554" t="e">
        <f t="shared" ref="AA291:AC291" si="1516">AVERAGE(AJ291,AM291,AP291,AV291,AY291,AS291,BZ291,BB291,BE291,BH291,BK291,BN291,BQ291,BT291)</f>
        <v>#DIV/0!</v>
      </c>
      <c r="AB291" s="555" t="e">
        <f t="shared" si="1516"/>
        <v>#DIV/0!</v>
      </c>
      <c r="AC291" s="556" t="e">
        <f t="shared" si="1516"/>
        <v>#DIV/0!</v>
      </c>
      <c r="AD291" s="29" t="b">
        <v>0</v>
      </c>
      <c r="AE291" s="29" t="b">
        <v>1</v>
      </c>
      <c r="AF291" s="29" t="b">
        <v>0</v>
      </c>
      <c r="AG291" s="566"/>
      <c r="AH291" s="567"/>
      <c r="AI291" s="568"/>
      <c r="AJ291" s="567"/>
      <c r="AK291" s="567"/>
      <c r="AL291" s="568"/>
      <c r="AM291" s="567"/>
      <c r="AN291" s="567"/>
      <c r="AO291" s="568"/>
      <c r="AP291" s="567"/>
      <c r="AQ291" s="567"/>
      <c r="AR291" s="568"/>
      <c r="AS291" s="567"/>
      <c r="AT291" s="567"/>
      <c r="AU291" s="568"/>
      <c r="AV291" s="567"/>
      <c r="AW291" s="567"/>
      <c r="AX291" s="568"/>
      <c r="AY291" s="567"/>
      <c r="AZ291" s="567"/>
      <c r="BA291" s="568"/>
      <c r="BB291" s="567"/>
      <c r="BC291" s="567"/>
      <c r="BD291" s="568"/>
      <c r="BE291" s="567"/>
      <c r="BF291" s="567"/>
      <c r="BG291" s="568"/>
      <c r="BH291" s="567"/>
      <c r="BI291" s="567"/>
      <c r="BJ291" s="568"/>
      <c r="BK291" s="567"/>
      <c r="BL291" s="567"/>
      <c r="BM291" s="568"/>
      <c r="BN291" s="567"/>
      <c r="BO291" s="567"/>
      <c r="BP291" s="568"/>
      <c r="BQ291" s="567"/>
      <c r="BR291" s="567"/>
      <c r="BS291" s="568"/>
      <c r="BT291" s="567"/>
      <c r="BU291" s="567"/>
      <c r="BV291" s="568"/>
      <c r="BW291" s="567"/>
      <c r="BX291" s="567"/>
      <c r="BY291" s="568"/>
      <c r="BZ291" s="567"/>
      <c r="CA291" s="567"/>
      <c r="CB291" s="567"/>
      <c r="CC291" s="583"/>
      <c r="CD291" s="555" t="e">
        <f t="shared" ref="CD291:CF291" si="1517">MEDIAN(AM291,AP291,AS291,AY291,BB291,AV291,AA291,BE291,BK291,BZ291,BH291,BN291,BQ291,BT291,BW291)</f>
        <v>#DIV/0!</v>
      </c>
      <c r="CE291" s="555" t="e">
        <f t="shared" si="1517"/>
        <v>#DIV/0!</v>
      </c>
      <c r="CF291" s="556" t="e">
        <f t="shared" si="1517"/>
        <v>#DIV/0!</v>
      </c>
      <c r="CG291" s="555" t="e">
        <f t="shared" ref="CG291:CI291" si="1518">MAX(AP291,AS291,AV291,BB291,BE291,AY291,CD291,BK291,BZ291,AA291)-MIN(AP291,AS291,AV291,BB291,BE291,AY291,CD291,BK291,BZ291,AA291)</f>
        <v>#DIV/0!</v>
      </c>
      <c r="CH291" s="555" t="e">
        <f t="shared" si="1518"/>
        <v>#DIV/0!</v>
      </c>
      <c r="CI291" s="556" t="e">
        <f t="shared" si="1518"/>
        <v>#DIV/0!</v>
      </c>
      <c r="CJ291" s="555" t="e">
        <f t="shared" ref="CJ291:CL291" si="1519">STDEV(AS291,AV291,AY291,BE291,BK291,BB291,CG291,BZ291,AA291,CD291)</f>
        <v>#DIV/0!</v>
      </c>
      <c r="CK291" s="555" t="e">
        <f t="shared" si="1519"/>
        <v>#DIV/0!</v>
      </c>
      <c r="CL291" s="556" t="e">
        <f t="shared" si="1519"/>
        <v>#DIV/0!</v>
      </c>
      <c r="CM291" s="555" t="e">
        <f t="shared" ref="CM291:CO291" si="1520">CJ291/AA291</f>
        <v>#DIV/0!</v>
      </c>
      <c r="CN291" s="555" t="e">
        <f t="shared" si="1520"/>
        <v>#DIV/0!</v>
      </c>
      <c r="CO291" s="556" t="e">
        <f t="shared" si="1520"/>
        <v>#DIV/0!</v>
      </c>
      <c r="CP291" s="29" t="s">
        <v>120</v>
      </c>
      <c r="CQ291" s="535">
        <f t="shared" si="1132"/>
        <v>2</v>
      </c>
      <c r="CR291" s="29" t="s">
        <v>120</v>
      </c>
      <c r="CS291" s="29"/>
      <c r="CT291" s="29"/>
      <c r="CU291" s="29"/>
      <c r="CV291" s="29"/>
    </row>
    <row r="292" customHeight="1" spans="1:100">
      <c r="A292" s="308" t="s">
        <v>538</v>
      </c>
      <c r="B292" s="541"/>
      <c r="F292" s="308"/>
      <c r="G292" s="308"/>
      <c r="H292" s="29" t="b">
        <v>0</v>
      </c>
      <c r="I292" s="29" t="b">
        <v>0</v>
      </c>
      <c r="J292" s="29" t="b">
        <v>0</v>
      </c>
      <c r="K292" s="29" t="b">
        <v>0</v>
      </c>
      <c r="L292" s="29" t="b">
        <v>0</v>
      </c>
      <c r="M292" s="29" t="b">
        <v>0</v>
      </c>
      <c r="P292" s="29" t="b">
        <v>0</v>
      </c>
      <c r="Q292" s="29" t="b">
        <v>0</v>
      </c>
      <c r="R292" s="29" t="b">
        <v>0</v>
      </c>
      <c r="S292" s="29" t="b">
        <v>0</v>
      </c>
      <c r="T292" s="29" t="b">
        <f t="shared" si="1106"/>
        <v>0</v>
      </c>
      <c r="U292" s="29" t="s">
        <v>1002</v>
      </c>
      <c r="W292" s="29">
        <v>2</v>
      </c>
      <c r="X292" s="308"/>
      <c r="Y292" s="16" t="s">
        <v>1041</v>
      </c>
      <c r="Z292" s="308"/>
      <c r="AA292" s="554" t="e">
        <f t="shared" ref="AA292:AC292" si="1521">AVERAGE(AJ292,AM292,AP292,AV292,AY292,AS292,BZ292,BB292,BE292,BH292,BK292,BN292,BQ292,BT292)</f>
        <v>#DIV/0!</v>
      </c>
      <c r="AB292" s="555" t="e">
        <f t="shared" si="1521"/>
        <v>#DIV/0!</v>
      </c>
      <c r="AC292" s="556" t="e">
        <f t="shared" si="1521"/>
        <v>#DIV/0!</v>
      </c>
      <c r="AD292" s="29" t="b">
        <v>0</v>
      </c>
      <c r="AE292" s="29" t="b">
        <v>1</v>
      </c>
      <c r="AF292" s="29" t="b">
        <v>0</v>
      </c>
      <c r="AG292" s="566"/>
      <c r="AH292" s="567"/>
      <c r="AI292" s="568"/>
      <c r="AJ292" s="567"/>
      <c r="AK292" s="567"/>
      <c r="AL292" s="568"/>
      <c r="AM292" s="567"/>
      <c r="AN292" s="567"/>
      <c r="AO292" s="568"/>
      <c r="AP292" s="567"/>
      <c r="AQ292" s="567"/>
      <c r="AR292" s="568"/>
      <c r="AS292" s="567"/>
      <c r="AT292" s="567"/>
      <c r="AU292" s="568"/>
      <c r="AV292" s="567"/>
      <c r="AW292" s="567"/>
      <c r="AX292" s="568"/>
      <c r="AY292" s="567"/>
      <c r="AZ292" s="567"/>
      <c r="BA292" s="568"/>
      <c r="BB292" s="567"/>
      <c r="BC292" s="567"/>
      <c r="BD292" s="568"/>
      <c r="BE292" s="567"/>
      <c r="BF292" s="567"/>
      <c r="BG292" s="568"/>
      <c r="BH292" s="567"/>
      <c r="BI292" s="567"/>
      <c r="BJ292" s="568"/>
      <c r="BK292" s="567"/>
      <c r="BL292" s="567"/>
      <c r="BM292" s="568"/>
      <c r="BN292" s="567"/>
      <c r="BO292" s="567"/>
      <c r="BP292" s="568"/>
      <c r="BQ292" s="567"/>
      <c r="BR292" s="567"/>
      <c r="BS292" s="568"/>
      <c r="BT292" s="567"/>
      <c r="BU292" s="567"/>
      <c r="BV292" s="568"/>
      <c r="BW292" s="567"/>
      <c r="BX292" s="567"/>
      <c r="BY292" s="568"/>
      <c r="BZ292" s="567"/>
      <c r="CA292" s="567"/>
      <c r="CB292" s="567"/>
      <c r="CC292" s="583"/>
      <c r="CD292" s="555" t="e">
        <f t="shared" ref="CD292:CF292" si="1522">MEDIAN(AM292,AP292,AS292,AY292,BB292,AV292,AA292,BE292,BK292,BZ292,BH292,BN292,BQ292,BT292,BW292)</f>
        <v>#DIV/0!</v>
      </c>
      <c r="CE292" s="555" t="e">
        <f t="shared" si="1522"/>
        <v>#DIV/0!</v>
      </c>
      <c r="CF292" s="556" t="e">
        <f t="shared" si="1522"/>
        <v>#DIV/0!</v>
      </c>
      <c r="CG292" s="555" t="e">
        <f t="shared" ref="CG292:CI292" si="1523">MAX(AP292,AS292,AV292,BB292,BE292,AY292,CD292,BK292,BZ292,AA292)-MIN(AP292,AS292,AV292,BB292,BE292,AY292,CD292,BK292,BZ292,AA292)</f>
        <v>#DIV/0!</v>
      </c>
      <c r="CH292" s="555" t="e">
        <f t="shared" si="1523"/>
        <v>#DIV/0!</v>
      </c>
      <c r="CI292" s="556" t="e">
        <f t="shared" si="1523"/>
        <v>#DIV/0!</v>
      </c>
      <c r="CJ292" s="555" t="e">
        <f t="shared" ref="CJ292:CL292" si="1524">STDEV(AS292,AV292,AY292,BE292,BK292,BB292,CG292,BZ292,AA292,CD292)</f>
        <v>#DIV/0!</v>
      </c>
      <c r="CK292" s="555" t="e">
        <f t="shared" si="1524"/>
        <v>#DIV/0!</v>
      </c>
      <c r="CL292" s="556" t="e">
        <f t="shared" si="1524"/>
        <v>#DIV/0!</v>
      </c>
      <c r="CM292" s="555" t="e">
        <f t="shared" ref="CM292:CO292" si="1525">CJ292/AA292</f>
        <v>#DIV/0!</v>
      </c>
      <c r="CN292" s="555" t="e">
        <f t="shared" si="1525"/>
        <v>#DIV/0!</v>
      </c>
      <c r="CO292" s="556" t="e">
        <f t="shared" si="1525"/>
        <v>#DIV/0!</v>
      </c>
      <c r="CP292" s="29" t="s">
        <v>120</v>
      </c>
      <c r="CQ292" s="535">
        <f t="shared" si="1132"/>
        <v>2</v>
      </c>
      <c r="CR292" s="29" t="s">
        <v>120</v>
      </c>
      <c r="CS292" s="29"/>
      <c r="CT292" s="29"/>
      <c r="CU292" s="29"/>
      <c r="CV292" s="29"/>
    </row>
    <row r="293" customHeight="1" spans="2:100">
      <c r="B293" s="541"/>
      <c r="F293" s="308"/>
      <c r="G293" s="308"/>
      <c r="H293" s="29" t="b">
        <v>0</v>
      </c>
      <c r="I293" s="29" t="b">
        <v>0</v>
      </c>
      <c r="J293" s="29" t="b">
        <v>0</v>
      </c>
      <c r="K293" s="29" t="b">
        <v>0</v>
      </c>
      <c r="L293" s="29" t="b">
        <v>0</v>
      </c>
      <c r="M293" s="29" t="b">
        <v>0</v>
      </c>
      <c r="P293" s="29" t="b">
        <v>0</v>
      </c>
      <c r="Q293" s="29" t="b">
        <v>0</v>
      </c>
      <c r="R293" s="29" t="b">
        <v>0</v>
      </c>
      <c r="S293" s="29" t="b">
        <v>0</v>
      </c>
      <c r="T293" s="29" t="b">
        <f t="shared" si="1106"/>
        <v>0</v>
      </c>
      <c r="W293" s="29">
        <v>2</v>
      </c>
      <c r="X293" s="308"/>
      <c r="Y293" s="16" t="s">
        <v>1041</v>
      </c>
      <c r="Z293" s="308"/>
      <c r="AA293" s="554" t="e">
        <f t="shared" ref="AA293:AC293" si="1526">AVERAGE(AJ293,AM293,AP293,AV293,AY293,AS293,BZ293,BB293,BE293,BH293,BK293,BN293,BQ293,BT293)</f>
        <v>#DIV/0!</v>
      </c>
      <c r="AB293" s="555" t="e">
        <f t="shared" si="1526"/>
        <v>#DIV/0!</v>
      </c>
      <c r="AC293" s="556" t="e">
        <f t="shared" si="1526"/>
        <v>#DIV/0!</v>
      </c>
      <c r="AD293" s="29" t="b">
        <v>0</v>
      </c>
      <c r="AE293" s="29" t="b">
        <v>1</v>
      </c>
      <c r="AF293" s="29" t="b">
        <v>0</v>
      </c>
      <c r="AG293" s="566"/>
      <c r="AH293" s="567"/>
      <c r="AI293" s="568"/>
      <c r="AJ293" s="567"/>
      <c r="AK293" s="567"/>
      <c r="AL293" s="568"/>
      <c r="AM293" s="567"/>
      <c r="AN293" s="567"/>
      <c r="AO293" s="568"/>
      <c r="AP293" s="567"/>
      <c r="AQ293" s="567"/>
      <c r="AR293" s="568"/>
      <c r="AS293" s="567"/>
      <c r="AT293" s="567"/>
      <c r="AU293" s="568"/>
      <c r="AV293" s="567"/>
      <c r="AW293" s="567"/>
      <c r="AX293" s="568"/>
      <c r="AY293" s="567"/>
      <c r="AZ293" s="567"/>
      <c r="BA293" s="568"/>
      <c r="BB293" s="567"/>
      <c r="BC293" s="567"/>
      <c r="BD293" s="568"/>
      <c r="BE293" s="567"/>
      <c r="BF293" s="567"/>
      <c r="BG293" s="568"/>
      <c r="BH293" s="567"/>
      <c r="BI293" s="567"/>
      <c r="BJ293" s="568"/>
      <c r="BK293" s="567"/>
      <c r="BL293" s="567"/>
      <c r="BM293" s="568"/>
      <c r="BN293" s="567"/>
      <c r="BO293" s="567"/>
      <c r="BP293" s="568"/>
      <c r="BQ293" s="567"/>
      <c r="BR293" s="567"/>
      <c r="BS293" s="568"/>
      <c r="BT293" s="567"/>
      <c r="BU293" s="567"/>
      <c r="BV293" s="568"/>
      <c r="BW293" s="567"/>
      <c r="BX293" s="567"/>
      <c r="BY293" s="568"/>
      <c r="BZ293" s="567"/>
      <c r="CA293" s="567"/>
      <c r="CB293" s="567"/>
      <c r="CC293" s="583"/>
      <c r="CD293" s="555" t="e">
        <f t="shared" ref="CD293:CF293" si="1527">MEDIAN(AM293,AP293,AS293,AY293,BB293,AV293,AA293,BE293,BK293,BZ293,BH293,BN293,BQ293,BT293,BW293)</f>
        <v>#DIV/0!</v>
      </c>
      <c r="CE293" s="555" t="e">
        <f t="shared" si="1527"/>
        <v>#DIV/0!</v>
      </c>
      <c r="CF293" s="556" t="e">
        <f t="shared" si="1527"/>
        <v>#DIV/0!</v>
      </c>
      <c r="CG293" s="555" t="e">
        <f t="shared" ref="CG293:CI293" si="1528">MAX(AP293,AS293,AV293,BB293,BE293,AY293,CD293,BK293,BZ293,AA293)-MIN(AP293,AS293,AV293,BB293,BE293,AY293,CD293,BK293,BZ293,AA293)</f>
        <v>#DIV/0!</v>
      </c>
      <c r="CH293" s="555" t="e">
        <f t="shared" si="1528"/>
        <v>#DIV/0!</v>
      </c>
      <c r="CI293" s="556" t="e">
        <f t="shared" si="1528"/>
        <v>#DIV/0!</v>
      </c>
      <c r="CJ293" s="555" t="e">
        <f t="shared" ref="CJ293:CL293" si="1529">STDEV(AS293,AV293,AY293,BE293,BK293,BB293,CG293,BZ293,AA293,CD293)</f>
        <v>#DIV/0!</v>
      </c>
      <c r="CK293" s="555" t="e">
        <f t="shared" si="1529"/>
        <v>#DIV/0!</v>
      </c>
      <c r="CL293" s="556" t="e">
        <f t="shared" si="1529"/>
        <v>#DIV/0!</v>
      </c>
      <c r="CM293" s="555" t="e">
        <f t="shared" ref="CM293:CO293" si="1530">CJ293/AA293</f>
        <v>#DIV/0!</v>
      </c>
      <c r="CN293" s="555" t="e">
        <f t="shared" si="1530"/>
        <v>#DIV/0!</v>
      </c>
      <c r="CO293" s="556" t="e">
        <f t="shared" si="1530"/>
        <v>#DIV/0!</v>
      </c>
      <c r="CP293" s="29" t="s">
        <v>120</v>
      </c>
      <c r="CQ293" s="535">
        <f t="shared" si="1132"/>
        <v>2</v>
      </c>
      <c r="CR293" s="29" t="s">
        <v>120</v>
      </c>
      <c r="CS293" s="29"/>
      <c r="CT293" s="29"/>
      <c r="CU293" s="29"/>
      <c r="CV293" s="29"/>
    </row>
    <row r="294" customHeight="1" spans="2:100">
      <c r="B294" s="541"/>
      <c r="F294" s="308"/>
      <c r="G294" s="308"/>
      <c r="H294" s="29" t="b">
        <v>0</v>
      </c>
      <c r="I294" s="29" t="b">
        <v>0</v>
      </c>
      <c r="J294" s="29" t="b">
        <v>0</v>
      </c>
      <c r="K294" s="29" t="b">
        <v>0</v>
      </c>
      <c r="L294" s="29" t="b">
        <v>0</v>
      </c>
      <c r="M294" s="29" t="b">
        <v>0</v>
      </c>
      <c r="P294" s="29" t="b">
        <v>0</v>
      </c>
      <c r="Q294" s="29" t="b">
        <v>0</v>
      </c>
      <c r="R294" s="29" t="b">
        <v>0</v>
      </c>
      <c r="S294" s="29" t="b">
        <v>0</v>
      </c>
      <c r="T294" s="29" t="b">
        <f t="shared" si="1106"/>
        <v>0</v>
      </c>
      <c r="W294" s="29">
        <v>2</v>
      </c>
      <c r="X294" s="308"/>
      <c r="Y294" s="16" t="s">
        <v>1041</v>
      </c>
      <c r="Z294" s="308"/>
      <c r="AA294" s="554" t="e">
        <f t="shared" ref="AA294:AC294" si="1531">AVERAGE(AJ294,AM294,AP294,AV294,AY294,AS294,BZ294,BB294,BE294,BH294,BK294,BN294,BQ294,BT294)</f>
        <v>#DIV/0!</v>
      </c>
      <c r="AB294" s="555" t="e">
        <f t="shared" si="1531"/>
        <v>#DIV/0!</v>
      </c>
      <c r="AC294" s="556" t="e">
        <f t="shared" si="1531"/>
        <v>#DIV/0!</v>
      </c>
      <c r="AD294" s="29" t="b">
        <v>0</v>
      </c>
      <c r="AE294" s="29" t="b">
        <v>1</v>
      </c>
      <c r="AF294" s="29" t="b">
        <v>0</v>
      </c>
      <c r="AG294" s="566"/>
      <c r="AH294" s="567"/>
      <c r="AI294" s="568"/>
      <c r="AJ294" s="567"/>
      <c r="AK294" s="567"/>
      <c r="AL294" s="568"/>
      <c r="AM294" s="567"/>
      <c r="AN294" s="567"/>
      <c r="AO294" s="568"/>
      <c r="AP294" s="567"/>
      <c r="AQ294" s="567"/>
      <c r="AR294" s="568"/>
      <c r="AS294" s="567"/>
      <c r="AT294" s="567"/>
      <c r="AU294" s="568"/>
      <c r="AV294" s="567"/>
      <c r="AW294" s="567"/>
      <c r="AX294" s="568"/>
      <c r="AY294" s="567"/>
      <c r="AZ294" s="567"/>
      <c r="BA294" s="568"/>
      <c r="BB294" s="567"/>
      <c r="BC294" s="567"/>
      <c r="BD294" s="568"/>
      <c r="BE294" s="567"/>
      <c r="BF294" s="567"/>
      <c r="BG294" s="568"/>
      <c r="BH294" s="567"/>
      <c r="BI294" s="567"/>
      <c r="BJ294" s="568"/>
      <c r="BK294" s="567"/>
      <c r="BL294" s="567"/>
      <c r="BM294" s="568"/>
      <c r="BN294" s="567"/>
      <c r="BO294" s="567"/>
      <c r="BP294" s="568"/>
      <c r="BQ294" s="567"/>
      <c r="BR294" s="567"/>
      <c r="BS294" s="568"/>
      <c r="BT294" s="567"/>
      <c r="BU294" s="567"/>
      <c r="BV294" s="568"/>
      <c r="BW294" s="567"/>
      <c r="BX294" s="567"/>
      <c r="BY294" s="568"/>
      <c r="BZ294" s="567"/>
      <c r="CA294" s="567"/>
      <c r="CB294" s="567"/>
      <c r="CC294" s="583"/>
      <c r="CD294" s="555" t="e">
        <f t="shared" ref="CD294:CF294" si="1532">MEDIAN(AM294,AP294,AS294,AY294,BB294,AV294,AA294,BE294,BK294,BZ294,BH294,BN294,BQ294,BT294,BW294)</f>
        <v>#DIV/0!</v>
      </c>
      <c r="CE294" s="555" t="e">
        <f t="shared" si="1532"/>
        <v>#DIV/0!</v>
      </c>
      <c r="CF294" s="556" t="e">
        <f t="shared" si="1532"/>
        <v>#DIV/0!</v>
      </c>
      <c r="CG294" s="555" t="e">
        <f t="shared" ref="CG294:CI294" si="1533">MAX(AP294,AS294,AV294,BB294,BE294,AY294,CD294,BK294,BZ294,AA294)-MIN(AP294,AS294,AV294,BB294,BE294,AY294,CD294,BK294,BZ294,AA294)</f>
        <v>#DIV/0!</v>
      </c>
      <c r="CH294" s="555" t="e">
        <f t="shared" si="1533"/>
        <v>#DIV/0!</v>
      </c>
      <c r="CI294" s="556" t="e">
        <f t="shared" si="1533"/>
        <v>#DIV/0!</v>
      </c>
      <c r="CJ294" s="555" t="e">
        <f t="shared" ref="CJ294:CL294" si="1534">STDEV(AS294,AV294,AY294,BE294,BK294,BB294,CG294,BZ294,AA294,CD294)</f>
        <v>#DIV/0!</v>
      </c>
      <c r="CK294" s="555" t="e">
        <f t="shared" si="1534"/>
        <v>#DIV/0!</v>
      </c>
      <c r="CL294" s="556" t="e">
        <f t="shared" si="1534"/>
        <v>#DIV/0!</v>
      </c>
      <c r="CM294" s="555" t="e">
        <f t="shared" ref="CM294:CO294" si="1535">CJ294/AA294</f>
        <v>#DIV/0!</v>
      </c>
      <c r="CN294" s="555" t="e">
        <f t="shared" si="1535"/>
        <v>#DIV/0!</v>
      </c>
      <c r="CO294" s="556" t="e">
        <f t="shared" si="1535"/>
        <v>#DIV/0!</v>
      </c>
      <c r="CP294" s="29"/>
      <c r="CQ294" s="535"/>
      <c r="CR294" s="29"/>
      <c r="CS294" s="29"/>
      <c r="CT294" s="29"/>
      <c r="CU294" s="29"/>
      <c r="CV294" s="29"/>
    </row>
    <row r="295" customHeight="1" spans="2:100">
      <c r="B295" s="541"/>
      <c r="F295" s="308"/>
      <c r="G295" s="308"/>
      <c r="H295" s="29" t="b">
        <v>0</v>
      </c>
      <c r="I295" s="29" t="b">
        <v>0</v>
      </c>
      <c r="J295" s="29" t="b">
        <v>0</v>
      </c>
      <c r="K295" s="29" t="b">
        <v>0</v>
      </c>
      <c r="L295" s="29" t="b">
        <v>0</v>
      </c>
      <c r="M295" s="29" t="b">
        <v>0</v>
      </c>
      <c r="P295" s="29" t="b">
        <v>0</v>
      </c>
      <c r="Q295" s="29" t="b">
        <v>0</v>
      </c>
      <c r="R295" s="29" t="b">
        <v>0</v>
      </c>
      <c r="S295" s="29" t="b">
        <v>0</v>
      </c>
      <c r="T295" s="29" t="b">
        <f t="shared" si="1106"/>
        <v>0</v>
      </c>
      <c r="W295" s="29">
        <v>2</v>
      </c>
      <c r="X295" s="308"/>
      <c r="Y295" s="16" t="s">
        <v>1041</v>
      </c>
      <c r="Z295" s="308"/>
      <c r="AA295" s="554" t="e">
        <f t="shared" ref="AA295:AC295" si="1536">AVERAGE(AJ295,AM295,AP295,AV295,AY295,AS295,BZ295,BB295,BE295,BH295,BK295,BN295,BQ295,BT295)</f>
        <v>#DIV/0!</v>
      </c>
      <c r="AB295" s="555" t="e">
        <f t="shared" si="1536"/>
        <v>#DIV/0!</v>
      </c>
      <c r="AC295" s="556" t="e">
        <f t="shared" si="1536"/>
        <v>#DIV/0!</v>
      </c>
      <c r="AD295" s="29" t="b">
        <v>0</v>
      </c>
      <c r="AE295" s="29" t="b">
        <v>1</v>
      </c>
      <c r="AF295" s="29" t="b">
        <v>0</v>
      </c>
      <c r="AG295" s="566"/>
      <c r="AH295" s="567"/>
      <c r="AI295" s="568"/>
      <c r="AJ295" s="567"/>
      <c r="AK295" s="567"/>
      <c r="AL295" s="568"/>
      <c r="AM295" s="567"/>
      <c r="AN295" s="567"/>
      <c r="AO295" s="568"/>
      <c r="AP295" s="567"/>
      <c r="AQ295" s="567"/>
      <c r="AR295" s="568"/>
      <c r="AS295" s="567"/>
      <c r="AT295" s="567"/>
      <c r="AU295" s="568"/>
      <c r="AV295" s="567"/>
      <c r="AW295" s="567"/>
      <c r="AX295" s="568"/>
      <c r="AY295" s="567"/>
      <c r="AZ295" s="567"/>
      <c r="BA295" s="568"/>
      <c r="BB295" s="567"/>
      <c r="BC295" s="567"/>
      <c r="BD295" s="568"/>
      <c r="BE295" s="567"/>
      <c r="BF295" s="567"/>
      <c r="BG295" s="568"/>
      <c r="BH295" s="567"/>
      <c r="BI295" s="567"/>
      <c r="BJ295" s="568"/>
      <c r="BK295" s="567"/>
      <c r="BL295" s="567"/>
      <c r="BM295" s="568"/>
      <c r="BN295" s="567"/>
      <c r="BO295" s="567"/>
      <c r="BP295" s="568"/>
      <c r="BQ295" s="567"/>
      <c r="BR295" s="567"/>
      <c r="BS295" s="568"/>
      <c r="BT295" s="567"/>
      <c r="BU295" s="567"/>
      <c r="BV295" s="568"/>
      <c r="BW295" s="567"/>
      <c r="BX295" s="567"/>
      <c r="BY295" s="568"/>
      <c r="BZ295" s="567"/>
      <c r="CA295" s="567"/>
      <c r="CB295" s="567"/>
      <c r="CC295" s="583"/>
      <c r="CD295" s="555" t="e">
        <f t="shared" ref="CD295:CF295" si="1537">MEDIAN(AM295,AP295,AS295,AY295,BB295,AV295,AA295,BE295,BK295,BZ295,BH295,BN295,BQ295,BT295,BW295)</f>
        <v>#DIV/0!</v>
      </c>
      <c r="CE295" s="555" t="e">
        <f t="shared" si="1537"/>
        <v>#DIV/0!</v>
      </c>
      <c r="CF295" s="556" t="e">
        <f t="shared" si="1537"/>
        <v>#DIV/0!</v>
      </c>
      <c r="CG295" s="555" t="e">
        <f t="shared" ref="CG295:CI295" si="1538">MAX(AP295,AS295,AV295,BB295,BE295,AY295,CD295,BK295,BZ295,AA295)-MIN(AP295,AS295,AV295,BB295,BE295,AY295,CD295,BK295,BZ295,AA295)</f>
        <v>#DIV/0!</v>
      </c>
      <c r="CH295" s="555" t="e">
        <f t="shared" si="1538"/>
        <v>#DIV/0!</v>
      </c>
      <c r="CI295" s="556" t="e">
        <f t="shared" si="1538"/>
        <v>#DIV/0!</v>
      </c>
      <c r="CJ295" s="555" t="e">
        <f t="shared" ref="CJ295:CL295" si="1539">STDEV(AS295,AV295,AY295,BE295,BK295,BB295,CG295,BZ295,AA295,CD295)</f>
        <v>#DIV/0!</v>
      </c>
      <c r="CK295" s="555" t="e">
        <f t="shared" si="1539"/>
        <v>#DIV/0!</v>
      </c>
      <c r="CL295" s="556" t="e">
        <f t="shared" si="1539"/>
        <v>#DIV/0!</v>
      </c>
      <c r="CM295" s="555" t="e">
        <f t="shared" ref="CM295:CO295" si="1540">CJ295/AA295</f>
        <v>#DIV/0!</v>
      </c>
      <c r="CN295" s="555" t="e">
        <f t="shared" si="1540"/>
        <v>#DIV/0!</v>
      </c>
      <c r="CO295" s="556" t="e">
        <f t="shared" si="1540"/>
        <v>#DIV/0!</v>
      </c>
      <c r="CP295" s="29"/>
      <c r="CQ295" s="535"/>
      <c r="CR295" s="29"/>
      <c r="CS295" s="29"/>
      <c r="CT295" s="29"/>
      <c r="CU295" s="29"/>
      <c r="CV295" s="29"/>
    </row>
    <row r="296" customHeight="1" spans="2:100">
      <c r="B296" s="541"/>
      <c r="F296" s="308"/>
      <c r="G296" s="308"/>
      <c r="H296" s="29" t="b">
        <v>0</v>
      </c>
      <c r="I296" s="29" t="b">
        <v>0</v>
      </c>
      <c r="J296" s="29" t="b">
        <v>0</v>
      </c>
      <c r="K296" s="29" t="b">
        <v>0</v>
      </c>
      <c r="L296" s="29" t="b">
        <v>0</v>
      </c>
      <c r="M296" s="29" t="b">
        <v>0</v>
      </c>
      <c r="P296" s="29" t="b">
        <v>0</v>
      </c>
      <c r="Q296" s="29" t="b">
        <v>0</v>
      </c>
      <c r="R296" s="29" t="b">
        <v>0</v>
      </c>
      <c r="S296" s="29" t="b">
        <v>0</v>
      </c>
      <c r="T296" s="29" t="b">
        <f t="shared" si="1106"/>
        <v>0</v>
      </c>
      <c r="W296" s="29">
        <v>2</v>
      </c>
      <c r="X296" s="308"/>
      <c r="Y296" s="16" t="s">
        <v>1041</v>
      </c>
      <c r="Z296" s="308"/>
      <c r="AA296" s="554" t="e">
        <f t="shared" ref="AA296:AC296" si="1541">AVERAGE(AJ296,AM296,AP296,AV296,AY296,AS296,BZ296,BB296,BE296,BH296,BK296,BN296,BQ296,BT296)</f>
        <v>#DIV/0!</v>
      </c>
      <c r="AB296" s="555" t="e">
        <f t="shared" si="1541"/>
        <v>#DIV/0!</v>
      </c>
      <c r="AC296" s="556" t="e">
        <f t="shared" si="1541"/>
        <v>#DIV/0!</v>
      </c>
      <c r="AD296" s="29" t="b">
        <v>0</v>
      </c>
      <c r="AE296" s="29" t="b">
        <v>1</v>
      </c>
      <c r="AF296" s="29" t="b">
        <v>0</v>
      </c>
      <c r="AG296" s="566"/>
      <c r="AH296" s="567"/>
      <c r="AI296" s="568"/>
      <c r="AJ296" s="567"/>
      <c r="AK296" s="567"/>
      <c r="AL296" s="568"/>
      <c r="AM296" s="567"/>
      <c r="AN296" s="567"/>
      <c r="AO296" s="568"/>
      <c r="AP296" s="567"/>
      <c r="AQ296" s="567"/>
      <c r="AR296" s="568"/>
      <c r="AS296" s="567"/>
      <c r="AT296" s="567"/>
      <c r="AU296" s="568"/>
      <c r="AV296" s="567"/>
      <c r="AW296" s="567"/>
      <c r="AX296" s="568"/>
      <c r="AY296" s="567"/>
      <c r="AZ296" s="567"/>
      <c r="BA296" s="568"/>
      <c r="BB296" s="567"/>
      <c r="BC296" s="567"/>
      <c r="BD296" s="568"/>
      <c r="BE296" s="567"/>
      <c r="BF296" s="567"/>
      <c r="BG296" s="568"/>
      <c r="BH296" s="567"/>
      <c r="BI296" s="567"/>
      <c r="BJ296" s="568"/>
      <c r="BK296" s="567"/>
      <c r="BL296" s="567"/>
      <c r="BM296" s="568"/>
      <c r="BN296" s="567"/>
      <c r="BO296" s="567"/>
      <c r="BP296" s="568"/>
      <c r="BQ296" s="567"/>
      <c r="BR296" s="567"/>
      <c r="BS296" s="568"/>
      <c r="BT296" s="567"/>
      <c r="BU296" s="567"/>
      <c r="BV296" s="568"/>
      <c r="BW296" s="567"/>
      <c r="BX296" s="567"/>
      <c r="BY296" s="568"/>
      <c r="BZ296" s="567"/>
      <c r="CA296" s="567"/>
      <c r="CB296" s="567"/>
      <c r="CC296" s="583"/>
      <c r="CD296" s="555" t="e">
        <f t="shared" ref="CD296:CF296" si="1542">MEDIAN(AM296,AP296,AS296,AY296,BB296,AV296,AA296,BE296,BK296,BZ296,BH296,BN296,BQ296,BT296,BW296)</f>
        <v>#DIV/0!</v>
      </c>
      <c r="CE296" s="555" t="e">
        <f t="shared" si="1542"/>
        <v>#DIV/0!</v>
      </c>
      <c r="CF296" s="556" t="e">
        <f t="shared" si="1542"/>
        <v>#DIV/0!</v>
      </c>
      <c r="CG296" s="555" t="e">
        <f t="shared" ref="CG296:CI296" si="1543">MAX(AP296,AS296,AV296,BB296,BE296,AY296,CD296,BK296,BZ296,AA296)-MIN(AP296,AS296,AV296,BB296,BE296,AY296,CD296,BK296,BZ296,AA296)</f>
        <v>#DIV/0!</v>
      </c>
      <c r="CH296" s="555" t="e">
        <f t="shared" si="1543"/>
        <v>#DIV/0!</v>
      </c>
      <c r="CI296" s="556" t="e">
        <f t="shared" si="1543"/>
        <v>#DIV/0!</v>
      </c>
      <c r="CJ296" s="555" t="e">
        <f t="shared" ref="CJ296:CL296" si="1544">STDEV(AS296,AV296,AY296,BE296,BK296,BB296,CG296,BZ296,AA296,CD296)</f>
        <v>#DIV/0!</v>
      </c>
      <c r="CK296" s="555" t="e">
        <f t="shared" si="1544"/>
        <v>#DIV/0!</v>
      </c>
      <c r="CL296" s="556" t="e">
        <f t="shared" si="1544"/>
        <v>#DIV/0!</v>
      </c>
      <c r="CM296" s="555" t="e">
        <f t="shared" ref="CM296:CO296" si="1545">CJ296/AA296</f>
        <v>#DIV/0!</v>
      </c>
      <c r="CN296" s="555" t="e">
        <f t="shared" si="1545"/>
        <v>#DIV/0!</v>
      </c>
      <c r="CO296" s="556" t="e">
        <f t="shared" si="1545"/>
        <v>#DIV/0!</v>
      </c>
      <c r="CP296" s="29"/>
      <c r="CQ296" s="535"/>
      <c r="CR296" s="29"/>
      <c r="CS296" s="29"/>
      <c r="CT296" s="29"/>
      <c r="CU296" s="29"/>
      <c r="CV296" s="29"/>
    </row>
    <row r="297" customHeight="1" spans="2:100">
      <c r="B297" s="541"/>
      <c r="F297" s="308"/>
      <c r="G297" s="308"/>
      <c r="H297" s="29" t="b">
        <v>0</v>
      </c>
      <c r="I297" s="29" t="b">
        <v>0</v>
      </c>
      <c r="J297" s="29" t="b">
        <v>0</v>
      </c>
      <c r="K297" s="29" t="b">
        <v>0</v>
      </c>
      <c r="L297" s="29" t="b">
        <v>0</v>
      </c>
      <c r="M297" s="29" t="b">
        <v>0</v>
      </c>
      <c r="P297" s="29" t="b">
        <v>0</v>
      </c>
      <c r="Q297" s="29" t="b">
        <v>0</v>
      </c>
      <c r="R297" s="29" t="b">
        <v>0</v>
      </c>
      <c r="S297" s="29" t="b">
        <v>0</v>
      </c>
      <c r="T297" s="29" t="b">
        <f t="shared" si="1106"/>
        <v>0</v>
      </c>
      <c r="W297" s="29">
        <v>2</v>
      </c>
      <c r="X297" s="308"/>
      <c r="Y297" s="16" t="s">
        <v>1041</v>
      </c>
      <c r="Z297" s="308"/>
      <c r="AA297" s="554" t="e">
        <f t="shared" ref="AA297:AC297" si="1546">AVERAGE(AJ297,AM297,AP297,AV297,AY297,AS297,BZ297,BB297,BE297,BH297,BK297,BN297,BQ297,BT297)</f>
        <v>#DIV/0!</v>
      </c>
      <c r="AB297" s="555" t="e">
        <f t="shared" si="1546"/>
        <v>#DIV/0!</v>
      </c>
      <c r="AC297" s="556" t="e">
        <f t="shared" si="1546"/>
        <v>#DIV/0!</v>
      </c>
      <c r="AD297" s="29" t="b">
        <v>0</v>
      </c>
      <c r="AE297" s="29" t="b">
        <v>1</v>
      </c>
      <c r="AF297" s="29" t="b">
        <v>0</v>
      </c>
      <c r="AG297" s="566"/>
      <c r="AH297" s="567"/>
      <c r="AI297" s="568"/>
      <c r="AJ297" s="567"/>
      <c r="AK297" s="567"/>
      <c r="AL297" s="568"/>
      <c r="AM297" s="567"/>
      <c r="AN297" s="567"/>
      <c r="AO297" s="568"/>
      <c r="AP297" s="567"/>
      <c r="AQ297" s="567"/>
      <c r="AR297" s="568"/>
      <c r="AS297" s="567"/>
      <c r="AT297" s="567"/>
      <c r="AU297" s="568"/>
      <c r="AV297" s="567"/>
      <c r="AW297" s="567"/>
      <c r="AX297" s="568"/>
      <c r="AY297" s="567"/>
      <c r="AZ297" s="567"/>
      <c r="BA297" s="568"/>
      <c r="BB297" s="567"/>
      <c r="BC297" s="567"/>
      <c r="BD297" s="568"/>
      <c r="BE297" s="567"/>
      <c r="BF297" s="567"/>
      <c r="BG297" s="568"/>
      <c r="BH297" s="567"/>
      <c r="BI297" s="567"/>
      <c r="BJ297" s="568"/>
      <c r="BK297" s="567"/>
      <c r="BL297" s="567"/>
      <c r="BM297" s="568"/>
      <c r="BN297" s="567"/>
      <c r="BO297" s="567"/>
      <c r="BP297" s="568"/>
      <c r="BQ297" s="567"/>
      <c r="BR297" s="567"/>
      <c r="BS297" s="568"/>
      <c r="BT297" s="567"/>
      <c r="BU297" s="567"/>
      <c r="BV297" s="568"/>
      <c r="BW297" s="567"/>
      <c r="BX297" s="567"/>
      <c r="BY297" s="568"/>
      <c r="BZ297" s="567"/>
      <c r="CA297" s="567"/>
      <c r="CB297" s="567"/>
      <c r="CC297" s="583"/>
      <c r="CD297" s="555" t="e">
        <f t="shared" ref="CD297:CF297" si="1547">MEDIAN(AM297,AP297,AS297,AY297,BB297,AV297,AA297,BE297,BK297,BZ297,BH297,BN297,BQ297,BT297,BW297)</f>
        <v>#DIV/0!</v>
      </c>
      <c r="CE297" s="555" t="e">
        <f t="shared" si="1547"/>
        <v>#DIV/0!</v>
      </c>
      <c r="CF297" s="556" t="e">
        <f t="shared" si="1547"/>
        <v>#DIV/0!</v>
      </c>
      <c r="CG297" s="555" t="e">
        <f t="shared" ref="CG297:CI297" si="1548">MAX(AP297,AS297,AV297,BB297,BE297,AY297,CD297,BK297,BZ297,AA297)-MIN(AP297,AS297,AV297,BB297,BE297,AY297,CD297,BK297,BZ297,AA297)</f>
        <v>#DIV/0!</v>
      </c>
      <c r="CH297" s="555" t="e">
        <f t="shared" si="1548"/>
        <v>#DIV/0!</v>
      </c>
      <c r="CI297" s="556" t="e">
        <f t="shared" si="1548"/>
        <v>#DIV/0!</v>
      </c>
      <c r="CJ297" s="555" t="e">
        <f t="shared" ref="CJ297:CL297" si="1549">STDEV(AS297,AV297,AY297,BE297,BK297,BB297,CG297,BZ297,AA297,CD297)</f>
        <v>#DIV/0!</v>
      </c>
      <c r="CK297" s="555" t="e">
        <f t="shared" si="1549"/>
        <v>#DIV/0!</v>
      </c>
      <c r="CL297" s="556" t="e">
        <f t="shared" si="1549"/>
        <v>#DIV/0!</v>
      </c>
      <c r="CM297" s="555" t="e">
        <f t="shared" ref="CM297:CO297" si="1550">CJ297/AA297</f>
        <v>#DIV/0!</v>
      </c>
      <c r="CN297" s="555" t="e">
        <f t="shared" si="1550"/>
        <v>#DIV/0!</v>
      </c>
      <c r="CO297" s="556" t="e">
        <f t="shared" si="1550"/>
        <v>#DIV/0!</v>
      </c>
      <c r="CP297" s="29"/>
      <c r="CQ297" s="535"/>
      <c r="CR297" s="29"/>
      <c r="CS297" s="29"/>
      <c r="CT297" s="29"/>
      <c r="CU297" s="29"/>
      <c r="CV297" s="29"/>
    </row>
  </sheetData>
  <mergeCells count="31">
    <mergeCell ref="AG1:CB1"/>
    <mergeCell ref="AA2:AC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D2:CF2"/>
    <mergeCell ref="CG2:CI2"/>
    <mergeCell ref="CJ2:CL2"/>
    <mergeCell ref="CM2:CO2"/>
    <mergeCell ref="CC2:CC3"/>
    <mergeCell ref="CP2:CP3"/>
    <mergeCell ref="CQ2:CQ3"/>
    <mergeCell ref="CR2:CR3"/>
    <mergeCell ref="CS2:CS3"/>
    <mergeCell ref="CT2:CT3"/>
    <mergeCell ref="CU2:CU3"/>
    <mergeCell ref="CV2:CV3"/>
    <mergeCell ref="X1:Z2"/>
  </mergeCells>
  <conditionalFormatting sqref="T1:T297">
    <cfRule type="cellIs" dxfId="1" priority="1" operator="equal">
      <formula>"TRUE"</formula>
    </cfRule>
    <cfRule type="cellIs" dxfId="2" priority="2" operator="equal">
      <formula>"FALSE"</formula>
    </cfRule>
  </conditionalFormatting>
  <dataValidations count="6">
    <dataValidation type="list" allowBlank="1" showErrorMessage="1" sqref="F4:F297">
      <formula1>"Interior,Exterior,Int/Ext"</formula1>
    </dataValidation>
    <dataValidation type="list" allowBlank="1" showErrorMessage="1" sqref="G4:G297">
      <formula1>"R,C,R/C,NC"</formula1>
    </dataValidation>
    <dataValidation type="list" allowBlank="1" showErrorMessage="1" sqref="W4:W297 CQ4:CQ297">
      <formula1>"1,2,3,n/a"</formula1>
    </dataValidation>
    <dataValidation type="list" allowBlank="1" showErrorMessage="1" sqref="X4:X297">
      <formula1>"sqft (Walls),sqft (Ceilings),sqft (Floor),Linear Feet,Hours,$,Items"</formula1>
    </dataValidation>
    <dataValidation type="list" allowBlank="1" showErrorMessage="1" sqref="Z4:Z297">
      <formula1>"sqft (Walls),sqft (Ceilings),sqft (Floor),Linear Feet,Hours,$,Hour,Item"</formula1>
    </dataValidation>
    <dataValidation type="list" allowBlank="1" showErrorMessage="1" sqref="CP4:CP297 CR4:CV297">
      <formula1>"Improve,All Set"</formula1>
    </dataValidation>
  </dataValidations>
  <printOptions horizontalCentered="1" gridLines="1"/>
  <pageMargins left="0.7" right="0.7" top="0.75" bottom="0.75" header="0" footer="0"/>
  <pageSetup paperSize="1" fitToHeight="0" pageOrder="overThenDown" orientation="landscape" cellComments="atEnd"/>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00FF"/>
    <outlinePr summaryBelow="0" summaryRight="0"/>
    <pageSetUpPr fitToPage="1"/>
  </sheetPr>
  <dimension ref="A1:BT345"/>
  <sheetViews>
    <sheetView workbookViewId="0">
      <pane xSplit="4" ySplit="2" topLeftCell="E3" activePane="bottomRight" state="frozen"/>
      <selection/>
      <selection pane="topRight"/>
      <selection pane="bottomLeft"/>
      <selection pane="bottomRight" activeCell="E3" sqref="E3"/>
    </sheetView>
  </sheetViews>
  <sheetFormatPr defaultColWidth="12.6285714285714" defaultRowHeight="15.75" customHeight="1"/>
  <cols>
    <col min="1" max="1" width="10.1333333333333" customWidth="1"/>
    <col min="2" max="2" width="6.24761904761905" customWidth="1"/>
    <col min="3" max="3" width="53.1333333333333" customWidth="1"/>
    <col min="4" max="4" width="10.6285714285714" customWidth="1"/>
    <col min="5" max="5" width="14.1333333333333" customWidth="1"/>
    <col min="6" max="14" width="7.5047619047619" customWidth="1"/>
    <col min="15" max="15" width="41" customWidth="1"/>
    <col min="17" max="21" width="10.8761904761905" customWidth="1"/>
    <col min="22" max="26" width="7.87619047619048" customWidth="1"/>
    <col min="27" max="27" width="7.87619047619048" customWidth="1" collapsed="1"/>
    <col min="28" max="35" width="7.87619047619048" hidden="1" customWidth="1" outlineLevel="1"/>
    <col min="36" max="36" width="7.87619047619048" customWidth="1"/>
    <col min="37" max="37" width="7.87619047619048" customWidth="1" collapsed="1"/>
    <col min="38" max="40" width="10.1333333333333" hidden="1" customWidth="1" outlineLevel="1"/>
    <col min="41" max="42" width="7.87619047619048" customWidth="1"/>
    <col min="43" max="43" width="9" customWidth="1" collapsed="1"/>
    <col min="44" max="46" width="10.1333333333333" hidden="1" customWidth="1" outlineLevel="1"/>
    <col min="47" max="47" width="8.38095238095238" customWidth="1"/>
    <col min="48" max="48" width="7.75238095238095" customWidth="1"/>
    <col min="49" max="50" width="7.38095238095238" customWidth="1"/>
    <col min="51" max="52" width="7.75238095238095" customWidth="1"/>
    <col min="53" max="53" width="7.75238095238095" customWidth="1" collapsed="1"/>
    <col min="54" max="61" width="6.24761904761905" hidden="1" customWidth="1" outlineLevel="1"/>
    <col min="62" max="67" width="8.38095238095238" customWidth="1"/>
    <col min="68" max="68" width="15.247619047619" customWidth="1"/>
    <col min="69" max="70" width="11.6285714285714" customWidth="1"/>
    <col min="71" max="72" width="43.3809523809524" customWidth="1"/>
  </cols>
  <sheetData>
    <row r="1" ht="12.75" spans="1:72">
      <c r="A1" s="422" t="s">
        <v>1131</v>
      </c>
      <c r="B1" s="422"/>
      <c r="C1" s="422"/>
      <c r="D1" s="422"/>
      <c r="E1" s="422"/>
      <c r="F1" s="425" t="s">
        <v>1132</v>
      </c>
      <c r="U1" s="434"/>
      <c r="V1" s="435" t="s">
        <v>1133</v>
      </c>
      <c r="W1" s="436"/>
      <c r="X1" s="437" t="s">
        <v>1134</v>
      </c>
      <c r="Y1" s="436"/>
      <c r="Z1" s="435" t="s">
        <v>1135</v>
      </c>
      <c r="AA1" s="436"/>
      <c r="AB1" s="455" t="s">
        <v>1136</v>
      </c>
      <c r="AC1" s="456" t="s">
        <v>1137</v>
      </c>
      <c r="AD1" s="457" t="s">
        <v>1138</v>
      </c>
      <c r="AE1" s="434"/>
      <c r="AF1" s="437" t="s">
        <v>1139</v>
      </c>
      <c r="AG1" s="436"/>
      <c r="AH1" s="437" t="s">
        <v>1140</v>
      </c>
      <c r="AI1" s="434"/>
      <c r="AJ1" s="477" t="s">
        <v>1141</v>
      </c>
      <c r="AL1" s="478" t="s">
        <v>1142</v>
      </c>
      <c r="AN1" s="434"/>
      <c r="AO1" s="477" t="s">
        <v>1143</v>
      </c>
      <c r="AR1" s="478" t="s">
        <v>1142</v>
      </c>
      <c r="AT1" s="434"/>
      <c r="AU1" s="491"/>
      <c r="AV1" s="491" t="s">
        <v>1144</v>
      </c>
      <c r="AY1" s="422"/>
      <c r="AZ1" s="422"/>
      <c r="BA1" s="422"/>
      <c r="BB1" s="491"/>
      <c r="BC1" s="491"/>
      <c r="BD1" s="491"/>
      <c r="BE1" s="497"/>
      <c r="BF1" s="497">
        <v>0.4</v>
      </c>
      <c r="BG1" s="491"/>
      <c r="BH1" s="491"/>
      <c r="BI1" s="497"/>
      <c r="BJ1" s="422"/>
      <c r="BK1" s="422"/>
      <c r="BL1" s="422"/>
      <c r="BM1" s="422"/>
      <c r="BN1" s="422"/>
      <c r="BO1" s="422"/>
      <c r="BP1" s="422"/>
      <c r="BQ1" s="422"/>
      <c r="BR1" s="422"/>
      <c r="BS1" s="422"/>
      <c r="BT1" s="422"/>
    </row>
    <row r="2" ht="51" spans="1:72">
      <c r="A2" s="419" t="s">
        <v>1131</v>
      </c>
      <c r="B2" s="419" t="s">
        <v>1145</v>
      </c>
      <c r="C2" s="419" t="s">
        <v>1146</v>
      </c>
      <c r="D2" s="419" t="s">
        <v>1147</v>
      </c>
      <c r="E2" s="419" t="s">
        <v>1148</v>
      </c>
      <c r="F2" s="423" t="s">
        <v>6</v>
      </c>
      <c r="G2" s="424" t="s">
        <v>1149</v>
      </c>
      <c r="H2" s="424" t="s">
        <v>1150</v>
      </c>
      <c r="I2" s="421" t="s">
        <v>8</v>
      </c>
      <c r="J2" s="421" t="s">
        <v>9</v>
      </c>
      <c r="K2" s="431" t="s">
        <v>1151</v>
      </c>
      <c r="L2" s="431" t="s">
        <v>1152</v>
      </c>
      <c r="M2" s="421" t="s">
        <v>1153</v>
      </c>
      <c r="N2" s="421" t="s">
        <v>1154</v>
      </c>
      <c r="O2" s="419" t="s">
        <v>1155</v>
      </c>
      <c r="P2" s="419" t="s">
        <v>910</v>
      </c>
      <c r="Q2" s="419" t="s">
        <v>1156</v>
      </c>
      <c r="R2" s="419" t="s">
        <v>1157</v>
      </c>
      <c r="S2" s="419" t="s">
        <v>1158</v>
      </c>
      <c r="T2" s="419" t="s">
        <v>105</v>
      </c>
      <c r="U2" s="438" t="s">
        <v>1159</v>
      </c>
      <c r="V2" s="439" t="s">
        <v>1136</v>
      </c>
      <c r="W2" s="440" t="s">
        <v>1160</v>
      </c>
      <c r="X2" s="439" t="s">
        <v>1136</v>
      </c>
      <c r="Y2" s="458" t="s">
        <v>1160</v>
      </c>
      <c r="Z2" s="458" t="s">
        <v>1136</v>
      </c>
      <c r="AA2" s="440" t="s">
        <v>1160</v>
      </c>
      <c r="AB2" s="459" t="s">
        <v>1161</v>
      </c>
      <c r="AC2" s="460"/>
      <c r="AD2" s="461" t="s">
        <v>1136</v>
      </c>
      <c r="AE2" s="462" t="s">
        <v>1160</v>
      </c>
      <c r="AF2" s="439" t="s">
        <v>1136</v>
      </c>
      <c r="AG2" s="440" t="s">
        <v>1160</v>
      </c>
      <c r="AH2" s="458" t="s">
        <v>1136</v>
      </c>
      <c r="AI2" s="458" t="s">
        <v>1160</v>
      </c>
      <c r="AJ2" s="479">
        <v>1</v>
      </c>
      <c r="AL2" s="480" t="s">
        <v>1162</v>
      </c>
      <c r="AM2" s="480" t="s">
        <v>1163</v>
      </c>
      <c r="AN2" s="481" t="s">
        <v>1164</v>
      </c>
      <c r="AO2" s="479">
        <v>0.5</v>
      </c>
      <c r="AQ2" s="421" t="s">
        <v>1165</v>
      </c>
      <c r="AR2" s="480" t="s">
        <v>1162</v>
      </c>
      <c r="AS2" s="480" t="s">
        <v>1163</v>
      </c>
      <c r="AT2" s="481" t="s">
        <v>1164</v>
      </c>
      <c r="AU2" s="492" t="s">
        <v>1166</v>
      </c>
      <c r="AV2" s="492" t="s">
        <v>1167</v>
      </c>
      <c r="AW2" s="419" t="s">
        <v>1168</v>
      </c>
      <c r="AX2" s="419" t="s">
        <v>1169</v>
      </c>
      <c r="AY2" s="419" t="s">
        <v>1170</v>
      </c>
      <c r="AZ2" s="419" t="s">
        <v>1171</v>
      </c>
      <c r="BA2" s="419" t="s">
        <v>1172</v>
      </c>
      <c r="BB2" s="492" t="s">
        <v>1173</v>
      </c>
      <c r="BC2" s="492" t="s">
        <v>1174</v>
      </c>
      <c r="BD2" s="492" t="s">
        <v>1175</v>
      </c>
      <c r="BE2" s="419" t="s">
        <v>1176</v>
      </c>
      <c r="BF2" s="419" t="s">
        <v>1177</v>
      </c>
      <c r="BG2" s="492" t="s">
        <v>1178</v>
      </c>
      <c r="BH2" s="492" t="s">
        <v>1175</v>
      </c>
      <c r="BI2" s="419" t="s">
        <v>1176</v>
      </c>
      <c r="BJ2" s="419" t="s">
        <v>1179</v>
      </c>
      <c r="BK2" s="419" t="s">
        <v>1180</v>
      </c>
      <c r="BL2" s="419" t="s">
        <v>1181</v>
      </c>
      <c r="BM2" s="419" t="s">
        <v>1182</v>
      </c>
      <c r="BN2" s="419" t="s">
        <v>1183</v>
      </c>
      <c r="BO2" s="419" t="s">
        <v>1147</v>
      </c>
      <c r="BP2" s="419" t="s">
        <v>1184</v>
      </c>
      <c r="BQ2" s="419" t="s">
        <v>1185</v>
      </c>
      <c r="BR2" s="419" t="s">
        <v>1186</v>
      </c>
      <c r="BS2" s="419" t="s">
        <v>1187</v>
      </c>
      <c r="BT2" s="419" t="s">
        <v>1188</v>
      </c>
    </row>
    <row r="3" ht="12.75" spans="1:70">
      <c r="A3" s="29" t="s">
        <v>1038</v>
      </c>
      <c r="B3" s="29" t="s">
        <v>1189</v>
      </c>
      <c r="C3" s="29" t="s">
        <v>1190</v>
      </c>
      <c r="D3" s="29" t="s">
        <v>1191</v>
      </c>
      <c r="F3" s="207" t="b">
        <v>1</v>
      </c>
      <c r="G3" s="29" t="b">
        <v>0</v>
      </c>
      <c r="H3" s="29" t="b">
        <v>0</v>
      </c>
      <c r="I3" s="29" t="b">
        <v>1</v>
      </c>
      <c r="J3" s="29" t="b">
        <v>0</v>
      </c>
      <c r="K3" s="29" t="b">
        <v>0</v>
      </c>
      <c r="L3" s="29" t="b">
        <v>0</v>
      </c>
      <c r="M3" s="432" t="b">
        <v>0</v>
      </c>
      <c r="N3" s="432" t="b">
        <v>0</v>
      </c>
      <c r="O3" s="29" t="s">
        <v>207</v>
      </c>
      <c r="P3" s="29" t="s">
        <v>142</v>
      </c>
      <c r="Q3" s="441">
        <f t="shared" ref="Q3:Q8" si="0">AV3</f>
        <v>10</v>
      </c>
      <c r="R3" s="441">
        <f t="shared" ref="R3:R8" si="1">Q3</f>
        <v>10</v>
      </c>
      <c r="S3" s="442">
        <f t="shared" ref="S3:S8" si="2">AJ3</f>
        <v>6.96</v>
      </c>
      <c r="T3" s="29" t="s">
        <v>1192</v>
      </c>
      <c r="U3" s="443"/>
      <c r="V3" s="444">
        <v>3.48</v>
      </c>
      <c r="W3" s="445"/>
      <c r="X3" s="444"/>
      <c r="Y3" s="245"/>
      <c r="Z3" s="245"/>
      <c r="AA3" s="245"/>
      <c r="AB3" s="463">
        <f t="shared" ref="AB3:AC3" si="3">V3-X3</f>
        <v>3.48</v>
      </c>
      <c r="AC3" s="464">
        <f t="shared" si="3"/>
        <v>0</v>
      </c>
      <c r="AD3" s="465" t="e">
        <f t="shared" ref="AD3:AE3" si="4">1-(V3/Z3)</f>
        <v>#DIV/0!</v>
      </c>
      <c r="AE3" s="466" t="e">
        <f t="shared" si="4"/>
        <v>#DIV/0!</v>
      </c>
      <c r="AF3" s="467"/>
      <c r="AG3" s="482"/>
      <c r="AH3" s="483"/>
      <c r="AI3" s="483"/>
      <c r="AJ3" s="484">
        <f t="shared" ref="AJ3:AK3" si="5">V3+(V3*$AJ$2)</f>
        <v>6.96</v>
      </c>
      <c r="AK3" s="252">
        <f t="shared" si="5"/>
        <v>0</v>
      </c>
      <c r="AL3" s="485">
        <f t="shared" ref="AL3:AL5" si="6">AJ3-V3</f>
        <v>3.48</v>
      </c>
      <c r="AM3" s="485">
        <f t="shared" ref="AM3:AM5" si="7">AK3-AA3</f>
        <v>0</v>
      </c>
      <c r="AN3" s="486">
        <f t="shared" ref="AN3:AN245" si="8">(AJ3*5)-AK3</f>
        <v>34.8</v>
      </c>
      <c r="AO3" s="487">
        <f t="shared" ref="AO3:AP3" si="9">V3+(V3*$AO$2)</f>
        <v>5.22</v>
      </c>
      <c r="AP3" s="475">
        <f t="shared" si="9"/>
        <v>0</v>
      </c>
      <c r="AQ3" s="432" t="b">
        <v>0</v>
      </c>
      <c r="AR3" s="485">
        <f t="shared" ref="AR3:AS3" si="10">AO3-Z3</f>
        <v>5.22</v>
      </c>
      <c r="AS3" s="485">
        <f t="shared" si="10"/>
        <v>0</v>
      </c>
      <c r="AT3" s="486">
        <f t="shared" ref="AT3:AT245" si="11">(AO3*5)-AP3</f>
        <v>26.1</v>
      </c>
      <c r="AU3" s="301">
        <f t="shared" ref="AU3:AU245" si="12">AW3-(AW3*0.1)</f>
        <v>9</v>
      </c>
      <c r="AV3" s="301">
        <f t="shared" ref="AV3:AV7" si="13">(AW3+AX3)/2</f>
        <v>10</v>
      </c>
      <c r="AW3" s="29">
        <v>10</v>
      </c>
      <c r="AX3" s="29">
        <v>10</v>
      </c>
      <c r="BB3" s="302"/>
      <c r="BC3" s="301"/>
      <c r="BD3" s="303"/>
      <c r="BE3" s="304"/>
      <c r="BF3" s="307"/>
      <c r="BG3" s="301"/>
      <c r="BH3" s="303"/>
      <c r="BI3" s="304"/>
      <c r="BJ3" s="29" t="s">
        <v>1189</v>
      </c>
      <c r="BK3" s="29"/>
      <c r="BL3" s="29"/>
      <c r="BQ3" s="308"/>
      <c r="BR3" s="308"/>
    </row>
    <row r="4" ht="12.75" spans="1:70">
      <c r="A4" s="29" t="s">
        <v>1038</v>
      </c>
      <c r="B4" s="29" t="s">
        <v>1189</v>
      </c>
      <c r="C4" s="29" t="s">
        <v>1193</v>
      </c>
      <c r="D4" s="29" t="s">
        <v>1191</v>
      </c>
      <c r="F4" s="207" t="b">
        <v>1</v>
      </c>
      <c r="G4" s="29" t="b">
        <v>0</v>
      </c>
      <c r="H4" s="29" t="b">
        <v>0</v>
      </c>
      <c r="I4" s="29" t="b">
        <v>1</v>
      </c>
      <c r="J4" s="29" t="b">
        <v>0</v>
      </c>
      <c r="K4" s="29" t="b">
        <v>0</v>
      </c>
      <c r="L4" s="29" t="b">
        <v>0</v>
      </c>
      <c r="M4" s="432" t="b">
        <v>0</v>
      </c>
      <c r="N4" s="432" t="b">
        <v>0</v>
      </c>
      <c r="O4" s="29" t="s">
        <v>193</v>
      </c>
      <c r="P4" s="29" t="s">
        <v>142</v>
      </c>
      <c r="Q4" s="441">
        <f t="shared" si="0"/>
        <v>12</v>
      </c>
      <c r="R4" s="441">
        <f t="shared" si="1"/>
        <v>12</v>
      </c>
      <c r="S4" s="442">
        <f t="shared" si="2"/>
        <v>17.36</v>
      </c>
      <c r="T4" s="29" t="s">
        <v>1192</v>
      </c>
      <c r="U4" s="443"/>
      <c r="V4" s="444">
        <v>8.68</v>
      </c>
      <c r="W4" s="445"/>
      <c r="X4" s="444"/>
      <c r="Y4" s="245"/>
      <c r="Z4" s="245"/>
      <c r="AA4" s="245"/>
      <c r="AB4" s="463">
        <f t="shared" ref="AB4:AC4" si="14">V4-X4</f>
        <v>8.68</v>
      </c>
      <c r="AC4" s="464">
        <f t="shared" si="14"/>
        <v>0</v>
      </c>
      <c r="AD4" s="465" t="e">
        <f t="shared" ref="AD4:AE4" si="15">1-(V4/Z4)</f>
        <v>#DIV/0!</v>
      </c>
      <c r="AE4" s="466" t="e">
        <f t="shared" si="15"/>
        <v>#DIV/0!</v>
      </c>
      <c r="AF4" s="467"/>
      <c r="AG4" s="482"/>
      <c r="AH4" s="483"/>
      <c r="AI4" s="483"/>
      <c r="AJ4" s="484">
        <f t="shared" ref="AJ4:AK4" si="16">V4+(V4*$AJ$2)</f>
        <v>17.36</v>
      </c>
      <c r="AK4" s="252">
        <f t="shared" si="16"/>
        <v>0</v>
      </c>
      <c r="AL4" s="485">
        <f t="shared" si="6"/>
        <v>8.68</v>
      </c>
      <c r="AM4" s="485">
        <f t="shared" si="7"/>
        <v>0</v>
      </c>
      <c r="AN4" s="486">
        <f t="shared" si="8"/>
        <v>86.8</v>
      </c>
      <c r="AO4" s="487">
        <f t="shared" ref="AO4:AP4" si="17">V4+(V4*$AO$2)</f>
        <v>13.02</v>
      </c>
      <c r="AP4" s="475">
        <f t="shared" si="17"/>
        <v>0</v>
      </c>
      <c r="AQ4" s="432" t="b">
        <v>0</v>
      </c>
      <c r="AR4" s="485">
        <f t="shared" ref="AR4:AS4" si="18">AO4-Z4</f>
        <v>13.02</v>
      </c>
      <c r="AS4" s="485">
        <f t="shared" si="18"/>
        <v>0</v>
      </c>
      <c r="AT4" s="486">
        <f t="shared" si="11"/>
        <v>65.1</v>
      </c>
      <c r="AU4" s="301">
        <f t="shared" si="12"/>
        <v>10.8</v>
      </c>
      <c r="AV4" s="301">
        <f t="shared" si="13"/>
        <v>12</v>
      </c>
      <c r="AW4" s="29">
        <v>12</v>
      </c>
      <c r="AX4" s="29">
        <v>12</v>
      </c>
      <c r="BB4" s="302"/>
      <c r="BC4" s="301"/>
      <c r="BD4" s="303"/>
      <c r="BE4" s="304"/>
      <c r="BF4" s="307"/>
      <c r="BG4" s="301"/>
      <c r="BH4" s="303"/>
      <c r="BI4" s="304"/>
      <c r="BJ4" s="29" t="s">
        <v>1189</v>
      </c>
      <c r="BK4" s="29"/>
      <c r="BL4" s="29"/>
      <c r="BQ4" s="308"/>
      <c r="BR4" s="308"/>
    </row>
    <row r="5" ht="12.75" spans="1:70">
      <c r="A5" s="29" t="s">
        <v>1038</v>
      </c>
      <c r="B5" s="29" t="s">
        <v>1189</v>
      </c>
      <c r="C5" s="29" t="s">
        <v>1194</v>
      </c>
      <c r="D5" s="29" t="s">
        <v>1191</v>
      </c>
      <c r="F5" s="207" t="b">
        <v>1</v>
      </c>
      <c r="G5" s="29" t="b">
        <v>0</v>
      </c>
      <c r="H5" s="29" t="b">
        <v>0</v>
      </c>
      <c r="I5" s="29" t="b">
        <v>1</v>
      </c>
      <c r="J5" s="29" t="b">
        <v>0</v>
      </c>
      <c r="K5" s="29" t="b">
        <v>0</v>
      </c>
      <c r="L5" s="29" t="b">
        <v>0</v>
      </c>
      <c r="M5" s="432" t="b">
        <v>0</v>
      </c>
      <c r="N5" s="432" t="b">
        <v>0</v>
      </c>
      <c r="O5" s="29" t="s">
        <v>196</v>
      </c>
      <c r="P5" s="29" t="s">
        <v>142</v>
      </c>
      <c r="Q5" s="441">
        <f t="shared" si="0"/>
        <v>10</v>
      </c>
      <c r="R5" s="441">
        <f t="shared" si="1"/>
        <v>10</v>
      </c>
      <c r="S5" s="442">
        <f t="shared" si="2"/>
        <v>20.56</v>
      </c>
      <c r="T5" s="29" t="s">
        <v>1192</v>
      </c>
      <c r="U5" s="443"/>
      <c r="V5" s="444">
        <v>10.28</v>
      </c>
      <c r="W5" s="445"/>
      <c r="X5" s="444"/>
      <c r="Y5" s="245"/>
      <c r="Z5" s="245"/>
      <c r="AA5" s="245"/>
      <c r="AB5" s="463">
        <f t="shared" ref="AB5:AC5" si="19">V5-X5</f>
        <v>10.28</v>
      </c>
      <c r="AC5" s="464">
        <f t="shared" si="19"/>
        <v>0</v>
      </c>
      <c r="AD5" s="465" t="e">
        <f t="shared" ref="AD5:AE5" si="20">1-(V5/Z5)</f>
        <v>#DIV/0!</v>
      </c>
      <c r="AE5" s="466" t="e">
        <f t="shared" si="20"/>
        <v>#DIV/0!</v>
      </c>
      <c r="AF5" s="467"/>
      <c r="AG5" s="482"/>
      <c r="AH5" s="483"/>
      <c r="AI5" s="483"/>
      <c r="AJ5" s="484">
        <f t="shared" ref="AJ5:AK5" si="21">V5+(V5*$AJ$2)</f>
        <v>20.56</v>
      </c>
      <c r="AK5" s="252">
        <f t="shared" si="21"/>
        <v>0</v>
      </c>
      <c r="AL5" s="485">
        <f t="shared" si="6"/>
        <v>10.28</v>
      </c>
      <c r="AM5" s="485">
        <f t="shared" si="7"/>
        <v>0</v>
      </c>
      <c r="AN5" s="486">
        <f t="shared" si="8"/>
        <v>102.8</v>
      </c>
      <c r="AO5" s="487">
        <f t="shared" ref="AO5:AP5" si="22">V5+(V5*$AO$2)</f>
        <v>15.42</v>
      </c>
      <c r="AP5" s="475">
        <f t="shared" si="22"/>
        <v>0</v>
      </c>
      <c r="AQ5" s="432" t="b">
        <v>0</v>
      </c>
      <c r="AR5" s="485">
        <f t="shared" ref="AR5:AS5" si="23">AO5-Z5</f>
        <v>15.42</v>
      </c>
      <c r="AS5" s="485">
        <f t="shared" si="23"/>
        <v>0</v>
      </c>
      <c r="AT5" s="486">
        <f t="shared" si="11"/>
        <v>77.1</v>
      </c>
      <c r="AU5" s="301">
        <f t="shared" si="12"/>
        <v>9</v>
      </c>
      <c r="AV5" s="301">
        <f t="shared" si="13"/>
        <v>10</v>
      </c>
      <c r="AW5" s="29">
        <v>10</v>
      </c>
      <c r="AX5" s="29">
        <v>10</v>
      </c>
      <c r="BB5" s="302"/>
      <c r="BC5" s="301"/>
      <c r="BD5" s="303"/>
      <c r="BE5" s="304"/>
      <c r="BF5" s="307"/>
      <c r="BG5" s="301"/>
      <c r="BH5" s="303"/>
      <c r="BI5" s="304"/>
      <c r="BJ5" s="29" t="s">
        <v>1189</v>
      </c>
      <c r="BK5" s="29"/>
      <c r="BL5" s="29"/>
      <c r="BQ5" s="308"/>
      <c r="BR5" s="308"/>
    </row>
    <row r="6" ht="12.75" spans="1:70">
      <c r="A6" s="29" t="s">
        <v>1038</v>
      </c>
      <c r="B6" s="29" t="s">
        <v>1195</v>
      </c>
      <c r="C6" s="426" t="s">
        <v>1196</v>
      </c>
      <c r="D6" s="308"/>
      <c r="E6" s="29" t="s">
        <v>13</v>
      </c>
      <c r="F6" s="207" t="b">
        <v>0</v>
      </c>
      <c r="G6" s="29" t="b">
        <v>1</v>
      </c>
      <c r="H6" s="29" t="b">
        <v>1</v>
      </c>
      <c r="I6" s="29" t="b">
        <v>0</v>
      </c>
      <c r="J6" s="29" t="b">
        <v>0</v>
      </c>
      <c r="K6" s="29" t="b">
        <v>1</v>
      </c>
      <c r="L6" s="29" t="b">
        <v>0</v>
      </c>
      <c r="M6" s="432" t="b">
        <v>0</v>
      </c>
      <c r="N6" s="432" t="b">
        <v>1</v>
      </c>
      <c r="O6" s="29" t="s">
        <v>1197</v>
      </c>
      <c r="P6" s="29" t="s">
        <v>120</v>
      </c>
      <c r="Q6" s="441">
        <f t="shared" si="0"/>
        <v>350</v>
      </c>
      <c r="R6" s="441">
        <f t="shared" si="1"/>
        <v>350</v>
      </c>
      <c r="S6" s="442" t="e">
        <f t="shared" si="2"/>
        <v>#VALUE!</v>
      </c>
      <c r="T6" s="308"/>
      <c r="U6" s="443"/>
      <c r="V6" s="446" t="str">
        <f t="shared" ref="V6:W6" si="24">X6</f>
        <v>-</v>
      </c>
      <c r="W6" s="447" t="str">
        <f t="shared" si="24"/>
        <v>-</v>
      </c>
      <c r="X6" s="444" t="s">
        <v>13</v>
      </c>
      <c r="Y6" s="245" t="s">
        <v>13</v>
      </c>
      <c r="Z6" s="245"/>
      <c r="AA6" s="245"/>
      <c r="AB6" s="463" t="e">
        <f t="shared" ref="AB6:AC6" si="25">V6-X6</f>
        <v>#VALUE!</v>
      </c>
      <c r="AC6" s="464" t="e">
        <f t="shared" si="25"/>
        <v>#VALUE!</v>
      </c>
      <c r="AD6" s="465" t="e">
        <f t="shared" ref="AD6:AE6" si="26">1-(V6/Z6)</f>
        <v>#VALUE!</v>
      </c>
      <c r="AE6" s="466" t="e">
        <f t="shared" si="26"/>
        <v>#VALUE!</v>
      </c>
      <c r="AF6" s="467"/>
      <c r="AG6" s="482"/>
      <c r="AH6" s="483"/>
      <c r="AI6" s="483"/>
      <c r="AJ6" s="487" t="e">
        <f t="shared" ref="AJ6:AK6" si="27">V6+(V6*$AJ$2)</f>
        <v>#VALUE!</v>
      </c>
      <c r="AK6" s="475" t="e">
        <f t="shared" si="27"/>
        <v>#VALUE!</v>
      </c>
      <c r="AL6" s="485" t="e">
        <f t="shared" ref="AL6:AM6" si="28">AJ6-Z6</f>
        <v>#VALUE!</v>
      </c>
      <c r="AM6" s="485" t="e">
        <f t="shared" si="28"/>
        <v>#VALUE!</v>
      </c>
      <c r="AN6" s="486" t="e">
        <f t="shared" si="8"/>
        <v>#VALUE!</v>
      </c>
      <c r="AO6" s="487" t="e">
        <f t="shared" ref="AO6:AP6" si="29">V6+(V6*$AO$2)</f>
        <v>#VALUE!</v>
      </c>
      <c r="AP6" s="475" t="e">
        <f t="shared" si="29"/>
        <v>#VALUE!</v>
      </c>
      <c r="AQ6" s="432" t="b">
        <v>0</v>
      </c>
      <c r="AR6" s="485" t="e">
        <f t="shared" ref="AR6:AS6" si="30">AO6-Z6</f>
        <v>#VALUE!</v>
      </c>
      <c r="AS6" s="485" t="e">
        <f t="shared" si="30"/>
        <v>#VALUE!</v>
      </c>
      <c r="AT6" s="486" t="e">
        <f t="shared" si="11"/>
        <v>#VALUE!</v>
      </c>
      <c r="AU6" s="301">
        <f t="shared" si="12"/>
        <v>270</v>
      </c>
      <c r="AV6" s="301">
        <f t="shared" si="13"/>
        <v>350</v>
      </c>
      <c r="AW6" s="29">
        <v>300</v>
      </c>
      <c r="AX6" s="29">
        <v>400</v>
      </c>
      <c r="BB6" s="302">
        <f>AV6</f>
        <v>350</v>
      </c>
      <c r="BC6" s="301"/>
      <c r="BD6" s="303">
        <f>(BB6+BC6)/2</f>
        <v>175</v>
      </c>
      <c r="BE6" s="304" t="e">
        <f>BB6/BC6</f>
        <v>#DIV/0!</v>
      </c>
      <c r="BF6" s="307">
        <f>BB6*$BF$1</f>
        <v>140</v>
      </c>
      <c r="BG6" s="301"/>
      <c r="BH6" s="303">
        <f>(BF6+BG6)/2</f>
        <v>70</v>
      </c>
      <c r="BI6" s="304" t="e">
        <f>BF6/BG6</f>
        <v>#DIV/0!</v>
      </c>
      <c r="BK6" s="29"/>
      <c r="BL6" s="29"/>
      <c r="BP6" s="29" t="s">
        <v>1198</v>
      </c>
      <c r="BQ6" s="308"/>
      <c r="BR6" s="308"/>
    </row>
    <row r="7" ht="12.75" spans="1:70">
      <c r="A7" s="29" t="s">
        <v>1038</v>
      </c>
      <c r="B7" s="29" t="s">
        <v>241</v>
      </c>
      <c r="C7" s="29" t="s">
        <v>1199</v>
      </c>
      <c r="D7" s="308"/>
      <c r="E7" s="360"/>
      <c r="F7" s="207" t="b">
        <v>1</v>
      </c>
      <c r="G7" s="29"/>
      <c r="H7" s="29" t="b">
        <v>0</v>
      </c>
      <c r="I7" s="29" t="b">
        <v>1</v>
      </c>
      <c r="J7" s="29" t="b">
        <v>0</v>
      </c>
      <c r="K7" s="29" t="b">
        <v>0</v>
      </c>
      <c r="L7" s="29" t="b">
        <v>0</v>
      </c>
      <c r="M7" s="432" t="s">
        <v>119</v>
      </c>
      <c r="N7" s="432" t="s">
        <v>119</v>
      </c>
      <c r="P7" s="29" t="s">
        <v>142</v>
      </c>
      <c r="Q7" s="441">
        <f t="shared" si="0"/>
        <v>10</v>
      </c>
      <c r="R7" s="441">
        <f t="shared" si="1"/>
        <v>10</v>
      </c>
      <c r="S7" s="442">
        <f t="shared" si="2"/>
        <v>7.42</v>
      </c>
      <c r="T7" s="308"/>
      <c r="U7" s="443"/>
      <c r="V7" s="444">
        <v>3.71</v>
      </c>
      <c r="W7" s="445"/>
      <c r="X7" s="444"/>
      <c r="Y7" s="245"/>
      <c r="Z7" s="245"/>
      <c r="AA7" s="245"/>
      <c r="AB7" s="463">
        <f t="shared" ref="AB7:AC7" si="31">V7-X7</f>
        <v>3.71</v>
      </c>
      <c r="AC7" s="464">
        <f t="shared" si="31"/>
        <v>0</v>
      </c>
      <c r="AD7" s="465" t="e">
        <f t="shared" ref="AD7:AE7" si="32">1-(V7/Z7)</f>
        <v>#DIV/0!</v>
      </c>
      <c r="AE7" s="466" t="e">
        <f t="shared" si="32"/>
        <v>#DIV/0!</v>
      </c>
      <c r="AF7" s="467"/>
      <c r="AG7" s="482"/>
      <c r="AH7" s="483"/>
      <c r="AI7" s="483"/>
      <c r="AJ7" s="487">
        <f t="shared" ref="AJ7:AK7" si="33">V7+(V7*$AJ$2)</f>
        <v>7.42</v>
      </c>
      <c r="AK7" s="475">
        <f t="shared" si="33"/>
        <v>0</v>
      </c>
      <c r="AL7" s="485">
        <f t="shared" ref="AL7:AM7" si="34">AJ7-Z7</f>
        <v>7.42</v>
      </c>
      <c r="AM7" s="485">
        <f t="shared" si="34"/>
        <v>0</v>
      </c>
      <c r="AN7" s="486">
        <f t="shared" si="8"/>
        <v>37.1</v>
      </c>
      <c r="AO7" s="487">
        <f t="shared" ref="AO7:AP7" si="35">V7+(V7*$AO$2)</f>
        <v>5.565</v>
      </c>
      <c r="AP7" s="475">
        <f t="shared" si="35"/>
        <v>0</v>
      </c>
      <c r="AQ7" s="432" t="s">
        <v>119</v>
      </c>
      <c r="AR7" s="485">
        <f t="shared" ref="AR7:AS7" si="36">AO7-Z7</f>
        <v>5.565</v>
      </c>
      <c r="AS7" s="485">
        <f t="shared" si="36"/>
        <v>0</v>
      </c>
      <c r="AT7" s="486">
        <f t="shared" si="11"/>
        <v>27.825</v>
      </c>
      <c r="AU7" s="301">
        <f t="shared" si="12"/>
        <v>9</v>
      </c>
      <c r="AV7" s="301">
        <f t="shared" si="13"/>
        <v>10</v>
      </c>
      <c r="AW7" s="29">
        <f t="shared" ref="AW7:AX7" si="37">120/12</f>
        <v>10</v>
      </c>
      <c r="AX7" s="29">
        <f t="shared" si="37"/>
        <v>10</v>
      </c>
      <c r="BB7" s="302"/>
      <c r="BC7" s="301"/>
      <c r="BD7" s="303"/>
      <c r="BE7" s="304"/>
      <c r="BF7" s="307"/>
      <c r="BG7" s="301"/>
      <c r="BH7" s="303"/>
      <c r="BI7" s="304"/>
      <c r="BJ7" s="29" t="s">
        <v>1189</v>
      </c>
      <c r="BK7" s="29"/>
      <c r="BL7" s="29"/>
      <c r="BQ7" s="308"/>
      <c r="BR7" s="308"/>
    </row>
    <row r="8" ht="12.75" spans="1:72">
      <c r="A8" s="29" t="s">
        <v>1044</v>
      </c>
      <c r="B8" s="29" t="s">
        <v>1195</v>
      </c>
      <c r="C8" s="29" t="s">
        <v>548</v>
      </c>
      <c r="D8" s="29" t="s">
        <v>1200</v>
      </c>
      <c r="E8" s="29" t="s">
        <v>1201</v>
      </c>
      <c r="F8" s="207" t="b">
        <v>1</v>
      </c>
      <c r="G8" s="29" t="b">
        <v>0</v>
      </c>
      <c r="H8" s="29" t="b">
        <v>0</v>
      </c>
      <c r="I8" s="29" t="b">
        <v>0</v>
      </c>
      <c r="J8" s="29" t="b">
        <v>0</v>
      </c>
      <c r="K8" s="29" t="b">
        <v>0</v>
      </c>
      <c r="L8" s="29" t="b">
        <v>0</v>
      </c>
      <c r="M8" s="432" t="b">
        <v>0</v>
      </c>
      <c r="N8" s="432" t="b">
        <v>1</v>
      </c>
      <c r="O8" s="29" t="s">
        <v>1202</v>
      </c>
      <c r="P8" s="29" t="s">
        <v>120</v>
      </c>
      <c r="Q8" s="441">
        <f t="shared" si="0"/>
        <v>450</v>
      </c>
      <c r="R8" s="441">
        <f t="shared" si="1"/>
        <v>450</v>
      </c>
      <c r="S8" s="442">
        <f t="shared" si="2"/>
        <v>105.9</v>
      </c>
      <c r="T8" s="29" t="s">
        <v>1203</v>
      </c>
      <c r="U8" s="443"/>
      <c r="V8" s="444">
        <v>52.95</v>
      </c>
      <c r="W8" s="445">
        <v>311.72</v>
      </c>
      <c r="X8" s="444">
        <v>62.7</v>
      </c>
      <c r="Y8" s="245">
        <v>311.72</v>
      </c>
      <c r="Z8" s="360"/>
      <c r="AA8" s="245"/>
      <c r="AB8" s="463">
        <f t="shared" ref="AB8:AC8" si="38">V8-X8</f>
        <v>-9.75</v>
      </c>
      <c r="AC8" s="464">
        <f t="shared" si="38"/>
        <v>0</v>
      </c>
      <c r="AD8" s="465" t="e">
        <f t="shared" ref="AD8:AE8" si="39">1-(V8/Z8)</f>
        <v>#DIV/0!</v>
      </c>
      <c r="AE8" s="466" t="e">
        <f t="shared" si="39"/>
        <v>#DIV/0!</v>
      </c>
      <c r="AF8" s="467"/>
      <c r="AG8" s="482"/>
      <c r="AH8" s="483"/>
      <c r="AI8" s="483"/>
      <c r="AJ8" s="487">
        <f t="shared" ref="AJ8:AK8" si="40">V8+(V8*$AJ$2)</f>
        <v>105.9</v>
      </c>
      <c r="AK8" s="475">
        <f t="shared" si="40"/>
        <v>623.44</v>
      </c>
      <c r="AL8" s="485">
        <f t="shared" ref="AL8:AM8" si="41">AJ8-Z8</f>
        <v>105.9</v>
      </c>
      <c r="AM8" s="485">
        <f t="shared" si="41"/>
        <v>623.44</v>
      </c>
      <c r="AN8" s="486">
        <f t="shared" si="8"/>
        <v>-93.9400000000001</v>
      </c>
      <c r="AO8" s="487">
        <f t="shared" ref="AO8:AP8" si="42">V8+(V8*$AO$2)</f>
        <v>79.425</v>
      </c>
      <c r="AP8" s="475">
        <f t="shared" si="42"/>
        <v>467.58</v>
      </c>
      <c r="AQ8" s="432" t="b">
        <v>0</v>
      </c>
      <c r="AR8" s="485">
        <f t="shared" ref="AR8:AS8" si="43">AO8-Z8</f>
        <v>79.425</v>
      </c>
      <c r="AS8" s="485">
        <f t="shared" si="43"/>
        <v>467.58</v>
      </c>
      <c r="AT8" s="486">
        <f t="shared" si="11"/>
        <v>-70.455</v>
      </c>
      <c r="AU8" s="301">
        <f t="shared" si="12"/>
        <v>382.5</v>
      </c>
      <c r="AV8" s="302">
        <v>450</v>
      </c>
      <c r="AW8" s="29">
        <v>425</v>
      </c>
      <c r="AX8" s="29">
        <v>475</v>
      </c>
      <c r="BB8" s="302">
        <f>AV8</f>
        <v>450</v>
      </c>
      <c r="BC8" s="301"/>
      <c r="BD8" s="303">
        <f>(BB8+BC8)/2</f>
        <v>225</v>
      </c>
      <c r="BE8" s="304" t="e">
        <f>BB8/BC8</f>
        <v>#DIV/0!</v>
      </c>
      <c r="BF8" s="307">
        <f>BB8*$BF$1</f>
        <v>180</v>
      </c>
      <c r="BG8" s="301"/>
      <c r="BH8" s="303">
        <f>(BF8+BG8)/2</f>
        <v>90</v>
      </c>
      <c r="BI8" s="304" t="e">
        <f>BF8/BG8</f>
        <v>#DIV/0!</v>
      </c>
      <c r="BK8" s="29"/>
      <c r="BL8" s="29"/>
      <c r="BP8" s="29" t="s">
        <v>1204</v>
      </c>
      <c r="BQ8" s="29"/>
      <c r="BR8" s="29"/>
      <c r="BS8" s="29"/>
      <c r="BT8" s="29" t="s">
        <v>1205</v>
      </c>
    </row>
    <row r="9" ht="12.75" spans="1:72">
      <c r="A9" s="29" t="s">
        <v>1044</v>
      </c>
      <c r="B9" s="29" t="s">
        <v>1195</v>
      </c>
      <c r="C9" s="426" t="s">
        <v>551</v>
      </c>
      <c r="D9" s="29" t="s">
        <v>1200</v>
      </c>
      <c r="E9" s="29"/>
      <c r="F9" s="207" t="b">
        <v>0</v>
      </c>
      <c r="G9" s="29" t="b">
        <v>1</v>
      </c>
      <c r="H9" s="29" t="b">
        <v>0</v>
      </c>
      <c r="I9" s="29" t="b">
        <v>0</v>
      </c>
      <c r="J9" s="29" t="b">
        <v>0</v>
      </c>
      <c r="K9" s="29" t="b">
        <v>1</v>
      </c>
      <c r="L9" s="29" t="b">
        <v>0</v>
      </c>
      <c r="M9" s="432" t="b">
        <v>0</v>
      </c>
      <c r="N9" s="432" t="b">
        <v>1</v>
      </c>
      <c r="O9" s="29" t="s">
        <v>1206</v>
      </c>
      <c r="P9" s="29"/>
      <c r="Q9" s="448"/>
      <c r="R9" s="448"/>
      <c r="S9" s="448"/>
      <c r="T9" s="29" t="s">
        <v>1203</v>
      </c>
      <c r="U9" s="443"/>
      <c r="V9" s="444"/>
      <c r="W9" s="445"/>
      <c r="X9" s="444">
        <v>63.14</v>
      </c>
      <c r="Y9" s="245">
        <v>312.49</v>
      </c>
      <c r="Z9" s="360"/>
      <c r="AA9" s="245"/>
      <c r="AB9" s="463"/>
      <c r="AC9" s="464"/>
      <c r="AD9" s="465"/>
      <c r="AE9" s="466"/>
      <c r="AF9" s="467"/>
      <c r="AG9" s="482"/>
      <c r="AH9" s="483"/>
      <c r="AI9" s="483"/>
      <c r="AJ9" s="487">
        <f t="shared" ref="AJ9:AK9" si="44">V9+(V9*$AJ$2)</f>
        <v>0</v>
      </c>
      <c r="AK9" s="475">
        <f t="shared" si="44"/>
        <v>0</v>
      </c>
      <c r="AL9" s="485">
        <f t="shared" ref="AL9:AM9" si="45">AJ9-Z9</f>
        <v>0</v>
      </c>
      <c r="AM9" s="485">
        <f t="shared" si="45"/>
        <v>0</v>
      </c>
      <c r="AN9" s="486">
        <f t="shared" si="8"/>
        <v>0</v>
      </c>
      <c r="AO9" s="487">
        <f t="shared" ref="AO9:AP9" si="46">V9+(V9*$AO$2)</f>
        <v>0</v>
      </c>
      <c r="AP9" s="475">
        <f t="shared" si="46"/>
        <v>0</v>
      </c>
      <c r="AQ9" s="432" t="b">
        <v>0</v>
      </c>
      <c r="AR9" s="485">
        <f t="shared" ref="AR9:AS9" si="47">AO9-Z9</f>
        <v>0</v>
      </c>
      <c r="AS9" s="485">
        <f t="shared" si="47"/>
        <v>0</v>
      </c>
      <c r="AT9" s="486">
        <f t="shared" si="11"/>
        <v>0</v>
      </c>
      <c r="AU9" s="301">
        <f t="shared" si="12"/>
        <v>382.5</v>
      </c>
      <c r="AV9" s="302">
        <v>450</v>
      </c>
      <c r="AW9" s="29">
        <v>425</v>
      </c>
      <c r="AX9" s="29">
        <v>475</v>
      </c>
      <c r="BB9" s="302"/>
      <c r="BC9" s="301"/>
      <c r="BD9" s="303"/>
      <c r="BE9" s="304"/>
      <c r="BF9" s="307"/>
      <c r="BG9" s="301"/>
      <c r="BH9" s="303"/>
      <c r="BI9" s="304"/>
      <c r="BK9" s="29"/>
      <c r="BL9" s="29"/>
      <c r="BP9" s="29"/>
      <c r="BQ9" s="29"/>
      <c r="BR9" s="29"/>
      <c r="BS9" s="29"/>
      <c r="BT9" s="29"/>
    </row>
    <row r="10" ht="12.75" spans="1:72">
      <c r="A10" s="29" t="s">
        <v>1044</v>
      </c>
      <c r="B10" s="29" t="s">
        <v>1195</v>
      </c>
      <c r="C10" s="426" t="s">
        <v>554</v>
      </c>
      <c r="D10" s="29" t="s">
        <v>1200</v>
      </c>
      <c r="E10" s="29"/>
      <c r="F10" s="207" t="b">
        <v>0</v>
      </c>
      <c r="G10" s="29" t="b">
        <v>1</v>
      </c>
      <c r="H10" s="29" t="b">
        <v>0</v>
      </c>
      <c r="I10" s="29" t="b">
        <v>0</v>
      </c>
      <c r="J10" s="29" t="b">
        <v>0</v>
      </c>
      <c r="K10" s="29" t="b">
        <v>1</v>
      </c>
      <c r="L10" s="29" t="b">
        <v>0</v>
      </c>
      <c r="M10" s="432" t="b">
        <v>0</v>
      </c>
      <c r="N10" s="432" t="b">
        <v>1</v>
      </c>
      <c r="O10" s="29" t="s">
        <v>1207</v>
      </c>
      <c r="P10" s="29"/>
      <c r="Q10" s="448"/>
      <c r="R10" s="448"/>
      <c r="S10" s="448"/>
      <c r="T10" s="29" t="s">
        <v>1203</v>
      </c>
      <c r="U10" s="443"/>
      <c r="V10" s="444"/>
      <c r="W10" s="445"/>
      <c r="X10" s="444">
        <v>62.9</v>
      </c>
      <c r="Y10" s="245" t="s">
        <v>117</v>
      </c>
      <c r="Z10" s="360"/>
      <c r="AA10" s="245"/>
      <c r="AB10" s="463"/>
      <c r="AC10" s="464"/>
      <c r="AD10" s="465"/>
      <c r="AE10" s="466"/>
      <c r="AF10" s="467"/>
      <c r="AG10" s="482"/>
      <c r="AH10" s="483"/>
      <c r="AI10" s="483"/>
      <c r="AJ10" s="487">
        <f t="shared" ref="AJ10:AK10" si="48">V10+(V10*$AJ$2)</f>
        <v>0</v>
      </c>
      <c r="AK10" s="475">
        <f t="shared" si="48"/>
        <v>0</v>
      </c>
      <c r="AL10" s="485">
        <f t="shared" ref="AL10:AM10" si="49">AJ10-Z10</f>
        <v>0</v>
      </c>
      <c r="AM10" s="485">
        <f t="shared" si="49"/>
        <v>0</v>
      </c>
      <c r="AN10" s="486">
        <f t="shared" si="8"/>
        <v>0</v>
      </c>
      <c r="AO10" s="487">
        <f t="shared" ref="AO10:AP10" si="50">V10+(V10*$AO$2)</f>
        <v>0</v>
      </c>
      <c r="AP10" s="475">
        <f t="shared" si="50"/>
        <v>0</v>
      </c>
      <c r="AQ10" s="432" t="b">
        <v>0</v>
      </c>
      <c r="AR10" s="485">
        <f t="shared" ref="AR10:AS10" si="51">AO10-Z10</f>
        <v>0</v>
      </c>
      <c r="AS10" s="485">
        <f t="shared" si="51"/>
        <v>0</v>
      </c>
      <c r="AT10" s="486">
        <f t="shared" si="11"/>
        <v>0</v>
      </c>
      <c r="AU10" s="301">
        <f t="shared" si="12"/>
        <v>382.5</v>
      </c>
      <c r="AV10" s="302">
        <v>450</v>
      </c>
      <c r="AW10" s="29">
        <v>425</v>
      </c>
      <c r="AX10" s="29">
        <v>475</v>
      </c>
      <c r="BB10" s="302"/>
      <c r="BC10" s="301"/>
      <c r="BD10" s="303"/>
      <c r="BE10" s="304"/>
      <c r="BF10" s="307"/>
      <c r="BG10" s="301"/>
      <c r="BH10" s="303"/>
      <c r="BI10" s="304"/>
      <c r="BK10" s="29"/>
      <c r="BL10" s="29"/>
      <c r="BP10" s="29"/>
      <c r="BQ10" s="29"/>
      <c r="BR10" s="29"/>
      <c r="BS10" s="29"/>
      <c r="BT10" s="29"/>
    </row>
    <row r="11" ht="12.75" spans="1:70">
      <c r="A11" s="29" t="s">
        <v>1038</v>
      </c>
      <c r="B11" s="29" t="s">
        <v>1195</v>
      </c>
      <c r="C11" s="426" t="s">
        <v>1208</v>
      </c>
      <c r="D11" s="308"/>
      <c r="E11" s="29" t="s">
        <v>13</v>
      </c>
      <c r="F11" s="207" t="b">
        <v>0</v>
      </c>
      <c r="G11" s="29" t="b">
        <v>1</v>
      </c>
      <c r="H11" s="29" t="b">
        <v>1</v>
      </c>
      <c r="I11" s="29" t="b">
        <v>0</v>
      </c>
      <c r="J11" s="29" t="b">
        <v>0</v>
      </c>
      <c r="K11" s="29" t="b">
        <v>1</v>
      </c>
      <c r="L11" s="29" t="b">
        <v>0</v>
      </c>
      <c r="M11" s="432" t="b">
        <v>0</v>
      </c>
      <c r="N11" s="432" t="b">
        <v>1</v>
      </c>
      <c r="O11" s="29" t="s">
        <v>1197</v>
      </c>
      <c r="P11" s="29" t="s">
        <v>120</v>
      </c>
      <c r="Q11" s="441">
        <f t="shared" ref="Q11:Q24" si="52">AV11</f>
        <v>425</v>
      </c>
      <c r="R11" s="441">
        <f t="shared" ref="R11:R24" si="53">Q11</f>
        <v>425</v>
      </c>
      <c r="S11" s="442" t="e">
        <f t="shared" ref="S11:S24" si="54">AJ11</f>
        <v>#VALUE!</v>
      </c>
      <c r="T11" s="308"/>
      <c r="U11" s="443"/>
      <c r="V11" s="446" t="str">
        <f t="shared" ref="V11:W11" si="55">X11</f>
        <v>-</v>
      </c>
      <c r="W11" s="447" t="str">
        <f t="shared" si="55"/>
        <v>-</v>
      </c>
      <c r="X11" s="444" t="s">
        <v>13</v>
      </c>
      <c r="Y11" s="245" t="s">
        <v>13</v>
      </c>
      <c r="Z11" s="245"/>
      <c r="AA11" s="245"/>
      <c r="AB11" s="463" t="e">
        <f t="shared" ref="AB11:AC11" si="56">V11-X11</f>
        <v>#VALUE!</v>
      </c>
      <c r="AC11" s="464" t="e">
        <f t="shared" si="56"/>
        <v>#VALUE!</v>
      </c>
      <c r="AD11" s="465" t="e">
        <f t="shared" ref="AD11:AE11" si="57">1-(V11/Z11)</f>
        <v>#VALUE!</v>
      </c>
      <c r="AE11" s="466" t="e">
        <f t="shared" si="57"/>
        <v>#VALUE!</v>
      </c>
      <c r="AF11" s="467"/>
      <c r="AG11" s="482"/>
      <c r="AH11" s="483"/>
      <c r="AI11" s="483"/>
      <c r="AJ11" s="487" t="e">
        <f t="shared" ref="AJ11:AK11" si="58">V11+(V11*$AJ$2)</f>
        <v>#VALUE!</v>
      </c>
      <c r="AK11" s="475" t="e">
        <f t="shared" si="58"/>
        <v>#VALUE!</v>
      </c>
      <c r="AL11" s="485" t="e">
        <f t="shared" ref="AL11:AM11" si="59">AJ11-Z11</f>
        <v>#VALUE!</v>
      </c>
      <c r="AM11" s="485" t="e">
        <f t="shared" si="59"/>
        <v>#VALUE!</v>
      </c>
      <c r="AN11" s="486" t="e">
        <f t="shared" si="8"/>
        <v>#VALUE!</v>
      </c>
      <c r="AO11" s="487" t="e">
        <f t="shared" ref="AO11:AP11" si="60">V11+(V11*$AO$2)</f>
        <v>#VALUE!</v>
      </c>
      <c r="AP11" s="475" t="e">
        <f t="shared" si="60"/>
        <v>#VALUE!</v>
      </c>
      <c r="AQ11" s="432" t="b">
        <v>0</v>
      </c>
      <c r="AR11" s="485" t="e">
        <f t="shared" ref="AR11:AS11" si="61">AO11-Z11</f>
        <v>#VALUE!</v>
      </c>
      <c r="AS11" s="485" t="e">
        <f t="shared" si="61"/>
        <v>#VALUE!</v>
      </c>
      <c r="AT11" s="486" t="e">
        <f t="shared" si="11"/>
        <v>#VALUE!</v>
      </c>
      <c r="AU11" s="301">
        <f t="shared" si="12"/>
        <v>315</v>
      </c>
      <c r="AV11" s="301">
        <f t="shared" ref="AV11:AV27" si="62">(AW11+AX11)/2</f>
        <v>425</v>
      </c>
      <c r="AW11" s="29">
        <v>350</v>
      </c>
      <c r="AX11" s="29">
        <v>500</v>
      </c>
      <c r="BB11" s="302">
        <f>AV11</f>
        <v>425</v>
      </c>
      <c r="BC11" s="301"/>
      <c r="BD11" s="303">
        <f>(BB11+BC11)/2</f>
        <v>212.5</v>
      </c>
      <c r="BE11" s="304" t="e">
        <f>BB11/BC11</f>
        <v>#DIV/0!</v>
      </c>
      <c r="BF11" s="307">
        <f>BB11*$BF$1</f>
        <v>170</v>
      </c>
      <c r="BG11" s="301"/>
      <c r="BH11" s="303">
        <f>(BF11+BG11)/2</f>
        <v>85</v>
      </c>
      <c r="BI11" s="304" t="e">
        <f>BF11/BG11</f>
        <v>#DIV/0!</v>
      </c>
      <c r="BK11" s="29"/>
      <c r="BL11" s="29"/>
      <c r="BQ11" s="308"/>
      <c r="BR11" s="308"/>
    </row>
    <row r="12" ht="12.75" spans="1:70">
      <c r="A12" s="29" t="s">
        <v>1038</v>
      </c>
      <c r="B12" s="29" t="s">
        <v>241</v>
      </c>
      <c r="C12" s="29" t="s">
        <v>467</v>
      </c>
      <c r="D12" s="308"/>
      <c r="F12" s="207" t="b">
        <v>1</v>
      </c>
      <c r="G12" s="29" t="b">
        <v>0</v>
      </c>
      <c r="H12" s="29" t="b">
        <v>0</v>
      </c>
      <c r="I12" s="29" t="b">
        <v>1</v>
      </c>
      <c r="J12" s="29" t="b">
        <v>0</v>
      </c>
      <c r="K12" s="29" t="b">
        <v>0</v>
      </c>
      <c r="L12" s="29" t="b">
        <v>0</v>
      </c>
      <c r="M12" s="432" t="s">
        <v>119</v>
      </c>
      <c r="N12" s="432" t="s">
        <v>119</v>
      </c>
      <c r="P12" s="29" t="s">
        <v>142</v>
      </c>
      <c r="Q12" s="441">
        <f t="shared" si="52"/>
        <v>500</v>
      </c>
      <c r="R12" s="441">
        <f t="shared" si="53"/>
        <v>500</v>
      </c>
      <c r="S12" s="442">
        <f t="shared" si="54"/>
        <v>333.88</v>
      </c>
      <c r="T12" s="29" t="s">
        <v>1209</v>
      </c>
      <c r="U12" s="443"/>
      <c r="V12" s="449">
        <v>166.94</v>
      </c>
      <c r="W12" s="445"/>
      <c r="X12" s="444"/>
      <c r="Y12" s="245"/>
      <c r="Z12" s="245"/>
      <c r="AA12" s="245"/>
      <c r="AB12" s="463">
        <f t="shared" ref="AB12:AC12" si="63">V12-X12</f>
        <v>166.94</v>
      </c>
      <c r="AC12" s="464">
        <f t="shared" si="63"/>
        <v>0</v>
      </c>
      <c r="AD12" s="465" t="e">
        <f t="shared" ref="AD12:AE12" si="64">1-(V12/Z12)</f>
        <v>#DIV/0!</v>
      </c>
      <c r="AE12" s="466" t="e">
        <f t="shared" si="64"/>
        <v>#DIV/0!</v>
      </c>
      <c r="AF12" s="467"/>
      <c r="AG12" s="482"/>
      <c r="AH12" s="483"/>
      <c r="AI12" s="483"/>
      <c r="AJ12" s="487">
        <f t="shared" ref="AJ12:AK12" si="65">V12+(V12*$AJ$2)</f>
        <v>333.88</v>
      </c>
      <c r="AK12" s="475">
        <f t="shared" si="65"/>
        <v>0</v>
      </c>
      <c r="AL12" s="485">
        <f t="shared" ref="AL12:AM12" si="66">AJ12-Z12</f>
        <v>333.88</v>
      </c>
      <c r="AM12" s="485">
        <f t="shared" si="66"/>
        <v>0</v>
      </c>
      <c r="AN12" s="486">
        <f t="shared" si="8"/>
        <v>1669.4</v>
      </c>
      <c r="AO12" s="487">
        <f t="shared" ref="AO12:AP12" si="67">V12+(V12*$AO$2)</f>
        <v>250.41</v>
      </c>
      <c r="AP12" s="475">
        <f t="shared" si="67"/>
        <v>0</v>
      </c>
      <c r="AQ12" s="432" t="s">
        <v>119</v>
      </c>
      <c r="AR12" s="485">
        <f t="shared" ref="AR12:AS12" si="68">AO12-Z12</f>
        <v>250.41</v>
      </c>
      <c r="AS12" s="485">
        <f t="shared" si="68"/>
        <v>0</v>
      </c>
      <c r="AT12" s="486">
        <f t="shared" si="11"/>
        <v>1252.05</v>
      </c>
      <c r="AU12" s="301">
        <f t="shared" si="12"/>
        <v>450</v>
      </c>
      <c r="AV12" s="301">
        <f t="shared" si="62"/>
        <v>500</v>
      </c>
      <c r="AW12" s="29">
        <v>500</v>
      </c>
      <c r="AX12" s="29">
        <v>500</v>
      </c>
      <c r="BB12" s="302"/>
      <c r="BC12" s="301"/>
      <c r="BD12" s="303"/>
      <c r="BE12" s="304"/>
      <c r="BF12" s="307"/>
      <c r="BG12" s="301"/>
      <c r="BH12" s="303"/>
      <c r="BI12" s="304"/>
      <c r="BK12" s="29"/>
      <c r="BL12" s="29"/>
      <c r="BQ12" s="308"/>
      <c r="BR12" s="308"/>
    </row>
    <row r="13" ht="12.75" spans="1:70">
      <c r="A13" s="29" t="s">
        <v>1022</v>
      </c>
      <c r="B13" s="29" t="s">
        <v>1195</v>
      </c>
      <c r="C13" s="29" t="s">
        <v>563</v>
      </c>
      <c r="D13" s="29" t="s">
        <v>1198</v>
      </c>
      <c r="E13" s="29" t="s">
        <v>13</v>
      </c>
      <c r="F13" s="207" t="b">
        <v>0</v>
      </c>
      <c r="G13" s="29" t="b">
        <v>1</v>
      </c>
      <c r="H13" s="29" t="b">
        <v>0</v>
      </c>
      <c r="I13" s="29" t="b">
        <v>0</v>
      </c>
      <c r="J13" s="29" t="b">
        <v>0</v>
      </c>
      <c r="K13" s="29" t="b">
        <v>0</v>
      </c>
      <c r="L13" s="29" t="b">
        <v>0</v>
      </c>
      <c r="M13" s="432" t="b">
        <v>0</v>
      </c>
      <c r="N13" s="432" t="b">
        <v>1</v>
      </c>
      <c r="P13" s="29" t="s">
        <v>120</v>
      </c>
      <c r="Q13" s="441">
        <f t="shared" si="52"/>
        <v>350</v>
      </c>
      <c r="R13" s="441">
        <f t="shared" si="53"/>
        <v>350</v>
      </c>
      <c r="S13" s="442">
        <f t="shared" si="54"/>
        <v>0</v>
      </c>
      <c r="T13" s="308"/>
      <c r="U13" s="443"/>
      <c r="V13" s="444"/>
      <c r="W13" s="445"/>
      <c r="X13" s="444">
        <v>32.55</v>
      </c>
      <c r="Y13" s="245">
        <v>159.63</v>
      </c>
      <c r="Z13" s="245"/>
      <c r="AA13" s="245"/>
      <c r="AB13" s="463">
        <f t="shared" ref="AB13:AC13" si="69">V13-X13</f>
        <v>-32.55</v>
      </c>
      <c r="AC13" s="464">
        <f t="shared" si="69"/>
        <v>-159.63</v>
      </c>
      <c r="AD13" s="465" t="e">
        <f t="shared" ref="AD13:AE13" si="70">1-(V13/Z13)</f>
        <v>#DIV/0!</v>
      </c>
      <c r="AE13" s="466" t="e">
        <f t="shared" si="70"/>
        <v>#DIV/0!</v>
      </c>
      <c r="AF13" s="467"/>
      <c r="AG13" s="482"/>
      <c r="AH13" s="483"/>
      <c r="AI13" s="483"/>
      <c r="AJ13" s="487">
        <f t="shared" ref="AJ13:AK13" si="71">V13+(V13*$AJ$2)</f>
        <v>0</v>
      </c>
      <c r="AK13" s="475">
        <f t="shared" si="71"/>
        <v>0</v>
      </c>
      <c r="AL13" s="485">
        <f t="shared" ref="AL13:AM13" si="72">AJ13-Z13</f>
        <v>0</v>
      </c>
      <c r="AM13" s="485">
        <f t="shared" si="72"/>
        <v>0</v>
      </c>
      <c r="AN13" s="486">
        <f t="shared" si="8"/>
        <v>0</v>
      </c>
      <c r="AO13" s="487">
        <f t="shared" ref="AO13:AP13" si="73">V13+(V13*$AO$2)</f>
        <v>0</v>
      </c>
      <c r="AP13" s="475">
        <f t="shared" si="73"/>
        <v>0</v>
      </c>
      <c r="AQ13" s="432" t="b">
        <v>0</v>
      </c>
      <c r="AR13" s="485">
        <f t="shared" ref="AR13:AS13" si="74">AO13-Z13</f>
        <v>0</v>
      </c>
      <c r="AS13" s="485">
        <f t="shared" si="74"/>
        <v>0</v>
      </c>
      <c r="AT13" s="486">
        <f t="shared" si="11"/>
        <v>0</v>
      </c>
      <c r="AU13" s="301">
        <f t="shared" si="12"/>
        <v>292.5</v>
      </c>
      <c r="AV13" s="301">
        <f t="shared" si="62"/>
        <v>350</v>
      </c>
      <c r="AW13" s="29">
        <v>325</v>
      </c>
      <c r="AX13" s="29">
        <v>375</v>
      </c>
      <c r="BB13" s="302">
        <f>AV13</f>
        <v>350</v>
      </c>
      <c r="BC13" s="301"/>
      <c r="BD13" s="303">
        <f>(BB13+BC13)/2</f>
        <v>175</v>
      </c>
      <c r="BE13" s="304" t="e">
        <f>BB13/BC13</f>
        <v>#DIV/0!</v>
      </c>
      <c r="BF13" s="307">
        <f>BB13*$BF$1</f>
        <v>140</v>
      </c>
      <c r="BG13" s="301"/>
      <c r="BH13" s="303">
        <f>(BF13+BG13)/2</f>
        <v>70</v>
      </c>
      <c r="BI13" s="304" t="e">
        <f>BF13/BG13</f>
        <v>#DIV/0!</v>
      </c>
      <c r="BK13" s="29"/>
      <c r="BL13" s="29"/>
      <c r="BQ13" s="308"/>
      <c r="BR13" s="308"/>
    </row>
    <row r="14" ht="12.75" spans="1:70">
      <c r="A14" s="29" t="s">
        <v>1038</v>
      </c>
      <c r="B14" s="29" t="s">
        <v>1195</v>
      </c>
      <c r="C14" s="288" t="s">
        <v>566</v>
      </c>
      <c r="D14" s="308"/>
      <c r="E14" s="29" t="s">
        <v>1210</v>
      </c>
      <c r="F14" s="207" t="b">
        <v>1</v>
      </c>
      <c r="G14" s="29" t="b">
        <v>0</v>
      </c>
      <c r="H14" s="29" t="b">
        <v>0</v>
      </c>
      <c r="I14" s="29" t="b">
        <v>0</v>
      </c>
      <c r="J14" s="29" t="b">
        <v>0</v>
      </c>
      <c r="K14" s="29" t="b">
        <v>0</v>
      </c>
      <c r="L14" s="29" t="b">
        <v>0</v>
      </c>
      <c r="M14" s="432" t="b">
        <v>0</v>
      </c>
      <c r="N14" s="432" t="b">
        <v>1</v>
      </c>
      <c r="P14" s="29"/>
      <c r="Q14" s="441">
        <f t="shared" si="52"/>
        <v>350</v>
      </c>
      <c r="R14" s="441">
        <f t="shared" si="53"/>
        <v>350</v>
      </c>
      <c r="S14" s="442">
        <f t="shared" si="54"/>
        <v>109.24</v>
      </c>
      <c r="T14" s="308"/>
      <c r="U14" s="443"/>
      <c r="V14" s="446">
        <f t="shared" ref="V14:W14" si="75">X14</f>
        <v>54.62</v>
      </c>
      <c r="W14" s="447">
        <f t="shared" si="75"/>
        <v>270.02</v>
      </c>
      <c r="X14" s="444">
        <v>54.62</v>
      </c>
      <c r="Y14" s="245">
        <v>270.02</v>
      </c>
      <c r="Z14" s="245"/>
      <c r="AA14" s="245"/>
      <c r="AB14" s="463">
        <f t="shared" ref="AB14:AC14" si="76">V14-X14</f>
        <v>0</v>
      </c>
      <c r="AC14" s="464">
        <f t="shared" si="76"/>
        <v>0</v>
      </c>
      <c r="AD14" s="465" t="e">
        <f t="shared" ref="AD14:AE14" si="77">1-(V14/Z14)</f>
        <v>#DIV/0!</v>
      </c>
      <c r="AE14" s="466" t="e">
        <f t="shared" si="77"/>
        <v>#DIV/0!</v>
      </c>
      <c r="AF14" s="467"/>
      <c r="AG14" s="482"/>
      <c r="AH14" s="483"/>
      <c r="AI14" s="483"/>
      <c r="AJ14" s="487">
        <f t="shared" ref="AJ14:AK14" si="78">V14+(V14*$AJ$2)</f>
        <v>109.24</v>
      </c>
      <c r="AK14" s="475">
        <f t="shared" si="78"/>
        <v>540.04</v>
      </c>
      <c r="AL14" s="485">
        <f t="shared" ref="AL14:AM14" si="79">AJ14-Z14</f>
        <v>109.24</v>
      </c>
      <c r="AM14" s="485">
        <f t="shared" si="79"/>
        <v>540.04</v>
      </c>
      <c r="AN14" s="486">
        <f t="shared" si="8"/>
        <v>6.15999999999997</v>
      </c>
      <c r="AO14" s="487">
        <f t="shared" ref="AO14:AP14" si="80">V14+(V14*$AO$2)</f>
        <v>81.93</v>
      </c>
      <c r="AP14" s="475">
        <f t="shared" si="80"/>
        <v>405.03</v>
      </c>
      <c r="AQ14" s="432" t="b">
        <v>1</v>
      </c>
      <c r="AR14" s="485">
        <f t="shared" ref="AR14:AS14" si="81">AO14-Z14</f>
        <v>81.93</v>
      </c>
      <c r="AS14" s="485">
        <f t="shared" si="81"/>
        <v>405.03</v>
      </c>
      <c r="AT14" s="486">
        <f t="shared" si="11"/>
        <v>4.62</v>
      </c>
      <c r="AU14" s="301">
        <f t="shared" si="12"/>
        <v>292.5</v>
      </c>
      <c r="AV14" s="301">
        <f t="shared" si="62"/>
        <v>350</v>
      </c>
      <c r="AW14" s="29">
        <v>325</v>
      </c>
      <c r="AX14" s="29">
        <v>375</v>
      </c>
      <c r="BB14" s="302"/>
      <c r="BC14" s="301"/>
      <c r="BD14" s="303"/>
      <c r="BE14" s="304"/>
      <c r="BF14" s="307"/>
      <c r="BG14" s="301"/>
      <c r="BH14" s="303"/>
      <c r="BI14" s="304"/>
      <c r="BK14" s="29"/>
      <c r="BL14" s="29"/>
      <c r="BQ14" s="308"/>
      <c r="BR14" s="308"/>
    </row>
    <row r="15" ht="12.75" spans="1:70">
      <c r="A15" s="29" t="s">
        <v>1038</v>
      </c>
      <c r="B15" s="29" t="s">
        <v>1195</v>
      </c>
      <c r="C15" s="288" t="s">
        <v>1211</v>
      </c>
      <c r="D15" s="308"/>
      <c r="E15" s="29" t="s">
        <v>1212</v>
      </c>
      <c r="F15" s="207" t="b">
        <v>1</v>
      </c>
      <c r="G15" s="29" t="b">
        <v>0</v>
      </c>
      <c r="H15" s="29" t="b">
        <v>0</v>
      </c>
      <c r="I15" s="29" t="b">
        <v>0</v>
      </c>
      <c r="J15" s="29" t="b">
        <v>0</v>
      </c>
      <c r="K15" s="29" t="b">
        <v>0</v>
      </c>
      <c r="L15" s="29" t="b">
        <v>0</v>
      </c>
      <c r="M15" s="432" t="b">
        <v>0</v>
      </c>
      <c r="N15" s="432" t="b">
        <v>1</v>
      </c>
      <c r="P15" s="29"/>
      <c r="Q15" s="441">
        <f t="shared" si="52"/>
        <v>300</v>
      </c>
      <c r="R15" s="441">
        <f t="shared" si="53"/>
        <v>300</v>
      </c>
      <c r="S15" s="442">
        <f t="shared" si="54"/>
        <v>107.98</v>
      </c>
      <c r="T15" s="308"/>
      <c r="U15" s="443"/>
      <c r="V15" s="446">
        <f t="shared" ref="V15:W15" si="82">X15</f>
        <v>53.99</v>
      </c>
      <c r="W15" s="447">
        <f t="shared" si="82"/>
        <v>266.98</v>
      </c>
      <c r="X15" s="444">
        <v>53.99</v>
      </c>
      <c r="Y15" s="245">
        <v>266.98</v>
      </c>
      <c r="Z15" s="245"/>
      <c r="AA15" s="245"/>
      <c r="AB15" s="463">
        <f t="shared" ref="AB15:AC15" si="83">V15-X15</f>
        <v>0</v>
      </c>
      <c r="AC15" s="464">
        <f t="shared" si="83"/>
        <v>0</v>
      </c>
      <c r="AD15" s="465" t="e">
        <f t="shared" ref="AD15:AE15" si="84">1-(V15/Z15)</f>
        <v>#DIV/0!</v>
      </c>
      <c r="AE15" s="466" t="e">
        <f t="shared" si="84"/>
        <v>#DIV/0!</v>
      </c>
      <c r="AF15" s="467"/>
      <c r="AG15" s="482"/>
      <c r="AH15" s="483"/>
      <c r="AI15" s="483"/>
      <c r="AJ15" s="487">
        <f t="shared" ref="AJ15:AK15" si="85">V15+(V15*$AJ$2)</f>
        <v>107.98</v>
      </c>
      <c r="AK15" s="475">
        <f t="shared" si="85"/>
        <v>533.96</v>
      </c>
      <c r="AL15" s="485">
        <f t="shared" ref="AL15:AM15" si="86">AJ15-Z15</f>
        <v>107.98</v>
      </c>
      <c r="AM15" s="485">
        <f t="shared" si="86"/>
        <v>533.96</v>
      </c>
      <c r="AN15" s="486">
        <f t="shared" si="8"/>
        <v>5.93999999999994</v>
      </c>
      <c r="AO15" s="487">
        <f t="shared" ref="AO15:AP15" si="87">V15+(V15*$AO$2)</f>
        <v>80.985</v>
      </c>
      <c r="AP15" s="475">
        <f t="shared" si="87"/>
        <v>400.47</v>
      </c>
      <c r="AQ15" s="432" t="b">
        <v>1</v>
      </c>
      <c r="AR15" s="485">
        <f t="shared" ref="AR15:AS15" si="88">AO15-Z15</f>
        <v>80.985</v>
      </c>
      <c r="AS15" s="485">
        <f t="shared" si="88"/>
        <v>400.47</v>
      </c>
      <c r="AT15" s="486">
        <f t="shared" si="11"/>
        <v>4.45499999999998</v>
      </c>
      <c r="AU15" s="301">
        <f t="shared" si="12"/>
        <v>247.5</v>
      </c>
      <c r="AV15" s="301">
        <f t="shared" si="62"/>
        <v>300</v>
      </c>
      <c r="AW15" s="29">
        <v>275</v>
      </c>
      <c r="AX15" s="29">
        <v>325</v>
      </c>
      <c r="BB15" s="302"/>
      <c r="BC15" s="301"/>
      <c r="BD15" s="303"/>
      <c r="BE15" s="304"/>
      <c r="BF15" s="307"/>
      <c r="BG15" s="301"/>
      <c r="BH15" s="303"/>
      <c r="BI15" s="304"/>
      <c r="BK15" s="29"/>
      <c r="BL15" s="29"/>
      <c r="BQ15" s="308"/>
      <c r="BR15" s="308"/>
    </row>
    <row r="16" ht="12.75" spans="1:70">
      <c r="A16" s="29" t="s">
        <v>1038</v>
      </c>
      <c r="B16" s="29" t="s">
        <v>1195</v>
      </c>
      <c r="C16" s="288" t="s">
        <v>572</v>
      </c>
      <c r="D16" s="308"/>
      <c r="E16" s="427" t="s">
        <v>1213</v>
      </c>
      <c r="F16" s="207" t="b">
        <v>1</v>
      </c>
      <c r="G16" s="29" t="b">
        <v>0</v>
      </c>
      <c r="H16" s="29" t="b">
        <v>0</v>
      </c>
      <c r="I16" s="29" t="b">
        <v>0</v>
      </c>
      <c r="J16" s="29" t="b">
        <v>0</v>
      </c>
      <c r="K16" s="29" t="b">
        <v>0</v>
      </c>
      <c r="L16" s="29" t="b">
        <v>0</v>
      </c>
      <c r="M16" s="432" t="b">
        <v>0</v>
      </c>
      <c r="N16" s="432" t="b">
        <v>1</v>
      </c>
      <c r="P16" s="29"/>
      <c r="Q16" s="441">
        <f t="shared" si="52"/>
        <v>350</v>
      </c>
      <c r="R16" s="441">
        <f t="shared" si="53"/>
        <v>350</v>
      </c>
      <c r="S16" s="442">
        <f t="shared" si="54"/>
        <v>114.72</v>
      </c>
      <c r="T16" s="308"/>
      <c r="U16" s="443"/>
      <c r="V16" s="446">
        <f t="shared" ref="V16:W16" si="89">X16</f>
        <v>57.36</v>
      </c>
      <c r="W16" s="447">
        <f t="shared" si="89"/>
        <v>283.64</v>
      </c>
      <c r="X16" s="444">
        <v>57.36</v>
      </c>
      <c r="Y16" s="245">
        <v>283.64</v>
      </c>
      <c r="Z16" s="245"/>
      <c r="AA16" s="245"/>
      <c r="AB16" s="463">
        <f t="shared" ref="AB16:AC16" si="90">V16-X16</f>
        <v>0</v>
      </c>
      <c r="AC16" s="464">
        <f t="shared" si="90"/>
        <v>0</v>
      </c>
      <c r="AD16" s="465" t="e">
        <f t="shared" ref="AD16:AE16" si="91">1-(V16/Z16)</f>
        <v>#DIV/0!</v>
      </c>
      <c r="AE16" s="466" t="e">
        <f t="shared" si="91"/>
        <v>#DIV/0!</v>
      </c>
      <c r="AF16" s="467"/>
      <c r="AG16" s="482"/>
      <c r="AH16" s="483"/>
      <c r="AI16" s="483"/>
      <c r="AJ16" s="487">
        <f t="shared" ref="AJ16:AK16" si="92">V16+(V16*$AJ$2)</f>
        <v>114.72</v>
      </c>
      <c r="AK16" s="475">
        <f t="shared" si="92"/>
        <v>567.28</v>
      </c>
      <c r="AL16" s="485">
        <f t="shared" ref="AL16:AM16" si="93">AJ16-Z16</f>
        <v>114.72</v>
      </c>
      <c r="AM16" s="485">
        <f t="shared" si="93"/>
        <v>567.28</v>
      </c>
      <c r="AN16" s="486">
        <f t="shared" si="8"/>
        <v>6.32000000000005</v>
      </c>
      <c r="AO16" s="487">
        <f t="shared" ref="AO16:AP16" si="94">V16+(V16*$AO$2)</f>
        <v>86.04</v>
      </c>
      <c r="AP16" s="475">
        <f t="shared" si="94"/>
        <v>425.46</v>
      </c>
      <c r="AQ16" s="432" t="b">
        <v>1</v>
      </c>
      <c r="AR16" s="485">
        <f t="shared" ref="AR16:AS16" si="95">AO16-Z16</f>
        <v>86.04</v>
      </c>
      <c r="AS16" s="485">
        <f t="shared" si="95"/>
        <v>425.46</v>
      </c>
      <c r="AT16" s="486">
        <f t="shared" si="11"/>
        <v>4.73999999999995</v>
      </c>
      <c r="AU16" s="301">
        <f t="shared" si="12"/>
        <v>292.5</v>
      </c>
      <c r="AV16" s="301">
        <f t="shared" si="62"/>
        <v>350</v>
      </c>
      <c r="AW16" s="29">
        <v>325</v>
      </c>
      <c r="AX16" s="29">
        <v>375</v>
      </c>
      <c r="BB16" s="302"/>
      <c r="BC16" s="301"/>
      <c r="BD16" s="303"/>
      <c r="BE16" s="304"/>
      <c r="BF16" s="307"/>
      <c r="BG16" s="301"/>
      <c r="BH16" s="303"/>
      <c r="BI16" s="304"/>
      <c r="BK16" s="29"/>
      <c r="BL16" s="29"/>
      <c r="BQ16" s="308"/>
      <c r="BR16" s="308"/>
    </row>
    <row r="17" ht="12.75" spans="1:70">
      <c r="A17" s="29" t="s">
        <v>1038</v>
      </c>
      <c r="B17" s="29" t="s">
        <v>1195</v>
      </c>
      <c r="C17" s="288" t="s">
        <v>1214</v>
      </c>
      <c r="D17" s="308"/>
      <c r="E17" s="29" t="s">
        <v>1215</v>
      </c>
      <c r="F17" s="207" t="b">
        <v>1</v>
      </c>
      <c r="G17" s="29" t="b">
        <v>0</v>
      </c>
      <c r="H17" s="29" t="b">
        <v>0</v>
      </c>
      <c r="I17" s="29" t="b">
        <v>0</v>
      </c>
      <c r="J17" s="29" t="b">
        <v>0</v>
      </c>
      <c r="K17" s="29" t="b">
        <v>0</v>
      </c>
      <c r="L17" s="29" t="b">
        <v>0</v>
      </c>
      <c r="M17" s="432" t="b">
        <v>0</v>
      </c>
      <c r="N17" s="432" t="b">
        <v>1</v>
      </c>
      <c r="P17" s="29"/>
      <c r="Q17" s="441">
        <f t="shared" si="52"/>
        <v>300</v>
      </c>
      <c r="R17" s="441">
        <f t="shared" si="53"/>
        <v>300</v>
      </c>
      <c r="S17" s="442">
        <f t="shared" si="54"/>
        <v>96.42</v>
      </c>
      <c r="T17" s="308"/>
      <c r="U17" s="443"/>
      <c r="V17" s="446">
        <f t="shared" ref="V17:W17" si="96">X17</f>
        <v>48.21</v>
      </c>
      <c r="W17" s="447" t="str">
        <f t="shared" si="96"/>
        <v>N/A</v>
      </c>
      <c r="X17" s="444">
        <v>48.21</v>
      </c>
      <c r="Y17" s="245" t="s">
        <v>117</v>
      </c>
      <c r="Z17" s="245"/>
      <c r="AA17" s="245"/>
      <c r="AB17" s="463">
        <f t="shared" ref="AB17:AC17" si="97">V17-X17</f>
        <v>0</v>
      </c>
      <c r="AC17" s="464" t="e">
        <f t="shared" si="97"/>
        <v>#VALUE!</v>
      </c>
      <c r="AD17" s="465" t="e">
        <f t="shared" ref="AD17:AE17" si="98">1-(V17/Z17)</f>
        <v>#DIV/0!</v>
      </c>
      <c r="AE17" s="466" t="e">
        <f t="shared" si="98"/>
        <v>#VALUE!</v>
      </c>
      <c r="AF17" s="467"/>
      <c r="AG17" s="482"/>
      <c r="AH17" s="483"/>
      <c r="AI17" s="483"/>
      <c r="AJ17" s="487">
        <f t="shared" ref="AJ17:AK17" si="99">V17+(V17*$AJ$2)</f>
        <v>96.42</v>
      </c>
      <c r="AK17" s="475" t="e">
        <f t="shared" si="99"/>
        <v>#VALUE!</v>
      </c>
      <c r="AL17" s="485">
        <f t="shared" ref="AL17:AM17" si="100">AJ17-Z17</f>
        <v>96.42</v>
      </c>
      <c r="AM17" s="485" t="e">
        <f t="shared" si="100"/>
        <v>#VALUE!</v>
      </c>
      <c r="AN17" s="486" t="e">
        <f t="shared" si="8"/>
        <v>#VALUE!</v>
      </c>
      <c r="AO17" s="487">
        <f t="shared" ref="AO17:AP17" si="101">V17+(V17*$AO$2)</f>
        <v>72.315</v>
      </c>
      <c r="AP17" s="475" t="e">
        <f t="shared" si="101"/>
        <v>#VALUE!</v>
      </c>
      <c r="AQ17" s="432" t="b">
        <v>1</v>
      </c>
      <c r="AR17" s="485">
        <f t="shared" ref="AR17:AS17" si="102">AO17-Z17</f>
        <v>72.315</v>
      </c>
      <c r="AS17" s="485" t="e">
        <f t="shared" si="102"/>
        <v>#VALUE!</v>
      </c>
      <c r="AT17" s="486" t="e">
        <f t="shared" si="11"/>
        <v>#VALUE!</v>
      </c>
      <c r="AU17" s="301">
        <f t="shared" si="12"/>
        <v>247.5</v>
      </c>
      <c r="AV17" s="301">
        <f t="shared" si="62"/>
        <v>300</v>
      </c>
      <c r="AW17" s="29">
        <v>275</v>
      </c>
      <c r="AX17" s="29">
        <v>325</v>
      </c>
      <c r="BB17" s="302"/>
      <c r="BC17" s="301"/>
      <c r="BD17" s="303"/>
      <c r="BE17" s="304"/>
      <c r="BF17" s="307"/>
      <c r="BG17" s="301"/>
      <c r="BH17" s="303"/>
      <c r="BI17" s="304"/>
      <c r="BK17" s="29"/>
      <c r="BL17" s="29"/>
      <c r="BQ17" s="308"/>
      <c r="BR17" s="308"/>
    </row>
    <row r="18" ht="12.75" spans="1:70">
      <c r="A18" s="29" t="s">
        <v>1038</v>
      </c>
      <c r="B18" s="29" t="s">
        <v>1195</v>
      </c>
      <c r="C18" s="288" t="s">
        <v>578</v>
      </c>
      <c r="D18" s="308"/>
      <c r="E18" s="427" t="s">
        <v>1216</v>
      </c>
      <c r="F18" s="207" t="b">
        <v>1</v>
      </c>
      <c r="G18" s="29" t="b">
        <v>0</v>
      </c>
      <c r="H18" s="29" t="b">
        <v>0</v>
      </c>
      <c r="I18" s="29" t="b">
        <v>0</v>
      </c>
      <c r="J18" s="29" t="b">
        <v>0</v>
      </c>
      <c r="K18" s="29" t="b">
        <v>0</v>
      </c>
      <c r="L18" s="29" t="b">
        <v>0</v>
      </c>
      <c r="M18" s="432" t="b">
        <v>0</v>
      </c>
      <c r="N18" s="432" t="b">
        <v>1</v>
      </c>
      <c r="P18" s="29"/>
      <c r="Q18" s="441">
        <f t="shared" si="52"/>
        <v>300</v>
      </c>
      <c r="R18" s="441">
        <f t="shared" si="53"/>
        <v>300</v>
      </c>
      <c r="S18" s="442">
        <f t="shared" si="54"/>
        <v>95.12</v>
      </c>
      <c r="T18" s="308"/>
      <c r="U18" s="443"/>
      <c r="V18" s="446">
        <f t="shared" ref="V18:W18" si="103">X18</f>
        <v>47.56</v>
      </c>
      <c r="W18" s="447">
        <f t="shared" si="103"/>
        <v>234.63</v>
      </c>
      <c r="X18" s="444">
        <v>47.56</v>
      </c>
      <c r="Y18" s="245">
        <v>234.63</v>
      </c>
      <c r="Z18" s="245"/>
      <c r="AA18" s="245"/>
      <c r="AB18" s="463">
        <f t="shared" ref="AB18:AC18" si="104">V18-X18</f>
        <v>0</v>
      </c>
      <c r="AC18" s="464">
        <f t="shared" si="104"/>
        <v>0</v>
      </c>
      <c r="AD18" s="465" t="e">
        <f t="shared" ref="AD18:AE18" si="105">1-(V18/Z18)</f>
        <v>#DIV/0!</v>
      </c>
      <c r="AE18" s="466" t="e">
        <f t="shared" si="105"/>
        <v>#DIV/0!</v>
      </c>
      <c r="AF18" s="467"/>
      <c r="AG18" s="482"/>
      <c r="AH18" s="483"/>
      <c r="AI18" s="483"/>
      <c r="AJ18" s="487">
        <f t="shared" ref="AJ18:AK18" si="106">V18+(V18*$AJ$2)</f>
        <v>95.12</v>
      </c>
      <c r="AK18" s="475">
        <f t="shared" si="106"/>
        <v>469.26</v>
      </c>
      <c r="AL18" s="485">
        <f t="shared" ref="AL18:AM18" si="107">AJ18-Z18</f>
        <v>95.12</v>
      </c>
      <c r="AM18" s="485">
        <f t="shared" si="107"/>
        <v>469.26</v>
      </c>
      <c r="AN18" s="486">
        <f t="shared" si="8"/>
        <v>6.34000000000003</v>
      </c>
      <c r="AO18" s="487">
        <f t="shared" ref="AO18:AP18" si="108">V18+(V18*$AO$2)</f>
        <v>71.34</v>
      </c>
      <c r="AP18" s="475">
        <f t="shared" si="108"/>
        <v>351.945</v>
      </c>
      <c r="AQ18" s="432" t="b">
        <v>1</v>
      </c>
      <c r="AR18" s="485">
        <f t="shared" ref="AR18:AS18" si="109">AO18-Z18</f>
        <v>71.34</v>
      </c>
      <c r="AS18" s="485">
        <f t="shared" si="109"/>
        <v>351.945</v>
      </c>
      <c r="AT18" s="486">
        <f t="shared" si="11"/>
        <v>4.75500000000005</v>
      </c>
      <c r="AU18" s="301">
        <f t="shared" si="12"/>
        <v>247.5</v>
      </c>
      <c r="AV18" s="301">
        <f t="shared" si="62"/>
        <v>300</v>
      </c>
      <c r="AW18" s="29">
        <v>275</v>
      </c>
      <c r="AX18" s="29">
        <v>325</v>
      </c>
      <c r="BB18" s="302"/>
      <c r="BC18" s="301"/>
      <c r="BD18" s="303"/>
      <c r="BE18" s="304"/>
      <c r="BF18" s="307"/>
      <c r="BG18" s="301"/>
      <c r="BH18" s="303"/>
      <c r="BI18" s="304"/>
      <c r="BK18" s="29"/>
      <c r="BL18" s="29"/>
      <c r="BQ18" s="308"/>
      <c r="BR18" s="308"/>
    </row>
    <row r="19" ht="12.75" spans="1:70">
      <c r="A19" s="29" t="s">
        <v>1044</v>
      </c>
      <c r="B19" s="29" t="s">
        <v>1195</v>
      </c>
      <c r="C19" s="29" t="s">
        <v>581</v>
      </c>
      <c r="D19" s="29" t="s">
        <v>1200</v>
      </c>
      <c r="E19" s="29" t="s">
        <v>1217</v>
      </c>
      <c r="F19" s="207" t="b">
        <v>0</v>
      </c>
      <c r="G19" s="29" t="b">
        <v>1</v>
      </c>
      <c r="H19" s="29" t="b">
        <v>0</v>
      </c>
      <c r="I19" s="29" t="b">
        <v>0</v>
      </c>
      <c r="J19" s="29" t="b">
        <v>0</v>
      </c>
      <c r="K19" s="29" t="b">
        <v>1</v>
      </c>
      <c r="L19" s="29" t="b">
        <v>0</v>
      </c>
      <c r="M19" s="432" t="b">
        <v>1</v>
      </c>
      <c r="N19" s="432" t="b">
        <v>0</v>
      </c>
      <c r="O19" s="29" t="s">
        <v>1218</v>
      </c>
      <c r="P19" s="29" t="s">
        <v>120</v>
      </c>
      <c r="Q19" s="441">
        <f t="shared" si="52"/>
        <v>0</v>
      </c>
      <c r="R19" s="441">
        <f t="shared" si="53"/>
        <v>0</v>
      </c>
      <c r="S19" s="442">
        <f t="shared" si="54"/>
        <v>0</v>
      </c>
      <c r="T19" s="308"/>
      <c r="U19" s="443"/>
      <c r="V19" s="446"/>
      <c r="W19" s="447"/>
      <c r="X19" s="446"/>
      <c r="Y19" s="454"/>
      <c r="Z19" s="454"/>
      <c r="AA19" s="454"/>
      <c r="AB19" s="463">
        <f t="shared" ref="AB19:AC19" si="110">V19-X19</f>
        <v>0</v>
      </c>
      <c r="AC19" s="464">
        <f t="shared" si="110"/>
        <v>0</v>
      </c>
      <c r="AD19" s="465" t="e">
        <f t="shared" ref="AD19:AE19" si="111">1-(V19/Z19)</f>
        <v>#DIV/0!</v>
      </c>
      <c r="AE19" s="466" t="e">
        <f t="shared" si="111"/>
        <v>#DIV/0!</v>
      </c>
      <c r="AF19" s="467"/>
      <c r="AG19" s="482"/>
      <c r="AH19" s="483"/>
      <c r="AI19" s="483"/>
      <c r="AJ19" s="487">
        <f t="shared" ref="AJ19:AK19" si="112">V19+(V19*$AJ$2)</f>
        <v>0</v>
      </c>
      <c r="AK19" s="475">
        <f t="shared" si="112"/>
        <v>0</v>
      </c>
      <c r="AL19" s="485">
        <f t="shared" ref="AL19:AM19" si="113">AJ19-Z19</f>
        <v>0</v>
      </c>
      <c r="AM19" s="485">
        <f t="shared" si="113"/>
        <v>0</v>
      </c>
      <c r="AN19" s="486">
        <f t="shared" si="8"/>
        <v>0</v>
      </c>
      <c r="AO19" s="487">
        <f t="shared" ref="AO19:AP19" si="114">V19+(V19*$AO$2)</f>
        <v>0</v>
      </c>
      <c r="AP19" s="475">
        <f t="shared" si="114"/>
        <v>0</v>
      </c>
      <c r="AQ19" s="432" t="b">
        <v>0</v>
      </c>
      <c r="AR19" s="485">
        <f t="shared" ref="AR19:AS19" si="115">AO19-Z19</f>
        <v>0</v>
      </c>
      <c r="AS19" s="485">
        <f t="shared" si="115"/>
        <v>0</v>
      </c>
      <c r="AT19" s="486">
        <f t="shared" si="11"/>
        <v>0</v>
      </c>
      <c r="AU19" s="301">
        <f t="shared" si="12"/>
        <v>0</v>
      </c>
      <c r="AV19" s="301">
        <f t="shared" si="62"/>
        <v>0</v>
      </c>
      <c r="BB19" s="302">
        <f t="shared" ref="BB19:BB24" si="116">AV19</f>
        <v>0</v>
      </c>
      <c r="BC19" s="301"/>
      <c r="BD19" s="303">
        <f t="shared" ref="BD19:BD24" si="117">(BB19+BC19)/2</f>
        <v>0</v>
      </c>
      <c r="BE19" s="304" t="e">
        <f t="shared" ref="BE19:BE24" si="118">BB19/BC19</f>
        <v>#DIV/0!</v>
      </c>
      <c r="BF19" s="307">
        <f t="shared" ref="BF19:BF24" si="119">BB19*$BF$1</f>
        <v>0</v>
      </c>
      <c r="BG19" s="301"/>
      <c r="BH19" s="303">
        <f t="shared" ref="BH19:BH24" si="120">(BF19+BG19)/2</f>
        <v>0</v>
      </c>
      <c r="BI19" s="304" t="e">
        <f t="shared" ref="BI19:BI24" si="121">BF19/BG19</f>
        <v>#DIV/0!</v>
      </c>
      <c r="BK19" s="29"/>
      <c r="BL19" s="29"/>
      <c r="BP19" s="29" t="s">
        <v>1204</v>
      </c>
      <c r="BQ19" s="29"/>
      <c r="BR19" s="29"/>
    </row>
    <row r="20" ht="12.75" spans="1:70">
      <c r="A20" s="29" t="s">
        <v>1044</v>
      </c>
      <c r="B20" s="29" t="s">
        <v>1195</v>
      </c>
      <c r="C20" s="29" t="s">
        <v>581</v>
      </c>
      <c r="D20" s="29" t="s">
        <v>1200</v>
      </c>
      <c r="F20" s="207" t="b">
        <v>0</v>
      </c>
      <c r="G20" s="29" t="b">
        <v>1</v>
      </c>
      <c r="H20" s="29" t="b">
        <v>0</v>
      </c>
      <c r="I20" s="29" t="b">
        <v>0</v>
      </c>
      <c r="J20" s="29" t="b">
        <v>0</v>
      </c>
      <c r="K20" s="29" t="b">
        <v>1</v>
      </c>
      <c r="L20" s="29" t="b">
        <v>0</v>
      </c>
      <c r="M20" s="432" t="b">
        <v>1</v>
      </c>
      <c r="N20" s="432" t="b">
        <v>0</v>
      </c>
      <c r="P20" s="29" t="s">
        <v>120</v>
      </c>
      <c r="Q20" s="441">
        <f t="shared" si="52"/>
        <v>0</v>
      </c>
      <c r="R20" s="441">
        <f t="shared" si="53"/>
        <v>0</v>
      </c>
      <c r="S20" s="442">
        <f t="shared" si="54"/>
        <v>0</v>
      </c>
      <c r="T20" s="308"/>
      <c r="U20" s="443"/>
      <c r="V20" s="446"/>
      <c r="W20" s="447"/>
      <c r="X20" s="446"/>
      <c r="Y20" s="454"/>
      <c r="Z20" s="454"/>
      <c r="AA20" s="454"/>
      <c r="AB20" s="463">
        <f t="shared" ref="AB20:AC20" si="122">V20-X20</f>
        <v>0</v>
      </c>
      <c r="AC20" s="464">
        <f t="shared" si="122"/>
        <v>0</v>
      </c>
      <c r="AD20" s="465" t="e">
        <f t="shared" ref="AD20:AE20" si="123">1-(V20/Z20)</f>
        <v>#DIV/0!</v>
      </c>
      <c r="AE20" s="466" t="e">
        <f t="shared" si="123"/>
        <v>#DIV/0!</v>
      </c>
      <c r="AF20" s="467"/>
      <c r="AG20" s="482"/>
      <c r="AH20" s="483"/>
      <c r="AI20" s="483"/>
      <c r="AJ20" s="487">
        <f t="shared" ref="AJ20:AK20" si="124">V20+(V20*$AJ$2)</f>
        <v>0</v>
      </c>
      <c r="AK20" s="475">
        <f t="shared" si="124"/>
        <v>0</v>
      </c>
      <c r="AL20" s="485">
        <f t="shared" ref="AL20:AM20" si="125">AJ20-Z20</f>
        <v>0</v>
      </c>
      <c r="AM20" s="485">
        <f t="shared" si="125"/>
        <v>0</v>
      </c>
      <c r="AN20" s="486">
        <f t="shared" si="8"/>
        <v>0</v>
      </c>
      <c r="AO20" s="487">
        <f t="shared" ref="AO20:AP20" si="126">V20+(V20*$AO$2)</f>
        <v>0</v>
      </c>
      <c r="AP20" s="475">
        <f t="shared" si="126"/>
        <v>0</v>
      </c>
      <c r="AQ20" s="432" t="b">
        <v>0</v>
      </c>
      <c r="AR20" s="485">
        <f t="shared" ref="AR20:AS20" si="127">AO20-Z20</f>
        <v>0</v>
      </c>
      <c r="AS20" s="485">
        <f t="shared" si="127"/>
        <v>0</v>
      </c>
      <c r="AT20" s="486">
        <f t="shared" si="11"/>
        <v>0</v>
      </c>
      <c r="AU20" s="301">
        <f t="shared" si="12"/>
        <v>0</v>
      </c>
      <c r="AV20" s="301">
        <f t="shared" si="62"/>
        <v>0</v>
      </c>
      <c r="BB20" s="302">
        <f t="shared" si="116"/>
        <v>0</v>
      </c>
      <c r="BC20" s="301"/>
      <c r="BD20" s="303">
        <f t="shared" si="117"/>
        <v>0</v>
      </c>
      <c r="BE20" s="304" t="e">
        <f t="shared" si="118"/>
        <v>#DIV/0!</v>
      </c>
      <c r="BF20" s="307">
        <f t="shared" si="119"/>
        <v>0</v>
      </c>
      <c r="BG20" s="301"/>
      <c r="BH20" s="303">
        <f t="shared" si="120"/>
        <v>0</v>
      </c>
      <c r="BI20" s="304" t="e">
        <f t="shared" si="121"/>
        <v>#DIV/0!</v>
      </c>
      <c r="BK20" s="29"/>
      <c r="BL20" s="29"/>
      <c r="BP20" s="29" t="s">
        <v>1204</v>
      </c>
      <c r="BQ20" s="29"/>
      <c r="BR20" s="29"/>
    </row>
    <row r="21" ht="12.75" spans="1:70">
      <c r="A21" s="29" t="s">
        <v>1038</v>
      </c>
      <c r="B21" s="29" t="s">
        <v>1195</v>
      </c>
      <c r="C21" s="426" t="s">
        <v>1219</v>
      </c>
      <c r="D21" s="308"/>
      <c r="E21" s="29" t="s">
        <v>1220</v>
      </c>
      <c r="F21" s="207" t="b">
        <v>0</v>
      </c>
      <c r="G21" s="29" t="b">
        <v>1</v>
      </c>
      <c r="H21" s="29" t="b">
        <v>1</v>
      </c>
      <c r="I21" s="29" t="b">
        <v>0</v>
      </c>
      <c r="J21" s="29" t="b">
        <v>0</v>
      </c>
      <c r="K21" s="29" t="b">
        <v>1</v>
      </c>
      <c r="L21" s="29" t="b">
        <v>0</v>
      </c>
      <c r="M21" s="432" t="b">
        <v>0</v>
      </c>
      <c r="N21" s="432" t="b">
        <v>1</v>
      </c>
      <c r="O21" s="29" t="s">
        <v>1221</v>
      </c>
      <c r="P21" s="29" t="s">
        <v>120</v>
      </c>
      <c r="Q21" s="441">
        <f t="shared" si="52"/>
        <v>62.5</v>
      </c>
      <c r="R21" s="441">
        <f t="shared" si="53"/>
        <v>62.5</v>
      </c>
      <c r="S21" s="442">
        <f t="shared" si="54"/>
        <v>0</v>
      </c>
      <c r="T21" s="29" t="s">
        <v>1222</v>
      </c>
      <c r="U21" s="443"/>
      <c r="V21" s="446">
        <f t="shared" ref="V21:W21" si="128">X21</f>
        <v>0</v>
      </c>
      <c r="W21" s="447">
        <f t="shared" si="128"/>
        <v>0</v>
      </c>
      <c r="X21" s="446"/>
      <c r="Y21" s="454"/>
      <c r="Z21" s="454"/>
      <c r="AA21" s="454"/>
      <c r="AB21" s="463">
        <f t="shared" ref="AB21:AC21" si="129">V21-X21</f>
        <v>0</v>
      </c>
      <c r="AC21" s="464">
        <f t="shared" si="129"/>
        <v>0</v>
      </c>
      <c r="AD21" s="465" t="e">
        <f t="shared" ref="AD21:AE21" si="130">1-(V21/Z21)</f>
        <v>#DIV/0!</v>
      </c>
      <c r="AE21" s="466" t="e">
        <f t="shared" si="130"/>
        <v>#DIV/0!</v>
      </c>
      <c r="AF21" s="467"/>
      <c r="AG21" s="482"/>
      <c r="AH21" s="483"/>
      <c r="AI21" s="483"/>
      <c r="AJ21" s="487">
        <f t="shared" ref="AJ21:AK21" si="131">V21+(V21*$AJ$2)</f>
        <v>0</v>
      </c>
      <c r="AK21" s="475">
        <f t="shared" si="131"/>
        <v>0</v>
      </c>
      <c r="AL21" s="485">
        <f t="shared" ref="AL21:AM21" si="132">AJ21-Z21</f>
        <v>0</v>
      </c>
      <c r="AM21" s="485">
        <f t="shared" si="132"/>
        <v>0</v>
      </c>
      <c r="AN21" s="486">
        <f t="shared" si="8"/>
        <v>0</v>
      </c>
      <c r="AO21" s="487">
        <f t="shared" ref="AO21:AP21" si="133">V21+(V21*$AO$2)</f>
        <v>0</v>
      </c>
      <c r="AP21" s="475">
        <f t="shared" si="133"/>
        <v>0</v>
      </c>
      <c r="AQ21" s="432" t="b">
        <v>0</v>
      </c>
      <c r="AR21" s="485">
        <f t="shared" ref="AR21:AS21" si="134">AO21-Z21</f>
        <v>0</v>
      </c>
      <c r="AS21" s="485">
        <f t="shared" si="134"/>
        <v>0</v>
      </c>
      <c r="AT21" s="486">
        <f t="shared" si="11"/>
        <v>0</v>
      </c>
      <c r="AU21" s="301">
        <f t="shared" si="12"/>
        <v>0</v>
      </c>
      <c r="AV21" s="301">
        <f t="shared" si="62"/>
        <v>62.5</v>
      </c>
      <c r="AW21" s="29"/>
      <c r="AX21" s="29">
        <v>125</v>
      </c>
      <c r="BB21" s="302">
        <f t="shared" si="116"/>
        <v>62.5</v>
      </c>
      <c r="BC21" s="301"/>
      <c r="BD21" s="303">
        <f t="shared" si="117"/>
        <v>31.25</v>
      </c>
      <c r="BE21" s="304" t="e">
        <f t="shared" si="118"/>
        <v>#DIV/0!</v>
      </c>
      <c r="BF21" s="307">
        <f t="shared" si="119"/>
        <v>25</v>
      </c>
      <c r="BG21" s="301"/>
      <c r="BH21" s="303">
        <f t="shared" si="120"/>
        <v>12.5</v>
      </c>
      <c r="BI21" s="304" t="e">
        <f t="shared" si="121"/>
        <v>#DIV/0!</v>
      </c>
      <c r="BK21" s="29"/>
      <c r="BL21" s="29"/>
      <c r="BQ21" s="308"/>
      <c r="BR21" s="308"/>
    </row>
    <row r="22" ht="12.75" spans="1:70">
      <c r="A22" s="29" t="s">
        <v>1044</v>
      </c>
      <c r="B22" s="29" t="s">
        <v>1195</v>
      </c>
      <c r="C22" s="426" t="s">
        <v>1223</v>
      </c>
      <c r="D22" s="29" t="s">
        <v>1200</v>
      </c>
      <c r="E22" s="29" t="s">
        <v>1224</v>
      </c>
      <c r="F22" s="207" t="b">
        <v>0</v>
      </c>
      <c r="G22" s="29" t="b">
        <v>1</v>
      </c>
      <c r="H22" s="29" t="b">
        <v>0</v>
      </c>
      <c r="I22" s="29" t="b">
        <v>0</v>
      </c>
      <c r="J22" s="29" t="b">
        <v>0</v>
      </c>
      <c r="K22" s="29" t="b">
        <v>1</v>
      </c>
      <c r="L22" s="29" t="b">
        <v>0</v>
      </c>
      <c r="M22" s="432" t="b">
        <v>0</v>
      </c>
      <c r="N22" s="432" t="b">
        <v>1</v>
      </c>
      <c r="P22" s="29" t="s">
        <v>120</v>
      </c>
      <c r="Q22" s="441">
        <f t="shared" si="52"/>
        <v>375</v>
      </c>
      <c r="R22" s="441">
        <f t="shared" si="53"/>
        <v>375</v>
      </c>
      <c r="S22" s="442">
        <f t="shared" si="54"/>
        <v>0</v>
      </c>
      <c r="T22" s="308"/>
      <c r="U22" s="443"/>
      <c r="V22" s="444"/>
      <c r="W22" s="445"/>
      <c r="X22" s="444">
        <v>78.99</v>
      </c>
      <c r="Y22" s="245">
        <v>394.95</v>
      </c>
      <c r="Z22" s="245"/>
      <c r="AA22" s="245"/>
      <c r="AB22" s="463">
        <f t="shared" ref="AB22:AC22" si="135">V22-X22</f>
        <v>-78.99</v>
      </c>
      <c r="AC22" s="464">
        <f t="shared" si="135"/>
        <v>-394.95</v>
      </c>
      <c r="AD22" s="465" t="e">
        <f t="shared" ref="AD22:AE22" si="136">1-(V22/Z22)</f>
        <v>#DIV/0!</v>
      </c>
      <c r="AE22" s="466" t="e">
        <f t="shared" si="136"/>
        <v>#DIV/0!</v>
      </c>
      <c r="AF22" s="467"/>
      <c r="AG22" s="482"/>
      <c r="AH22" s="483"/>
      <c r="AI22" s="483"/>
      <c r="AJ22" s="487">
        <f t="shared" ref="AJ22:AK22" si="137">V22+(V22*$AJ$2)</f>
        <v>0</v>
      </c>
      <c r="AK22" s="475">
        <f t="shared" si="137"/>
        <v>0</v>
      </c>
      <c r="AL22" s="485">
        <f t="shared" ref="AL22:AM22" si="138">AJ22-Z22</f>
        <v>0</v>
      </c>
      <c r="AM22" s="485">
        <f t="shared" si="138"/>
        <v>0</v>
      </c>
      <c r="AN22" s="486">
        <f t="shared" si="8"/>
        <v>0</v>
      </c>
      <c r="AO22" s="487">
        <f t="shared" ref="AO22:AP22" si="139">V22+(V22*$AO$2)</f>
        <v>0</v>
      </c>
      <c r="AP22" s="475">
        <f t="shared" si="139"/>
        <v>0</v>
      </c>
      <c r="AQ22" s="432" t="b">
        <v>0</v>
      </c>
      <c r="AR22" s="485">
        <f t="shared" ref="AR22:AS22" si="140">AO22-Z22</f>
        <v>0</v>
      </c>
      <c r="AS22" s="485">
        <f t="shared" si="140"/>
        <v>0</v>
      </c>
      <c r="AT22" s="486">
        <f t="shared" si="11"/>
        <v>0</v>
      </c>
      <c r="AU22" s="301">
        <f t="shared" si="12"/>
        <v>315</v>
      </c>
      <c r="AV22" s="301">
        <f t="shared" si="62"/>
        <v>375</v>
      </c>
      <c r="AW22" s="29">
        <v>350</v>
      </c>
      <c r="AX22" s="29">
        <v>400</v>
      </c>
      <c r="BB22" s="302">
        <f t="shared" si="116"/>
        <v>375</v>
      </c>
      <c r="BC22" s="301"/>
      <c r="BD22" s="303">
        <f t="shared" si="117"/>
        <v>187.5</v>
      </c>
      <c r="BE22" s="304" t="e">
        <f t="shared" si="118"/>
        <v>#DIV/0!</v>
      </c>
      <c r="BF22" s="307">
        <f t="shared" si="119"/>
        <v>150</v>
      </c>
      <c r="BG22" s="301"/>
      <c r="BH22" s="303">
        <f t="shared" si="120"/>
        <v>75</v>
      </c>
      <c r="BI22" s="304" t="e">
        <f t="shared" si="121"/>
        <v>#DIV/0!</v>
      </c>
      <c r="BK22" s="29"/>
      <c r="BL22" s="29"/>
      <c r="BQ22" s="29"/>
      <c r="BR22" s="29"/>
    </row>
    <row r="23" ht="12.75" spans="1:70">
      <c r="A23" s="29" t="s">
        <v>1044</v>
      </c>
      <c r="B23" s="29" t="s">
        <v>1195</v>
      </c>
      <c r="C23" s="288" t="s">
        <v>1225</v>
      </c>
      <c r="D23" s="308"/>
      <c r="E23" s="29" t="s">
        <v>1201</v>
      </c>
      <c r="F23" s="207" t="b">
        <v>1</v>
      </c>
      <c r="G23" s="29" t="b">
        <v>0</v>
      </c>
      <c r="H23" s="29" t="b">
        <v>0</v>
      </c>
      <c r="I23" s="29" t="b">
        <v>1</v>
      </c>
      <c r="J23" s="29" t="b">
        <v>0</v>
      </c>
      <c r="K23" s="29" t="b">
        <v>1</v>
      </c>
      <c r="L23" s="29" t="b">
        <v>0</v>
      </c>
      <c r="M23" s="432" t="b">
        <v>0</v>
      </c>
      <c r="N23" s="432" t="b">
        <v>1</v>
      </c>
      <c r="P23" s="29" t="s">
        <v>120</v>
      </c>
      <c r="Q23" s="441">
        <f t="shared" si="52"/>
        <v>375</v>
      </c>
      <c r="R23" s="441">
        <f t="shared" si="53"/>
        <v>375</v>
      </c>
      <c r="S23" s="442">
        <f t="shared" si="54"/>
        <v>0</v>
      </c>
      <c r="T23" s="308"/>
      <c r="U23" s="443"/>
      <c r="V23" s="444"/>
      <c r="W23" s="445"/>
      <c r="X23" s="444">
        <v>78.99</v>
      </c>
      <c r="Y23" s="245">
        <v>394.95</v>
      </c>
      <c r="Z23" s="245"/>
      <c r="AA23" s="245"/>
      <c r="AB23" s="463">
        <f t="shared" ref="AB23:AC23" si="141">V23-X23</f>
        <v>-78.99</v>
      </c>
      <c r="AC23" s="464">
        <f t="shared" si="141"/>
        <v>-394.95</v>
      </c>
      <c r="AD23" s="465" t="e">
        <f t="shared" ref="AD23:AE23" si="142">1-(V23/Z23)</f>
        <v>#DIV/0!</v>
      </c>
      <c r="AE23" s="466" t="e">
        <f t="shared" si="142"/>
        <v>#DIV/0!</v>
      </c>
      <c r="AF23" s="467"/>
      <c r="AG23" s="482"/>
      <c r="AH23" s="483"/>
      <c r="AI23" s="483"/>
      <c r="AJ23" s="487">
        <f t="shared" ref="AJ23:AK23" si="143">V23+(V23*$AJ$2)</f>
        <v>0</v>
      </c>
      <c r="AK23" s="475">
        <f t="shared" si="143"/>
        <v>0</v>
      </c>
      <c r="AL23" s="485">
        <f t="shared" ref="AL23:AM23" si="144">AJ23-Z23</f>
        <v>0</v>
      </c>
      <c r="AM23" s="485">
        <f t="shared" si="144"/>
        <v>0</v>
      </c>
      <c r="AN23" s="486">
        <f t="shared" si="8"/>
        <v>0</v>
      </c>
      <c r="AO23" s="487">
        <f t="shared" ref="AO23:AP23" si="145">V23+(V23*$AO$2)</f>
        <v>0</v>
      </c>
      <c r="AP23" s="475">
        <f t="shared" si="145"/>
        <v>0</v>
      </c>
      <c r="AQ23" s="432" t="b">
        <v>1</v>
      </c>
      <c r="AR23" s="485">
        <f t="shared" ref="AR23:AS23" si="146">AO23-Z23</f>
        <v>0</v>
      </c>
      <c r="AS23" s="485">
        <f t="shared" si="146"/>
        <v>0</v>
      </c>
      <c r="AT23" s="486">
        <f t="shared" si="11"/>
        <v>0</v>
      </c>
      <c r="AU23" s="301">
        <f t="shared" si="12"/>
        <v>315</v>
      </c>
      <c r="AV23" s="301">
        <f t="shared" si="62"/>
        <v>375</v>
      </c>
      <c r="AW23" s="29">
        <v>350</v>
      </c>
      <c r="AX23" s="29">
        <v>400</v>
      </c>
      <c r="BB23" s="302">
        <f t="shared" si="116"/>
        <v>375</v>
      </c>
      <c r="BC23" s="301"/>
      <c r="BD23" s="303">
        <f t="shared" si="117"/>
        <v>187.5</v>
      </c>
      <c r="BE23" s="304" t="e">
        <f t="shared" si="118"/>
        <v>#DIV/0!</v>
      </c>
      <c r="BF23" s="307">
        <f t="shared" si="119"/>
        <v>150</v>
      </c>
      <c r="BG23" s="301"/>
      <c r="BH23" s="303">
        <f t="shared" si="120"/>
        <v>75</v>
      </c>
      <c r="BI23" s="304" t="e">
        <f t="shared" si="121"/>
        <v>#DIV/0!</v>
      </c>
      <c r="BK23" s="29"/>
      <c r="BL23" s="29"/>
      <c r="BQ23" s="308"/>
      <c r="BR23" s="308"/>
    </row>
    <row r="24" ht="12.75" spans="1:70">
      <c r="A24" s="29" t="s">
        <v>1044</v>
      </c>
      <c r="B24" s="29" t="s">
        <v>1195</v>
      </c>
      <c r="C24" s="426" t="s">
        <v>1226</v>
      </c>
      <c r="D24" s="308"/>
      <c r="E24" s="29" t="s">
        <v>1227</v>
      </c>
      <c r="F24" s="207" t="b">
        <v>0</v>
      </c>
      <c r="G24" s="29" t="b">
        <v>1</v>
      </c>
      <c r="H24" s="29" t="b">
        <v>0</v>
      </c>
      <c r="I24" s="29" t="b">
        <v>0</v>
      </c>
      <c r="J24" s="29" t="b">
        <v>0</v>
      </c>
      <c r="K24" s="29" t="b">
        <v>1</v>
      </c>
      <c r="L24" s="29" t="b">
        <v>0</v>
      </c>
      <c r="M24" s="432" t="b">
        <v>0</v>
      </c>
      <c r="N24" s="432" t="b">
        <v>1</v>
      </c>
      <c r="P24" s="29" t="s">
        <v>120</v>
      </c>
      <c r="Q24" s="441">
        <f t="shared" si="52"/>
        <v>425</v>
      </c>
      <c r="R24" s="441">
        <f t="shared" si="53"/>
        <v>425</v>
      </c>
      <c r="S24" s="442">
        <f t="shared" si="54"/>
        <v>0</v>
      </c>
      <c r="T24" s="308"/>
      <c r="U24" s="443"/>
      <c r="V24" s="444"/>
      <c r="W24" s="445"/>
      <c r="X24" s="444">
        <v>78.99</v>
      </c>
      <c r="Y24" s="245">
        <v>394.95</v>
      </c>
      <c r="Z24" s="245"/>
      <c r="AA24" s="245"/>
      <c r="AB24" s="463">
        <f t="shared" ref="AB24:AC24" si="147">V24-X24</f>
        <v>-78.99</v>
      </c>
      <c r="AC24" s="464">
        <f t="shared" si="147"/>
        <v>-394.95</v>
      </c>
      <c r="AD24" s="465" t="e">
        <f t="shared" ref="AD24:AE24" si="148">1-(V24/Z24)</f>
        <v>#DIV/0!</v>
      </c>
      <c r="AE24" s="466" t="e">
        <f t="shared" si="148"/>
        <v>#DIV/0!</v>
      </c>
      <c r="AF24" s="467"/>
      <c r="AG24" s="482"/>
      <c r="AH24" s="483"/>
      <c r="AI24" s="483"/>
      <c r="AJ24" s="487">
        <f t="shared" ref="AJ24:AK24" si="149">V24+(V24*$AJ$2)</f>
        <v>0</v>
      </c>
      <c r="AK24" s="475">
        <f t="shared" si="149"/>
        <v>0</v>
      </c>
      <c r="AL24" s="485">
        <f t="shared" ref="AL24:AM24" si="150">AJ24-Z24</f>
        <v>0</v>
      </c>
      <c r="AM24" s="485">
        <f t="shared" si="150"/>
        <v>0</v>
      </c>
      <c r="AN24" s="486">
        <f t="shared" si="8"/>
        <v>0</v>
      </c>
      <c r="AO24" s="487">
        <f t="shared" ref="AO24:AP24" si="151">V24+(V24*$AO$2)</f>
        <v>0</v>
      </c>
      <c r="AP24" s="475">
        <f t="shared" si="151"/>
        <v>0</v>
      </c>
      <c r="AQ24" s="432" t="b">
        <v>0</v>
      </c>
      <c r="AR24" s="485">
        <f t="shared" ref="AR24:AS24" si="152">AO24-Z24</f>
        <v>0</v>
      </c>
      <c r="AS24" s="485">
        <f t="shared" si="152"/>
        <v>0</v>
      </c>
      <c r="AT24" s="486">
        <f t="shared" si="11"/>
        <v>0</v>
      </c>
      <c r="AU24" s="301">
        <f t="shared" si="12"/>
        <v>360</v>
      </c>
      <c r="AV24" s="301">
        <f t="shared" si="62"/>
        <v>425</v>
      </c>
      <c r="AW24" s="29">
        <v>400</v>
      </c>
      <c r="AX24" s="29">
        <v>450</v>
      </c>
      <c r="BB24" s="302">
        <f t="shared" si="116"/>
        <v>425</v>
      </c>
      <c r="BC24" s="301"/>
      <c r="BD24" s="303">
        <f t="shared" si="117"/>
        <v>212.5</v>
      </c>
      <c r="BE24" s="304" t="e">
        <f t="shared" si="118"/>
        <v>#DIV/0!</v>
      </c>
      <c r="BF24" s="307">
        <f t="shared" si="119"/>
        <v>170</v>
      </c>
      <c r="BG24" s="301"/>
      <c r="BH24" s="303">
        <f t="shared" si="120"/>
        <v>85</v>
      </c>
      <c r="BI24" s="304" t="e">
        <f t="shared" si="121"/>
        <v>#DIV/0!</v>
      </c>
      <c r="BK24" s="29"/>
      <c r="BL24" s="29"/>
      <c r="BQ24" s="308"/>
      <c r="BR24" s="308"/>
    </row>
    <row r="25" ht="12.75" spans="1:70">
      <c r="A25" s="29" t="s">
        <v>1044</v>
      </c>
      <c r="B25" s="29" t="s">
        <v>1195</v>
      </c>
      <c r="C25" s="426" t="s">
        <v>1228</v>
      </c>
      <c r="D25" s="308"/>
      <c r="E25" s="29" t="s">
        <v>1229</v>
      </c>
      <c r="F25" s="207" t="b">
        <v>0</v>
      </c>
      <c r="G25" s="29" t="b">
        <v>0</v>
      </c>
      <c r="H25" s="29" t="b">
        <v>0</v>
      </c>
      <c r="I25" s="29" t="b">
        <v>0</v>
      </c>
      <c r="J25" s="29" t="b">
        <v>0</v>
      </c>
      <c r="K25" s="29" t="b">
        <v>0</v>
      </c>
      <c r="L25" s="29" t="b">
        <v>0</v>
      </c>
      <c r="M25" s="432" t="b">
        <v>0</v>
      </c>
      <c r="N25" s="432" t="b">
        <v>1</v>
      </c>
      <c r="P25" s="29"/>
      <c r="Q25" s="448"/>
      <c r="R25" s="448"/>
      <c r="S25" s="448"/>
      <c r="T25" s="308"/>
      <c r="U25" s="443"/>
      <c r="V25" s="444"/>
      <c r="W25" s="445"/>
      <c r="X25" s="444">
        <v>78.99</v>
      </c>
      <c r="Y25" s="245" t="s">
        <v>117</v>
      </c>
      <c r="Z25" s="245"/>
      <c r="AA25" s="245"/>
      <c r="AB25" s="463"/>
      <c r="AC25" s="464"/>
      <c r="AD25" s="465"/>
      <c r="AE25" s="466"/>
      <c r="AF25" s="467"/>
      <c r="AG25" s="482"/>
      <c r="AH25" s="483"/>
      <c r="AI25" s="483"/>
      <c r="AJ25" s="487">
        <f t="shared" ref="AJ25:AK25" si="153">V25+(V25*$AJ$2)</f>
        <v>0</v>
      </c>
      <c r="AK25" s="475">
        <f t="shared" si="153"/>
        <v>0</v>
      </c>
      <c r="AL25" s="485">
        <f t="shared" ref="AL25:AM25" si="154">AJ25-Z25</f>
        <v>0</v>
      </c>
      <c r="AM25" s="485">
        <f t="shared" si="154"/>
        <v>0</v>
      </c>
      <c r="AN25" s="486">
        <f t="shared" si="8"/>
        <v>0</v>
      </c>
      <c r="AO25" s="487">
        <f t="shared" ref="AO25:AP25" si="155">V25+(V25*$AO$2)</f>
        <v>0</v>
      </c>
      <c r="AP25" s="475">
        <f t="shared" si="155"/>
        <v>0</v>
      </c>
      <c r="AQ25" s="432" t="b">
        <v>0</v>
      </c>
      <c r="AR25" s="485">
        <f t="shared" ref="AR25:AS25" si="156">AO25-Z25</f>
        <v>0</v>
      </c>
      <c r="AS25" s="485">
        <f t="shared" si="156"/>
        <v>0</v>
      </c>
      <c r="AT25" s="486">
        <f t="shared" si="11"/>
        <v>0</v>
      </c>
      <c r="AU25" s="301">
        <f t="shared" si="12"/>
        <v>315</v>
      </c>
      <c r="AV25" s="301">
        <f t="shared" si="62"/>
        <v>375</v>
      </c>
      <c r="AW25" s="29">
        <v>350</v>
      </c>
      <c r="AX25" s="29">
        <v>400</v>
      </c>
      <c r="BB25" s="302"/>
      <c r="BC25" s="301"/>
      <c r="BD25" s="303"/>
      <c r="BE25" s="304"/>
      <c r="BF25" s="307"/>
      <c r="BG25" s="301"/>
      <c r="BH25" s="303"/>
      <c r="BI25" s="304"/>
      <c r="BK25" s="29"/>
      <c r="BL25" s="29"/>
      <c r="BQ25" s="308"/>
      <c r="BR25" s="308"/>
    </row>
    <row r="26" ht="12.75" spans="1:70">
      <c r="A26" s="29" t="s">
        <v>1038</v>
      </c>
      <c r="B26" s="29" t="s">
        <v>1195</v>
      </c>
      <c r="C26" s="288" t="s">
        <v>597</v>
      </c>
      <c r="D26" s="29" t="s">
        <v>1200</v>
      </c>
      <c r="E26" s="29" t="s">
        <v>1217</v>
      </c>
      <c r="F26" s="207" t="b">
        <v>1</v>
      </c>
      <c r="G26" s="29" t="b">
        <v>0</v>
      </c>
      <c r="H26" s="29" t="b">
        <v>0</v>
      </c>
      <c r="I26" s="29" t="b">
        <v>0</v>
      </c>
      <c r="J26" s="29" t="b">
        <v>0</v>
      </c>
      <c r="K26" s="29" t="b">
        <v>1</v>
      </c>
      <c r="L26" s="29" t="b">
        <v>0</v>
      </c>
      <c r="M26" s="432" t="b">
        <v>1</v>
      </c>
      <c r="N26" s="432" t="b">
        <v>1</v>
      </c>
      <c r="O26" s="29" t="s">
        <v>1230</v>
      </c>
      <c r="P26" s="29" t="s">
        <v>120</v>
      </c>
      <c r="Q26" s="441">
        <f t="shared" ref="Q26:Q27" si="157">AV26</f>
        <v>300</v>
      </c>
      <c r="R26" s="441">
        <f t="shared" ref="R26:R27" si="158">Q26</f>
        <v>300</v>
      </c>
      <c r="S26" s="442">
        <f t="shared" ref="S26:S27" si="159">AJ26</f>
        <v>157.98</v>
      </c>
      <c r="T26" s="29" t="s">
        <v>1203</v>
      </c>
      <c r="U26" s="443"/>
      <c r="V26" s="446">
        <f t="shared" ref="V26:W26" si="160">X26</f>
        <v>78.99</v>
      </c>
      <c r="W26" s="447">
        <f t="shared" si="160"/>
        <v>394.95</v>
      </c>
      <c r="X26" s="446">
        <v>78.99</v>
      </c>
      <c r="Y26" s="454">
        <v>394.95</v>
      </c>
      <c r="Z26" s="454"/>
      <c r="AA26" s="454"/>
      <c r="AB26" s="463">
        <f t="shared" ref="AB26:AC26" si="161">V26-X26</f>
        <v>0</v>
      </c>
      <c r="AC26" s="464">
        <f t="shared" si="161"/>
        <v>0</v>
      </c>
      <c r="AD26" s="465" t="e">
        <f t="shared" ref="AD26:AE26" si="162">1-(V26/Z26)</f>
        <v>#DIV/0!</v>
      </c>
      <c r="AE26" s="466" t="e">
        <f t="shared" si="162"/>
        <v>#DIV/0!</v>
      </c>
      <c r="AF26" s="467"/>
      <c r="AG26" s="482"/>
      <c r="AH26" s="483"/>
      <c r="AI26" s="483"/>
      <c r="AJ26" s="487">
        <f t="shared" ref="AJ26:AK26" si="163">V26+(V26*$AJ$2)</f>
        <v>157.98</v>
      </c>
      <c r="AK26" s="475">
        <f t="shared" si="163"/>
        <v>789.9</v>
      </c>
      <c r="AL26" s="485">
        <f t="shared" ref="AL26:AM26" si="164">AJ26-Z26</f>
        <v>157.98</v>
      </c>
      <c r="AM26" s="485">
        <f t="shared" si="164"/>
        <v>789.9</v>
      </c>
      <c r="AN26" s="486">
        <f t="shared" si="8"/>
        <v>0</v>
      </c>
      <c r="AO26" s="487">
        <f t="shared" ref="AO26:AP26" si="165">V26+(V26*$AO$2)</f>
        <v>118.485</v>
      </c>
      <c r="AP26" s="475">
        <f t="shared" si="165"/>
        <v>592.425</v>
      </c>
      <c r="AQ26" s="432" t="b">
        <v>1</v>
      </c>
      <c r="AR26" s="485">
        <f t="shared" ref="AR26:AS26" si="166">AO26-Z26</f>
        <v>118.485</v>
      </c>
      <c r="AS26" s="485">
        <f t="shared" si="166"/>
        <v>592.425</v>
      </c>
      <c r="AT26" s="486">
        <f t="shared" si="11"/>
        <v>0</v>
      </c>
      <c r="AU26" s="301">
        <f t="shared" si="12"/>
        <v>225</v>
      </c>
      <c r="AV26" s="301">
        <f t="shared" si="62"/>
        <v>300</v>
      </c>
      <c r="AW26" s="29">
        <v>250</v>
      </c>
      <c r="AX26" s="29">
        <v>350</v>
      </c>
      <c r="AY26" s="494">
        <v>45293</v>
      </c>
      <c r="AZ26" s="494"/>
      <c r="BA26" s="494"/>
      <c r="BB26" s="302">
        <f t="shared" ref="BB26:BB27" si="167">AV26</f>
        <v>300</v>
      </c>
      <c r="BC26" s="301"/>
      <c r="BD26" s="303">
        <f t="shared" ref="BD26:BD27" si="168">(BB26+BC26)/2</f>
        <v>150</v>
      </c>
      <c r="BE26" s="304" t="e">
        <f t="shared" ref="BE26:BE27" si="169">BB26/BC26</f>
        <v>#DIV/0!</v>
      </c>
      <c r="BF26" s="307">
        <f t="shared" ref="BF26:BF27" si="170">BB26*$BF$1</f>
        <v>120</v>
      </c>
      <c r="BG26" s="301"/>
      <c r="BH26" s="303">
        <f t="shared" ref="BH26:BH27" si="171">(BF26+BG26)/2</f>
        <v>60</v>
      </c>
      <c r="BI26" s="304" t="e">
        <f t="shared" ref="BI26:BI27" si="172">BF26/BG26</f>
        <v>#DIV/0!</v>
      </c>
      <c r="BK26" s="29"/>
      <c r="BL26" s="29"/>
      <c r="BP26" s="29" t="s">
        <v>1204</v>
      </c>
      <c r="BQ26" s="29"/>
      <c r="BR26" s="29"/>
    </row>
    <row r="27" ht="12.75" spans="1:70">
      <c r="A27" s="29" t="s">
        <v>1038</v>
      </c>
      <c r="B27" s="29" t="s">
        <v>1195</v>
      </c>
      <c r="C27" s="288" t="s">
        <v>600</v>
      </c>
      <c r="D27" s="29" t="s">
        <v>1200</v>
      </c>
      <c r="E27" s="29" t="s">
        <v>1231</v>
      </c>
      <c r="F27" s="207" t="b">
        <v>1</v>
      </c>
      <c r="G27" s="29" t="b">
        <v>0</v>
      </c>
      <c r="H27" s="29" t="b">
        <v>0</v>
      </c>
      <c r="I27" s="29" t="b">
        <v>0</v>
      </c>
      <c r="J27" s="29" t="b">
        <v>0</v>
      </c>
      <c r="K27" s="29" t="b">
        <v>1</v>
      </c>
      <c r="L27" s="29" t="b">
        <v>0</v>
      </c>
      <c r="M27" s="432" t="b">
        <v>1</v>
      </c>
      <c r="N27" s="432" t="b">
        <v>1</v>
      </c>
      <c r="O27" s="29" t="s">
        <v>1232</v>
      </c>
      <c r="P27" s="29" t="s">
        <v>120</v>
      </c>
      <c r="Q27" s="441">
        <f t="shared" si="157"/>
        <v>300</v>
      </c>
      <c r="R27" s="441">
        <f t="shared" si="158"/>
        <v>300</v>
      </c>
      <c r="S27" s="442">
        <f t="shared" si="159"/>
        <v>157.98</v>
      </c>
      <c r="T27" s="308"/>
      <c r="U27" s="443"/>
      <c r="V27" s="446">
        <f t="shared" ref="V27:W27" si="173">X27</f>
        <v>78.99</v>
      </c>
      <c r="W27" s="447">
        <f t="shared" si="173"/>
        <v>394.95</v>
      </c>
      <c r="X27" s="446">
        <v>78.99</v>
      </c>
      <c r="Y27" s="454">
        <v>394.95</v>
      </c>
      <c r="Z27" s="454"/>
      <c r="AA27" s="454"/>
      <c r="AB27" s="463">
        <f t="shared" ref="AB27:AC27" si="174">V27-X27</f>
        <v>0</v>
      </c>
      <c r="AC27" s="464">
        <f t="shared" si="174"/>
        <v>0</v>
      </c>
      <c r="AD27" s="465" t="e">
        <f t="shared" ref="AD27:AE27" si="175">1-(V27/Z27)</f>
        <v>#DIV/0!</v>
      </c>
      <c r="AE27" s="466" t="e">
        <f t="shared" si="175"/>
        <v>#DIV/0!</v>
      </c>
      <c r="AF27" s="467"/>
      <c r="AG27" s="482"/>
      <c r="AH27" s="483"/>
      <c r="AI27" s="483"/>
      <c r="AJ27" s="487">
        <f t="shared" ref="AJ27:AK27" si="176">V27+(V27*$AJ$2)</f>
        <v>157.98</v>
      </c>
      <c r="AK27" s="475">
        <f t="shared" si="176"/>
        <v>789.9</v>
      </c>
      <c r="AL27" s="485">
        <f t="shared" ref="AL27:AM27" si="177">AJ27-Z27</f>
        <v>157.98</v>
      </c>
      <c r="AM27" s="485">
        <f t="shared" si="177"/>
        <v>789.9</v>
      </c>
      <c r="AN27" s="486">
        <f t="shared" si="8"/>
        <v>0</v>
      </c>
      <c r="AO27" s="487">
        <f t="shared" ref="AO27:AP27" si="178">V27+(V27*$AO$2)</f>
        <v>118.485</v>
      </c>
      <c r="AP27" s="475">
        <f t="shared" si="178"/>
        <v>592.425</v>
      </c>
      <c r="AQ27" s="432" t="b">
        <v>1</v>
      </c>
      <c r="AR27" s="485">
        <f t="shared" ref="AR27:AS27" si="179">AO27-Z27</f>
        <v>118.485</v>
      </c>
      <c r="AS27" s="485">
        <f t="shared" si="179"/>
        <v>592.425</v>
      </c>
      <c r="AT27" s="486">
        <f t="shared" si="11"/>
        <v>0</v>
      </c>
      <c r="AU27" s="301">
        <f t="shared" si="12"/>
        <v>225</v>
      </c>
      <c r="AV27" s="301">
        <f t="shared" si="62"/>
        <v>300</v>
      </c>
      <c r="AW27" s="29">
        <v>250</v>
      </c>
      <c r="AX27" s="29">
        <v>350</v>
      </c>
      <c r="AY27" s="494">
        <v>45293</v>
      </c>
      <c r="AZ27" s="494"/>
      <c r="BA27" s="494"/>
      <c r="BB27" s="302">
        <f t="shared" si="167"/>
        <v>300</v>
      </c>
      <c r="BC27" s="301"/>
      <c r="BD27" s="303">
        <f t="shared" si="168"/>
        <v>150</v>
      </c>
      <c r="BE27" s="304" t="e">
        <f t="shared" si="169"/>
        <v>#DIV/0!</v>
      </c>
      <c r="BF27" s="307">
        <f t="shared" si="170"/>
        <v>120</v>
      </c>
      <c r="BG27" s="301"/>
      <c r="BH27" s="303">
        <f t="shared" si="171"/>
        <v>60</v>
      </c>
      <c r="BI27" s="304" t="e">
        <f t="shared" si="172"/>
        <v>#DIV/0!</v>
      </c>
      <c r="BK27" s="29"/>
      <c r="BL27" s="29"/>
      <c r="BP27" s="29" t="s">
        <v>1204</v>
      </c>
      <c r="BQ27" s="29"/>
      <c r="BR27" s="29"/>
    </row>
    <row r="28" ht="12.75" spans="1:70">
      <c r="A28" s="29" t="s">
        <v>1038</v>
      </c>
      <c r="B28" s="29" t="s">
        <v>1195</v>
      </c>
      <c r="C28" s="426" t="s">
        <v>1233</v>
      </c>
      <c r="D28" s="29" t="s">
        <v>1200</v>
      </c>
      <c r="E28" s="29" t="s">
        <v>1234</v>
      </c>
      <c r="F28" s="207" t="b">
        <v>0</v>
      </c>
      <c r="G28" s="29" t="b">
        <v>1</v>
      </c>
      <c r="H28" s="29" t="b">
        <v>0</v>
      </c>
      <c r="I28" s="29" t="b">
        <v>0</v>
      </c>
      <c r="J28" s="29" t="b">
        <v>0</v>
      </c>
      <c r="K28" s="29" t="b">
        <v>0</v>
      </c>
      <c r="L28" s="29" t="b">
        <v>0</v>
      </c>
      <c r="M28" s="432" t="b">
        <v>0</v>
      </c>
      <c r="N28" s="432" t="b">
        <v>1</v>
      </c>
      <c r="O28" s="29" t="s">
        <v>1235</v>
      </c>
      <c r="P28" s="29"/>
      <c r="Q28" s="448"/>
      <c r="R28" s="448"/>
      <c r="S28" s="448"/>
      <c r="T28" s="308"/>
      <c r="U28" s="443"/>
      <c r="V28" s="446">
        <f t="shared" ref="V28:W28" si="180">X28</f>
        <v>78.99</v>
      </c>
      <c r="W28" s="447" t="str">
        <f t="shared" si="180"/>
        <v>N/A</v>
      </c>
      <c r="X28" s="446">
        <v>78.99</v>
      </c>
      <c r="Y28" s="454" t="s">
        <v>117</v>
      </c>
      <c r="Z28" s="454"/>
      <c r="AA28" s="454"/>
      <c r="AB28" s="463"/>
      <c r="AC28" s="464"/>
      <c r="AD28" s="465"/>
      <c r="AE28" s="466"/>
      <c r="AF28" s="467"/>
      <c r="AG28" s="482"/>
      <c r="AH28" s="483"/>
      <c r="AI28" s="483"/>
      <c r="AJ28" s="487">
        <f t="shared" ref="AJ28:AK28" si="181">V28+(V28*$AJ$2)</f>
        <v>157.98</v>
      </c>
      <c r="AK28" s="475" t="e">
        <f t="shared" si="181"/>
        <v>#VALUE!</v>
      </c>
      <c r="AL28" s="485">
        <f t="shared" ref="AL28:AM28" si="182">AJ28-Z28</f>
        <v>157.98</v>
      </c>
      <c r="AM28" s="485" t="e">
        <f t="shared" si="182"/>
        <v>#VALUE!</v>
      </c>
      <c r="AN28" s="486" t="e">
        <f t="shared" si="8"/>
        <v>#VALUE!</v>
      </c>
      <c r="AO28" s="487">
        <f t="shared" ref="AO28:AP28" si="183">V28+(V28*$AO$2)</f>
        <v>118.485</v>
      </c>
      <c r="AP28" s="475" t="e">
        <f t="shared" si="183"/>
        <v>#VALUE!</v>
      </c>
      <c r="AQ28" s="432" t="b">
        <v>1</v>
      </c>
      <c r="AR28" s="485">
        <f t="shared" ref="AR28:AS28" si="184">AO28-Z28</f>
        <v>118.485</v>
      </c>
      <c r="AS28" s="485" t="e">
        <f t="shared" si="184"/>
        <v>#VALUE!</v>
      </c>
      <c r="AT28" s="486" t="e">
        <f t="shared" si="11"/>
        <v>#VALUE!</v>
      </c>
      <c r="AU28" s="301">
        <f t="shared" si="12"/>
        <v>337.5</v>
      </c>
      <c r="AV28" s="302">
        <v>400</v>
      </c>
      <c r="AW28" s="29">
        <v>375</v>
      </c>
      <c r="AX28" s="29">
        <v>425</v>
      </c>
      <c r="AY28" s="494"/>
      <c r="AZ28" s="494"/>
      <c r="BA28" s="494"/>
      <c r="BB28" s="302"/>
      <c r="BC28" s="301"/>
      <c r="BD28" s="303"/>
      <c r="BE28" s="304"/>
      <c r="BF28" s="307"/>
      <c r="BG28" s="301"/>
      <c r="BH28" s="303"/>
      <c r="BI28" s="304"/>
      <c r="BK28" s="29"/>
      <c r="BL28" s="29"/>
      <c r="BP28" s="29"/>
      <c r="BQ28" s="29"/>
      <c r="BR28" s="29"/>
    </row>
    <row r="29" ht="12.75" spans="1:70">
      <c r="A29" s="29" t="s">
        <v>1038</v>
      </c>
      <c r="B29" s="29" t="s">
        <v>1195</v>
      </c>
      <c r="C29" s="288" t="s">
        <v>606</v>
      </c>
      <c r="D29" s="29" t="s">
        <v>1200</v>
      </c>
      <c r="E29" s="29" t="s">
        <v>1201</v>
      </c>
      <c r="F29" s="207" t="b">
        <v>1</v>
      </c>
      <c r="G29" s="29" t="b">
        <v>0</v>
      </c>
      <c r="H29" s="29" t="b">
        <v>0</v>
      </c>
      <c r="I29" s="29" t="b">
        <v>0</v>
      </c>
      <c r="J29" s="29" t="b">
        <v>0</v>
      </c>
      <c r="K29" s="29" t="b">
        <v>1</v>
      </c>
      <c r="L29" s="29" t="b">
        <v>0</v>
      </c>
      <c r="M29" s="432" t="b">
        <v>1</v>
      </c>
      <c r="N29" s="432" t="b">
        <v>1</v>
      </c>
      <c r="O29" s="29" t="s">
        <v>1236</v>
      </c>
      <c r="P29" s="29" t="s">
        <v>120</v>
      </c>
      <c r="Q29" s="441">
        <f t="shared" ref="Q29:Q120" si="185">AV29</f>
        <v>300</v>
      </c>
      <c r="R29" s="441">
        <f t="shared" ref="R29:R120" si="186">Q29</f>
        <v>300</v>
      </c>
      <c r="S29" s="442">
        <f t="shared" ref="S29:S88" si="187">AJ29</f>
        <v>157.98</v>
      </c>
      <c r="T29" s="308"/>
      <c r="U29" s="443"/>
      <c r="V29" s="446">
        <f t="shared" ref="V29:W29" si="188">X29</f>
        <v>78.99</v>
      </c>
      <c r="W29" s="447" t="str">
        <f t="shared" si="188"/>
        <v>N/A</v>
      </c>
      <c r="X29" s="446">
        <v>78.99</v>
      </c>
      <c r="Y29" s="454" t="s">
        <v>117</v>
      </c>
      <c r="Z29" s="454"/>
      <c r="AA29" s="454"/>
      <c r="AB29" s="463">
        <f t="shared" ref="AB29:AC29" si="189">V29-X29</f>
        <v>0</v>
      </c>
      <c r="AC29" s="464" t="e">
        <f t="shared" si="189"/>
        <v>#VALUE!</v>
      </c>
      <c r="AD29" s="465" t="e">
        <f t="shared" ref="AD29:AE29" si="190">1-(V29/Z29)</f>
        <v>#DIV/0!</v>
      </c>
      <c r="AE29" s="466" t="e">
        <f t="shared" si="190"/>
        <v>#VALUE!</v>
      </c>
      <c r="AF29" s="467"/>
      <c r="AG29" s="482"/>
      <c r="AH29" s="483"/>
      <c r="AI29" s="483"/>
      <c r="AJ29" s="487">
        <f t="shared" ref="AJ29:AK29" si="191">V29+(V29*$AJ$2)</f>
        <v>157.98</v>
      </c>
      <c r="AK29" s="475" t="e">
        <f t="shared" si="191"/>
        <v>#VALUE!</v>
      </c>
      <c r="AL29" s="485">
        <f t="shared" ref="AL29:AM29" si="192">AJ29-Z29</f>
        <v>157.98</v>
      </c>
      <c r="AM29" s="485" t="e">
        <f t="shared" si="192"/>
        <v>#VALUE!</v>
      </c>
      <c r="AN29" s="486" t="e">
        <f t="shared" si="8"/>
        <v>#VALUE!</v>
      </c>
      <c r="AO29" s="487">
        <f t="shared" ref="AO29:AP29" si="193">V29+(V29*$AO$2)</f>
        <v>118.485</v>
      </c>
      <c r="AP29" s="475" t="e">
        <f t="shared" si="193"/>
        <v>#VALUE!</v>
      </c>
      <c r="AQ29" s="432" t="b">
        <v>1</v>
      </c>
      <c r="AR29" s="485">
        <f t="shared" ref="AR29:AS29" si="194">AO29-Z29</f>
        <v>118.485</v>
      </c>
      <c r="AS29" s="485" t="e">
        <f t="shared" si="194"/>
        <v>#VALUE!</v>
      </c>
      <c r="AT29" s="486" t="e">
        <f t="shared" si="11"/>
        <v>#VALUE!</v>
      </c>
      <c r="AU29" s="301">
        <f t="shared" si="12"/>
        <v>225</v>
      </c>
      <c r="AV29" s="301">
        <f t="shared" ref="AV29:AV120" si="195">(AW29+AX29)/2</f>
        <v>300</v>
      </c>
      <c r="AW29" s="29">
        <v>250</v>
      </c>
      <c r="AX29" s="29">
        <v>350</v>
      </c>
      <c r="AY29" s="494">
        <v>45293</v>
      </c>
      <c r="AZ29" s="494"/>
      <c r="BA29" s="494"/>
      <c r="BB29" s="302">
        <f t="shared" ref="BB29:BB43" si="196">AV29</f>
        <v>300</v>
      </c>
      <c r="BC29" s="301"/>
      <c r="BD29" s="303">
        <f t="shared" ref="BD29:BD43" si="197">(BB29+BC29)/2</f>
        <v>150</v>
      </c>
      <c r="BE29" s="304" t="e">
        <f t="shared" ref="BE29:BE43" si="198">BB29/BC29</f>
        <v>#DIV/0!</v>
      </c>
      <c r="BF29" s="307">
        <f t="shared" ref="BF29:BF43" si="199">BB29*$BF$1</f>
        <v>120</v>
      </c>
      <c r="BG29" s="301"/>
      <c r="BH29" s="303">
        <f t="shared" ref="BH29:BH43" si="200">(BF29+BG29)/2</f>
        <v>60</v>
      </c>
      <c r="BI29" s="304" t="e">
        <f t="shared" ref="BI29:BI43" si="201">BF29/BG29</f>
        <v>#DIV/0!</v>
      </c>
      <c r="BK29" s="29"/>
      <c r="BL29" s="29"/>
      <c r="BP29" s="29" t="s">
        <v>1204</v>
      </c>
      <c r="BQ29" s="29"/>
      <c r="BR29" s="29"/>
    </row>
    <row r="30" ht="12.75" spans="1:70">
      <c r="A30" s="29" t="s">
        <v>1044</v>
      </c>
      <c r="B30" s="29" t="s">
        <v>1195</v>
      </c>
      <c r="C30" s="426" t="s">
        <v>609</v>
      </c>
      <c r="D30" s="29" t="s">
        <v>1200</v>
      </c>
      <c r="E30" s="29" t="s">
        <v>1237</v>
      </c>
      <c r="F30" s="207" t="b">
        <v>0</v>
      </c>
      <c r="G30" s="29" t="b">
        <v>1</v>
      </c>
      <c r="H30" s="29" t="b">
        <v>0</v>
      </c>
      <c r="I30" s="29" t="b">
        <v>0</v>
      </c>
      <c r="J30" s="29" t="b">
        <v>0</v>
      </c>
      <c r="K30" s="29" t="b">
        <v>1</v>
      </c>
      <c r="L30" s="29" t="b">
        <v>0</v>
      </c>
      <c r="M30" s="432" t="b">
        <v>0</v>
      </c>
      <c r="N30" s="432" t="b">
        <v>1</v>
      </c>
      <c r="P30" s="29" t="s">
        <v>120</v>
      </c>
      <c r="Q30" s="441">
        <f t="shared" si="185"/>
        <v>375</v>
      </c>
      <c r="R30" s="441">
        <f t="shared" si="186"/>
        <v>375</v>
      </c>
      <c r="S30" s="442">
        <f t="shared" si="187"/>
        <v>0</v>
      </c>
      <c r="T30" s="308"/>
      <c r="U30" s="443"/>
      <c r="V30" s="444"/>
      <c r="W30" s="445"/>
      <c r="X30" s="444">
        <v>78.99</v>
      </c>
      <c r="Y30" s="245">
        <v>394.95</v>
      </c>
      <c r="Z30" s="245"/>
      <c r="AA30" s="245"/>
      <c r="AB30" s="463">
        <f t="shared" ref="AB30:AC30" si="202">V30-X30</f>
        <v>-78.99</v>
      </c>
      <c r="AC30" s="464">
        <f t="shared" si="202"/>
        <v>-394.95</v>
      </c>
      <c r="AD30" s="465" t="e">
        <f t="shared" ref="AD30:AE30" si="203">1-(V30/Z30)</f>
        <v>#DIV/0!</v>
      </c>
      <c r="AE30" s="466" t="e">
        <f t="shared" si="203"/>
        <v>#DIV/0!</v>
      </c>
      <c r="AF30" s="467"/>
      <c r="AG30" s="482"/>
      <c r="AH30" s="483"/>
      <c r="AI30" s="483"/>
      <c r="AJ30" s="487">
        <f t="shared" ref="AJ30:AK30" si="204">V30+(V30*$AJ$2)</f>
        <v>0</v>
      </c>
      <c r="AK30" s="475">
        <f t="shared" si="204"/>
        <v>0</v>
      </c>
      <c r="AL30" s="485">
        <f t="shared" ref="AL30:AM30" si="205">AJ30-Z30</f>
        <v>0</v>
      </c>
      <c r="AM30" s="485">
        <f t="shared" si="205"/>
        <v>0</v>
      </c>
      <c r="AN30" s="486">
        <f t="shared" si="8"/>
        <v>0</v>
      </c>
      <c r="AO30" s="487">
        <f t="shared" ref="AO30:AP30" si="206">V30+(V30*$AO$2)</f>
        <v>0</v>
      </c>
      <c r="AP30" s="475">
        <f t="shared" si="206"/>
        <v>0</v>
      </c>
      <c r="AQ30" s="432" t="b">
        <v>0</v>
      </c>
      <c r="AR30" s="485">
        <f t="shared" ref="AR30:AS30" si="207">AO30-Z30</f>
        <v>0</v>
      </c>
      <c r="AS30" s="485">
        <f t="shared" si="207"/>
        <v>0</v>
      </c>
      <c r="AT30" s="486">
        <f t="shared" si="11"/>
        <v>0</v>
      </c>
      <c r="AU30" s="301">
        <f t="shared" si="12"/>
        <v>315</v>
      </c>
      <c r="AV30" s="301">
        <f t="shared" si="195"/>
        <v>375</v>
      </c>
      <c r="AW30" s="29">
        <v>350</v>
      </c>
      <c r="AX30" s="29">
        <v>400</v>
      </c>
      <c r="BB30" s="302">
        <f t="shared" si="196"/>
        <v>375</v>
      </c>
      <c r="BC30" s="301"/>
      <c r="BD30" s="303">
        <f t="shared" si="197"/>
        <v>187.5</v>
      </c>
      <c r="BE30" s="304" t="e">
        <f t="shared" si="198"/>
        <v>#DIV/0!</v>
      </c>
      <c r="BF30" s="307">
        <f t="shared" si="199"/>
        <v>150</v>
      </c>
      <c r="BG30" s="301"/>
      <c r="BH30" s="303">
        <f t="shared" si="200"/>
        <v>75</v>
      </c>
      <c r="BI30" s="304" t="e">
        <f t="shared" si="201"/>
        <v>#DIV/0!</v>
      </c>
      <c r="BK30" s="29"/>
      <c r="BL30" s="29"/>
      <c r="BQ30" s="29"/>
      <c r="BR30" s="29"/>
    </row>
    <row r="31" ht="12.75" spans="1:72">
      <c r="A31" s="29" t="s">
        <v>1044</v>
      </c>
      <c r="B31" s="29" t="s">
        <v>1195</v>
      </c>
      <c r="C31" s="29" t="s">
        <v>1238</v>
      </c>
      <c r="D31" s="29" t="s">
        <v>1200</v>
      </c>
      <c r="E31" s="29" t="s">
        <v>1224</v>
      </c>
      <c r="F31" s="207" t="b">
        <v>1</v>
      </c>
      <c r="G31" s="29" t="b">
        <v>0</v>
      </c>
      <c r="H31" s="29" t="b">
        <v>0</v>
      </c>
      <c r="I31" s="29" t="b">
        <v>1</v>
      </c>
      <c r="J31" s="29" t="b">
        <v>0</v>
      </c>
      <c r="K31" s="29" t="b">
        <v>0</v>
      </c>
      <c r="L31" s="29" t="b">
        <v>0</v>
      </c>
      <c r="M31" s="432" t="b">
        <v>0</v>
      </c>
      <c r="N31" s="432" t="b">
        <v>1</v>
      </c>
      <c r="O31" s="29" t="s">
        <v>1239</v>
      </c>
      <c r="P31" s="29" t="s">
        <v>120</v>
      </c>
      <c r="Q31" s="441">
        <f t="shared" si="185"/>
        <v>425</v>
      </c>
      <c r="R31" s="441">
        <f t="shared" si="186"/>
        <v>425</v>
      </c>
      <c r="S31" s="442">
        <f t="shared" si="187"/>
        <v>75.98</v>
      </c>
      <c r="T31" s="29" t="s">
        <v>1203</v>
      </c>
      <c r="U31" s="443"/>
      <c r="V31" s="444">
        <v>37.99</v>
      </c>
      <c r="W31" s="445">
        <v>189.95</v>
      </c>
      <c r="X31" s="444">
        <v>35.97</v>
      </c>
      <c r="Y31" s="245">
        <v>178.35</v>
      </c>
      <c r="Z31" s="360"/>
      <c r="AA31" s="245"/>
      <c r="AB31" s="463">
        <f t="shared" ref="AB31:AC31" si="208">V31-X31</f>
        <v>2.02</v>
      </c>
      <c r="AC31" s="464">
        <f t="shared" si="208"/>
        <v>11.6</v>
      </c>
      <c r="AD31" s="465" t="e">
        <f t="shared" ref="AD31:AE31" si="209">1-(V31/Z31)</f>
        <v>#DIV/0!</v>
      </c>
      <c r="AE31" s="466" t="e">
        <f t="shared" si="209"/>
        <v>#DIV/0!</v>
      </c>
      <c r="AF31" s="467"/>
      <c r="AG31" s="482"/>
      <c r="AH31" s="483"/>
      <c r="AI31" s="483"/>
      <c r="AJ31" s="487">
        <f t="shared" ref="AJ31:AK31" si="210">V31+(V31*$AJ$2)</f>
        <v>75.98</v>
      </c>
      <c r="AK31" s="475">
        <f t="shared" si="210"/>
        <v>379.9</v>
      </c>
      <c r="AL31" s="485">
        <f t="shared" ref="AL31:AM31" si="211">AJ31-Z31</f>
        <v>75.98</v>
      </c>
      <c r="AM31" s="485">
        <f t="shared" si="211"/>
        <v>379.9</v>
      </c>
      <c r="AN31" s="486">
        <f t="shared" si="8"/>
        <v>0</v>
      </c>
      <c r="AO31" s="487">
        <f t="shared" ref="AO31:AP31" si="212">V31+(V31*$AO$2)</f>
        <v>56.985</v>
      </c>
      <c r="AP31" s="475">
        <f t="shared" si="212"/>
        <v>284.925</v>
      </c>
      <c r="AQ31" s="432" t="b">
        <v>1</v>
      </c>
      <c r="AR31" s="485">
        <f t="shared" ref="AR31:AS31" si="213">AO31-Z31</f>
        <v>56.985</v>
      </c>
      <c r="AS31" s="485">
        <f t="shared" si="213"/>
        <v>284.925</v>
      </c>
      <c r="AT31" s="486">
        <f t="shared" si="11"/>
        <v>0</v>
      </c>
      <c r="AU31" s="301">
        <f t="shared" si="12"/>
        <v>360</v>
      </c>
      <c r="AV31" s="301">
        <f t="shared" si="195"/>
        <v>425</v>
      </c>
      <c r="AW31" s="29">
        <v>400</v>
      </c>
      <c r="AX31" s="29">
        <v>450</v>
      </c>
      <c r="BB31" s="302">
        <f t="shared" si="196"/>
        <v>425</v>
      </c>
      <c r="BC31" s="301"/>
      <c r="BD31" s="303">
        <f t="shared" si="197"/>
        <v>212.5</v>
      </c>
      <c r="BE31" s="304" t="e">
        <f t="shared" si="198"/>
        <v>#DIV/0!</v>
      </c>
      <c r="BF31" s="307">
        <f t="shared" si="199"/>
        <v>170</v>
      </c>
      <c r="BG31" s="301"/>
      <c r="BH31" s="303">
        <f t="shared" si="200"/>
        <v>85</v>
      </c>
      <c r="BI31" s="304" t="e">
        <f t="shared" si="201"/>
        <v>#DIV/0!</v>
      </c>
      <c r="BK31" s="29"/>
      <c r="BL31" s="29"/>
      <c r="BP31" s="29" t="s">
        <v>1204</v>
      </c>
      <c r="BQ31" s="29"/>
      <c r="BR31" s="29"/>
      <c r="BS31" s="29"/>
      <c r="BT31" s="29" t="s">
        <v>1240</v>
      </c>
    </row>
    <row r="32" ht="12.75" spans="1:72">
      <c r="A32" s="29" t="s">
        <v>1044</v>
      </c>
      <c r="B32" s="29" t="s">
        <v>1195</v>
      </c>
      <c r="C32" s="29" t="s">
        <v>615</v>
      </c>
      <c r="D32" s="29" t="s">
        <v>1200</v>
      </c>
      <c r="E32" s="29" t="s">
        <v>1237</v>
      </c>
      <c r="F32" s="207" t="b">
        <v>1</v>
      </c>
      <c r="G32" s="29" t="b">
        <v>0</v>
      </c>
      <c r="H32" s="29" t="b">
        <v>0</v>
      </c>
      <c r="I32" s="29" t="b">
        <v>1</v>
      </c>
      <c r="J32" s="29" t="b">
        <v>0</v>
      </c>
      <c r="K32" s="29" t="b">
        <v>0</v>
      </c>
      <c r="L32" s="29" t="b">
        <v>0</v>
      </c>
      <c r="M32" s="432" t="b">
        <v>0</v>
      </c>
      <c r="N32" s="432" t="b">
        <v>1</v>
      </c>
      <c r="O32" s="29" t="s">
        <v>1241</v>
      </c>
      <c r="P32" s="29" t="s">
        <v>120</v>
      </c>
      <c r="Q32" s="441">
        <f t="shared" si="185"/>
        <v>425</v>
      </c>
      <c r="R32" s="441">
        <f t="shared" si="186"/>
        <v>425</v>
      </c>
      <c r="S32" s="442">
        <f t="shared" si="187"/>
        <v>75.98</v>
      </c>
      <c r="T32" s="29" t="s">
        <v>1203</v>
      </c>
      <c r="U32" s="443"/>
      <c r="V32" s="444">
        <v>37.99</v>
      </c>
      <c r="W32" s="445">
        <v>189.95</v>
      </c>
      <c r="X32" s="444">
        <v>34.73</v>
      </c>
      <c r="Y32" s="245">
        <v>172.16</v>
      </c>
      <c r="Z32" s="360"/>
      <c r="AA32" s="245"/>
      <c r="AB32" s="463">
        <f t="shared" ref="AB32:AC32" si="214">V32-X32</f>
        <v>3.26</v>
      </c>
      <c r="AC32" s="464">
        <f t="shared" si="214"/>
        <v>17.79</v>
      </c>
      <c r="AD32" s="465" t="e">
        <f t="shared" ref="AD32:AE32" si="215">1-(V32/Z32)</f>
        <v>#DIV/0!</v>
      </c>
      <c r="AE32" s="466" t="e">
        <f t="shared" si="215"/>
        <v>#DIV/0!</v>
      </c>
      <c r="AF32" s="467"/>
      <c r="AG32" s="482"/>
      <c r="AH32" s="483"/>
      <c r="AI32" s="483"/>
      <c r="AJ32" s="487">
        <f t="shared" ref="AJ32:AK32" si="216">V32+(V32*$AJ$2)</f>
        <v>75.98</v>
      </c>
      <c r="AK32" s="475">
        <f t="shared" si="216"/>
        <v>379.9</v>
      </c>
      <c r="AL32" s="485">
        <f t="shared" ref="AL32:AM32" si="217">AJ32-Z32</f>
        <v>75.98</v>
      </c>
      <c r="AM32" s="485">
        <f t="shared" si="217"/>
        <v>379.9</v>
      </c>
      <c r="AN32" s="486">
        <f t="shared" si="8"/>
        <v>0</v>
      </c>
      <c r="AO32" s="487">
        <f t="shared" ref="AO32:AP32" si="218">V32+(V32*$AO$2)</f>
        <v>56.985</v>
      </c>
      <c r="AP32" s="475">
        <f t="shared" si="218"/>
        <v>284.925</v>
      </c>
      <c r="AQ32" s="432" t="b">
        <v>1</v>
      </c>
      <c r="AR32" s="485">
        <f t="shared" ref="AR32:AS32" si="219">AO32-Z32</f>
        <v>56.985</v>
      </c>
      <c r="AS32" s="485">
        <f t="shared" si="219"/>
        <v>284.925</v>
      </c>
      <c r="AT32" s="486">
        <f t="shared" si="11"/>
        <v>0</v>
      </c>
      <c r="AU32" s="301">
        <f t="shared" si="12"/>
        <v>360</v>
      </c>
      <c r="AV32" s="301">
        <f t="shared" si="195"/>
        <v>425</v>
      </c>
      <c r="AW32" s="29">
        <v>400</v>
      </c>
      <c r="AX32" s="29">
        <v>450</v>
      </c>
      <c r="AY32" s="29">
        <v>2</v>
      </c>
      <c r="AZ32" s="29"/>
      <c r="BA32" s="29"/>
      <c r="BB32" s="302">
        <f t="shared" si="196"/>
        <v>425</v>
      </c>
      <c r="BC32" s="301"/>
      <c r="BD32" s="303">
        <f t="shared" si="197"/>
        <v>212.5</v>
      </c>
      <c r="BE32" s="304" t="e">
        <f t="shared" si="198"/>
        <v>#DIV/0!</v>
      </c>
      <c r="BF32" s="307">
        <f t="shared" si="199"/>
        <v>170</v>
      </c>
      <c r="BG32" s="301"/>
      <c r="BH32" s="303">
        <f t="shared" si="200"/>
        <v>85</v>
      </c>
      <c r="BI32" s="304" t="e">
        <f t="shared" si="201"/>
        <v>#DIV/0!</v>
      </c>
      <c r="BK32" s="29"/>
      <c r="BL32" s="29"/>
      <c r="BP32" s="29" t="s">
        <v>1204</v>
      </c>
      <c r="BQ32" s="29"/>
      <c r="BR32" s="29"/>
      <c r="BS32" s="29"/>
      <c r="BT32" s="29" t="s">
        <v>1242</v>
      </c>
    </row>
    <row r="33" ht="12.75" spans="1:72">
      <c r="A33" s="29" t="s">
        <v>1044</v>
      </c>
      <c r="B33" s="312" t="s">
        <v>1195</v>
      </c>
      <c r="C33" s="312" t="s">
        <v>618</v>
      </c>
      <c r="D33" s="312" t="s">
        <v>1200</v>
      </c>
      <c r="E33" s="312" t="s">
        <v>1243</v>
      </c>
      <c r="F33" s="428" t="b">
        <v>1</v>
      </c>
      <c r="G33" s="165" t="b">
        <v>0</v>
      </c>
      <c r="H33" s="165" t="b">
        <v>0</v>
      </c>
      <c r="I33" s="165" t="b">
        <v>1</v>
      </c>
      <c r="J33" s="165" t="b">
        <v>0</v>
      </c>
      <c r="K33" s="165" t="b">
        <v>1</v>
      </c>
      <c r="L33" s="165" t="b">
        <v>0</v>
      </c>
      <c r="M33" s="433" t="b">
        <v>0</v>
      </c>
      <c r="N33" s="433" t="b">
        <v>1</v>
      </c>
      <c r="O33" s="312" t="s">
        <v>1244</v>
      </c>
      <c r="P33" s="312" t="s">
        <v>120</v>
      </c>
      <c r="Q33" s="450">
        <f t="shared" si="185"/>
        <v>425</v>
      </c>
      <c r="R33" s="450">
        <f t="shared" si="186"/>
        <v>425</v>
      </c>
      <c r="S33" s="451">
        <f t="shared" si="187"/>
        <v>75.98</v>
      </c>
      <c r="T33" s="312" t="s">
        <v>1203</v>
      </c>
      <c r="U33" s="452"/>
      <c r="V33" s="444">
        <v>37.99</v>
      </c>
      <c r="W33" s="445">
        <v>189.95</v>
      </c>
      <c r="X33" s="444">
        <v>37.19</v>
      </c>
      <c r="Y33" s="245">
        <v>184.51</v>
      </c>
      <c r="Z33" s="468"/>
      <c r="AA33" s="468"/>
      <c r="AB33" s="463">
        <f t="shared" ref="AB33:AC33" si="220">V33-X33</f>
        <v>0.800000000000004</v>
      </c>
      <c r="AC33" s="464">
        <f t="shared" si="220"/>
        <v>5.44</v>
      </c>
      <c r="AD33" s="465" t="e">
        <f t="shared" ref="AD33:AE33" si="221">1-(V33/Z33)</f>
        <v>#DIV/0!</v>
      </c>
      <c r="AE33" s="466" t="e">
        <f t="shared" si="221"/>
        <v>#DIV/0!</v>
      </c>
      <c r="AF33" s="469"/>
      <c r="AG33" s="488"/>
      <c r="AH33" s="489"/>
      <c r="AI33" s="489"/>
      <c r="AJ33" s="487">
        <f t="shared" ref="AJ33:AK33" si="222">V33+(V33*$AJ$2)</f>
        <v>75.98</v>
      </c>
      <c r="AK33" s="475">
        <f t="shared" si="222"/>
        <v>379.9</v>
      </c>
      <c r="AL33" s="485">
        <f t="shared" ref="AL33:AM33" si="223">AJ33-Z33</f>
        <v>75.98</v>
      </c>
      <c r="AM33" s="485">
        <f t="shared" si="223"/>
        <v>379.9</v>
      </c>
      <c r="AN33" s="486">
        <f t="shared" si="8"/>
        <v>0</v>
      </c>
      <c r="AO33" s="487">
        <f t="shared" ref="AO33:AP33" si="224">V33+(V33*$AO$2)</f>
        <v>56.985</v>
      </c>
      <c r="AP33" s="475">
        <f t="shared" si="224"/>
        <v>284.925</v>
      </c>
      <c r="AQ33" s="433" t="b">
        <v>0</v>
      </c>
      <c r="AR33" s="485">
        <f t="shared" ref="AR33:AS33" si="225">AO33-Z33</f>
        <v>56.985</v>
      </c>
      <c r="AS33" s="485">
        <f t="shared" si="225"/>
        <v>284.925</v>
      </c>
      <c r="AT33" s="486">
        <f t="shared" si="11"/>
        <v>0</v>
      </c>
      <c r="AU33" s="301">
        <f t="shared" si="12"/>
        <v>360</v>
      </c>
      <c r="AV33" s="493">
        <f t="shared" si="195"/>
        <v>425</v>
      </c>
      <c r="AW33" s="313">
        <v>400</v>
      </c>
      <c r="AX33" s="313">
        <v>450</v>
      </c>
      <c r="AY33" s="312"/>
      <c r="AZ33" s="312"/>
      <c r="BA33" s="312"/>
      <c r="BB33" s="493">
        <f t="shared" si="196"/>
        <v>425</v>
      </c>
      <c r="BC33" s="495"/>
      <c r="BD33" s="496">
        <f t="shared" si="197"/>
        <v>212.5</v>
      </c>
      <c r="BE33" s="498" t="e">
        <f t="shared" si="198"/>
        <v>#DIV/0!</v>
      </c>
      <c r="BF33" s="499">
        <f t="shared" si="199"/>
        <v>170</v>
      </c>
      <c r="BG33" s="495"/>
      <c r="BH33" s="496">
        <f t="shared" si="200"/>
        <v>85</v>
      </c>
      <c r="BI33" s="498" t="e">
        <f t="shared" si="201"/>
        <v>#DIV/0!</v>
      </c>
      <c r="BJ33" s="312"/>
      <c r="BK33" s="312"/>
      <c r="BL33" s="312"/>
      <c r="BM33" s="312"/>
      <c r="BN33" s="312"/>
      <c r="BO33" s="312"/>
      <c r="BP33" s="312" t="s">
        <v>1204</v>
      </c>
      <c r="BQ33" s="312"/>
      <c r="BR33" s="312"/>
      <c r="BS33" s="312"/>
      <c r="BT33" s="312" t="s">
        <v>1240</v>
      </c>
    </row>
    <row r="34" ht="12.75" spans="1:72">
      <c r="A34" s="29" t="s">
        <v>1044</v>
      </c>
      <c r="B34" s="29" t="s">
        <v>1195</v>
      </c>
      <c r="C34" s="29" t="s">
        <v>621</v>
      </c>
      <c r="D34" s="29" t="s">
        <v>1200</v>
      </c>
      <c r="E34" s="29" t="s">
        <v>1245</v>
      </c>
      <c r="F34" s="207" t="b">
        <v>1</v>
      </c>
      <c r="G34" s="29" t="b">
        <v>0</v>
      </c>
      <c r="H34" s="29" t="b">
        <v>0</v>
      </c>
      <c r="I34" s="29" t="b">
        <v>1</v>
      </c>
      <c r="J34" s="29" t="b">
        <v>0</v>
      </c>
      <c r="K34" s="29" t="b">
        <v>1</v>
      </c>
      <c r="L34" s="29" t="b">
        <v>0</v>
      </c>
      <c r="M34" s="432" t="b">
        <v>0</v>
      </c>
      <c r="N34" s="432" t="b">
        <v>1</v>
      </c>
      <c r="O34" s="29" t="s">
        <v>1239</v>
      </c>
      <c r="P34" s="29" t="s">
        <v>120</v>
      </c>
      <c r="Q34" s="441">
        <f t="shared" si="185"/>
        <v>425</v>
      </c>
      <c r="R34" s="441">
        <f t="shared" si="186"/>
        <v>425</v>
      </c>
      <c r="S34" s="442">
        <f t="shared" si="187"/>
        <v>75.98</v>
      </c>
      <c r="T34" s="29" t="s">
        <v>1203</v>
      </c>
      <c r="U34" s="443"/>
      <c r="V34" s="444">
        <v>37.99</v>
      </c>
      <c r="W34" s="445">
        <v>189.95</v>
      </c>
      <c r="X34" s="444">
        <v>37.19</v>
      </c>
      <c r="Y34" s="245">
        <v>184.51</v>
      </c>
      <c r="Z34" s="360"/>
      <c r="AA34" s="245"/>
      <c r="AB34" s="463">
        <f t="shared" ref="AB34:AC34" si="226">V34-X34</f>
        <v>0.800000000000004</v>
      </c>
      <c r="AC34" s="464">
        <f t="shared" si="226"/>
        <v>5.44</v>
      </c>
      <c r="AD34" s="465" t="e">
        <f t="shared" ref="AD34:AE34" si="227">1-(V34/Z34)</f>
        <v>#DIV/0!</v>
      </c>
      <c r="AE34" s="466" t="e">
        <f t="shared" si="227"/>
        <v>#DIV/0!</v>
      </c>
      <c r="AF34" s="467"/>
      <c r="AG34" s="482"/>
      <c r="AH34" s="483"/>
      <c r="AI34" s="483"/>
      <c r="AJ34" s="487">
        <f t="shared" ref="AJ34:AK34" si="228">V34+(V34*$AJ$2)</f>
        <v>75.98</v>
      </c>
      <c r="AK34" s="475">
        <f t="shared" si="228"/>
        <v>379.9</v>
      </c>
      <c r="AL34" s="485">
        <f t="shared" ref="AL34:AM34" si="229">AJ34-Z34</f>
        <v>75.98</v>
      </c>
      <c r="AM34" s="485">
        <f t="shared" si="229"/>
        <v>379.9</v>
      </c>
      <c r="AN34" s="486">
        <f t="shared" si="8"/>
        <v>0</v>
      </c>
      <c r="AO34" s="487">
        <f t="shared" ref="AO34:AP34" si="230">V34+(V34*$AO$2)</f>
        <v>56.985</v>
      </c>
      <c r="AP34" s="475">
        <f t="shared" si="230"/>
        <v>284.925</v>
      </c>
      <c r="AQ34" s="432" t="b">
        <v>0</v>
      </c>
      <c r="AR34" s="485">
        <f t="shared" ref="AR34:AS34" si="231">AO34-Z34</f>
        <v>56.985</v>
      </c>
      <c r="AS34" s="485">
        <f t="shared" si="231"/>
        <v>284.925</v>
      </c>
      <c r="AT34" s="486">
        <f t="shared" si="11"/>
        <v>0</v>
      </c>
      <c r="AU34" s="301">
        <f t="shared" si="12"/>
        <v>360</v>
      </c>
      <c r="AV34" s="301">
        <f t="shared" si="195"/>
        <v>425</v>
      </c>
      <c r="AW34" s="29">
        <v>400</v>
      </c>
      <c r="AX34" s="29">
        <v>450</v>
      </c>
      <c r="BB34" s="302">
        <f t="shared" si="196"/>
        <v>425</v>
      </c>
      <c r="BC34" s="301"/>
      <c r="BD34" s="303">
        <f t="shared" si="197"/>
        <v>212.5</v>
      </c>
      <c r="BE34" s="304" t="e">
        <f t="shared" si="198"/>
        <v>#DIV/0!</v>
      </c>
      <c r="BF34" s="307">
        <f t="shared" si="199"/>
        <v>170</v>
      </c>
      <c r="BG34" s="301"/>
      <c r="BH34" s="303">
        <f t="shared" si="200"/>
        <v>85</v>
      </c>
      <c r="BI34" s="304" t="e">
        <f t="shared" si="201"/>
        <v>#DIV/0!</v>
      </c>
      <c r="BK34" s="29"/>
      <c r="BL34" s="29"/>
      <c r="BP34" s="29" t="s">
        <v>1204</v>
      </c>
      <c r="BQ34" s="29"/>
      <c r="BR34" s="29"/>
      <c r="BS34" s="29"/>
      <c r="BT34" s="29" t="s">
        <v>1240</v>
      </c>
    </row>
    <row r="35" ht="12.75" spans="1:70">
      <c r="A35" s="29" t="s">
        <v>1044</v>
      </c>
      <c r="B35" s="29" t="s">
        <v>1195</v>
      </c>
      <c r="C35" s="29" t="s">
        <v>624</v>
      </c>
      <c r="D35" s="308"/>
      <c r="E35" s="29" t="s">
        <v>1246</v>
      </c>
      <c r="F35" s="207" t="b">
        <v>0</v>
      </c>
      <c r="G35" s="29" t="b">
        <v>1</v>
      </c>
      <c r="H35" s="29" t="b">
        <v>0</v>
      </c>
      <c r="I35" s="29" t="b">
        <v>0</v>
      </c>
      <c r="J35" s="29" t="b">
        <v>0</v>
      </c>
      <c r="K35" s="29" t="b">
        <v>0</v>
      </c>
      <c r="L35" s="29" t="b">
        <v>0</v>
      </c>
      <c r="M35" s="432" t="b">
        <v>0</v>
      </c>
      <c r="N35" s="432" t="b">
        <v>1</v>
      </c>
      <c r="P35" s="29" t="s">
        <v>120</v>
      </c>
      <c r="Q35" s="441">
        <f t="shared" si="185"/>
        <v>425</v>
      </c>
      <c r="R35" s="441">
        <f t="shared" si="186"/>
        <v>425</v>
      </c>
      <c r="S35" s="442">
        <f t="shared" si="187"/>
        <v>0</v>
      </c>
      <c r="T35" s="308"/>
      <c r="U35" s="443"/>
      <c r="V35" s="444"/>
      <c r="W35" s="445"/>
      <c r="X35" s="444" t="s">
        <v>117</v>
      </c>
      <c r="Y35" s="245">
        <v>91.08</v>
      </c>
      <c r="Z35" s="245"/>
      <c r="AA35" s="245"/>
      <c r="AB35" s="463" t="e">
        <f t="shared" ref="AB35:AC35" si="232">V35-X35</f>
        <v>#VALUE!</v>
      </c>
      <c r="AC35" s="464">
        <f t="shared" si="232"/>
        <v>-91.08</v>
      </c>
      <c r="AD35" s="465" t="e">
        <f t="shared" ref="AD35:AE35" si="233">1-(V35/Z35)</f>
        <v>#DIV/0!</v>
      </c>
      <c r="AE35" s="466" t="e">
        <f t="shared" si="233"/>
        <v>#DIV/0!</v>
      </c>
      <c r="AF35" s="467"/>
      <c r="AG35" s="482"/>
      <c r="AH35" s="483"/>
      <c r="AI35" s="483"/>
      <c r="AJ35" s="487">
        <f t="shared" ref="AJ35:AK35" si="234">V35+(V35*$AJ$2)</f>
        <v>0</v>
      </c>
      <c r="AK35" s="475">
        <f t="shared" si="234"/>
        <v>0</v>
      </c>
      <c r="AL35" s="485">
        <f t="shared" ref="AL35:AM35" si="235">AJ35-Z35</f>
        <v>0</v>
      </c>
      <c r="AM35" s="485">
        <f t="shared" si="235"/>
        <v>0</v>
      </c>
      <c r="AN35" s="486">
        <f t="shared" si="8"/>
        <v>0</v>
      </c>
      <c r="AO35" s="487">
        <f t="shared" ref="AO35:AP35" si="236">V35+(V35*$AO$2)</f>
        <v>0</v>
      </c>
      <c r="AP35" s="475">
        <f t="shared" si="236"/>
        <v>0</v>
      </c>
      <c r="AQ35" s="432" t="b">
        <v>0</v>
      </c>
      <c r="AR35" s="485">
        <f t="shared" ref="AR35:AS35" si="237">AO35-Z35</f>
        <v>0</v>
      </c>
      <c r="AS35" s="485">
        <f t="shared" si="237"/>
        <v>0</v>
      </c>
      <c r="AT35" s="486">
        <f t="shared" si="11"/>
        <v>0</v>
      </c>
      <c r="AU35" s="301">
        <f t="shared" si="12"/>
        <v>360</v>
      </c>
      <c r="AV35" s="301">
        <f t="shared" si="195"/>
        <v>425</v>
      </c>
      <c r="AW35" s="29">
        <v>400</v>
      </c>
      <c r="AX35" s="29">
        <v>450</v>
      </c>
      <c r="BB35" s="302">
        <f t="shared" si="196"/>
        <v>425</v>
      </c>
      <c r="BC35" s="301"/>
      <c r="BD35" s="303">
        <f t="shared" si="197"/>
        <v>212.5</v>
      </c>
      <c r="BE35" s="304" t="e">
        <f t="shared" si="198"/>
        <v>#DIV/0!</v>
      </c>
      <c r="BF35" s="307">
        <f t="shared" si="199"/>
        <v>170</v>
      </c>
      <c r="BG35" s="301"/>
      <c r="BH35" s="303">
        <f t="shared" si="200"/>
        <v>85</v>
      </c>
      <c r="BI35" s="304" t="e">
        <f t="shared" si="201"/>
        <v>#DIV/0!</v>
      </c>
      <c r="BK35" s="29"/>
      <c r="BL35" s="29"/>
      <c r="BQ35" s="308"/>
      <c r="BR35" s="308"/>
    </row>
    <row r="36" ht="12.75" spans="1:70">
      <c r="A36" s="29" t="s">
        <v>1044</v>
      </c>
      <c r="B36" s="29" t="s">
        <v>1195</v>
      </c>
      <c r="C36" s="29" t="s">
        <v>1247</v>
      </c>
      <c r="D36" s="29" t="s">
        <v>1200</v>
      </c>
      <c r="E36" s="29" t="s">
        <v>13</v>
      </c>
      <c r="F36" s="207" t="b">
        <v>0</v>
      </c>
      <c r="G36" s="29" t="b">
        <v>1</v>
      </c>
      <c r="H36" s="29" t="b">
        <v>0</v>
      </c>
      <c r="I36" s="29" t="b">
        <v>0</v>
      </c>
      <c r="J36" s="29" t="b">
        <v>0</v>
      </c>
      <c r="K36" s="29" t="b">
        <v>1</v>
      </c>
      <c r="L36" s="29" t="b">
        <v>0</v>
      </c>
      <c r="M36" s="432" t="b">
        <v>0</v>
      </c>
      <c r="N36" s="432" t="b">
        <v>1</v>
      </c>
      <c r="O36" s="29" t="s">
        <v>1248</v>
      </c>
      <c r="P36" s="29" t="s">
        <v>120</v>
      </c>
      <c r="Q36" s="441">
        <f t="shared" si="185"/>
        <v>400</v>
      </c>
      <c r="R36" s="441">
        <f t="shared" si="186"/>
        <v>400</v>
      </c>
      <c r="S36" s="442">
        <f t="shared" si="187"/>
        <v>0</v>
      </c>
      <c r="T36" s="308"/>
      <c r="U36" s="443"/>
      <c r="V36" s="444"/>
      <c r="W36" s="445"/>
      <c r="X36" s="444" t="s">
        <v>13</v>
      </c>
      <c r="Y36" s="245" t="s">
        <v>13</v>
      </c>
      <c r="Z36" s="245"/>
      <c r="AA36" s="245"/>
      <c r="AB36" s="463" t="e">
        <f t="shared" ref="AB36:AC36" si="238">V36-X36</f>
        <v>#VALUE!</v>
      </c>
      <c r="AC36" s="464" t="e">
        <f t="shared" si="238"/>
        <v>#VALUE!</v>
      </c>
      <c r="AD36" s="465" t="e">
        <f t="shared" ref="AD36:AE36" si="239">1-(V36/Z36)</f>
        <v>#DIV/0!</v>
      </c>
      <c r="AE36" s="466" t="e">
        <f t="shared" si="239"/>
        <v>#DIV/0!</v>
      </c>
      <c r="AF36" s="467"/>
      <c r="AG36" s="482"/>
      <c r="AH36" s="483"/>
      <c r="AI36" s="483"/>
      <c r="AJ36" s="487">
        <f t="shared" ref="AJ36:AK36" si="240">V36+(V36*$AJ$2)</f>
        <v>0</v>
      </c>
      <c r="AK36" s="475">
        <f t="shared" si="240"/>
        <v>0</v>
      </c>
      <c r="AL36" s="485">
        <f t="shared" ref="AL36:AM36" si="241">AJ36-Z36</f>
        <v>0</v>
      </c>
      <c r="AM36" s="485">
        <f t="shared" si="241"/>
        <v>0</v>
      </c>
      <c r="AN36" s="486">
        <f t="shared" si="8"/>
        <v>0</v>
      </c>
      <c r="AO36" s="487">
        <f t="shared" ref="AO36:AP36" si="242">V36+(V36*$AO$2)</f>
        <v>0</v>
      </c>
      <c r="AP36" s="475">
        <f t="shared" si="242"/>
        <v>0</v>
      </c>
      <c r="AQ36" s="432" t="b">
        <v>0</v>
      </c>
      <c r="AR36" s="485">
        <f t="shared" ref="AR36:AS36" si="243">AO36-Z36</f>
        <v>0</v>
      </c>
      <c r="AS36" s="485">
        <f t="shared" si="243"/>
        <v>0</v>
      </c>
      <c r="AT36" s="486">
        <f t="shared" si="11"/>
        <v>0</v>
      </c>
      <c r="AU36" s="301">
        <f t="shared" si="12"/>
        <v>315</v>
      </c>
      <c r="AV36" s="301">
        <f t="shared" si="195"/>
        <v>400</v>
      </c>
      <c r="AW36" s="29">
        <v>350</v>
      </c>
      <c r="AX36" s="29">
        <v>450</v>
      </c>
      <c r="BB36" s="302">
        <f t="shared" si="196"/>
        <v>400</v>
      </c>
      <c r="BC36" s="301"/>
      <c r="BD36" s="303">
        <f t="shared" si="197"/>
        <v>200</v>
      </c>
      <c r="BE36" s="304" t="e">
        <f t="shared" si="198"/>
        <v>#DIV/0!</v>
      </c>
      <c r="BF36" s="307">
        <f t="shared" si="199"/>
        <v>160</v>
      </c>
      <c r="BG36" s="301"/>
      <c r="BH36" s="303">
        <f t="shared" si="200"/>
        <v>80</v>
      </c>
      <c r="BI36" s="304" t="e">
        <f t="shared" si="201"/>
        <v>#DIV/0!</v>
      </c>
      <c r="BK36" s="29"/>
      <c r="BL36" s="29"/>
      <c r="BQ36" s="29"/>
      <c r="BR36" s="29"/>
    </row>
    <row r="37" ht="12.75" spans="1:70">
      <c r="A37" s="29" t="s">
        <v>1044</v>
      </c>
      <c r="B37" s="29" t="s">
        <v>1249</v>
      </c>
      <c r="C37" s="29" t="s">
        <v>1250</v>
      </c>
      <c r="D37" s="308"/>
      <c r="E37" s="29" t="s">
        <v>1217</v>
      </c>
      <c r="F37" s="207" t="b">
        <v>0</v>
      </c>
      <c r="G37" s="29" t="b">
        <v>1</v>
      </c>
      <c r="H37" s="29" t="b">
        <v>0</v>
      </c>
      <c r="I37" s="29" t="b">
        <v>0</v>
      </c>
      <c r="J37" s="29" t="b">
        <v>0</v>
      </c>
      <c r="K37" s="29" t="b">
        <v>0</v>
      </c>
      <c r="L37" s="29" t="b">
        <v>0</v>
      </c>
      <c r="M37" s="432" t="b">
        <v>1</v>
      </c>
      <c r="N37" s="432" t="b">
        <v>1</v>
      </c>
      <c r="O37" s="29"/>
      <c r="P37" s="29" t="s">
        <v>120</v>
      </c>
      <c r="Q37" s="441">
        <f t="shared" si="185"/>
        <v>400</v>
      </c>
      <c r="R37" s="441">
        <f t="shared" si="186"/>
        <v>400</v>
      </c>
      <c r="S37" s="442">
        <f t="shared" si="187"/>
        <v>71.9</v>
      </c>
      <c r="T37" s="308"/>
      <c r="U37" s="443"/>
      <c r="V37" s="444">
        <v>35.95</v>
      </c>
      <c r="W37" s="445">
        <v>164.75</v>
      </c>
      <c r="X37" s="444"/>
      <c r="Y37" s="245"/>
      <c r="Z37" s="245">
        <v>69.99</v>
      </c>
      <c r="AA37" s="245">
        <v>344.95</v>
      </c>
      <c r="AB37" s="463"/>
      <c r="AC37" s="464"/>
      <c r="AD37" s="470">
        <f t="shared" ref="AD37:AE37" si="244">1-(V37/Z37)</f>
        <v>0.486355193599086</v>
      </c>
      <c r="AE37" s="471">
        <f t="shared" si="244"/>
        <v>0.522394549934773</v>
      </c>
      <c r="AF37" s="467">
        <f t="shared" ref="AF37:AG37" si="245">(V37+Z37)/2</f>
        <v>52.97</v>
      </c>
      <c r="AG37" s="482">
        <f t="shared" si="245"/>
        <v>254.85</v>
      </c>
      <c r="AH37" s="483">
        <f t="shared" ref="AH37:AI37" si="246">1-(V37/AF37)</f>
        <v>0.321313951293185</v>
      </c>
      <c r="AI37" s="483">
        <f t="shared" si="246"/>
        <v>0.353541298803218</v>
      </c>
      <c r="AJ37" s="487">
        <f t="shared" ref="AJ37:AK37" si="247">V37+(V37*$AJ$2)</f>
        <v>71.9</v>
      </c>
      <c r="AK37" s="475">
        <f t="shared" si="247"/>
        <v>329.5</v>
      </c>
      <c r="AL37" s="485">
        <f t="shared" ref="AL37:AM37" si="248">AJ37-Z37</f>
        <v>1.91000000000001</v>
      </c>
      <c r="AM37" s="485">
        <f t="shared" si="248"/>
        <v>-15.45</v>
      </c>
      <c r="AN37" s="486">
        <f t="shared" si="8"/>
        <v>30</v>
      </c>
      <c r="AO37" s="487">
        <f t="shared" ref="AO37:AP37" si="249">V37+(V37*$AO$2)</f>
        <v>53.925</v>
      </c>
      <c r="AP37" s="475">
        <f t="shared" si="249"/>
        <v>247.125</v>
      </c>
      <c r="AQ37" s="432" t="b">
        <v>0</v>
      </c>
      <c r="AR37" s="485">
        <f t="shared" ref="AR37:AS37" si="250">AO37-Z37</f>
        <v>-16.065</v>
      </c>
      <c r="AS37" s="485">
        <f t="shared" si="250"/>
        <v>-97.825</v>
      </c>
      <c r="AT37" s="486">
        <f t="shared" si="11"/>
        <v>22.5</v>
      </c>
      <c r="AU37" s="301">
        <f t="shared" si="12"/>
        <v>315</v>
      </c>
      <c r="AV37" s="301">
        <f t="shared" si="195"/>
        <v>400</v>
      </c>
      <c r="AW37" s="29">
        <v>350</v>
      </c>
      <c r="AX37" s="29">
        <v>450</v>
      </c>
      <c r="AY37" s="29">
        <v>2</v>
      </c>
      <c r="AZ37" s="29"/>
      <c r="BA37" s="29"/>
      <c r="BB37" s="302">
        <f t="shared" si="196"/>
        <v>400</v>
      </c>
      <c r="BC37" s="301"/>
      <c r="BD37" s="303">
        <f t="shared" si="197"/>
        <v>200</v>
      </c>
      <c r="BE37" s="304" t="e">
        <f t="shared" si="198"/>
        <v>#DIV/0!</v>
      </c>
      <c r="BF37" s="307">
        <f t="shared" si="199"/>
        <v>160</v>
      </c>
      <c r="BG37" s="301"/>
      <c r="BH37" s="303">
        <f t="shared" si="200"/>
        <v>80</v>
      </c>
      <c r="BI37" s="304" t="e">
        <f t="shared" si="201"/>
        <v>#DIV/0!</v>
      </c>
      <c r="BK37" s="29"/>
      <c r="BL37" s="29"/>
      <c r="BP37" s="29" t="s">
        <v>1204</v>
      </c>
      <c r="BQ37" s="308"/>
      <c r="BR37" s="308"/>
    </row>
    <row r="38" ht="12.75" spans="1:70">
      <c r="A38" s="29" t="s">
        <v>1044</v>
      </c>
      <c r="B38" s="29" t="s">
        <v>1249</v>
      </c>
      <c r="C38" s="29" t="s">
        <v>1250</v>
      </c>
      <c r="D38" s="308"/>
      <c r="E38" s="29" t="s">
        <v>1231</v>
      </c>
      <c r="F38" s="207" t="b">
        <v>0</v>
      </c>
      <c r="G38" s="29" t="b">
        <v>1</v>
      </c>
      <c r="H38" s="29" t="b">
        <v>0</v>
      </c>
      <c r="I38" s="29" t="b">
        <v>0</v>
      </c>
      <c r="J38" s="29" t="b">
        <v>0</v>
      </c>
      <c r="K38" s="29" t="b">
        <v>0</v>
      </c>
      <c r="L38" s="29" t="b">
        <v>0</v>
      </c>
      <c r="M38" s="432" t="b">
        <v>0</v>
      </c>
      <c r="N38" s="432" t="b">
        <v>1</v>
      </c>
      <c r="O38" s="29"/>
      <c r="P38" s="29" t="s">
        <v>120</v>
      </c>
      <c r="Q38" s="441">
        <f t="shared" si="185"/>
        <v>400</v>
      </c>
      <c r="R38" s="441">
        <f t="shared" si="186"/>
        <v>400</v>
      </c>
      <c r="S38" s="442">
        <f t="shared" si="187"/>
        <v>77.9</v>
      </c>
      <c r="T38" s="308"/>
      <c r="U38" s="443"/>
      <c r="V38" s="444">
        <v>38.95</v>
      </c>
      <c r="W38" s="445">
        <v>179.75</v>
      </c>
      <c r="X38" s="444"/>
      <c r="Y38" s="245"/>
      <c r="Z38" s="245">
        <v>71.99</v>
      </c>
      <c r="AA38" s="245">
        <v>354.95</v>
      </c>
      <c r="AB38" s="463"/>
      <c r="AC38" s="464"/>
      <c r="AD38" s="470">
        <f t="shared" ref="AD38:AE38" si="251">1-(V38/Z38)</f>
        <v>0.458952632310043</v>
      </c>
      <c r="AE38" s="472">
        <f t="shared" si="251"/>
        <v>0.493590646569939</v>
      </c>
      <c r="AF38" s="467">
        <f t="shared" ref="AF38:AG38" si="252">(V38+Z38)/2</f>
        <v>55.47</v>
      </c>
      <c r="AG38" s="482">
        <f t="shared" si="252"/>
        <v>267.35</v>
      </c>
      <c r="AH38" s="483">
        <f t="shared" ref="AH38:AI38" si="253">1-(V38/AF38)</f>
        <v>0.297818640706688</v>
      </c>
      <c r="AI38" s="483">
        <f t="shared" si="253"/>
        <v>0.327660370301104</v>
      </c>
      <c r="AJ38" s="487">
        <f t="shared" ref="AJ38:AK38" si="254">V38+(V38*$AJ$2)</f>
        <v>77.9</v>
      </c>
      <c r="AK38" s="475">
        <f t="shared" si="254"/>
        <v>359.5</v>
      </c>
      <c r="AL38" s="485">
        <f t="shared" ref="AL38:AM38" si="255">AJ38-Z38</f>
        <v>5.91000000000001</v>
      </c>
      <c r="AM38" s="485">
        <f t="shared" si="255"/>
        <v>4.55000000000001</v>
      </c>
      <c r="AN38" s="486">
        <f t="shared" si="8"/>
        <v>30</v>
      </c>
      <c r="AO38" s="487">
        <f t="shared" ref="AO38:AP38" si="256">V38+(V38*$AO$2)</f>
        <v>58.425</v>
      </c>
      <c r="AP38" s="475">
        <f t="shared" si="256"/>
        <v>269.625</v>
      </c>
      <c r="AQ38" s="432" t="b">
        <v>0</v>
      </c>
      <c r="AR38" s="485">
        <f t="shared" ref="AR38:AS38" si="257">AO38-Z38</f>
        <v>-13.565</v>
      </c>
      <c r="AS38" s="485">
        <f t="shared" si="257"/>
        <v>-85.325</v>
      </c>
      <c r="AT38" s="486">
        <f t="shared" si="11"/>
        <v>22.5</v>
      </c>
      <c r="AU38" s="301">
        <f t="shared" si="12"/>
        <v>315</v>
      </c>
      <c r="AV38" s="301">
        <f t="shared" si="195"/>
        <v>400</v>
      </c>
      <c r="AW38" s="29">
        <v>350</v>
      </c>
      <c r="AX38" s="29">
        <v>450</v>
      </c>
      <c r="AY38" s="29">
        <v>2</v>
      </c>
      <c r="AZ38" s="29"/>
      <c r="BA38" s="29"/>
      <c r="BB38" s="302">
        <f t="shared" si="196"/>
        <v>400</v>
      </c>
      <c r="BC38" s="301"/>
      <c r="BD38" s="303">
        <f t="shared" si="197"/>
        <v>200</v>
      </c>
      <c r="BE38" s="304" t="e">
        <f t="shared" si="198"/>
        <v>#DIV/0!</v>
      </c>
      <c r="BF38" s="307">
        <f t="shared" si="199"/>
        <v>160</v>
      </c>
      <c r="BG38" s="301"/>
      <c r="BH38" s="303">
        <f t="shared" si="200"/>
        <v>80</v>
      </c>
      <c r="BI38" s="304" t="e">
        <f t="shared" si="201"/>
        <v>#DIV/0!</v>
      </c>
      <c r="BK38" s="29"/>
      <c r="BL38" s="29"/>
      <c r="BP38" s="29" t="s">
        <v>1204</v>
      </c>
      <c r="BQ38" s="308"/>
      <c r="BR38" s="308"/>
    </row>
    <row r="39" ht="12.75" spans="1:70">
      <c r="A39" s="29" t="s">
        <v>1044</v>
      </c>
      <c r="B39" s="29" t="s">
        <v>1249</v>
      </c>
      <c r="C39" s="29" t="s">
        <v>1250</v>
      </c>
      <c r="D39" s="308"/>
      <c r="E39" s="29" t="s">
        <v>1251</v>
      </c>
      <c r="F39" s="207" t="b">
        <v>0</v>
      </c>
      <c r="G39" s="29" t="b">
        <v>1</v>
      </c>
      <c r="H39" s="29" t="b">
        <v>0</v>
      </c>
      <c r="I39" s="29" t="b">
        <v>0</v>
      </c>
      <c r="J39" s="29" t="b">
        <v>0</v>
      </c>
      <c r="K39" s="29" t="b">
        <v>0</v>
      </c>
      <c r="L39" s="29" t="b">
        <v>0</v>
      </c>
      <c r="M39" s="432" t="b">
        <v>1</v>
      </c>
      <c r="N39" s="432" t="b">
        <v>1</v>
      </c>
      <c r="O39" s="29"/>
      <c r="P39" s="29" t="s">
        <v>120</v>
      </c>
      <c r="Q39" s="441">
        <f t="shared" si="185"/>
        <v>400</v>
      </c>
      <c r="R39" s="441">
        <f t="shared" si="186"/>
        <v>400</v>
      </c>
      <c r="S39" s="442">
        <f t="shared" si="187"/>
        <v>77.9</v>
      </c>
      <c r="T39" s="308"/>
      <c r="U39" s="443"/>
      <c r="V39" s="444">
        <v>38.95</v>
      </c>
      <c r="W39" s="445">
        <v>179.75</v>
      </c>
      <c r="X39" s="444"/>
      <c r="Y39" s="245"/>
      <c r="Z39" s="245">
        <v>72.99</v>
      </c>
      <c r="AA39" s="245">
        <v>359.95</v>
      </c>
      <c r="AB39" s="463"/>
      <c r="AC39" s="464"/>
      <c r="AD39" s="470">
        <f t="shared" ref="AD39:AE39" si="258">1-(V39/Z39)</f>
        <v>0.466365255514454</v>
      </c>
      <c r="AE39" s="472">
        <f t="shared" si="258"/>
        <v>0.500625086817614</v>
      </c>
      <c r="AF39" s="467">
        <f t="shared" ref="AF39:AG39" si="259">(V39+Z39)/2</f>
        <v>55.97</v>
      </c>
      <c r="AG39" s="482">
        <f t="shared" si="259"/>
        <v>269.85</v>
      </c>
      <c r="AH39" s="483">
        <f t="shared" ref="AH39:AI39" si="260">1-(V39/AF39)</f>
        <v>0.304091477577274</v>
      </c>
      <c r="AI39" s="483">
        <f t="shared" si="260"/>
        <v>0.333889197702427</v>
      </c>
      <c r="AJ39" s="487">
        <f t="shared" ref="AJ39:AK39" si="261">V39+(V39*$AJ$2)</f>
        <v>77.9</v>
      </c>
      <c r="AK39" s="475">
        <f t="shared" si="261"/>
        <v>359.5</v>
      </c>
      <c r="AL39" s="485">
        <f t="shared" ref="AL39:AM39" si="262">AJ39-Z39</f>
        <v>4.91000000000001</v>
      </c>
      <c r="AM39" s="485">
        <f t="shared" si="262"/>
        <v>-0.449999999999989</v>
      </c>
      <c r="AN39" s="486">
        <f t="shared" si="8"/>
        <v>30</v>
      </c>
      <c r="AO39" s="487">
        <f t="shared" ref="AO39:AP39" si="263">V39+(V39*$AO$2)</f>
        <v>58.425</v>
      </c>
      <c r="AP39" s="475">
        <f t="shared" si="263"/>
        <v>269.625</v>
      </c>
      <c r="AQ39" s="432" t="b">
        <v>0</v>
      </c>
      <c r="AR39" s="485">
        <f t="shared" ref="AR39:AS39" si="264">AO39-Z39</f>
        <v>-14.565</v>
      </c>
      <c r="AS39" s="485">
        <f t="shared" si="264"/>
        <v>-90.325</v>
      </c>
      <c r="AT39" s="486">
        <f t="shared" si="11"/>
        <v>22.5</v>
      </c>
      <c r="AU39" s="301">
        <f t="shared" si="12"/>
        <v>315</v>
      </c>
      <c r="AV39" s="301">
        <f t="shared" si="195"/>
        <v>400</v>
      </c>
      <c r="AW39" s="29">
        <v>350</v>
      </c>
      <c r="AX39" s="29">
        <v>450</v>
      </c>
      <c r="AY39" s="29">
        <v>2</v>
      </c>
      <c r="AZ39" s="29"/>
      <c r="BA39" s="29"/>
      <c r="BB39" s="302">
        <f t="shared" si="196"/>
        <v>400</v>
      </c>
      <c r="BC39" s="301"/>
      <c r="BD39" s="303">
        <f t="shared" si="197"/>
        <v>200</v>
      </c>
      <c r="BE39" s="304" t="e">
        <f t="shared" si="198"/>
        <v>#DIV/0!</v>
      </c>
      <c r="BF39" s="307">
        <f t="shared" si="199"/>
        <v>160</v>
      </c>
      <c r="BG39" s="301"/>
      <c r="BH39" s="303">
        <f t="shared" si="200"/>
        <v>80</v>
      </c>
      <c r="BI39" s="304" t="e">
        <f t="shared" si="201"/>
        <v>#DIV/0!</v>
      </c>
      <c r="BK39" s="29"/>
      <c r="BL39" s="29"/>
      <c r="BP39" s="29" t="s">
        <v>1204</v>
      </c>
      <c r="BQ39" s="308"/>
      <c r="BR39" s="308"/>
    </row>
    <row r="40" ht="12.75" spans="1:70">
      <c r="A40" s="29" t="s">
        <v>1044</v>
      </c>
      <c r="B40" s="29" t="s">
        <v>1249</v>
      </c>
      <c r="C40" s="29" t="s">
        <v>1250</v>
      </c>
      <c r="D40" s="308"/>
      <c r="E40" s="29" t="s">
        <v>1252</v>
      </c>
      <c r="F40" s="207" t="b">
        <v>0</v>
      </c>
      <c r="G40" s="29" t="b">
        <v>1</v>
      </c>
      <c r="H40" s="29" t="b">
        <v>0</v>
      </c>
      <c r="I40" s="29" t="b">
        <v>0</v>
      </c>
      <c r="J40" s="29" t="b">
        <v>0</v>
      </c>
      <c r="K40" s="29" t="b">
        <v>0</v>
      </c>
      <c r="L40" s="29" t="b">
        <v>0</v>
      </c>
      <c r="M40" s="432" t="b">
        <v>1</v>
      </c>
      <c r="N40" s="432" t="b">
        <v>1</v>
      </c>
      <c r="O40" s="29"/>
      <c r="P40" s="29" t="s">
        <v>120</v>
      </c>
      <c r="Q40" s="441">
        <f t="shared" si="185"/>
        <v>400</v>
      </c>
      <c r="R40" s="441">
        <f t="shared" si="186"/>
        <v>400</v>
      </c>
      <c r="S40" s="442">
        <f t="shared" si="187"/>
        <v>83.9</v>
      </c>
      <c r="T40" s="308"/>
      <c r="U40" s="443"/>
      <c r="V40" s="444">
        <v>41.95</v>
      </c>
      <c r="W40" s="445">
        <v>194.75</v>
      </c>
      <c r="X40" s="444"/>
      <c r="Y40" s="245"/>
      <c r="Z40" s="245">
        <v>73.99</v>
      </c>
      <c r="AA40" s="245">
        <v>364.95</v>
      </c>
      <c r="AB40" s="463"/>
      <c r="AC40" s="464"/>
      <c r="AD40" s="470">
        <f t="shared" ref="AD40:AE40" si="265">1-(V40/Z40)</f>
        <v>0.433031490741992</v>
      </c>
      <c r="AE40" s="472">
        <f t="shared" si="265"/>
        <v>0.466365255514454</v>
      </c>
      <c r="AF40" s="467">
        <f t="shared" ref="AF40:AG40" si="266">(V40+Z40)/2</f>
        <v>57.97</v>
      </c>
      <c r="AG40" s="482">
        <f t="shared" si="266"/>
        <v>279.85</v>
      </c>
      <c r="AH40" s="483">
        <f t="shared" ref="AH40:AI40" si="267">1-(V40/AF40)</f>
        <v>0.276349836122132</v>
      </c>
      <c r="AI40" s="483">
        <f t="shared" si="267"/>
        <v>0.304091477577274</v>
      </c>
      <c r="AJ40" s="487">
        <f t="shared" ref="AJ40:AK40" si="268">V40+(V40*$AJ$2)</f>
        <v>83.9</v>
      </c>
      <c r="AK40" s="475">
        <f t="shared" si="268"/>
        <v>389.5</v>
      </c>
      <c r="AL40" s="485">
        <f t="shared" ref="AL40:AM40" si="269">AJ40-Z40</f>
        <v>9.91000000000001</v>
      </c>
      <c r="AM40" s="485">
        <f t="shared" si="269"/>
        <v>24.55</v>
      </c>
      <c r="AN40" s="486">
        <f t="shared" si="8"/>
        <v>30</v>
      </c>
      <c r="AO40" s="487">
        <f t="shared" ref="AO40:AP40" si="270">V40+(V40*$AO$2)</f>
        <v>62.925</v>
      </c>
      <c r="AP40" s="475">
        <f t="shared" si="270"/>
        <v>292.125</v>
      </c>
      <c r="AQ40" s="432" t="b">
        <v>0</v>
      </c>
      <c r="AR40" s="485">
        <f t="shared" ref="AR40:AS40" si="271">AO40-Z40</f>
        <v>-11.065</v>
      </c>
      <c r="AS40" s="485">
        <f t="shared" si="271"/>
        <v>-72.825</v>
      </c>
      <c r="AT40" s="486">
        <f t="shared" si="11"/>
        <v>22.5</v>
      </c>
      <c r="AU40" s="301">
        <f t="shared" si="12"/>
        <v>315</v>
      </c>
      <c r="AV40" s="301">
        <f t="shared" si="195"/>
        <v>400</v>
      </c>
      <c r="AW40" s="29">
        <v>350</v>
      </c>
      <c r="AX40" s="29">
        <v>450</v>
      </c>
      <c r="AY40" s="29">
        <v>2</v>
      </c>
      <c r="AZ40" s="29"/>
      <c r="BA40" s="29"/>
      <c r="BB40" s="302">
        <f t="shared" si="196"/>
        <v>400</v>
      </c>
      <c r="BC40" s="301"/>
      <c r="BD40" s="303">
        <f t="shared" si="197"/>
        <v>200</v>
      </c>
      <c r="BE40" s="304" t="e">
        <f t="shared" si="198"/>
        <v>#DIV/0!</v>
      </c>
      <c r="BF40" s="307">
        <f t="shared" si="199"/>
        <v>160</v>
      </c>
      <c r="BG40" s="301"/>
      <c r="BH40" s="303">
        <f t="shared" si="200"/>
        <v>80</v>
      </c>
      <c r="BI40" s="304" t="e">
        <f t="shared" si="201"/>
        <v>#DIV/0!</v>
      </c>
      <c r="BK40" s="29"/>
      <c r="BL40" s="29"/>
      <c r="BP40" s="29" t="s">
        <v>1204</v>
      </c>
      <c r="BQ40" s="308"/>
      <c r="BR40" s="308"/>
    </row>
    <row r="41" ht="12.75" spans="1:70">
      <c r="A41" s="29" t="s">
        <v>1044</v>
      </c>
      <c r="B41" s="29" t="s">
        <v>1249</v>
      </c>
      <c r="C41" s="29" t="s">
        <v>1250</v>
      </c>
      <c r="D41" s="308"/>
      <c r="E41" s="29" t="s">
        <v>1253</v>
      </c>
      <c r="F41" s="207" t="b">
        <v>1</v>
      </c>
      <c r="G41" s="29" t="b">
        <v>0</v>
      </c>
      <c r="H41" s="29" t="b">
        <v>0</v>
      </c>
      <c r="I41" s="29" t="b">
        <v>0</v>
      </c>
      <c r="J41" s="29" t="b">
        <v>0</v>
      </c>
      <c r="K41" s="29" t="b">
        <v>0</v>
      </c>
      <c r="L41" s="29" t="b">
        <v>0</v>
      </c>
      <c r="M41" s="432" t="b">
        <v>1</v>
      </c>
      <c r="N41" s="432" t="b">
        <v>1</v>
      </c>
      <c r="O41" s="29"/>
      <c r="P41" s="29" t="s">
        <v>120</v>
      </c>
      <c r="Q41" s="441">
        <f t="shared" si="185"/>
        <v>400</v>
      </c>
      <c r="R41" s="441">
        <f t="shared" si="186"/>
        <v>400</v>
      </c>
      <c r="S41" s="442">
        <f t="shared" si="187"/>
        <v>85.9</v>
      </c>
      <c r="T41" s="308"/>
      <c r="U41" s="443"/>
      <c r="V41" s="444">
        <v>42.95</v>
      </c>
      <c r="W41" s="445">
        <v>199.75</v>
      </c>
      <c r="X41" s="444"/>
      <c r="Y41" s="245"/>
      <c r="Z41" s="245">
        <v>74.99</v>
      </c>
      <c r="AA41" s="245">
        <v>369.95</v>
      </c>
      <c r="AB41" s="463"/>
      <c r="AC41" s="464"/>
      <c r="AD41" s="470">
        <f t="shared" ref="AD41:AE41" si="272">1-(V41/Z41)</f>
        <v>0.427256967595679</v>
      </c>
      <c r="AE41" s="472">
        <f t="shared" si="272"/>
        <v>0.46006217056359</v>
      </c>
      <c r="AF41" s="467">
        <f t="shared" ref="AF41:AG41" si="273">(V41+Z41)/2</f>
        <v>58.97</v>
      </c>
      <c r="AG41" s="482">
        <f t="shared" si="273"/>
        <v>284.85</v>
      </c>
      <c r="AH41" s="483">
        <f t="shared" ref="AH41:AI41" si="274">1-(V41/AF41)</f>
        <v>0.271663557741224</v>
      </c>
      <c r="AI41" s="483">
        <f t="shared" si="274"/>
        <v>0.298753730033351</v>
      </c>
      <c r="AJ41" s="487">
        <f t="shared" ref="AJ41:AK41" si="275">V41+(V41*$AJ$2)</f>
        <v>85.9</v>
      </c>
      <c r="AK41" s="475">
        <f t="shared" si="275"/>
        <v>399.5</v>
      </c>
      <c r="AL41" s="485">
        <f t="shared" ref="AL41:AM41" si="276">AJ41-Z41</f>
        <v>10.91</v>
      </c>
      <c r="AM41" s="485">
        <f t="shared" si="276"/>
        <v>29.55</v>
      </c>
      <c r="AN41" s="486">
        <f t="shared" si="8"/>
        <v>30</v>
      </c>
      <c r="AO41" s="487">
        <f t="shared" ref="AO41:AP41" si="277">V41+(V41*$AO$2)</f>
        <v>64.425</v>
      </c>
      <c r="AP41" s="475">
        <f t="shared" si="277"/>
        <v>299.625</v>
      </c>
      <c r="AQ41" s="432" t="b">
        <v>0</v>
      </c>
      <c r="AR41" s="485">
        <f t="shared" ref="AR41:AS41" si="278">AO41-Z41</f>
        <v>-10.565</v>
      </c>
      <c r="AS41" s="485">
        <f t="shared" si="278"/>
        <v>-70.325</v>
      </c>
      <c r="AT41" s="486">
        <f t="shared" si="11"/>
        <v>22.5000000000001</v>
      </c>
      <c r="AU41" s="301">
        <f t="shared" si="12"/>
        <v>315</v>
      </c>
      <c r="AV41" s="301">
        <f t="shared" si="195"/>
        <v>400</v>
      </c>
      <c r="AW41" s="29">
        <v>350</v>
      </c>
      <c r="AX41" s="29">
        <v>450</v>
      </c>
      <c r="AY41" s="29">
        <v>2</v>
      </c>
      <c r="AZ41" s="29"/>
      <c r="BA41" s="29"/>
      <c r="BB41" s="302">
        <f t="shared" si="196"/>
        <v>400</v>
      </c>
      <c r="BC41" s="301"/>
      <c r="BD41" s="303">
        <f t="shared" si="197"/>
        <v>200</v>
      </c>
      <c r="BE41" s="304" t="e">
        <f t="shared" si="198"/>
        <v>#DIV/0!</v>
      </c>
      <c r="BF41" s="307">
        <f t="shared" si="199"/>
        <v>160</v>
      </c>
      <c r="BG41" s="301"/>
      <c r="BH41" s="303">
        <f t="shared" si="200"/>
        <v>80</v>
      </c>
      <c r="BI41" s="304" t="e">
        <f t="shared" si="201"/>
        <v>#DIV/0!</v>
      </c>
      <c r="BK41" s="29"/>
      <c r="BL41" s="29"/>
      <c r="BP41" s="29" t="s">
        <v>1204</v>
      </c>
      <c r="BQ41" s="308"/>
      <c r="BR41" s="308"/>
    </row>
    <row r="42" ht="12.75" spans="1:70">
      <c r="A42" s="29" t="s">
        <v>1022</v>
      </c>
      <c r="B42" s="29" t="s">
        <v>1195</v>
      </c>
      <c r="C42" s="29" t="s">
        <v>1254</v>
      </c>
      <c r="D42" s="29" t="s">
        <v>1200</v>
      </c>
      <c r="E42" s="29" t="s">
        <v>1255</v>
      </c>
      <c r="F42" s="207" t="b">
        <v>0</v>
      </c>
      <c r="G42" s="29" t="b">
        <v>1</v>
      </c>
      <c r="H42" s="29" t="b">
        <v>0</v>
      </c>
      <c r="I42" s="29" t="b">
        <v>0</v>
      </c>
      <c r="J42" s="29" t="b">
        <v>0</v>
      </c>
      <c r="K42" s="29" t="b">
        <v>0</v>
      </c>
      <c r="L42" s="29" t="b">
        <v>0</v>
      </c>
      <c r="M42" s="432" t="b">
        <v>0</v>
      </c>
      <c r="N42" s="432" t="b">
        <v>1</v>
      </c>
      <c r="P42" s="29" t="s">
        <v>120</v>
      </c>
      <c r="Q42" s="441">
        <f t="shared" si="185"/>
        <v>400</v>
      </c>
      <c r="R42" s="441">
        <f t="shared" si="186"/>
        <v>400</v>
      </c>
      <c r="S42" s="442">
        <f t="shared" si="187"/>
        <v>0</v>
      </c>
      <c r="T42" s="308"/>
      <c r="U42" s="443"/>
      <c r="V42" s="444"/>
      <c r="W42" s="445"/>
      <c r="X42" s="444">
        <v>64.57</v>
      </c>
      <c r="Y42" s="245">
        <v>306.63</v>
      </c>
      <c r="Z42" s="245"/>
      <c r="AA42" s="245"/>
      <c r="AB42" s="463">
        <f t="shared" ref="AB42:AC42" si="279">V42-X42</f>
        <v>-64.57</v>
      </c>
      <c r="AC42" s="464">
        <f t="shared" si="279"/>
        <v>-306.63</v>
      </c>
      <c r="AD42" s="465" t="e">
        <f t="shared" ref="AD42:AE42" si="280">1-(V42/Z42)</f>
        <v>#DIV/0!</v>
      </c>
      <c r="AE42" s="473" t="e">
        <f t="shared" si="280"/>
        <v>#DIV/0!</v>
      </c>
      <c r="AF42" s="467"/>
      <c r="AG42" s="482"/>
      <c r="AH42" s="483"/>
      <c r="AI42" s="483"/>
      <c r="AJ42" s="487">
        <f t="shared" ref="AJ42:AK42" si="281">V42+(V42*$AJ$2)</f>
        <v>0</v>
      </c>
      <c r="AK42" s="475">
        <f t="shared" si="281"/>
        <v>0</v>
      </c>
      <c r="AL42" s="485">
        <f t="shared" ref="AL42:AM42" si="282">AJ42-Z42</f>
        <v>0</v>
      </c>
      <c r="AM42" s="485">
        <f t="shared" si="282"/>
        <v>0</v>
      </c>
      <c r="AN42" s="486">
        <f t="shared" si="8"/>
        <v>0</v>
      </c>
      <c r="AO42" s="487">
        <f t="shared" ref="AO42:AP42" si="283">V42+(V42*$AO$2)</f>
        <v>0</v>
      </c>
      <c r="AP42" s="475">
        <f t="shared" si="283"/>
        <v>0</v>
      </c>
      <c r="AQ42" s="432" t="b">
        <v>0</v>
      </c>
      <c r="AR42" s="485">
        <f t="shared" ref="AR42:AS42" si="284">AO42-Z42</f>
        <v>0</v>
      </c>
      <c r="AS42" s="485">
        <f t="shared" si="284"/>
        <v>0</v>
      </c>
      <c r="AT42" s="486">
        <f t="shared" si="11"/>
        <v>0</v>
      </c>
      <c r="AU42" s="301">
        <f t="shared" si="12"/>
        <v>337.5</v>
      </c>
      <c r="AV42" s="301">
        <f t="shared" si="195"/>
        <v>400</v>
      </c>
      <c r="AW42" s="29">
        <v>375</v>
      </c>
      <c r="AX42" s="29">
        <v>425</v>
      </c>
      <c r="BB42" s="302">
        <f t="shared" si="196"/>
        <v>400</v>
      </c>
      <c r="BC42" s="301"/>
      <c r="BD42" s="303">
        <f t="shared" si="197"/>
        <v>200</v>
      </c>
      <c r="BE42" s="304" t="e">
        <f t="shared" si="198"/>
        <v>#DIV/0!</v>
      </c>
      <c r="BF42" s="307">
        <f t="shared" si="199"/>
        <v>160</v>
      </c>
      <c r="BG42" s="301"/>
      <c r="BH42" s="303">
        <f t="shared" si="200"/>
        <v>80</v>
      </c>
      <c r="BI42" s="304" t="e">
        <f t="shared" si="201"/>
        <v>#DIV/0!</v>
      </c>
      <c r="BK42" s="29"/>
      <c r="BL42" s="29"/>
      <c r="BQ42" s="308"/>
      <c r="BR42" s="308"/>
    </row>
    <row r="43" ht="12.75" spans="1:70">
      <c r="A43" s="29" t="s">
        <v>1022</v>
      </c>
      <c r="B43" s="29" t="s">
        <v>1195</v>
      </c>
      <c r="C43" s="29" t="s">
        <v>631</v>
      </c>
      <c r="D43" s="29" t="s">
        <v>1200</v>
      </c>
      <c r="E43" s="29" t="s">
        <v>1256</v>
      </c>
      <c r="F43" s="207" t="b">
        <v>0</v>
      </c>
      <c r="G43" s="29" t="b">
        <v>1</v>
      </c>
      <c r="H43" s="29" t="b">
        <v>0</v>
      </c>
      <c r="I43" s="29" t="b">
        <v>0</v>
      </c>
      <c r="J43" s="29" t="b">
        <v>0</v>
      </c>
      <c r="K43" s="29" t="b">
        <v>0</v>
      </c>
      <c r="L43" s="29" t="b">
        <v>0</v>
      </c>
      <c r="M43" s="432" t="b">
        <v>0</v>
      </c>
      <c r="N43" s="432" t="b">
        <v>1</v>
      </c>
      <c r="P43" s="29" t="s">
        <v>120</v>
      </c>
      <c r="Q43" s="441">
        <f t="shared" si="185"/>
        <v>400</v>
      </c>
      <c r="R43" s="441">
        <f t="shared" si="186"/>
        <v>400</v>
      </c>
      <c r="S43" s="442">
        <f t="shared" si="187"/>
        <v>0</v>
      </c>
      <c r="T43" s="308"/>
      <c r="U43" s="443"/>
      <c r="V43" s="444"/>
      <c r="W43" s="445"/>
      <c r="X43" s="444">
        <v>64.57</v>
      </c>
      <c r="Y43" s="245">
        <v>306.63</v>
      </c>
      <c r="Z43" s="245"/>
      <c r="AA43" s="245"/>
      <c r="AB43" s="463">
        <f t="shared" ref="AB43:AC43" si="285">V43-X43</f>
        <v>-64.57</v>
      </c>
      <c r="AC43" s="464">
        <f t="shared" si="285"/>
        <v>-306.63</v>
      </c>
      <c r="AD43" s="465" t="e">
        <f t="shared" ref="AD43:AE43" si="286">1-(V43/Z43)</f>
        <v>#DIV/0!</v>
      </c>
      <c r="AE43" s="473" t="e">
        <f t="shared" si="286"/>
        <v>#DIV/0!</v>
      </c>
      <c r="AF43" s="467"/>
      <c r="AG43" s="482"/>
      <c r="AH43" s="483"/>
      <c r="AI43" s="483"/>
      <c r="AJ43" s="487">
        <f t="shared" ref="AJ43:AK43" si="287">V43+(V43*$AJ$2)</f>
        <v>0</v>
      </c>
      <c r="AK43" s="475">
        <f t="shared" si="287"/>
        <v>0</v>
      </c>
      <c r="AL43" s="485">
        <f t="shared" ref="AL43:AM43" si="288">AJ43-Z43</f>
        <v>0</v>
      </c>
      <c r="AM43" s="485">
        <f t="shared" si="288"/>
        <v>0</v>
      </c>
      <c r="AN43" s="486">
        <f t="shared" si="8"/>
        <v>0</v>
      </c>
      <c r="AO43" s="487">
        <f t="shared" ref="AO43:AP43" si="289">V43+(V43*$AO$2)</f>
        <v>0</v>
      </c>
      <c r="AP43" s="475">
        <f t="shared" si="289"/>
        <v>0</v>
      </c>
      <c r="AQ43" s="432" t="b">
        <v>0</v>
      </c>
      <c r="AR43" s="485">
        <f t="shared" ref="AR43:AS43" si="290">AO43-Z43</f>
        <v>0</v>
      </c>
      <c r="AS43" s="485">
        <f t="shared" si="290"/>
        <v>0</v>
      </c>
      <c r="AT43" s="486">
        <f t="shared" si="11"/>
        <v>0</v>
      </c>
      <c r="AU43" s="301">
        <f t="shared" si="12"/>
        <v>337.5</v>
      </c>
      <c r="AV43" s="301">
        <f t="shared" si="195"/>
        <v>400</v>
      </c>
      <c r="AW43" s="29">
        <v>375</v>
      </c>
      <c r="AX43" s="29">
        <v>425</v>
      </c>
      <c r="BB43" s="302">
        <f t="shared" si="196"/>
        <v>400</v>
      </c>
      <c r="BC43" s="301"/>
      <c r="BD43" s="303">
        <f t="shared" si="197"/>
        <v>200</v>
      </c>
      <c r="BE43" s="304" t="e">
        <f t="shared" si="198"/>
        <v>#DIV/0!</v>
      </c>
      <c r="BF43" s="307">
        <f t="shared" si="199"/>
        <v>160</v>
      </c>
      <c r="BG43" s="301"/>
      <c r="BH43" s="303">
        <f t="shared" si="200"/>
        <v>80</v>
      </c>
      <c r="BI43" s="304" t="e">
        <f t="shared" si="201"/>
        <v>#DIV/0!</v>
      </c>
      <c r="BK43" s="29"/>
      <c r="BL43" s="29"/>
      <c r="BQ43" s="308"/>
      <c r="BR43" s="308"/>
    </row>
    <row r="44" ht="12.75" spans="1:70">
      <c r="A44" s="29" t="s">
        <v>1038</v>
      </c>
      <c r="B44" s="29" t="s">
        <v>1249</v>
      </c>
      <c r="C44" s="29" t="s">
        <v>1257</v>
      </c>
      <c r="D44" s="29" t="s">
        <v>1258</v>
      </c>
      <c r="F44" s="207" t="b">
        <v>1</v>
      </c>
      <c r="G44" s="29" t="b">
        <v>0</v>
      </c>
      <c r="H44" s="29" t="b">
        <v>0</v>
      </c>
      <c r="I44" s="29" t="b">
        <v>0</v>
      </c>
      <c r="J44" s="29" t="b">
        <v>0</v>
      </c>
      <c r="K44" s="29" t="b">
        <v>0</v>
      </c>
      <c r="L44" s="29" t="b">
        <v>0</v>
      </c>
      <c r="M44" s="432" t="b">
        <v>0</v>
      </c>
      <c r="N44" s="432" t="b">
        <v>0</v>
      </c>
      <c r="P44" s="29"/>
      <c r="Q44" s="441">
        <f t="shared" si="185"/>
        <v>0</v>
      </c>
      <c r="R44" s="441">
        <f t="shared" si="186"/>
        <v>0</v>
      </c>
      <c r="S44" s="442">
        <f t="shared" si="187"/>
        <v>83.62</v>
      </c>
      <c r="T44" s="29" t="s">
        <v>1203</v>
      </c>
      <c r="U44" s="443"/>
      <c r="V44" s="444">
        <v>41.81</v>
      </c>
      <c r="W44" s="445"/>
      <c r="X44" s="444"/>
      <c r="Y44" s="245"/>
      <c r="Z44" s="245">
        <v>49.19</v>
      </c>
      <c r="AA44" s="245"/>
      <c r="AB44" s="463">
        <f t="shared" ref="AB44:AC44" si="291">V44-X44</f>
        <v>41.81</v>
      </c>
      <c r="AC44" s="464">
        <f t="shared" si="291"/>
        <v>0</v>
      </c>
      <c r="AD44" s="465">
        <f t="shared" ref="AD44:AE44" si="292">1-(V44/Z44)</f>
        <v>0.150030494002846</v>
      </c>
      <c r="AE44" s="473" t="e">
        <f t="shared" si="292"/>
        <v>#DIV/0!</v>
      </c>
      <c r="AF44" s="467"/>
      <c r="AG44" s="482"/>
      <c r="AH44" s="483"/>
      <c r="AI44" s="483"/>
      <c r="AJ44" s="484">
        <f t="shared" ref="AJ44:AK44" si="293">V44+(V44*$AJ$2)</f>
        <v>83.62</v>
      </c>
      <c r="AK44" s="252">
        <f t="shared" si="293"/>
        <v>0</v>
      </c>
      <c r="AL44" s="485">
        <f t="shared" ref="AL44:AL45" si="294">AJ44-V44</f>
        <v>41.81</v>
      </c>
      <c r="AM44" s="485">
        <f t="shared" ref="AM44:AM45" si="295">AK44-AA44</f>
        <v>0</v>
      </c>
      <c r="AN44" s="486">
        <f t="shared" si="8"/>
        <v>418.1</v>
      </c>
      <c r="AO44" s="487">
        <f t="shared" ref="AO44:AP44" si="296">V44+(V44*$AO$2)</f>
        <v>62.715</v>
      </c>
      <c r="AP44" s="475">
        <f t="shared" si="296"/>
        <v>0</v>
      </c>
      <c r="AQ44" s="432" t="b">
        <v>0</v>
      </c>
      <c r="AR44" s="485">
        <f t="shared" ref="AR44:AS44" si="297">AO44-Z44</f>
        <v>13.525</v>
      </c>
      <c r="AS44" s="485">
        <f t="shared" si="297"/>
        <v>0</v>
      </c>
      <c r="AT44" s="486">
        <f t="shared" si="11"/>
        <v>313.575</v>
      </c>
      <c r="AU44" s="301">
        <f t="shared" si="12"/>
        <v>0</v>
      </c>
      <c r="AV44" s="301">
        <f t="shared" si="195"/>
        <v>0</v>
      </c>
      <c r="AW44" s="29"/>
      <c r="AX44" s="29"/>
      <c r="BB44" s="302"/>
      <c r="BC44" s="301"/>
      <c r="BD44" s="303"/>
      <c r="BE44" s="304"/>
      <c r="BF44" s="307"/>
      <c r="BG44" s="301"/>
      <c r="BH44" s="303"/>
      <c r="BI44" s="304"/>
      <c r="BK44" s="164" t="s">
        <v>1259</v>
      </c>
      <c r="BL44" s="29"/>
      <c r="BQ44" s="308"/>
      <c r="BR44" s="308"/>
    </row>
    <row r="45" ht="12.75" spans="1:70">
      <c r="A45" s="29" t="s">
        <v>1038</v>
      </c>
      <c r="B45" s="29" t="s">
        <v>1249</v>
      </c>
      <c r="C45" s="29" t="s">
        <v>1260</v>
      </c>
      <c r="D45" s="29" t="s">
        <v>1258</v>
      </c>
      <c r="F45" s="207" t="b">
        <v>1</v>
      </c>
      <c r="G45" s="29" t="b">
        <v>0</v>
      </c>
      <c r="H45" s="29" t="b">
        <v>0</v>
      </c>
      <c r="I45" s="29" t="b">
        <v>0</v>
      </c>
      <c r="J45" s="29" t="b">
        <v>0</v>
      </c>
      <c r="K45" s="29" t="b">
        <v>0</v>
      </c>
      <c r="L45" s="29" t="b">
        <v>0</v>
      </c>
      <c r="M45" s="432" t="b">
        <v>0</v>
      </c>
      <c r="N45" s="432" t="b">
        <v>0</v>
      </c>
      <c r="P45" s="29"/>
      <c r="Q45" s="441">
        <f t="shared" si="185"/>
        <v>0</v>
      </c>
      <c r="R45" s="441">
        <f t="shared" si="186"/>
        <v>0</v>
      </c>
      <c r="S45" s="442">
        <f t="shared" si="187"/>
        <v>59.8</v>
      </c>
      <c r="T45" s="29" t="s">
        <v>1203</v>
      </c>
      <c r="U45" s="443"/>
      <c r="V45" s="444">
        <v>29.9</v>
      </c>
      <c r="W45" s="445"/>
      <c r="X45" s="444"/>
      <c r="Y45" s="245"/>
      <c r="Z45" s="245">
        <v>49.19</v>
      </c>
      <c r="AA45" s="245"/>
      <c r="AB45" s="463">
        <f t="shared" ref="AB45:AC45" si="298">V45-X45</f>
        <v>29.9</v>
      </c>
      <c r="AC45" s="464">
        <f t="shared" si="298"/>
        <v>0</v>
      </c>
      <c r="AD45" s="465">
        <f t="shared" ref="AD45:AE45" si="299">1-(V45/Z45)</f>
        <v>0.392152876600935</v>
      </c>
      <c r="AE45" s="473" t="e">
        <f t="shared" si="299"/>
        <v>#DIV/0!</v>
      </c>
      <c r="AF45" s="467"/>
      <c r="AG45" s="482"/>
      <c r="AH45" s="483"/>
      <c r="AI45" s="483"/>
      <c r="AJ45" s="484">
        <f t="shared" ref="AJ45:AK45" si="300">V45+(V45*$AJ$2)</f>
        <v>59.8</v>
      </c>
      <c r="AK45" s="252">
        <f t="shared" si="300"/>
        <v>0</v>
      </c>
      <c r="AL45" s="485">
        <f t="shared" si="294"/>
        <v>29.9</v>
      </c>
      <c r="AM45" s="485">
        <f t="shared" si="295"/>
        <v>0</v>
      </c>
      <c r="AN45" s="486">
        <f t="shared" si="8"/>
        <v>299</v>
      </c>
      <c r="AO45" s="487">
        <f t="shared" ref="AO45:AP45" si="301">V45+(V45*$AO$2)</f>
        <v>44.85</v>
      </c>
      <c r="AP45" s="475">
        <f t="shared" si="301"/>
        <v>0</v>
      </c>
      <c r="AQ45" s="432" t="b">
        <v>0</v>
      </c>
      <c r="AR45" s="485">
        <f t="shared" ref="AR45:AS45" si="302">AO45-Z45</f>
        <v>-4.34</v>
      </c>
      <c r="AS45" s="485">
        <f t="shared" si="302"/>
        <v>0</v>
      </c>
      <c r="AT45" s="486">
        <f t="shared" si="11"/>
        <v>224.25</v>
      </c>
      <c r="AU45" s="301">
        <f t="shared" si="12"/>
        <v>0</v>
      </c>
      <c r="AV45" s="301">
        <f t="shared" si="195"/>
        <v>0</v>
      </c>
      <c r="AW45" s="29"/>
      <c r="AX45" s="29"/>
      <c r="BB45" s="302"/>
      <c r="BC45" s="301"/>
      <c r="BD45" s="303"/>
      <c r="BE45" s="304"/>
      <c r="BF45" s="307"/>
      <c r="BG45" s="301"/>
      <c r="BH45" s="303"/>
      <c r="BI45" s="304"/>
      <c r="BK45" s="164" t="s">
        <v>1259</v>
      </c>
      <c r="BL45" s="29"/>
      <c r="BQ45" s="308"/>
      <c r="BR45" s="308"/>
    </row>
    <row r="46" ht="12.75" spans="1:70">
      <c r="A46" s="29" t="s">
        <v>1044</v>
      </c>
      <c r="B46" s="29" t="s">
        <v>1195</v>
      </c>
      <c r="C46" s="29" t="s">
        <v>634</v>
      </c>
      <c r="D46" s="308"/>
      <c r="E46" s="29" t="s">
        <v>1256</v>
      </c>
      <c r="F46" s="207" t="b">
        <v>0</v>
      </c>
      <c r="G46" s="29" t="b">
        <v>1</v>
      </c>
      <c r="H46" s="29" t="b">
        <v>0</v>
      </c>
      <c r="I46" s="29" t="b">
        <v>0</v>
      </c>
      <c r="J46" s="29" t="b">
        <v>0</v>
      </c>
      <c r="K46" s="29" t="b">
        <v>0</v>
      </c>
      <c r="L46" s="29" t="b">
        <v>0</v>
      </c>
      <c r="M46" s="432" t="b">
        <v>0</v>
      </c>
      <c r="N46" s="432" t="b">
        <v>1</v>
      </c>
      <c r="P46" s="29" t="s">
        <v>120</v>
      </c>
      <c r="Q46" s="441">
        <f t="shared" si="185"/>
        <v>425</v>
      </c>
      <c r="R46" s="441">
        <f t="shared" si="186"/>
        <v>425</v>
      </c>
      <c r="S46" s="442">
        <f t="shared" si="187"/>
        <v>0</v>
      </c>
      <c r="T46" s="308"/>
      <c r="U46" s="443"/>
      <c r="V46" s="444"/>
      <c r="W46" s="445"/>
      <c r="X46" s="444">
        <v>34.42</v>
      </c>
      <c r="Y46" s="245">
        <v>168.84</v>
      </c>
      <c r="Z46" s="245"/>
      <c r="AA46" s="245"/>
      <c r="AB46" s="463">
        <f t="shared" ref="AB46:AC46" si="303">V46-X46</f>
        <v>-34.42</v>
      </c>
      <c r="AC46" s="464">
        <f t="shared" si="303"/>
        <v>-168.84</v>
      </c>
      <c r="AD46" s="465" t="e">
        <f t="shared" ref="AD46:AE46" si="304">1-(V46/Z46)</f>
        <v>#DIV/0!</v>
      </c>
      <c r="AE46" s="473" t="e">
        <f t="shared" si="304"/>
        <v>#DIV/0!</v>
      </c>
      <c r="AF46" s="467"/>
      <c r="AG46" s="482"/>
      <c r="AH46" s="483"/>
      <c r="AI46" s="483"/>
      <c r="AJ46" s="487">
        <f t="shared" ref="AJ46:AK46" si="305">V46+(V46*$AJ$2)</f>
        <v>0</v>
      </c>
      <c r="AK46" s="475">
        <f t="shared" si="305"/>
        <v>0</v>
      </c>
      <c r="AL46" s="485">
        <f t="shared" ref="AL46:AM46" si="306">AJ46-Z46</f>
        <v>0</v>
      </c>
      <c r="AM46" s="485">
        <f t="shared" si="306"/>
        <v>0</v>
      </c>
      <c r="AN46" s="486">
        <f t="shared" si="8"/>
        <v>0</v>
      </c>
      <c r="AO46" s="487">
        <f t="shared" ref="AO46:AP46" si="307">V46+(V46*$AO$2)</f>
        <v>0</v>
      </c>
      <c r="AP46" s="475">
        <f t="shared" si="307"/>
        <v>0</v>
      </c>
      <c r="AQ46" s="432" t="b">
        <v>0</v>
      </c>
      <c r="AR46" s="485">
        <f t="shared" ref="AR46:AS46" si="308">AO46-Z46</f>
        <v>0</v>
      </c>
      <c r="AS46" s="485">
        <f t="shared" si="308"/>
        <v>0</v>
      </c>
      <c r="AT46" s="486">
        <f t="shared" si="11"/>
        <v>0</v>
      </c>
      <c r="AU46" s="301">
        <f t="shared" si="12"/>
        <v>360</v>
      </c>
      <c r="AV46" s="301">
        <f t="shared" si="195"/>
        <v>425</v>
      </c>
      <c r="AW46" s="29">
        <v>400</v>
      </c>
      <c r="AX46" s="29">
        <v>450</v>
      </c>
      <c r="BB46" s="302">
        <f t="shared" ref="BB46:BB48" si="309">AV46</f>
        <v>425</v>
      </c>
      <c r="BC46" s="301"/>
      <c r="BD46" s="303">
        <f t="shared" ref="BD46:BD48" si="310">(BB46+BC46)/2</f>
        <v>212.5</v>
      </c>
      <c r="BE46" s="304" t="e">
        <f t="shared" ref="BE46:BE48" si="311">BB46/BC46</f>
        <v>#DIV/0!</v>
      </c>
      <c r="BF46" s="307">
        <f t="shared" ref="BF46:BF48" si="312">BB46*$BF$1</f>
        <v>170</v>
      </c>
      <c r="BG46" s="301"/>
      <c r="BH46" s="303">
        <f t="shared" ref="BH46:BH48" si="313">(BF46+BG46)/2</f>
        <v>85</v>
      </c>
      <c r="BI46" s="304" t="e">
        <f t="shared" ref="BI46:BI48" si="314">BF46/BG46</f>
        <v>#DIV/0!</v>
      </c>
      <c r="BK46" s="29"/>
      <c r="BL46" s="29"/>
      <c r="BQ46" s="308"/>
      <c r="BR46" s="308"/>
    </row>
    <row r="47" ht="12.75" spans="1:70">
      <c r="A47" s="29" t="s">
        <v>1044</v>
      </c>
      <c r="B47" s="29" t="s">
        <v>1195</v>
      </c>
      <c r="C47" s="29" t="s">
        <v>637</v>
      </c>
      <c r="D47" s="308"/>
      <c r="E47" s="29" t="s">
        <v>1261</v>
      </c>
      <c r="F47" s="207" t="b">
        <v>0</v>
      </c>
      <c r="G47" s="29" t="b">
        <v>1</v>
      </c>
      <c r="H47" s="29" t="b">
        <v>0</v>
      </c>
      <c r="I47" s="29" t="b">
        <v>0</v>
      </c>
      <c r="J47" s="29" t="b">
        <v>0</v>
      </c>
      <c r="K47" s="29" t="b">
        <v>0</v>
      </c>
      <c r="L47" s="29" t="b">
        <v>0</v>
      </c>
      <c r="M47" s="432" t="b">
        <v>0</v>
      </c>
      <c r="N47" s="432" t="b">
        <v>1</v>
      </c>
      <c r="P47" s="29" t="s">
        <v>120</v>
      </c>
      <c r="Q47" s="441">
        <f t="shared" si="185"/>
        <v>425</v>
      </c>
      <c r="R47" s="441">
        <f t="shared" si="186"/>
        <v>425</v>
      </c>
      <c r="S47" s="442">
        <f t="shared" si="187"/>
        <v>0</v>
      </c>
      <c r="T47" s="308"/>
      <c r="U47" s="443"/>
      <c r="V47" s="444"/>
      <c r="W47" s="445"/>
      <c r="X47" s="444">
        <v>36.15</v>
      </c>
      <c r="Y47" s="245">
        <v>177.46</v>
      </c>
      <c r="Z47" s="245"/>
      <c r="AA47" s="245"/>
      <c r="AB47" s="463">
        <f t="shared" ref="AB47:AC47" si="315">V47-X47</f>
        <v>-36.15</v>
      </c>
      <c r="AC47" s="464">
        <f t="shared" si="315"/>
        <v>-177.46</v>
      </c>
      <c r="AD47" s="465" t="e">
        <f t="shared" ref="AD47:AE47" si="316">1-(V47/Z47)</f>
        <v>#DIV/0!</v>
      </c>
      <c r="AE47" s="473" t="e">
        <f t="shared" si="316"/>
        <v>#DIV/0!</v>
      </c>
      <c r="AF47" s="467"/>
      <c r="AG47" s="482"/>
      <c r="AH47" s="483"/>
      <c r="AI47" s="483"/>
      <c r="AJ47" s="487">
        <f t="shared" ref="AJ47:AK47" si="317">V47+(V47*$AJ$2)</f>
        <v>0</v>
      </c>
      <c r="AK47" s="475">
        <f t="shared" si="317"/>
        <v>0</v>
      </c>
      <c r="AL47" s="485">
        <f t="shared" ref="AL47:AM47" si="318">AJ47-Z47</f>
        <v>0</v>
      </c>
      <c r="AM47" s="485">
        <f t="shared" si="318"/>
        <v>0</v>
      </c>
      <c r="AN47" s="486">
        <f t="shared" si="8"/>
        <v>0</v>
      </c>
      <c r="AO47" s="487">
        <f t="shared" ref="AO47:AP47" si="319">V47+(V47*$AO$2)</f>
        <v>0</v>
      </c>
      <c r="AP47" s="475">
        <f t="shared" si="319"/>
        <v>0</v>
      </c>
      <c r="AQ47" s="432" t="b">
        <v>0</v>
      </c>
      <c r="AR47" s="485">
        <f t="shared" ref="AR47:AS47" si="320">AO47-Z47</f>
        <v>0</v>
      </c>
      <c r="AS47" s="485">
        <f t="shared" si="320"/>
        <v>0</v>
      </c>
      <c r="AT47" s="486">
        <f t="shared" si="11"/>
        <v>0</v>
      </c>
      <c r="AU47" s="301">
        <f t="shared" si="12"/>
        <v>360</v>
      </c>
      <c r="AV47" s="301">
        <f t="shared" si="195"/>
        <v>425</v>
      </c>
      <c r="AW47" s="29">
        <v>400</v>
      </c>
      <c r="AX47" s="29">
        <v>450</v>
      </c>
      <c r="BB47" s="302">
        <f t="shared" si="309"/>
        <v>425</v>
      </c>
      <c r="BC47" s="301"/>
      <c r="BD47" s="303">
        <f t="shared" si="310"/>
        <v>212.5</v>
      </c>
      <c r="BE47" s="304" t="e">
        <f t="shared" si="311"/>
        <v>#DIV/0!</v>
      </c>
      <c r="BF47" s="307">
        <f t="shared" si="312"/>
        <v>170</v>
      </c>
      <c r="BG47" s="301"/>
      <c r="BH47" s="303">
        <f t="shared" si="313"/>
        <v>85</v>
      </c>
      <c r="BI47" s="304" t="e">
        <f t="shared" si="314"/>
        <v>#DIV/0!</v>
      </c>
      <c r="BK47" s="29"/>
      <c r="BL47" s="29"/>
      <c r="BQ47" s="308"/>
      <c r="BR47" s="308"/>
    </row>
    <row r="48" ht="12.75" spans="1:70">
      <c r="A48" s="29" t="s">
        <v>1044</v>
      </c>
      <c r="B48" s="29" t="s">
        <v>1195</v>
      </c>
      <c r="C48" s="29" t="s">
        <v>640</v>
      </c>
      <c r="D48" s="308"/>
      <c r="E48" s="29" t="s">
        <v>13</v>
      </c>
      <c r="F48" s="207" t="b">
        <v>0</v>
      </c>
      <c r="G48" s="29" t="b">
        <v>1</v>
      </c>
      <c r="H48" s="29" t="b">
        <v>0</v>
      </c>
      <c r="I48" s="29" t="b">
        <v>0</v>
      </c>
      <c r="J48" s="29" t="b">
        <v>0</v>
      </c>
      <c r="K48" s="29" t="b">
        <v>0</v>
      </c>
      <c r="L48" s="29" t="b">
        <v>0</v>
      </c>
      <c r="M48" s="432" t="b">
        <v>0</v>
      </c>
      <c r="N48" s="432" t="b">
        <v>1</v>
      </c>
      <c r="P48" s="29" t="s">
        <v>120</v>
      </c>
      <c r="Q48" s="441">
        <f t="shared" si="185"/>
        <v>350</v>
      </c>
      <c r="R48" s="441">
        <f t="shared" si="186"/>
        <v>350</v>
      </c>
      <c r="S48" s="442">
        <f t="shared" si="187"/>
        <v>0</v>
      </c>
      <c r="T48" s="308"/>
      <c r="U48" s="443"/>
      <c r="V48" s="444"/>
      <c r="W48" s="445"/>
      <c r="X48" s="444" t="s">
        <v>117</v>
      </c>
      <c r="Y48" s="245">
        <v>57.37</v>
      </c>
      <c r="Z48" s="245"/>
      <c r="AA48" s="245"/>
      <c r="AB48" s="463" t="e">
        <f t="shared" ref="AB48:AC48" si="321">V48-X48</f>
        <v>#VALUE!</v>
      </c>
      <c r="AC48" s="464">
        <f t="shared" si="321"/>
        <v>-57.37</v>
      </c>
      <c r="AD48" s="465" t="e">
        <f t="shared" ref="AD48:AE48" si="322">1-(V48/Z48)</f>
        <v>#DIV/0!</v>
      </c>
      <c r="AE48" s="473" t="e">
        <f t="shared" si="322"/>
        <v>#DIV/0!</v>
      </c>
      <c r="AF48" s="467"/>
      <c r="AG48" s="482"/>
      <c r="AH48" s="483"/>
      <c r="AI48" s="483"/>
      <c r="AJ48" s="487">
        <f t="shared" ref="AJ48:AK48" si="323">V48+(V48*$AJ$2)</f>
        <v>0</v>
      </c>
      <c r="AK48" s="475">
        <f t="shared" si="323"/>
        <v>0</v>
      </c>
      <c r="AL48" s="485">
        <f t="shared" ref="AL48:AM48" si="324">AJ48-Z48</f>
        <v>0</v>
      </c>
      <c r="AM48" s="485">
        <f t="shared" si="324"/>
        <v>0</v>
      </c>
      <c r="AN48" s="486">
        <f t="shared" si="8"/>
        <v>0</v>
      </c>
      <c r="AO48" s="487">
        <f t="shared" ref="AO48:AP48" si="325">V48+(V48*$AO$2)</f>
        <v>0</v>
      </c>
      <c r="AP48" s="475">
        <f t="shared" si="325"/>
        <v>0</v>
      </c>
      <c r="AQ48" s="432" t="b">
        <v>0</v>
      </c>
      <c r="AR48" s="485">
        <f t="shared" ref="AR48:AS48" si="326">AO48-Z48</f>
        <v>0</v>
      </c>
      <c r="AS48" s="485">
        <f t="shared" si="326"/>
        <v>0</v>
      </c>
      <c r="AT48" s="486">
        <f t="shared" si="11"/>
        <v>0</v>
      </c>
      <c r="AU48" s="301">
        <f t="shared" si="12"/>
        <v>292.5</v>
      </c>
      <c r="AV48" s="301">
        <f t="shared" si="195"/>
        <v>350</v>
      </c>
      <c r="AW48" s="29">
        <v>325</v>
      </c>
      <c r="AX48" s="29">
        <v>375</v>
      </c>
      <c r="BB48" s="302">
        <f t="shared" si="309"/>
        <v>350</v>
      </c>
      <c r="BC48" s="301"/>
      <c r="BD48" s="303">
        <f t="shared" si="310"/>
        <v>175</v>
      </c>
      <c r="BE48" s="304" t="e">
        <f t="shared" si="311"/>
        <v>#DIV/0!</v>
      </c>
      <c r="BF48" s="307">
        <f t="shared" si="312"/>
        <v>140</v>
      </c>
      <c r="BG48" s="301"/>
      <c r="BH48" s="303">
        <f t="shared" si="313"/>
        <v>70</v>
      </c>
      <c r="BI48" s="304" t="e">
        <f t="shared" si="314"/>
        <v>#DIV/0!</v>
      </c>
      <c r="BK48" s="29"/>
      <c r="BL48" s="29"/>
      <c r="BQ48" s="308"/>
      <c r="BR48" s="308"/>
    </row>
    <row r="49" ht="12.75" spans="1:70">
      <c r="A49" s="29" t="s">
        <v>1038</v>
      </c>
      <c r="B49" s="29" t="s">
        <v>1262</v>
      </c>
      <c r="C49" s="429" t="s">
        <v>1263</v>
      </c>
      <c r="D49" s="29" t="s">
        <v>1198</v>
      </c>
      <c r="F49" s="29" t="b">
        <v>0</v>
      </c>
      <c r="G49" s="29" t="b">
        <v>1</v>
      </c>
      <c r="H49" s="29" t="b">
        <v>0</v>
      </c>
      <c r="I49" s="29" t="b">
        <v>0</v>
      </c>
      <c r="J49" s="29" t="b">
        <v>0</v>
      </c>
      <c r="K49" s="29" t="b">
        <v>0</v>
      </c>
      <c r="L49" s="29" t="b">
        <v>0</v>
      </c>
      <c r="M49" s="432" t="b">
        <v>0</v>
      </c>
      <c r="N49" s="432" t="b">
        <v>0</v>
      </c>
      <c r="P49" s="29"/>
      <c r="Q49" s="441">
        <f t="shared" si="185"/>
        <v>553</v>
      </c>
      <c r="R49" s="441">
        <f t="shared" si="186"/>
        <v>553</v>
      </c>
      <c r="S49" s="442">
        <f t="shared" si="187"/>
        <v>220</v>
      </c>
      <c r="T49" s="29" t="s">
        <v>1203</v>
      </c>
      <c r="U49" s="443"/>
      <c r="V49" s="245">
        <v>110</v>
      </c>
      <c r="W49" s="245"/>
      <c r="X49" s="444"/>
      <c r="Y49" s="245"/>
      <c r="Z49" s="245"/>
      <c r="AA49" s="245"/>
      <c r="AB49" s="463">
        <f t="shared" ref="AB49:AC49" si="327">V49-X49</f>
        <v>110</v>
      </c>
      <c r="AC49" s="464">
        <f t="shared" si="327"/>
        <v>0</v>
      </c>
      <c r="AD49" s="474" t="e">
        <f t="shared" ref="AD49:AE49" si="328">1-(V49/Z49)</f>
        <v>#DIV/0!</v>
      </c>
      <c r="AE49" s="474" t="e">
        <f t="shared" si="328"/>
        <v>#DIV/0!</v>
      </c>
      <c r="AF49" s="475"/>
      <c r="AG49" s="475"/>
      <c r="AH49" s="483"/>
      <c r="AI49" s="483"/>
      <c r="AJ49" s="484">
        <f t="shared" ref="AJ49:AK49" si="329">V49+(V49*$AJ$2)</f>
        <v>220</v>
      </c>
      <c r="AK49" s="252">
        <f t="shared" si="329"/>
        <v>0</v>
      </c>
      <c r="AL49" s="485">
        <f>AJ49-V49</f>
        <v>110</v>
      </c>
      <c r="AM49" s="485">
        <f>AK49-AA49</f>
        <v>0</v>
      </c>
      <c r="AN49" s="486">
        <f t="shared" si="8"/>
        <v>1100</v>
      </c>
      <c r="AO49" s="487">
        <f t="shared" ref="AO49:AP49" si="330">V49+(V49*$AO$2)</f>
        <v>165</v>
      </c>
      <c r="AP49" s="475">
        <f t="shared" si="330"/>
        <v>0</v>
      </c>
      <c r="AQ49" s="432" t="b">
        <v>1</v>
      </c>
      <c r="AR49" s="485">
        <f t="shared" ref="AR49:AS49" si="331">AO49-Z49</f>
        <v>165</v>
      </c>
      <c r="AS49" s="485">
        <f t="shared" si="331"/>
        <v>0</v>
      </c>
      <c r="AT49" s="486">
        <f t="shared" si="11"/>
        <v>825</v>
      </c>
      <c r="AU49" s="301">
        <f t="shared" si="12"/>
        <v>497.7</v>
      </c>
      <c r="AV49" s="301">
        <f t="shared" si="195"/>
        <v>553</v>
      </c>
      <c r="AW49" s="29">
        <v>553</v>
      </c>
      <c r="AX49" s="29">
        <v>553</v>
      </c>
      <c r="AY49" s="29">
        <v>1</v>
      </c>
      <c r="BB49" s="302"/>
      <c r="BC49" s="301"/>
      <c r="BD49" s="303"/>
      <c r="BE49" s="304"/>
      <c r="BF49" s="307"/>
      <c r="BG49" s="301"/>
      <c r="BH49" s="303"/>
      <c r="BI49" s="304"/>
      <c r="BJ49" s="29" t="s">
        <v>1249</v>
      </c>
      <c r="BK49" s="29"/>
      <c r="BL49" s="29"/>
      <c r="BQ49" s="308"/>
      <c r="BR49" s="308"/>
    </row>
    <row r="50" ht="12.75" spans="1:70">
      <c r="A50" s="29" t="s">
        <v>1044</v>
      </c>
      <c r="B50" s="29" t="s">
        <v>1195</v>
      </c>
      <c r="C50" s="288" t="s">
        <v>643</v>
      </c>
      <c r="D50" s="308"/>
      <c r="E50" s="29" t="s">
        <v>13</v>
      </c>
      <c r="F50" s="29" t="b">
        <v>1</v>
      </c>
      <c r="G50" s="29" t="b">
        <v>0</v>
      </c>
      <c r="H50" s="29" t="b">
        <v>0</v>
      </c>
      <c r="I50" s="29" t="b">
        <v>0</v>
      </c>
      <c r="J50" s="29" t="b">
        <v>0</v>
      </c>
      <c r="K50" s="29" t="b">
        <v>0</v>
      </c>
      <c r="L50" s="29" t="b">
        <v>0</v>
      </c>
      <c r="M50" s="432" t="b">
        <v>0</v>
      </c>
      <c r="N50" s="432" t="b">
        <v>1</v>
      </c>
      <c r="P50" s="29" t="s">
        <v>120</v>
      </c>
      <c r="Q50" s="441">
        <f t="shared" si="185"/>
        <v>400</v>
      </c>
      <c r="R50" s="441">
        <f t="shared" si="186"/>
        <v>400</v>
      </c>
      <c r="S50" s="442">
        <f t="shared" si="187"/>
        <v>0</v>
      </c>
      <c r="T50" s="308"/>
      <c r="U50" s="443"/>
      <c r="V50" s="245"/>
      <c r="W50" s="245"/>
      <c r="X50" s="444">
        <v>21.26</v>
      </c>
      <c r="Y50" s="245">
        <v>99.97</v>
      </c>
      <c r="Z50" s="245"/>
      <c r="AA50" s="245"/>
      <c r="AB50" s="463">
        <f t="shared" ref="AB50:AC50" si="332">V50-X50</f>
        <v>-21.26</v>
      </c>
      <c r="AC50" s="464">
        <f t="shared" si="332"/>
        <v>-99.97</v>
      </c>
      <c r="AD50" s="474" t="e">
        <f t="shared" ref="AD50:AE50" si="333">1-(V50/Z50)</f>
        <v>#DIV/0!</v>
      </c>
      <c r="AE50" s="474" t="e">
        <f t="shared" si="333"/>
        <v>#DIV/0!</v>
      </c>
      <c r="AF50" s="475"/>
      <c r="AG50" s="475"/>
      <c r="AH50" s="483"/>
      <c r="AI50" s="483"/>
      <c r="AJ50" s="487">
        <f t="shared" ref="AJ50:AK50" si="334">V50+(V50*$AJ$2)</f>
        <v>0</v>
      </c>
      <c r="AK50" s="475">
        <f t="shared" si="334"/>
        <v>0</v>
      </c>
      <c r="AL50" s="485">
        <f t="shared" ref="AL50:AM50" si="335">AJ50-Z50</f>
        <v>0</v>
      </c>
      <c r="AM50" s="485">
        <f t="shared" si="335"/>
        <v>0</v>
      </c>
      <c r="AN50" s="486">
        <f t="shared" si="8"/>
        <v>0</v>
      </c>
      <c r="AO50" s="487">
        <f t="shared" ref="AO50:AP50" si="336">V50+(V50*$AO$2)</f>
        <v>0</v>
      </c>
      <c r="AP50" s="475">
        <f t="shared" si="336"/>
        <v>0</v>
      </c>
      <c r="AQ50" s="432" t="b">
        <v>1</v>
      </c>
      <c r="AR50" s="485">
        <f t="shared" ref="AR50:AS50" si="337">AO50-Z50</f>
        <v>0</v>
      </c>
      <c r="AS50" s="485">
        <f t="shared" si="337"/>
        <v>0</v>
      </c>
      <c r="AT50" s="486">
        <f t="shared" si="11"/>
        <v>0</v>
      </c>
      <c r="AU50" s="301">
        <f t="shared" si="12"/>
        <v>337.5</v>
      </c>
      <c r="AV50" s="301">
        <f t="shared" si="195"/>
        <v>400</v>
      </c>
      <c r="AW50" s="29">
        <v>375</v>
      </c>
      <c r="AX50" s="29">
        <v>425</v>
      </c>
      <c r="BB50" s="302">
        <f>AV50</f>
        <v>400</v>
      </c>
      <c r="BC50" s="301"/>
      <c r="BD50" s="303">
        <f>(BB50+BC50)/2</f>
        <v>200</v>
      </c>
      <c r="BE50" s="304" t="e">
        <f>BB50/BC50</f>
        <v>#DIV/0!</v>
      </c>
      <c r="BF50" s="307">
        <f>BB50*$BF$1</f>
        <v>160</v>
      </c>
      <c r="BG50" s="301"/>
      <c r="BH50" s="303">
        <f>(BF50+BG50)/2</f>
        <v>80</v>
      </c>
      <c r="BI50" s="304" t="e">
        <f>BF50/BG50</f>
        <v>#DIV/0!</v>
      </c>
      <c r="BK50" s="29"/>
      <c r="BL50" s="29"/>
      <c r="BQ50" s="308"/>
      <c r="BR50" s="308"/>
    </row>
    <row r="51" ht="12.75" spans="1:70">
      <c r="A51" s="29" t="s">
        <v>1038</v>
      </c>
      <c r="B51" s="29"/>
      <c r="C51" s="430" t="s">
        <v>1264</v>
      </c>
      <c r="D51" s="308"/>
      <c r="E51" s="29" t="s">
        <v>1201</v>
      </c>
      <c r="F51" s="29" t="b">
        <v>1</v>
      </c>
      <c r="G51" s="29" t="b">
        <v>0</v>
      </c>
      <c r="H51" s="29" t="b">
        <v>0</v>
      </c>
      <c r="I51" s="29" t="b">
        <v>1</v>
      </c>
      <c r="J51" s="29" t="b">
        <v>0</v>
      </c>
      <c r="K51" s="29" t="b">
        <v>1</v>
      </c>
      <c r="L51" s="29" t="b">
        <v>0</v>
      </c>
      <c r="M51" s="432" t="b">
        <v>0</v>
      </c>
      <c r="N51" s="432" t="b">
        <v>0</v>
      </c>
      <c r="O51" s="29" t="s">
        <v>1265</v>
      </c>
      <c r="P51" s="29" t="s">
        <v>142</v>
      </c>
      <c r="Q51" s="441">
        <f t="shared" si="185"/>
        <v>250</v>
      </c>
      <c r="R51" s="441">
        <f t="shared" si="186"/>
        <v>250</v>
      </c>
      <c r="S51" s="442">
        <f t="shared" si="187"/>
        <v>130</v>
      </c>
      <c r="T51" s="308"/>
      <c r="U51" s="443"/>
      <c r="V51" s="453">
        <v>65</v>
      </c>
      <c r="W51" s="245"/>
      <c r="X51" s="444"/>
      <c r="Y51" s="245"/>
      <c r="Z51" s="245"/>
      <c r="AA51" s="245"/>
      <c r="AB51" s="463">
        <f t="shared" ref="AB51:AC51" si="338">V51-X51</f>
        <v>65</v>
      </c>
      <c r="AC51" s="464">
        <f t="shared" si="338"/>
        <v>0</v>
      </c>
      <c r="AD51" s="474" t="e">
        <f t="shared" ref="AD51:AE51" si="339">1-(V51/Z51)</f>
        <v>#DIV/0!</v>
      </c>
      <c r="AE51" s="474" t="e">
        <f t="shared" si="339"/>
        <v>#DIV/0!</v>
      </c>
      <c r="AF51" s="475"/>
      <c r="AG51" s="475"/>
      <c r="AH51" s="483"/>
      <c r="AI51" s="483"/>
      <c r="AJ51" s="484">
        <f t="shared" ref="AJ51:AK51" si="340">V51+(V51*$AJ$2)</f>
        <v>130</v>
      </c>
      <c r="AK51" s="252">
        <f t="shared" si="340"/>
        <v>0</v>
      </c>
      <c r="AL51" s="485">
        <f>AJ51-V51</f>
        <v>65</v>
      </c>
      <c r="AM51" s="485">
        <f>AK51-AA51</f>
        <v>0</v>
      </c>
      <c r="AN51" s="486">
        <f t="shared" si="8"/>
        <v>650</v>
      </c>
      <c r="AO51" s="487">
        <f t="shared" ref="AO51:AP51" si="341">V51+(V51*$AO$2)</f>
        <v>97.5</v>
      </c>
      <c r="AP51" s="475">
        <f t="shared" si="341"/>
        <v>0</v>
      </c>
      <c r="AQ51" s="432" t="b">
        <v>1</v>
      </c>
      <c r="AR51" s="485">
        <f t="shared" ref="AR51:AS51" si="342">AO51-Z51</f>
        <v>97.5</v>
      </c>
      <c r="AS51" s="485">
        <f t="shared" si="342"/>
        <v>0</v>
      </c>
      <c r="AT51" s="486">
        <f t="shared" si="11"/>
        <v>487.5</v>
      </c>
      <c r="AU51" s="301">
        <f t="shared" si="12"/>
        <v>225</v>
      </c>
      <c r="AV51" s="301">
        <f t="shared" si="195"/>
        <v>250</v>
      </c>
      <c r="AW51" s="430">
        <v>250</v>
      </c>
      <c r="AX51" s="430">
        <v>250</v>
      </c>
      <c r="BB51" s="302"/>
      <c r="BC51" s="301"/>
      <c r="BD51" s="303"/>
      <c r="BE51" s="304"/>
      <c r="BF51" s="307"/>
      <c r="BG51" s="301"/>
      <c r="BH51" s="303"/>
      <c r="BI51" s="304"/>
      <c r="BK51" s="29"/>
      <c r="BL51" s="29"/>
      <c r="BQ51" s="308"/>
      <c r="BR51" s="308"/>
    </row>
    <row r="52" ht="12.75" spans="1:72">
      <c r="A52" s="29" t="s">
        <v>1038</v>
      </c>
      <c r="B52" s="29" t="s">
        <v>1249</v>
      </c>
      <c r="C52" s="430" t="s">
        <v>1266</v>
      </c>
      <c r="D52" s="430" t="s">
        <v>1200</v>
      </c>
      <c r="E52" s="430" t="s">
        <v>1217</v>
      </c>
      <c r="F52" s="430" t="b">
        <v>1</v>
      </c>
      <c r="G52" s="430" t="b">
        <v>0</v>
      </c>
      <c r="H52" s="430" t="b">
        <v>0</v>
      </c>
      <c r="I52" s="430" t="b">
        <v>1</v>
      </c>
      <c r="J52" s="430" t="b">
        <v>0</v>
      </c>
      <c r="K52" s="430" t="b">
        <v>0</v>
      </c>
      <c r="L52" s="29" t="b">
        <v>0</v>
      </c>
      <c r="M52" s="432" t="b">
        <v>1</v>
      </c>
      <c r="N52" s="432" t="b">
        <v>1</v>
      </c>
      <c r="O52" s="29" t="s">
        <v>1267</v>
      </c>
      <c r="P52" s="29" t="s">
        <v>142</v>
      </c>
      <c r="Q52" s="441">
        <f t="shared" si="185"/>
        <v>275</v>
      </c>
      <c r="R52" s="441">
        <f t="shared" si="186"/>
        <v>275</v>
      </c>
      <c r="S52" s="442">
        <f t="shared" si="187"/>
        <v>80.76</v>
      </c>
      <c r="T52" s="29" t="s">
        <v>1203</v>
      </c>
      <c r="U52" s="443"/>
      <c r="V52" s="245">
        <v>40.38</v>
      </c>
      <c r="W52" s="245">
        <v>259.75</v>
      </c>
      <c r="X52" s="444"/>
      <c r="Y52" s="245"/>
      <c r="Z52" s="245">
        <v>93.49</v>
      </c>
      <c r="AA52" s="245">
        <v>462.45</v>
      </c>
      <c r="AB52" s="463"/>
      <c r="AC52" s="464"/>
      <c r="AD52" s="476">
        <f t="shared" ref="AD52:AE52" si="343">1-(V52/Z52)</f>
        <v>0.568082147823297</v>
      </c>
      <c r="AE52" s="476">
        <f t="shared" si="343"/>
        <v>0.438317655962807</v>
      </c>
      <c r="AF52" s="475">
        <f t="shared" ref="AF52:AG52" si="344">(V52+Z52)/2</f>
        <v>66.935</v>
      </c>
      <c r="AG52" s="475">
        <f t="shared" si="344"/>
        <v>361.1</v>
      </c>
      <c r="AH52" s="483">
        <f t="shared" ref="AH52:AI52" si="345">1-(V52/AF52)</f>
        <v>0.396728169119295</v>
      </c>
      <c r="AI52" s="490">
        <f t="shared" si="345"/>
        <v>0.280670174466907</v>
      </c>
      <c r="AJ52" s="487">
        <f t="shared" ref="AJ52:AK52" si="346">V52+(V52*$AJ$2)</f>
        <v>80.76</v>
      </c>
      <c r="AK52" s="475">
        <f t="shared" si="346"/>
        <v>519.5</v>
      </c>
      <c r="AL52" s="485">
        <f t="shared" ref="AL52:AM52" si="347">AJ52-Z52</f>
        <v>-12.73</v>
      </c>
      <c r="AM52" s="485">
        <f t="shared" si="347"/>
        <v>57.05</v>
      </c>
      <c r="AN52" s="486">
        <f t="shared" si="8"/>
        <v>-115.7</v>
      </c>
      <c r="AO52" s="487">
        <f t="shared" ref="AO52:AP52" si="348">V52+(V52*$AO$2)</f>
        <v>60.57</v>
      </c>
      <c r="AP52" s="475">
        <f t="shared" si="348"/>
        <v>389.625</v>
      </c>
      <c r="AQ52" s="432" t="b">
        <v>0</v>
      </c>
      <c r="AR52" s="485">
        <f t="shared" ref="AR52:AS52" si="349">AO52-Z52</f>
        <v>-32.92</v>
      </c>
      <c r="AS52" s="485">
        <f t="shared" si="349"/>
        <v>-72.825</v>
      </c>
      <c r="AT52" s="486">
        <f t="shared" si="11"/>
        <v>-86.775</v>
      </c>
      <c r="AU52" s="301">
        <f t="shared" si="12"/>
        <v>225</v>
      </c>
      <c r="AV52" s="301">
        <f t="shared" si="195"/>
        <v>275</v>
      </c>
      <c r="AW52" s="29">
        <v>250</v>
      </c>
      <c r="AX52" s="29">
        <v>300</v>
      </c>
      <c r="AY52" s="29">
        <v>1</v>
      </c>
      <c r="AZ52" s="29"/>
      <c r="BA52" s="29"/>
      <c r="BB52" s="302">
        <f t="shared" ref="BB52:BB63" si="350">AV52</f>
        <v>275</v>
      </c>
      <c r="BC52" s="301"/>
      <c r="BD52" s="303">
        <f t="shared" ref="BD52:BD63" si="351">(BB52+BC52)/2</f>
        <v>137.5</v>
      </c>
      <c r="BE52" s="304" t="e">
        <f t="shared" ref="BE52:BE63" si="352">BB52/BC52</f>
        <v>#DIV/0!</v>
      </c>
      <c r="BF52" s="307">
        <f t="shared" ref="BF52:BF63" si="353">BB52*$BF$1</f>
        <v>110</v>
      </c>
      <c r="BG52" s="301"/>
      <c r="BH52" s="303">
        <f t="shared" ref="BH52:BH63" si="354">(BF52+BG52)/2</f>
        <v>55</v>
      </c>
      <c r="BI52" s="304" t="e">
        <f t="shared" ref="BI52:BI63" si="355">BF52/BG52</f>
        <v>#DIV/0!</v>
      </c>
      <c r="BK52" s="29"/>
      <c r="BL52" s="29"/>
      <c r="BP52" s="29" t="s">
        <v>1204</v>
      </c>
      <c r="BQ52" s="308"/>
      <c r="BR52" s="308"/>
      <c r="BS52" s="29"/>
      <c r="BT52" s="29" t="s">
        <v>1268</v>
      </c>
    </row>
    <row r="53" ht="12.75" spans="1:70">
      <c r="A53" s="29" t="s">
        <v>1038</v>
      </c>
      <c r="B53" s="29" t="s">
        <v>1249</v>
      </c>
      <c r="C53" s="430" t="s">
        <v>1266</v>
      </c>
      <c r="D53" s="430" t="s">
        <v>1200</v>
      </c>
      <c r="E53" s="430" t="s">
        <v>1231</v>
      </c>
      <c r="F53" s="430" t="b">
        <v>1</v>
      </c>
      <c r="G53" s="430" t="b">
        <v>0</v>
      </c>
      <c r="H53" s="430" t="b">
        <v>0</v>
      </c>
      <c r="I53" s="430" t="b">
        <v>1</v>
      </c>
      <c r="J53" s="430" t="b">
        <v>0</v>
      </c>
      <c r="K53" s="430" t="b">
        <v>0</v>
      </c>
      <c r="L53" s="29" t="b">
        <v>0</v>
      </c>
      <c r="M53" s="432" t="b">
        <v>1</v>
      </c>
      <c r="N53" s="432" t="b">
        <v>0</v>
      </c>
      <c r="O53" s="29" t="s">
        <v>1269</v>
      </c>
      <c r="P53" s="29" t="s">
        <v>142</v>
      </c>
      <c r="Q53" s="441">
        <f t="shared" si="185"/>
        <v>275</v>
      </c>
      <c r="R53" s="441">
        <f t="shared" si="186"/>
        <v>275</v>
      </c>
      <c r="S53" s="442">
        <f t="shared" si="187"/>
        <v>84.76</v>
      </c>
      <c r="T53" s="29" t="s">
        <v>1203</v>
      </c>
      <c r="U53" s="443"/>
      <c r="V53" s="245">
        <v>42.38</v>
      </c>
      <c r="W53" s="245">
        <v>269.75</v>
      </c>
      <c r="X53" s="444"/>
      <c r="Y53" s="245"/>
      <c r="Z53" s="245">
        <v>95.49</v>
      </c>
      <c r="AA53" s="245">
        <v>472.45</v>
      </c>
      <c r="AB53" s="463"/>
      <c r="AC53" s="464"/>
      <c r="AD53" s="476">
        <f t="shared" ref="AD53:AE53" si="356">1-(V53/Z53)</f>
        <v>0.556183893601424</v>
      </c>
      <c r="AE53" s="476">
        <f t="shared" si="356"/>
        <v>0.429040110064557</v>
      </c>
      <c r="AF53" s="475">
        <f t="shared" ref="AF53:AG53" si="357">(V53+Z53)/2</f>
        <v>68.935</v>
      </c>
      <c r="AG53" s="475">
        <f t="shared" si="357"/>
        <v>371.1</v>
      </c>
      <c r="AH53" s="483">
        <f t="shared" ref="AH53:AI53" si="358">1-(V53/AF53)</f>
        <v>0.385217958946834</v>
      </c>
      <c r="AI53" s="483">
        <f t="shared" si="358"/>
        <v>0.273106979250876</v>
      </c>
      <c r="AJ53" s="487">
        <f t="shared" ref="AJ53:AK53" si="359">V53+(V53*$AJ$2)</f>
        <v>84.76</v>
      </c>
      <c r="AK53" s="475">
        <f t="shared" si="359"/>
        <v>539.5</v>
      </c>
      <c r="AL53" s="485">
        <f t="shared" ref="AL53:AM53" si="360">AJ53-Z53</f>
        <v>-10.73</v>
      </c>
      <c r="AM53" s="485">
        <f t="shared" si="360"/>
        <v>67.05</v>
      </c>
      <c r="AN53" s="486">
        <f t="shared" si="8"/>
        <v>-115.7</v>
      </c>
      <c r="AO53" s="487">
        <f t="shared" ref="AO53:AP53" si="361">V53+(V53*$AO$2)</f>
        <v>63.57</v>
      </c>
      <c r="AP53" s="475">
        <f t="shared" si="361"/>
        <v>404.625</v>
      </c>
      <c r="AQ53" s="432" t="b">
        <v>0</v>
      </c>
      <c r="AR53" s="485">
        <f t="shared" ref="AR53:AS53" si="362">AO53-Z53</f>
        <v>-31.92</v>
      </c>
      <c r="AS53" s="485">
        <f t="shared" si="362"/>
        <v>-67.825</v>
      </c>
      <c r="AT53" s="486">
        <f t="shared" si="11"/>
        <v>-86.775</v>
      </c>
      <c r="AU53" s="301">
        <f t="shared" si="12"/>
        <v>225</v>
      </c>
      <c r="AV53" s="301">
        <f t="shared" si="195"/>
        <v>275</v>
      </c>
      <c r="AW53" s="29">
        <v>250</v>
      </c>
      <c r="AX53" s="29">
        <v>300</v>
      </c>
      <c r="AY53" s="29">
        <v>1</v>
      </c>
      <c r="AZ53" s="29"/>
      <c r="BA53" s="29"/>
      <c r="BB53" s="302">
        <f t="shared" si="350"/>
        <v>275</v>
      </c>
      <c r="BC53" s="301"/>
      <c r="BD53" s="303">
        <f t="shared" si="351"/>
        <v>137.5</v>
      </c>
      <c r="BE53" s="304" t="e">
        <f t="shared" si="352"/>
        <v>#DIV/0!</v>
      </c>
      <c r="BF53" s="307">
        <f t="shared" si="353"/>
        <v>110</v>
      </c>
      <c r="BG53" s="301"/>
      <c r="BH53" s="303">
        <f t="shared" si="354"/>
        <v>55</v>
      </c>
      <c r="BI53" s="304" t="e">
        <f t="shared" si="355"/>
        <v>#DIV/0!</v>
      </c>
      <c r="BK53" s="29"/>
      <c r="BL53" s="29"/>
      <c r="BP53" s="29" t="s">
        <v>1204</v>
      </c>
      <c r="BQ53" s="308"/>
      <c r="BR53" s="308"/>
    </row>
    <row r="54" ht="12.75" spans="1:70">
      <c r="A54" s="29" t="s">
        <v>1038</v>
      </c>
      <c r="B54" s="29" t="s">
        <v>1249</v>
      </c>
      <c r="C54" s="430" t="s">
        <v>1266</v>
      </c>
      <c r="D54" s="430" t="s">
        <v>1200</v>
      </c>
      <c r="E54" s="430" t="s">
        <v>1201</v>
      </c>
      <c r="F54" s="430" t="b">
        <v>1</v>
      </c>
      <c r="G54" s="430" t="b">
        <v>0</v>
      </c>
      <c r="H54" s="430" t="b">
        <v>0</v>
      </c>
      <c r="I54" s="430" t="b">
        <v>1</v>
      </c>
      <c r="J54" s="430" t="b">
        <v>0</v>
      </c>
      <c r="K54" s="430" t="b">
        <v>0</v>
      </c>
      <c r="L54" s="29" t="b">
        <v>0</v>
      </c>
      <c r="M54" s="432" t="b">
        <v>1</v>
      </c>
      <c r="N54" s="432" t="b">
        <v>0</v>
      </c>
      <c r="O54" s="29" t="s">
        <v>1270</v>
      </c>
      <c r="P54" s="29" t="s">
        <v>142</v>
      </c>
      <c r="Q54" s="441">
        <f t="shared" si="185"/>
        <v>275</v>
      </c>
      <c r="R54" s="441">
        <f t="shared" si="186"/>
        <v>275</v>
      </c>
      <c r="S54" s="442">
        <f t="shared" si="187"/>
        <v>84.76</v>
      </c>
      <c r="T54" s="29" t="s">
        <v>1203</v>
      </c>
      <c r="U54" s="443"/>
      <c r="V54" s="245">
        <v>42.38</v>
      </c>
      <c r="W54" s="245">
        <v>269.75</v>
      </c>
      <c r="X54" s="444"/>
      <c r="Y54" s="245"/>
      <c r="Z54" s="245">
        <v>96.49</v>
      </c>
      <c r="AA54" s="245">
        <v>477.45</v>
      </c>
      <c r="AB54" s="463"/>
      <c r="AC54" s="464"/>
      <c r="AD54" s="476">
        <f t="shared" ref="AD54:AE54" si="363">1-(V54/Z54)</f>
        <v>0.56078350088092</v>
      </c>
      <c r="AE54" s="476">
        <f t="shared" si="363"/>
        <v>0.435019373756414</v>
      </c>
      <c r="AF54" s="475">
        <f t="shared" ref="AF54:AG54" si="364">(V54+Z54)/2</f>
        <v>69.435</v>
      </c>
      <c r="AG54" s="475">
        <f t="shared" si="364"/>
        <v>373.6</v>
      </c>
      <c r="AH54" s="483">
        <f t="shared" ref="AH54:AI54" si="365">1-(V54/AF54)</f>
        <v>0.389644991718874</v>
      </c>
      <c r="AI54" s="483">
        <f t="shared" si="365"/>
        <v>0.277971092077088</v>
      </c>
      <c r="AJ54" s="487">
        <f t="shared" ref="AJ54:AK54" si="366">V54+(V54*$AJ$2)</f>
        <v>84.76</v>
      </c>
      <c r="AK54" s="475">
        <f t="shared" si="366"/>
        <v>539.5</v>
      </c>
      <c r="AL54" s="485">
        <f t="shared" ref="AL54:AM54" si="367">AJ54-Z54</f>
        <v>-11.73</v>
      </c>
      <c r="AM54" s="485">
        <f t="shared" si="367"/>
        <v>62.05</v>
      </c>
      <c r="AN54" s="486">
        <f t="shared" si="8"/>
        <v>-115.7</v>
      </c>
      <c r="AO54" s="487">
        <f t="shared" ref="AO54:AP54" si="368">V54+(V54*$AO$2)</f>
        <v>63.57</v>
      </c>
      <c r="AP54" s="475">
        <f t="shared" si="368"/>
        <v>404.625</v>
      </c>
      <c r="AQ54" s="432" t="b">
        <v>0</v>
      </c>
      <c r="AR54" s="485">
        <f t="shared" ref="AR54:AS54" si="369">AO54-Z54</f>
        <v>-32.92</v>
      </c>
      <c r="AS54" s="485">
        <f t="shared" si="369"/>
        <v>-72.825</v>
      </c>
      <c r="AT54" s="486">
        <f t="shared" si="11"/>
        <v>-86.775</v>
      </c>
      <c r="AU54" s="301">
        <f t="shared" si="12"/>
        <v>225</v>
      </c>
      <c r="AV54" s="301">
        <f t="shared" si="195"/>
        <v>275</v>
      </c>
      <c r="AW54" s="29">
        <v>250</v>
      </c>
      <c r="AX54" s="29">
        <v>300</v>
      </c>
      <c r="AY54" s="29">
        <v>1</v>
      </c>
      <c r="AZ54" s="29"/>
      <c r="BA54" s="29"/>
      <c r="BB54" s="302">
        <f t="shared" si="350"/>
        <v>275</v>
      </c>
      <c r="BC54" s="301"/>
      <c r="BD54" s="303">
        <f t="shared" si="351"/>
        <v>137.5</v>
      </c>
      <c r="BE54" s="304" t="e">
        <f t="shared" si="352"/>
        <v>#DIV/0!</v>
      </c>
      <c r="BF54" s="307">
        <f t="shared" si="353"/>
        <v>110</v>
      </c>
      <c r="BG54" s="301"/>
      <c r="BH54" s="303">
        <f t="shared" si="354"/>
        <v>55</v>
      </c>
      <c r="BI54" s="304" t="e">
        <f t="shared" si="355"/>
        <v>#DIV/0!</v>
      </c>
      <c r="BK54" s="29"/>
      <c r="BL54" s="29"/>
      <c r="BP54" s="29" t="s">
        <v>1204</v>
      </c>
      <c r="BQ54" s="308"/>
      <c r="BR54" s="308"/>
    </row>
    <row r="55" ht="12.75" spans="1:70">
      <c r="A55" s="29" t="s">
        <v>1038</v>
      </c>
      <c r="B55" s="29" t="s">
        <v>1249</v>
      </c>
      <c r="C55" s="430" t="s">
        <v>1266</v>
      </c>
      <c r="D55" s="430" t="s">
        <v>1200</v>
      </c>
      <c r="E55" s="430" t="s">
        <v>1271</v>
      </c>
      <c r="F55" s="430" t="b">
        <v>1</v>
      </c>
      <c r="G55" s="430" t="b">
        <v>0</v>
      </c>
      <c r="H55" s="430" t="b">
        <v>0</v>
      </c>
      <c r="I55" s="430" t="b">
        <v>1</v>
      </c>
      <c r="J55" s="430" t="b">
        <v>0</v>
      </c>
      <c r="K55" s="430" t="b">
        <v>0</v>
      </c>
      <c r="L55" s="29" t="b">
        <v>0</v>
      </c>
      <c r="M55" s="432" t="b">
        <v>1</v>
      </c>
      <c r="N55" s="432" t="b">
        <v>0</v>
      </c>
      <c r="O55" s="29" t="s">
        <v>1272</v>
      </c>
      <c r="P55" s="29" t="s">
        <v>142</v>
      </c>
      <c r="Q55" s="441">
        <f t="shared" si="185"/>
        <v>275</v>
      </c>
      <c r="R55" s="441">
        <f t="shared" si="186"/>
        <v>275</v>
      </c>
      <c r="S55" s="442">
        <f t="shared" si="187"/>
        <v>88.76</v>
      </c>
      <c r="T55" s="29" t="s">
        <v>1203</v>
      </c>
      <c r="U55" s="443"/>
      <c r="V55" s="245">
        <v>44.38</v>
      </c>
      <c r="W55" s="245">
        <v>274.75</v>
      </c>
      <c r="X55" s="444"/>
      <c r="Y55" s="245"/>
      <c r="Z55" s="245">
        <v>99.49</v>
      </c>
      <c r="AA55" s="245">
        <v>492.45</v>
      </c>
      <c r="AB55" s="463"/>
      <c r="AC55" s="464"/>
      <c r="AD55" s="476">
        <f t="shared" ref="AD55:AE55" si="370">1-(V55/Z55)</f>
        <v>0.553925017589707</v>
      </c>
      <c r="AE55" s="476">
        <f t="shared" si="370"/>
        <v>0.442075337597726</v>
      </c>
      <c r="AF55" s="475">
        <f t="shared" ref="AF55:AG55" si="371">(V55+Z55)/2</f>
        <v>71.935</v>
      </c>
      <c r="AG55" s="475">
        <f t="shared" si="371"/>
        <v>383.6</v>
      </c>
      <c r="AH55" s="483">
        <f t="shared" ref="AH55:AI55" si="372">1-(V55/AF55)</f>
        <v>0.383054146104122</v>
      </c>
      <c r="AI55" s="483">
        <f t="shared" si="372"/>
        <v>0.283759124087591</v>
      </c>
      <c r="AJ55" s="487">
        <f t="shared" ref="AJ55:AK55" si="373">V55+(V55*$AJ$2)</f>
        <v>88.76</v>
      </c>
      <c r="AK55" s="475">
        <f t="shared" si="373"/>
        <v>549.5</v>
      </c>
      <c r="AL55" s="485">
        <f t="shared" ref="AL55:AM55" si="374">AJ55-Z55</f>
        <v>-10.73</v>
      </c>
      <c r="AM55" s="485">
        <f t="shared" si="374"/>
        <v>57.05</v>
      </c>
      <c r="AN55" s="486">
        <f t="shared" si="8"/>
        <v>-105.7</v>
      </c>
      <c r="AO55" s="487">
        <f t="shared" ref="AO55:AP55" si="375">V55+(V55*$AO$2)</f>
        <v>66.57</v>
      </c>
      <c r="AP55" s="475">
        <f t="shared" si="375"/>
        <v>412.125</v>
      </c>
      <c r="AQ55" s="432" t="b">
        <v>0</v>
      </c>
      <c r="AR55" s="485">
        <f t="shared" ref="AR55:AS55" si="376">AO55-Z55</f>
        <v>-32.92</v>
      </c>
      <c r="AS55" s="485">
        <f t="shared" si="376"/>
        <v>-80.325</v>
      </c>
      <c r="AT55" s="486">
        <f t="shared" si="11"/>
        <v>-79.275</v>
      </c>
      <c r="AU55" s="301">
        <f t="shared" si="12"/>
        <v>225</v>
      </c>
      <c r="AV55" s="301">
        <f t="shared" si="195"/>
        <v>275</v>
      </c>
      <c r="AW55" s="29">
        <v>250</v>
      </c>
      <c r="AX55" s="29">
        <v>300</v>
      </c>
      <c r="AY55" s="29">
        <v>1</v>
      </c>
      <c r="AZ55" s="29"/>
      <c r="BA55" s="29"/>
      <c r="BB55" s="302">
        <f t="shared" si="350"/>
        <v>275</v>
      </c>
      <c r="BC55" s="301"/>
      <c r="BD55" s="303">
        <f t="shared" si="351"/>
        <v>137.5</v>
      </c>
      <c r="BE55" s="304" t="e">
        <f t="shared" si="352"/>
        <v>#DIV/0!</v>
      </c>
      <c r="BF55" s="307">
        <f t="shared" si="353"/>
        <v>110</v>
      </c>
      <c r="BG55" s="301"/>
      <c r="BH55" s="303">
        <f t="shared" si="354"/>
        <v>55</v>
      </c>
      <c r="BI55" s="304" t="e">
        <f t="shared" si="355"/>
        <v>#DIV/0!</v>
      </c>
      <c r="BK55" s="29"/>
      <c r="BL55" s="29"/>
      <c r="BP55" s="29" t="s">
        <v>1204</v>
      </c>
      <c r="BQ55" s="308"/>
      <c r="BR55" s="308"/>
    </row>
    <row r="56" ht="12.75" spans="1:72">
      <c r="A56" s="29" t="s">
        <v>1044</v>
      </c>
      <c r="B56" s="29" t="s">
        <v>1249</v>
      </c>
      <c r="C56" s="29" t="s">
        <v>1273</v>
      </c>
      <c r="D56" s="29" t="s">
        <v>1200</v>
      </c>
      <c r="E56" s="29" t="s">
        <v>1201</v>
      </c>
      <c r="F56" s="29" t="b">
        <v>1</v>
      </c>
      <c r="G56" s="29" t="b">
        <v>0</v>
      </c>
      <c r="H56" s="29" t="b">
        <v>0</v>
      </c>
      <c r="I56" s="29" t="b">
        <v>0</v>
      </c>
      <c r="J56" s="29" t="b">
        <v>0</v>
      </c>
      <c r="K56" s="29" t="b">
        <v>0</v>
      </c>
      <c r="L56" s="29" t="b">
        <v>0</v>
      </c>
      <c r="M56" s="432" t="b">
        <v>1</v>
      </c>
      <c r="N56" s="432" t="b">
        <v>0</v>
      </c>
      <c r="O56" s="29" t="s">
        <v>1274</v>
      </c>
      <c r="P56" s="29" t="s">
        <v>142</v>
      </c>
      <c r="Q56" s="441">
        <f t="shared" si="185"/>
        <v>375</v>
      </c>
      <c r="R56" s="441">
        <f t="shared" si="186"/>
        <v>375</v>
      </c>
      <c r="S56" s="442">
        <f t="shared" si="187"/>
        <v>97.98</v>
      </c>
      <c r="T56" s="29" t="s">
        <v>1203</v>
      </c>
      <c r="U56" s="443"/>
      <c r="V56" s="245">
        <v>48.99</v>
      </c>
      <c r="W56" s="245">
        <v>229.95</v>
      </c>
      <c r="X56" s="444"/>
      <c r="Y56" s="245"/>
      <c r="Z56" s="245">
        <v>82.49</v>
      </c>
      <c r="AA56" s="245">
        <v>407.45</v>
      </c>
      <c r="AB56" s="463"/>
      <c r="AC56" s="464"/>
      <c r="AD56" s="476">
        <f t="shared" ref="AD56:AE56" si="377">1-(V56/Z56)</f>
        <v>0.406109831494727</v>
      </c>
      <c r="AE56" s="476">
        <f t="shared" si="377"/>
        <v>0.435636274389496</v>
      </c>
      <c r="AF56" s="475">
        <f t="shared" ref="AF56:AG56" si="378">(V56+Z56)/2</f>
        <v>65.74</v>
      </c>
      <c r="AG56" s="475">
        <f t="shared" si="378"/>
        <v>318.7</v>
      </c>
      <c r="AH56" s="483">
        <f t="shared" ref="AH56:AI56" si="379">1-(V56/AF56)</f>
        <v>0.254791603285671</v>
      </c>
      <c r="AI56" s="483">
        <f t="shared" si="379"/>
        <v>0.278475054910574</v>
      </c>
      <c r="AJ56" s="487">
        <f t="shared" ref="AJ56:AK56" si="380">V56+(V56*$AJ$2)</f>
        <v>97.98</v>
      </c>
      <c r="AK56" s="475">
        <f t="shared" si="380"/>
        <v>459.9</v>
      </c>
      <c r="AL56" s="485">
        <f t="shared" ref="AL56:AM56" si="381">AJ56-Z56</f>
        <v>15.49</v>
      </c>
      <c r="AM56" s="485">
        <f t="shared" si="381"/>
        <v>52.45</v>
      </c>
      <c r="AN56" s="486">
        <f t="shared" si="8"/>
        <v>30.0000000000001</v>
      </c>
      <c r="AO56" s="487">
        <f t="shared" ref="AO56:AP56" si="382">V56+(V56*$AO$2)</f>
        <v>73.485</v>
      </c>
      <c r="AP56" s="475">
        <f t="shared" si="382"/>
        <v>344.925</v>
      </c>
      <c r="AQ56" s="432" t="b">
        <v>1</v>
      </c>
      <c r="AR56" s="485">
        <f t="shared" ref="AR56:AS56" si="383">AO56-Z56</f>
        <v>-9.005</v>
      </c>
      <c r="AS56" s="485">
        <f t="shared" si="383"/>
        <v>-62.525</v>
      </c>
      <c r="AT56" s="486">
        <f t="shared" si="11"/>
        <v>22.5000000000001</v>
      </c>
      <c r="AU56" s="301">
        <f t="shared" si="12"/>
        <v>315</v>
      </c>
      <c r="AV56" s="301">
        <f t="shared" si="195"/>
        <v>375</v>
      </c>
      <c r="AW56" s="29">
        <v>350</v>
      </c>
      <c r="AX56" s="29">
        <v>400</v>
      </c>
      <c r="AY56" s="29">
        <v>2</v>
      </c>
      <c r="AZ56" s="29"/>
      <c r="BA56" s="29"/>
      <c r="BB56" s="302">
        <f t="shared" si="350"/>
        <v>375</v>
      </c>
      <c r="BC56" s="301"/>
      <c r="BD56" s="303">
        <f t="shared" si="351"/>
        <v>187.5</v>
      </c>
      <c r="BE56" s="304" t="e">
        <f t="shared" si="352"/>
        <v>#DIV/0!</v>
      </c>
      <c r="BF56" s="307">
        <f t="shared" si="353"/>
        <v>150</v>
      </c>
      <c r="BG56" s="301"/>
      <c r="BH56" s="303">
        <f t="shared" si="354"/>
        <v>75</v>
      </c>
      <c r="BI56" s="304" t="e">
        <f t="shared" si="355"/>
        <v>#DIV/0!</v>
      </c>
      <c r="BK56" s="29"/>
      <c r="BL56" s="29"/>
      <c r="BP56" s="29" t="s">
        <v>1204</v>
      </c>
      <c r="BQ56" s="308"/>
      <c r="BR56" s="308"/>
      <c r="BS56" s="29"/>
      <c r="BT56" s="29" t="s">
        <v>1275</v>
      </c>
    </row>
    <row r="57" ht="12.75" spans="1:72">
      <c r="A57" s="29" t="s">
        <v>1044</v>
      </c>
      <c r="B57" s="29" t="s">
        <v>1249</v>
      </c>
      <c r="C57" s="29" t="s">
        <v>1273</v>
      </c>
      <c r="D57" s="308"/>
      <c r="E57" s="29" t="s">
        <v>1237</v>
      </c>
      <c r="F57" s="29" t="b">
        <v>0</v>
      </c>
      <c r="G57" s="29" t="b">
        <v>1</v>
      </c>
      <c r="H57" s="29" t="b">
        <v>0</v>
      </c>
      <c r="I57" s="29" t="b">
        <v>0</v>
      </c>
      <c r="J57" s="29" t="b">
        <v>0</v>
      </c>
      <c r="K57" s="29" t="b">
        <v>0</v>
      </c>
      <c r="L57" s="29" t="b">
        <v>0</v>
      </c>
      <c r="M57" s="432" t="b">
        <v>1</v>
      </c>
      <c r="N57" s="432" t="b">
        <v>0</v>
      </c>
      <c r="O57" s="29"/>
      <c r="P57" s="29" t="s">
        <v>120</v>
      </c>
      <c r="Q57" s="441">
        <f t="shared" si="185"/>
        <v>375</v>
      </c>
      <c r="R57" s="441">
        <f t="shared" si="186"/>
        <v>375</v>
      </c>
      <c r="S57" s="442">
        <f t="shared" si="187"/>
        <v>91.98</v>
      </c>
      <c r="T57" s="308"/>
      <c r="U57" s="443"/>
      <c r="V57" s="245">
        <v>45.99</v>
      </c>
      <c r="W57" s="245">
        <v>214.95</v>
      </c>
      <c r="X57" s="444"/>
      <c r="Y57" s="245"/>
      <c r="Z57" s="245">
        <v>80.49</v>
      </c>
      <c r="AA57" s="245">
        <v>397.45</v>
      </c>
      <c r="AB57" s="463"/>
      <c r="AC57" s="464"/>
      <c r="AD57" s="476">
        <f t="shared" ref="AD57:AE57" si="384">1-(V57/Z57)</f>
        <v>0.428624673872531</v>
      </c>
      <c r="AE57" s="476">
        <f t="shared" si="384"/>
        <v>0.459177255000629</v>
      </c>
      <c r="AF57" s="475">
        <f t="shared" ref="AF57:AG57" si="385">(V57+Z57)/2</f>
        <v>63.24</v>
      </c>
      <c r="AG57" s="475">
        <f t="shared" si="385"/>
        <v>306.2</v>
      </c>
      <c r="AH57" s="483">
        <f t="shared" ref="AH57:AI57" si="386">1-(V57/AF57)</f>
        <v>0.272770398481973</v>
      </c>
      <c r="AI57" s="483">
        <f t="shared" si="386"/>
        <v>0.29800783801437</v>
      </c>
      <c r="AJ57" s="487">
        <f t="shared" ref="AJ57:AK57" si="387">V57+(V57*$AJ$2)</f>
        <v>91.98</v>
      </c>
      <c r="AK57" s="475">
        <f t="shared" si="387"/>
        <v>429.9</v>
      </c>
      <c r="AL57" s="485">
        <f t="shared" ref="AL57:AM57" si="388">AJ57-Z57</f>
        <v>11.49</v>
      </c>
      <c r="AM57" s="485">
        <f t="shared" si="388"/>
        <v>32.45</v>
      </c>
      <c r="AN57" s="486">
        <f t="shared" si="8"/>
        <v>30.0000000000001</v>
      </c>
      <c r="AO57" s="487">
        <f t="shared" ref="AO57:AP57" si="389">V57+(V57*$AO$2)</f>
        <v>68.985</v>
      </c>
      <c r="AP57" s="475">
        <f t="shared" si="389"/>
        <v>322.425</v>
      </c>
      <c r="AQ57" s="432" t="b">
        <v>0</v>
      </c>
      <c r="AR57" s="485">
        <f t="shared" ref="AR57:AS57" si="390">AO57-Z57</f>
        <v>-11.505</v>
      </c>
      <c r="AS57" s="485">
        <f t="shared" si="390"/>
        <v>-75.025</v>
      </c>
      <c r="AT57" s="486">
        <f t="shared" si="11"/>
        <v>22.5000000000001</v>
      </c>
      <c r="AU57" s="301">
        <f t="shared" si="12"/>
        <v>315</v>
      </c>
      <c r="AV57" s="301">
        <f t="shared" si="195"/>
        <v>375</v>
      </c>
      <c r="AW57" s="29">
        <v>350</v>
      </c>
      <c r="AX57" s="29">
        <v>400</v>
      </c>
      <c r="AY57" s="29">
        <v>2</v>
      </c>
      <c r="AZ57" s="29"/>
      <c r="BA57" s="29"/>
      <c r="BB57" s="302">
        <f t="shared" si="350"/>
        <v>375</v>
      </c>
      <c r="BC57" s="301"/>
      <c r="BD57" s="303">
        <f t="shared" si="351"/>
        <v>187.5</v>
      </c>
      <c r="BE57" s="304" t="e">
        <f t="shared" si="352"/>
        <v>#DIV/0!</v>
      </c>
      <c r="BF57" s="307">
        <f t="shared" si="353"/>
        <v>150</v>
      </c>
      <c r="BG57" s="301"/>
      <c r="BH57" s="303">
        <f t="shared" si="354"/>
        <v>75</v>
      </c>
      <c r="BI57" s="304" t="e">
        <f t="shared" si="355"/>
        <v>#DIV/0!</v>
      </c>
      <c r="BK57" s="29"/>
      <c r="BL57" s="29"/>
      <c r="BP57" s="29" t="s">
        <v>1204</v>
      </c>
      <c r="BQ57" s="308"/>
      <c r="BR57" s="308"/>
      <c r="BS57" s="29"/>
      <c r="BT57" s="29" t="s">
        <v>1276</v>
      </c>
    </row>
    <row r="58" ht="12.75" spans="1:72">
      <c r="A58" s="29" t="s">
        <v>1044</v>
      </c>
      <c r="B58" s="29" t="s">
        <v>1249</v>
      </c>
      <c r="C58" s="29" t="s">
        <v>1273</v>
      </c>
      <c r="D58" s="308"/>
      <c r="E58" s="29" t="s">
        <v>1245</v>
      </c>
      <c r="F58" s="29" t="b">
        <v>0</v>
      </c>
      <c r="G58" s="29" t="b">
        <v>1</v>
      </c>
      <c r="H58" s="29" t="b">
        <v>0</v>
      </c>
      <c r="I58" s="29" t="b">
        <v>0</v>
      </c>
      <c r="J58" s="29" t="b">
        <v>0</v>
      </c>
      <c r="K58" s="29" t="b">
        <v>0</v>
      </c>
      <c r="L58" s="29" t="b">
        <v>0</v>
      </c>
      <c r="M58" s="432" t="b">
        <v>1</v>
      </c>
      <c r="N58" s="432" t="b">
        <v>0</v>
      </c>
      <c r="O58" s="29"/>
      <c r="P58" s="29" t="s">
        <v>120</v>
      </c>
      <c r="Q58" s="441">
        <f t="shared" si="185"/>
        <v>375</v>
      </c>
      <c r="R58" s="441">
        <f t="shared" si="186"/>
        <v>375</v>
      </c>
      <c r="S58" s="442">
        <f t="shared" si="187"/>
        <v>103.98</v>
      </c>
      <c r="T58" s="308"/>
      <c r="U58" s="443"/>
      <c r="V58" s="245">
        <v>51.99</v>
      </c>
      <c r="W58" s="245">
        <v>244.95</v>
      </c>
      <c r="X58" s="444"/>
      <c r="Y58" s="245"/>
      <c r="Z58" s="245">
        <v>85.49</v>
      </c>
      <c r="AA58" s="245">
        <v>422.45</v>
      </c>
      <c r="AB58" s="463"/>
      <c r="AC58" s="464"/>
      <c r="AD58" s="476">
        <f t="shared" ref="AD58:AE58" si="391">1-(V58/Z58)</f>
        <v>0.391858696923617</v>
      </c>
      <c r="AE58" s="476">
        <f t="shared" si="391"/>
        <v>0.420168067226891</v>
      </c>
      <c r="AF58" s="475">
        <f t="shared" ref="AF58:AG58" si="392">(V58+Z58)/2</f>
        <v>68.74</v>
      </c>
      <c r="AG58" s="475">
        <f t="shared" si="392"/>
        <v>333.7</v>
      </c>
      <c r="AH58" s="483">
        <f t="shared" ref="AH58:AI58" si="393">1-(V58/AF58)</f>
        <v>0.243671806808263</v>
      </c>
      <c r="AI58" s="483">
        <f t="shared" si="393"/>
        <v>0.265957446808511</v>
      </c>
      <c r="AJ58" s="487">
        <f t="shared" ref="AJ58:AK58" si="394">V58+(V58*$AJ$2)</f>
        <v>103.98</v>
      </c>
      <c r="AK58" s="475">
        <f t="shared" si="394"/>
        <v>489.9</v>
      </c>
      <c r="AL58" s="485">
        <f t="shared" ref="AL58:AM58" si="395">AJ58-Z58</f>
        <v>18.49</v>
      </c>
      <c r="AM58" s="485">
        <f t="shared" si="395"/>
        <v>67.45</v>
      </c>
      <c r="AN58" s="486">
        <f t="shared" si="8"/>
        <v>30</v>
      </c>
      <c r="AO58" s="487">
        <f t="shared" ref="AO58:AP58" si="396">V58+(V58*$AO$2)</f>
        <v>77.985</v>
      </c>
      <c r="AP58" s="475">
        <f t="shared" si="396"/>
        <v>367.425</v>
      </c>
      <c r="AQ58" s="432" t="b">
        <v>0</v>
      </c>
      <c r="AR58" s="485">
        <f t="shared" ref="AR58:AS58" si="397">AO58-Z58</f>
        <v>-7.505</v>
      </c>
      <c r="AS58" s="485">
        <f t="shared" si="397"/>
        <v>-55.025</v>
      </c>
      <c r="AT58" s="486">
        <f t="shared" si="11"/>
        <v>22.5000000000001</v>
      </c>
      <c r="AU58" s="301">
        <f t="shared" si="12"/>
        <v>315</v>
      </c>
      <c r="AV58" s="301">
        <f t="shared" si="195"/>
        <v>375</v>
      </c>
      <c r="AW58" s="29">
        <v>350</v>
      </c>
      <c r="AX58" s="29">
        <v>400</v>
      </c>
      <c r="AY58" s="29">
        <v>2</v>
      </c>
      <c r="AZ58" s="29"/>
      <c r="BA58" s="29"/>
      <c r="BB58" s="302">
        <f t="shared" si="350"/>
        <v>375</v>
      </c>
      <c r="BC58" s="301"/>
      <c r="BD58" s="303">
        <f t="shared" si="351"/>
        <v>187.5</v>
      </c>
      <c r="BE58" s="304" t="e">
        <f t="shared" si="352"/>
        <v>#DIV/0!</v>
      </c>
      <c r="BF58" s="307">
        <f t="shared" si="353"/>
        <v>150</v>
      </c>
      <c r="BG58" s="301"/>
      <c r="BH58" s="303">
        <f t="shared" si="354"/>
        <v>75</v>
      </c>
      <c r="BI58" s="304" t="e">
        <f t="shared" si="355"/>
        <v>#DIV/0!</v>
      </c>
      <c r="BK58" s="29"/>
      <c r="BL58" s="29"/>
      <c r="BP58" s="29" t="s">
        <v>1204</v>
      </c>
      <c r="BQ58" s="308"/>
      <c r="BR58" s="308"/>
      <c r="BS58" s="29"/>
      <c r="BT58" s="29" t="s">
        <v>1277</v>
      </c>
    </row>
    <row r="59" ht="12.75" spans="1:72">
      <c r="A59" s="29" t="s">
        <v>1044</v>
      </c>
      <c r="B59" s="29" t="s">
        <v>1249</v>
      </c>
      <c r="C59" s="29" t="s">
        <v>1273</v>
      </c>
      <c r="D59" s="308"/>
      <c r="E59" s="29" t="s">
        <v>1217</v>
      </c>
      <c r="F59" s="29" t="b">
        <v>1</v>
      </c>
      <c r="G59" s="29" t="b">
        <v>0</v>
      </c>
      <c r="H59" s="29" t="b">
        <v>0</v>
      </c>
      <c r="I59" s="29" t="b">
        <v>1</v>
      </c>
      <c r="J59" s="29" t="b">
        <v>0</v>
      </c>
      <c r="K59" s="29" t="b">
        <v>0</v>
      </c>
      <c r="L59" s="29" t="b">
        <v>0</v>
      </c>
      <c r="M59" s="432" t="b">
        <v>1</v>
      </c>
      <c r="N59" s="432" t="b">
        <v>1</v>
      </c>
      <c r="O59" s="29" t="s">
        <v>1278</v>
      </c>
      <c r="P59" s="29" t="s">
        <v>142</v>
      </c>
      <c r="Q59" s="441">
        <f t="shared" si="185"/>
        <v>375</v>
      </c>
      <c r="R59" s="441">
        <f t="shared" si="186"/>
        <v>375</v>
      </c>
      <c r="S59" s="442">
        <f t="shared" si="187"/>
        <v>91.98</v>
      </c>
      <c r="T59" s="29" t="s">
        <v>1203</v>
      </c>
      <c r="U59" s="443" t="s">
        <v>119</v>
      </c>
      <c r="V59" s="245">
        <v>45.99</v>
      </c>
      <c r="W59" s="245">
        <v>214.95</v>
      </c>
      <c r="X59" s="444"/>
      <c r="Y59" s="245"/>
      <c r="Z59" s="245">
        <v>80.49</v>
      </c>
      <c r="AA59" s="245">
        <v>397.45</v>
      </c>
      <c r="AB59" s="463"/>
      <c r="AC59" s="464"/>
      <c r="AD59" s="476">
        <f t="shared" ref="AD59:AE59" si="398">1-(V59/Z59)</f>
        <v>0.428624673872531</v>
      </c>
      <c r="AE59" s="476">
        <f t="shared" si="398"/>
        <v>0.459177255000629</v>
      </c>
      <c r="AF59" s="475">
        <f t="shared" ref="AF59:AG59" si="399">(V59+Z59)/2</f>
        <v>63.24</v>
      </c>
      <c r="AG59" s="475">
        <f t="shared" si="399"/>
        <v>306.2</v>
      </c>
      <c r="AH59" s="483">
        <f t="shared" ref="AH59:AI59" si="400">1-(V59/AF59)</f>
        <v>0.272770398481973</v>
      </c>
      <c r="AI59" s="483">
        <f t="shared" si="400"/>
        <v>0.29800783801437</v>
      </c>
      <c r="AJ59" s="487">
        <f t="shared" ref="AJ59:AK59" si="401">V59+(V59*$AJ$2)</f>
        <v>91.98</v>
      </c>
      <c r="AK59" s="475">
        <f t="shared" si="401"/>
        <v>429.9</v>
      </c>
      <c r="AL59" s="485">
        <f t="shared" ref="AL59:AM59" si="402">AJ59-Z59</f>
        <v>11.49</v>
      </c>
      <c r="AM59" s="485">
        <f t="shared" si="402"/>
        <v>32.45</v>
      </c>
      <c r="AN59" s="486">
        <f t="shared" si="8"/>
        <v>30.0000000000001</v>
      </c>
      <c r="AO59" s="487">
        <f t="shared" ref="AO59:AP59" si="403">V59+(V59*$AO$2)</f>
        <v>68.985</v>
      </c>
      <c r="AP59" s="475">
        <f t="shared" si="403"/>
        <v>322.425</v>
      </c>
      <c r="AQ59" s="432" t="b">
        <v>0</v>
      </c>
      <c r="AR59" s="485">
        <f t="shared" ref="AR59:AS59" si="404">AO59-Z59</f>
        <v>-11.505</v>
      </c>
      <c r="AS59" s="485">
        <f t="shared" si="404"/>
        <v>-75.025</v>
      </c>
      <c r="AT59" s="486">
        <f t="shared" si="11"/>
        <v>22.5000000000001</v>
      </c>
      <c r="AU59" s="301">
        <f t="shared" si="12"/>
        <v>315</v>
      </c>
      <c r="AV59" s="301">
        <f t="shared" si="195"/>
        <v>375</v>
      </c>
      <c r="AW59" s="29">
        <v>350</v>
      </c>
      <c r="AX59" s="29">
        <v>400</v>
      </c>
      <c r="AY59" s="29">
        <v>2</v>
      </c>
      <c r="AZ59" s="29"/>
      <c r="BA59" s="29"/>
      <c r="BB59" s="302">
        <f t="shared" si="350"/>
        <v>375</v>
      </c>
      <c r="BC59" s="301"/>
      <c r="BD59" s="303">
        <f t="shared" si="351"/>
        <v>187.5</v>
      </c>
      <c r="BE59" s="304" t="e">
        <f t="shared" si="352"/>
        <v>#DIV/0!</v>
      </c>
      <c r="BF59" s="307">
        <f t="shared" si="353"/>
        <v>150</v>
      </c>
      <c r="BG59" s="301"/>
      <c r="BH59" s="303">
        <f t="shared" si="354"/>
        <v>75</v>
      </c>
      <c r="BI59" s="304" t="e">
        <f t="shared" si="355"/>
        <v>#DIV/0!</v>
      </c>
      <c r="BK59" s="29"/>
      <c r="BL59" s="29"/>
      <c r="BP59" s="29" t="s">
        <v>1204</v>
      </c>
      <c r="BQ59" s="308"/>
      <c r="BR59" s="308"/>
      <c r="BS59" s="29"/>
      <c r="BT59" s="29" t="s">
        <v>1279</v>
      </c>
    </row>
    <row r="60" ht="12.75" spans="1:70">
      <c r="A60" s="29" t="s">
        <v>1044</v>
      </c>
      <c r="B60" s="29" t="s">
        <v>1195</v>
      </c>
      <c r="C60" s="426" t="s">
        <v>646</v>
      </c>
      <c r="D60" s="308"/>
      <c r="E60" s="29" t="s">
        <v>1246</v>
      </c>
      <c r="F60" s="29" t="b">
        <v>1</v>
      </c>
      <c r="G60" s="29" t="b">
        <v>0</v>
      </c>
      <c r="H60" s="29" t="b">
        <v>0</v>
      </c>
      <c r="I60" s="29" t="b">
        <v>0</v>
      </c>
      <c r="J60" s="29" t="b">
        <v>0</v>
      </c>
      <c r="K60" s="29" t="b">
        <v>0</v>
      </c>
      <c r="L60" s="29" t="b">
        <v>0</v>
      </c>
      <c r="M60" s="432" t="b">
        <v>0</v>
      </c>
      <c r="N60" s="432" t="b">
        <v>1</v>
      </c>
      <c r="P60" s="29" t="s">
        <v>120</v>
      </c>
      <c r="Q60" s="441">
        <f t="shared" si="185"/>
        <v>425</v>
      </c>
      <c r="R60" s="441">
        <f t="shared" si="186"/>
        <v>425</v>
      </c>
      <c r="S60" s="442">
        <f t="shared" si="187"/>
        <v>0</v>
      </c>
      <c r="T60" s="308"/>
      <c r="U60" s="443"/>
      <c r="V60" s="245"/>
      <c r="W60" s="245"/>
      <c r="X60" s="444">
        <v>41.67</v>
      </c>
      <c r="Y60" s="245">
        <v>208.31</v>
      </c>
      <c r="Z60" s="245"/>
      <c r="AA60" s="245"/>
      <c r="AB60" s="463">
        <f t="shared" ref="AB60:AC60" si="405">V60-X60</f>
        <v>-41.67</v>
      </c>
      <c r="AC60" s="464">
        <f t="shared" si="405"/>
        <v>-208.31</v>
      </c>
      <c r="AD60" s="474" t="e">
        <f t="shared" ref="AD60:AE60" si="406">1-(V60/Z60)</f>
        <v>#DIV/0!</v>
      </c>
      <c r="AE60" s="474" t="e">
        <f t="shared" si="406"/>
        <v>#DIV/0!</v>
      </c>
      <c r="AF60" s="475"/>
      <c r="AG60" s="475"/>
      <c r="AH60" s="483"/>
      <c r="AI60" s="483"/>
      <c r="AJ60" s="487">
        <f t="shared" ref="AJ60:AK60" si="407">V60+(V60*$AJ$2)</f>
        <v>0</v>
      </c>
      <c r="AK60" s="475">
        <f t="shared" si="407"/>
        <v>0</v>
      </c>
      <c r="AL60" s="485">
        <f t="shared" ref="AL60:AM60" si="408">AJ60-Z60</f>
        <v>0</v>
      </c>
      <c r="AM60" s="485">
        <f t="shared" si="408"/>
        <v>0</v>
      </c>
      <c r="AN60" s="486">
        <f t="shared" si="8"/>
        <v>0</v>
      </c>
      <c r="AO60" s="487">
        <f t="shared" ref="AO60:AP60" si="409">V60+(V60*$AO$2)</f>
        <v>0</v>
      </c>
      <c r="AP60" s="475">
        <f t="shared" si="409"/>
        <v>0</v>
      </c>
      <c r="AQ60" s="432" t="b">
        <v>0</v>
      </c>
      <c r="AR60" s="485">
        <f t="shared" ref="AR60:AS60" si="410">AO60-Z60</f>
        <v>0</v>
      </c>
      <c r="AS60" s="485">
        <f t="shared" si="410"/>
        <v>0</v>
      </c>
      <c r="AT60" s="486">
        <f t="shared" si="11"/>
        <v>0</v>
      </c>
      <c r="AU60" s="301">
        <f t="shared" si="12"/>
        <v>360</v>
      </c>
      <c r="AV60" s="301">
        <f t="shared" si="195"/>
        <v>425</v>
      </c>
      <c r="AW60" s="29">
        <v>400</v>
      </c>
      <c r="AX60" s="29">
        <v>450</v>
      </c>
      <c r="BB60" s="302">
        <f t="shared" si="350"/>
        <v>425</v>
      </c>
      <c r="BC60" s="301"/>
      <c r="BD60" s="303">
        <f t="shared" si="351"/>
        <v>212.5</v>
      </c>
      <c r="BE60" s="304" t="e">
        <f t="shared" si="352"/>
        <v>#DIV/0!</v>
      </c>
      <c r="BF60" s="307">
        <f t="shared" si="353"/>
        <v>170</v>
      </c>
      <c r="BG60" s="301"/>
      <c r="BH60" s="303">
        <f t="shared" si="354"/>
        <v>85</v>
      </c>
      <c r="BI60" s="304" t="e">
        <f t="shared" si="355"/>
        <v>#DIV/0!</v>
      </c>
      <c r="BK60" s="29"/>
      <c r="BL60" s="29"/>
      <c r="BQ60" s="308"/>
      <c r="BR60" s="308"/>
    </row>
    <row r="61" ht="12.75" spans="1:70">
      <c r="A61" s="29" t="s">
        <v>1044</v>
      </c>
      <c r="B61" s="29" t="s">
        <v>1195</v>
      </c>
      <c r="C61" s="426" t="s">
        <v>649</v>
      </c>
      <c r="D61" s="308"/>
      <c r="E61" s="29" t="s">
        <v>1280</v>
      </c>
      <c r="F61" s="29" t="b">
        <v>1</v>
      </c>
      <c r="G61" s="29" t="b">
        <v>0</v>
      </c>
      <c r="H61" s="29" t="b">
        <v>0</v>
      </c>
      <c r="I61" s="29" t="b">
        <v>0</v>
      </c>
      <c r="J61" s="29" t="b">
        <v>0</v>
      </c>
      <c r="K61" s="29" t="b">
        <v>0</v>
      </c>
      <c r="L61" s="29" t="b">
        <v>0</v>
      </c>
      <c r="M61" s="432" t="b">
        <v>0</v>
      </c>
      <c r="N61" s="432" t="b">
        <v>1</v>
      </c>
      <c r="P61" s="29" t="s">
        <v>120</v>
      </c>
      <c r="Q61" s="441">
        <f t="shared" si="185"/>
        <v>425</v>
      </c>
      <c r="R61" s="441">
        <f t="shared" si="186"/>
        <v>425</v>
      </c>
      <c r="S61" s="442">
        <f t="shared" si="187"/>
        <v>0</v>
      </c>
      <c r="T61" s="308"/>
      <c r="U61" s="443"/>
      <c r="V61" s="245"/>
      <c r="W61" s="245"/>
      <c r="X61" s="444">
        <v>37.99</v>
      </c>
      <c r="Y61" s="245">
        <v>189.93</v>
      </c>
      <c r="Z61" s="245"/>
      <c r="AA61" s="245"/>
      <c r="AB61" s="463">
        <f t="shared" ref="AB61:AC61" si="411">V61-X61</f>
        <v>-37.99</v>
      </c>
      <c r="AC61" s="464">
        <f t="shared" si="411"/>
        <v>-189.93</v>
      </c>
      <c r="AD61" s="474" t="e">
        <f t="shared" ref="AD61:AE61" si="412">1-(V61/Z61)</f>
        <v>#DIV/0!</v>
      </c>
      <c r="AE61" s="474" t="e">
        <f t="shared" si="412"/>
        <v>#DIV/0!</v>
      </c>
      <c r="AF61" s="475"/>
      <c r="AG61" s="475"/>
      <c r="AH61" s="483"/>
      <c r="AI61" s="483"/>
      <c r="AJ61" s="487">
        <f t="shared" ref="AJ61:AK61" si="413">V61+(V61*$AJ$2)</f>
        <v>0</v>
      </c>
      <c r="AK61" s="475">
        <f t="shared" si="413"/>
        <v>0</v>
      </c>
      <c r="AL61" s="485">
        <f t="shared" ref="AL61:AM61" si="414">AJ61-Z61</f>
        <v>0</v>
      </c>
      <c r="AM61" s="485">
        <f t="shared" si="414"/>
        <v>0</v>
      </c>
      <c r="AN61" s="486">
        <f t="shared" si="8"/>
        <v>0</v>
      </c>
      <c r="AO61" s="487">
        <f t="shared" ref="AO61:AP61" si="415">V61+(V61*$AO$2)</f>
        <v>0</v>
      </c>
      <c r="AP61" s="475">
        <f t="shared" si="415"/>
        <v>0</v>
      </c>
      <c r="AQ61" s="432" t="b">
        <v>0</v>
      </c>
      <c r="AR61" s="485">
        <f t="shared" ref="AR61:AS61" si="416">AO61-Z61</f>
        <v>0</v>
      </c>
      <c r="AS61" s="485">
        <f t="shared" si="416"/>
        <v>0</v>
      </c>
      <c r="AT61" s="486">
        <f t="shared" si="11"/>
        <v>0</v>
      </c>
      <c r="AU61" s="301">
        <f t="shared" si="12"/>
        <v>360</v>
      </c>
      <c r="AV61" s="301">
        <f t="shared" si="195"/>
        <v>425</v>
      </c>
      <c r="AW61" s="29">
        <v>400</v>
      </c>
      <c r="AX61" s="29">
        <v>450</v>
      </c>
      <c r="BB61" s="302">
        <f t="shared" si="350"/>
        <v>425</v>
      </c>
      <c r="BC61" s="301"/>
      <c r="BD61" s="303">
        <f t="shared" si="351"/>
        <v>212.5</v>
      </c>
      <c r="BE61" s="304" t="e">
        <f t="shared" si="352"/>
        <v>#DIV/0!</v>
      </c>
      <c r="BF61" s="307">
        <f t="shared" si="353"/>
        <v>170</v>
      </c>
      <c r="BG61" s="301"/>
      <c r="BH61" s="303">
        <f t="shared" si="354"/>
        <v>85</v>
      </c>
      <c r="BI61" s="304" t="e">
        <f t="shared" si="355"/>
        <v>#DIV/0!</v>
      </c>
      <c r="BK61" s="29"/>
      <c r="BL61" s="29"/>
      <c r="BQ61" s="308"/>
      <c r="BR61" s="308"/>
    </row>
    <row r="62" ht="12.75" spans="1:70">
      <c r="A62" s="29" t="s">
        <v>1044</v>
      </c>
      <c r="B62" s="29" t="s">
        <v>1195</v>
      </c>
      <c r="C62" s="426" t="s">
        <v>652</v>
      </c>
      <c r="D62" s="308"/>
      <c r="E62" s="29" t="s">
        <v>13</v>
      </c>
      <c r="F62" s="29" t="b">
        <v>1</v>
      </c>
      <c r="G62" s="29" t="b">
        <v>0</v>
      </c>
      <c r="H62" s="29" t="b">
        <v>0</v>
      </c>
      <c r="I62" s="29" t="b">
        <v>0</v>
      </c>
      <c r="J62" s="29" t="b">
        <v>0</v>
      </c>
      <c r="K62" s="29" t="b">
        <v>0</v>
      </c>
      <c r="L62" s="29" t="b">
        <v>0</v>
      </c>
      <c r="M62" s="432" t="b">
        <v>0</v>
      </c>
      <c r="N62" s="432" t="b">
        <v>1</v>
      </c>
      <c r="P62" s="29" t="s">
        <v>120</v>
      </c>
      <c r="Q62" s="441">
        <f t="shared" si="185"/>
        <v>425</v>
      </c>
      <c r="R62" s="441">
        <f t="shared" si="186"/>
        <v>425</v>
      </c>
      <c r="S62" s="442">
        <f t="shared" si="187"/>
        <v>0</v>
      </c>
      <c r="T62" s="308"/>
      <c r="U62" s="443"/>
      <c r="V62" s="245"/>
      <c r="W62" s="245"/>
      <c r="X62" s="444">
        <v>33.28</v>
      </c>
      <c r="Y62" s="245">
        <v>150.26</v>
      </c>
      <c r="Z62" s="245"/>
      <c r="AA62" s="245"/>
      <c r="AB62" s="463">
        <f t="shared" ref="AB62:AC62" si="417">V62-X62</f>
        <v>-33.28</v>
      </c>
      <c r="AC62" s="464">
        <f t="shared" si="417"/>
        <v>-150.26</v>
      </c>
      <c r="AD62" s="474" t="e">
        <f t="shared" ref="AD62:AE62" si="418">1-(V62/Z62)</f>
        <v>#DIV/0!</v>
      </c>
      <c r="AE62" s="474" t="e">
        <f t="shared" si="418"/>
        <v>#DIV/0!</v>
      </c>
      <c r="AF62" s="475"/>
      <c r="AG62" s="475"/>
      <c r="AH62" s="483"/>
      <c r="AI62" s="483"/>
      <c r="AJ62" s="487">
        <f t="shared" ref="AJ62:AK62" si="419">V62+(V62*$AJ$2)</f>
        <v>0</v>
      </c>
      <c r="AK62" s="475">
        <f t="shared" si="419"/>
        <v>0</v>
      </c>
      <c r="AL62" s="485">
        <f t="shared" ref="AL62:AM62" si="420">AJ62-Z62</f>
        <v>0</v>
      </c>
      <c r="AM62" s="485">
        <f t="shared" si="420"/>
        <v>0</v>
      </c>
      <c r="AN62" s="486">
        <f t="shared" si="8"/>
        <v>0</v>
      </c>
      <c r="AO62" s="487">
        <f t="shared" ref="AO62:AP62" si="421">V62+(V62*$AO$2)</f>
        <v>0</v>
      </c>
      <c r="AP62" s="475">
        <f t="shared" si="421"/>
        <v>0</v>
      </c>
      <c r="AQ62" s="432" t="b">
        <v>0</v>
      </c>
      <c r="AR62" s="485">
        <f t="shared" ref="AR62:AS62" si="422">AO62-Z62</f>
        <v>0</v>
      </c>
      <c r="AS62" s="485">
        <f t="shared" si="422"/>
        <v>0</v>
      </c>
      <c r="AT62" s="486">
        <f t="shared" si="11"/>
        <v>0</v>
      </c>
      <c r="AU62" s="301">
        <f t="shared" si="12"/>
        <v>360</v>
      </c>
      <c r="AV62" s="301">
        <f t="shared" si="195"/>
        <v>425</v>
      </c>
      <c r="AW62" s="29">
        <v>400</v>
      </c>
      <c r="AX62" s="29">
        <v>450</v>
      </c>
      <c r="BB62" s="302">
        <f t="shared" si="350"/>
        <v>425</v>
      </c>
      <c r="BC62" s="301"/>
      <c r="BD62" s="303">
        <f t="shared" si="351"/>
        <v>212.5</v>
      </c>
      <c r="BE62" s="304" t="e">
        <f t="shared" si="352"/>
        <v>#DIV/0!</v>
      </c>
      <c r="BF62" s="307">
        <f t="shared" si="353"/>
        <v>170</v>
      </c>
      <c r="BG62" s="301"/>
      <c r="BH62" s="303">
        <f t="shared" si="354"/>
        <v>85</v>
      </c>
      <c r="BI62" s="304" t="e">
        <f t="shared" si="355"/>
        <v>#DIV/0!</v>
      </c>
      <c r="BK62" s="29"/>
      <c r="BL62" s="29"/>
      <c r="BQ62" s="308"/>
      <c r="BR62" s="308"/>
    </row>
    <row r="63" ht="12.75" spans="1:70">
      <c r="A63" s="29" t="s">
        <v>1044</v>
      </c>
      <c r="B63" s="29" t="s">
        <v>1195</v>
      </c>
      <c r="C63" s="426" t="s">
        <v>655</v>
      </c>
      <c r="D63" s="308"/>
      <c r="E63" s="29" t="s">
        <v>1261</v>
      </c>
      <c r="F63" s="29" t="b">
        <v>1</v>
      </c>
      <c r="G63" s="29" t="b">
        <v>0</v>
      </c>
      <c r="H63" s="29" t="b">
        <v>0</v>
      </c>
      <c r="I63" s="29" t="b">
        <v>0</v>
      </c>
      <c r="J63" s="29" t="b">
        <v>0</v>
      </c>
      <c r="K63" s="29" t="b">
        <v>0</v>
      </c>
      <c r="L63" s="29" t="b">
        <v>0</v>
      </c>
      <c r="M63" s="432" t="b">
        <v>0</v>
      </c>
      <c r="N63" s="432" t="b">
        <v>1</v>
      </c>
      <c r="P63" s="29" t="s">
        <v>120</v>
      </c>
      <c r="Q63" s="441">
        <f t="shared" si="185"/>
        <v>425</v>
      </c>
      <c r="R63" s="441">
        <f t="shared" si="186"/>
        <v>425</v>
      </c>
      <c r="S63" s="442">
        <f t="shared" si="187"/>
        <v>0</v>
      </c>
      <c r="T63" s="308"/>
      <c r="U63" s="443"/>
      <c r="V63" s="245"/>
      <c r="W63" s="245"/>
      <c r="X63" s="444">
        <v>44.11</v>
      </c>
      <c r="Y63" s="245">
        <v>220.57</v>
      </c>
      <c r="Z63" s="245"/>
      <c r="AA63" s="245"/>
      <c r="AB63" s="463">
        <f t="shared" ref="AB63:AC63" si="423">V63-X63</f>
        <v>-44.11</v>
      </c>
      <c r="AC63" s="464">
        <f t="shared" si="423"/>
        <v>-220.57</v>
      </c>
      <c r="AD63" s="474" t="e">
        <f t="shared" ref="AD63:AE63" si="424">1-(V63/Z63)</f>
        <v>#DIV/0!</v>
      </c>
      <c r="AE63" s="474" t="e">
        <f t="shared" si="424"/>
        <v>#DIV/0!</v>
      </c>
      <c r="AF63" s="475"/>
      <c r="AG63" s="475"/>
      <c r="AH63" s="483"/>
      <c r="AI63" s="483"/>
      <c r="AJ63" s="487">
        <f t="shared" ref="AJ63:AK63" si="425">V63+(V63*$AJ$2)</f>
        <v>0</v>
      </c>
      <c r="AK63" s="475">
        <f t="shared" si="425"/>
        <v>0</v>
      </c>
      <c r="AL63" s="485">
        <f t="shared" ref="AL63:AM63" si="426">AJ63-Z63</f>
        <v>0</v>
      </c>
      <c r="AM63" s="485">
        <f t="shared" si="426"/>
        <v>0</v>
      </c>
      <c r="AN63" s="486">
        <f t="shared" si="8"/>
        <v>0</v>
      </c>
      <c r="AO63" s="487">
        <f t="shared" ref="AO63:AP63" si="427">V63+(V63*$AO$2)</f>
        <v>0</v>
      </c>
      <c r="AP63" s="475">
        <f t="shared" si="427"/>
        <v>0</v>
      </c>
      <c r="AQ63" s="432" t="b">
        <v>0</v>
      </c>
      <c r="AR63" s="485">
        <f t="shared" ref="AR63:AS63" si="428">AO63-Z63</f>
        <v>0</v>
      </c>
      <c r="AS63" s="485">
        <f t="shared" si="428"/>
        <v>0</v>
      </c>
      <c r="AT63" s="486">
        <f t="shared" si="11"/>
        <v>0</v>
      </c>
      <c r="AU63" s="301">
        <f t="shared" si="12"/>
        <v>360</v>
      </c>
      <c r="AV63" s="301">
        <f t="shared" si="195"/>
        <v>425</v>
      </c>
      <c r="AW63" s="29">
        <v>400</v>
      </c>
      <c r="AX63" s="29">
        <v>450</v>
      </c>
      <c r="BB63" s="302">
        <f t="shared" si="350"/>
        <v>425</v>
      </c>
      <c r="BC63" s="301"/>
      <c r="BD63" s="303">
        <f t="shared" si="351"/>
        <v>212.5</v>
      </c>
      <c r="BE63" s="304" t="e">
        <f t="shared" si="352"/>
        <v>#DIV/0!</v>
      </c>
      <c r="BF63" s="307">
        <f t="shared" si="353"/>
        <v>170</v>
      </c>
      <c r="BG63" s="301"/>
      <c r="BH63" s="303">
        <f t="shared" si="354"/>
        <v>85</v>
      </c>
      <c r="BI63" s="304" t="e">
        <f t="shared" si="355"/>
        <v>#DIV/0!</v>
      </c>
      <c r="BK63" s="29"/>
      <c r="BL63" s="29"/>
      <c r="BQ63" s="308"/>
      <c r="BR63" s="308"/>
    </row>
    <row r="64" ht="12.75" spans="1:70">
      <c r="A64" s="29" t="s">
        <v>1038</v>
      </c>
      <c r="B64" s="29" t="s">
        <v>1195</v>
      </c>
      <c r="C64" s="288" t="s">
        <v>1281</v>
      </c>
      <c r="D64" s="29" t="s">
        <v>1200</v>
      </c>
      <c r="E64" s="427" t="s">
        <v>1280</v>
      </c>
      <c r="F64" s="29" t="b">
        <v>1</v>
      </c>
      <c r="G64" s="29" t="b">
        <v>0</v>
      </c>
      <c r="H64" s="29" t="b">
        <v>0</v>
      </c>
      <c r="I64" s="29" t="b">
        <v>0</v>
      </c>
      <c r="J64" s="29" t="b">
        <v>0</v>
      </c>
      <c r="K64" s="29" t="b">
        <v>0</v>
      </c>
      <c r="L64" s="29" t="b">
        <v>0</v>
      </c>
      <c r="M64" s="432" t="b">
        <v>0</v>
      </c>
      <c r="N64" s="432" t="b">
        <v>1</v>
      </c>
      <c r="O64" s="29" t="s">
        <v>1282</v>
      </c>
      <c r="P64" s="29"/>
      <c r="Q64" s="441">
        <f t="shared" si="185"/>
        <v>350</v>
      </c>
      <c r="R64" s="441">
        <f t="shared" si="186"/>
        <v>350</v>
      </c>
      <c r="S64" s="442">
        <f t="shared" si="187"/>
        <v>74.62</v>
      </c>
      <c r="T64" s="308"/>
      <c r="U64" s="443"/>
      <c r="V64" s="454">
        <f t="shared" ref="V64:W64" si="429">X64</f>
        <v>37.31</v>
      </c>
      <c r="W64" s="454">
        <f t="shared" si="429"/>
        <v>185.11</v>
      </c>
      <c r="X64" s="444">
        <v>37.31</v>
      </c>
      <c r="Y64" s="245">
        <v>185.11</v>
      </c>
      <c r="Z64" s="245"/>
      <c r="AA64" s="245"/>
      <c r="AB64" s="463">
        <f t="shared" ref="AB64:AC64" si="430">V64-X64</f>
        <v>0</v>
      </c>
      <c r="AC64" s="464">
        <f t="shared" si="430"/>
        <v>0</v>
      </c>
      <c r="AD64" s="474" t="e">
        <f t="shared" ref="AD64:AE64" si="431">1-(V64/Z64)</f>
        <v>#DIV/0!</v>
      </c>
      <c r="AE64" s="474" t="e">
        <f t="shared" si="431"/>
        <v>#DIV/0!</v>
      </c>
      <c r="AF64" s="475"/>
      <c r="AG64" s="475"/>
      <c r="AH64" s="483"/>
      <c r="AI64" s="483"/>
      <c r="AJ64" s="487">
        <f t="shared" ref="AJ64:AK64" si="432">V64+(V64*$AJ$2)</f>
        <v>74.62</v>
      </c>
      <c r="AK64" s="475">
        <f t="shared" si="432"/>
        <v>370.22</v>
      </c>
      <c r="AL64" s="485">
        <f t="shared" ref="AL64:AM64" si="433">AJ64-Z64</f>
        <v>74.62</v>
      </c>
      <c r="AM64" s="485">
        <f t="shared" si="433"/>
        <v>370.22</v>
      </c>
      <c r="AN64" s="486">
        <f t="shared" si="8"/>
        <v>2.88</v>
      </c>
      <c r="AO64" s="487">
        <f t="shared" ref="AO64:AP64" si="434">V64+(V64*$AO$2)</f>
        <v>55.965</v>
      </c>
      <c r="AP64" s="475">
        <f t="shared" si="434"/>
        <v>277.665</v>
      </c>
      <c r="AQ64" s="432" t="b">
        <v>1</v>
      </c>
      <c r="AR64" s="485">
        <f t="shared" ref="AR64:AS64" si="435">AO64-Z64</f>
        <v>55.965</v>
      </c>
      <c r="AS64" s="485">
        <f t="shared" si="435"/>
        <v>277.665</v>
      </c>
      <c r="AT64" s="486">
        <f t="shared" si="11"/>
        <v>2.16000000000002</v>
      </c>
      <c r="AU64" s="301">
        <f t="shared" si="12"/>
        <v>292.5</v>
      </c>
      <c r="AV64" s="301">
        <f t="shared" si="195"/>
        <v>350</v>
      </c>
      <c r="AW64" s="29">
        <v>325</v>
      </c>
      <c r="AX64" s="29">
        <v>375</v>
      </c>
      <c r="BB64" s="302"/>
      <c r="BC64" s="301"/>
      <c r="BD64" s="303"/>
      <c r="BE64" s="304"/>
      <c r="BF64" s="307"/>
      <c r="BG64" s="301"/>
      <c r="BH64" s="303"/>
      <c r="BI64" s="304"/>
      <c r="BK64" s="29"/>
      <c r="BL64" s="29"/>
      <c r="BQ64" s="29"/>
      <c r="BR64" s="29"/>
    </row>
    <row r="65" ht="12.75" spans="1:70">
      <c r="A65" s="29" t="s">
        <v>1038</v>
      </c>
      <c r="B65" s="29" t="s">
        <v>1195</v>
      </c>
      <c r="C65" s="288" t="s">
        <v>661</v>
      </c>
      <c r="D65" s="308"/>
      <c r="E65" s="29" t="s">
        <v>1283</v>
      </c>
      <c r="F65" s="29" t="b">
        <v>1</v>
      </c>
      <c r="G65" s="29" t="b">
        <v>0</v>
      </c>
      <c r="H65" s="29" t="b">
        <v>0</v>
      </c>
      <c r="I65" s="29" t="b">
        <v>0</v>
      </c>
      <c r="J65" s="29" t="b">
        <v>0</v>
      </c>
      <c r="K65" s="29" t="b">
        <v>0</v>
      </c>
      <c r="L65" s="29" t="b">
        <v>0</v>
      </c>
      <c r="M65" s="432" t="b">
        <v>0</v>
      </c>
      <c r="N65" s="432" t="b">
        <v>1</v>
      </c>
      <c r="O65" s="29" t="s">
        <v>1284</v>
      </c>
      <c r="P65" s="29"/>
      <c r="Q65" s="441">
        <f t="shared" si="185"/>
        <v>350</v>
      </c>
      <c r="R65" s="441">
        <f t="shared" si="186"/>
        <v>350</v>
      </c>
      <c r="S65" s="442">
        <f t="shared" si="187"/>
        <v>77.66</v>
      </c>
      <c r="T65" s="308"/>
      <c r="U65" s="443"/>
      <c r="V65" s="454">
        <f t="shared" ref="V65:W65" si="436">X65</f>
        <v>38.83</v>
      </c>
      <c r="W65" s="454">
        <f t="shared" si="436"/>
        <v>192</v>
      </c>
      <c r="X65" s="444">
        <v>38.83</v>
      </c>
      <c r="Y65" s="245">
        <v>192</v>
      </c>
      <c r="Z65" s="245"/>
      <c r="AA65" s="245"/>
      <c r="AB65" s="463">
        <f t="shared" ref="AB65:AC65" si="437">V65-X65</f>
        <v>0</v>
      </c>
      <c r="AC65" s="464">
        <f t="shared" si="437"/>
        <v>0</v>
      </c>
      <c r="AD65" s="474" t="e">
        <f t="shared" ref="AD65:AE65" si="438">1-(V65/Z65)</f>
        <v>#DIV/0!</v>
      </c>
      <c r="AE65" s="474" t="e">
        <f t="shared" si="438"/>
        <v>#DIV/0!</v>
      </c>
      <c r="AF65" s="475"/>
      <c r="AG65" s="475"/>
      <c r="AH65" s="483"/>
      <c r="AI65" s="483"/>
      <c r="AJ65" s="487">
        <f t="shared" ref="AJ65:AK65" si="439">V65+(V65*$AJ$2)</f>
        <v>77.66</v>
      </c>
      <c r="AK65" s="475">
        <f t="shared" si="439"/>
        <v>384</v>
      </c>
      <c r="AL65" s="485">
        <f t="shared" ref="AL65:AM65" si="440">AJ65-Z65</f>
        <v>77.66</v>
      </c>
      <c r="AM65" s="485">
        <f t="shared" si="440"/>
        <v>384</v>
      </c>
      <c r="AN65" s="486">
        <f t="shared" si="8"/>
        <v>4.29999999999995</v>
      </c>
      <c r="AO65" s="487">
        <f t="shared" ref="AO65:AP65" si="441">V65+(V65*$AO$2)</f>
        <v>58.245</v>
      </c>
      <c r="AP65" s="475">
        <f t="shared" si="441"/>
        <v>288</v>
      </c>
      <c r="AQ65" s="432" t="b">
        <v>1</v>
      </c>
      <c r="AR65" s="485">
        <f t="shared" ref="AR65:AS65" si="442">AO65-Z65</f>
        <v>58.245</v>
      </c>
      <c r="AS65" s="485">
        <f t="shared" si="442"/>
        <v>288</v>
      </c>
      <c r="AT65" s="486">
        <f t="shared" si="11"/>
        <v>3.22499999999997</v>
      </c>
      <c r="AU65" s="301">
        <f t="shared" si="12"/>
        <v>292.5</v>
      </c>
      <c r="AV65" s="301">
        <f t="shared" si="195"/>
        <v>350</v>
      </c>
      <c r="AW65" s="29">
        <v>325</v>
      </c>
      <c r="AX65" s="29">
        <v>375</v>
      </c>
      <c r="BB65" s="302"/>
      <c r="BC65" s="301"/>
      <c r="BD65" s="303"/>
      <c r="BE65" s="304"/>
      <c r="BF65" s="307"/>
      <c r="BG65" s="301"/>
      <c r="BH65" s="303"/>
      <c r="BI65" s="304"/>
      <c r="BK65" s="29"/>
      <c r="BL65" s="29"/>
      <c r="BQ65" s="308"/>
      <c r="BR65" s="308"/>
    </row>
    <row r="66" ht="12.75" spans="1:70">
      <c r="A66" s="29" t="s">
        <v>1038</v>
      </c>
      <c r="B66" s="29" t="s">
        <v>1195</v>
      </c>
      <c r="C66" s="288" t="s">
        <v>664</v>
      </c>
      <c r="D66" s="308"/>
      <c r="E66" s="427" t="s">
        <v>1285</v>
      </c>
      <c r="F66" s="29" t="b">
        <v>1</v>
      </c>
      <c r="G66" s="29" t="b">
        <v>0</v>
      </c>
      <c r="H66" s="29" t="b">
        <v>0</v>
      </c>
      <c r="I66" s="29" t="b">
        <v>0</v>
      </c>
      <c r="J66" s="29" t="b">
        <v>0</v>
      </c>
      <c r="K66" s="29" t="b">
        <v>0</v>
      </c>
      <c r="L66" s="29" t="b">
        <v>0</v>
      </c>
      <c r="M66" s="432" t="b">
        <v>0</v>
      </c>
      <c r="N66" s="432" t="b">
        <v>1</v>
      </c>
      <c r="O66" s="29" t="s">
        <v>1286</v>
      </c>
      <c r="P66" s="29"/>
      <c r="Q66" s="441">
        <f t="shared" si="185"/>
        <v>360</v>
      </c>
      <c r="R66" s="441">
        <f t="shared" si="186"/>
        <v>360</v>
      </c>
      <c r="S66" s="442">
        <f t="shared" si="187"/>
        <v>80.08</v>
      </c>
      <c r="T66" s="308"/>
      <c r="U66" s="443"/>
      <c r="V66" s="454">
        <f t="shared" ref="V66:W66" si="443">X66</f>
        <v>40.04</v>
      </c>
      <c r="W66" s="454">
        <f t="shared" si="443"/>
        <v>192</v>
      </c>
      <c r="X66" s="444">
        <v>40.04</v>
      </c>
      <c r="Y66" s="245">
        <v>192</v>
      </c>
      <c r="Z66" s="245"/>
      <c r="AA66" s="245"/>
      <c r="AB66" s="463">
        <f t="shared" ref="AB66:AC66" si="444">V66-X66</f>
        <v>0</v>
      </c>
      <c r="AC66" s="464">
        <f t="shared" si="444"/>
        <v>0</v>
      </c>
      <c r="AD66" s="474" t="e">
        <f t="shared" ref="AD66:AE66" si="445">1-(V66/Z66)</f>
        <v>#DIV/0!</v>
      </c>
      <c r="AE66" s="474" t="e">
        <f t="shared" si="445"/>
        <v>#DIV/0!</v>
      </c>
      <c r="AF66" s="475"/>
      <c r="AG66" s="475"/>
      <c r="AH66" s="483"/>
      <c r="AI66" s="483"/>
      <c r="AJ66" s="487">
        <f t="shared" ref="AJ66:AK66" si="446">V66+(V66*$AJ$2)</f>
        <v>80.08</v>
      </c>
      <c r="AK66" s="475">
        <f t="shared" si="446"/>
        <v>384</v>
      </c>
      <c r="AL66" s="485">
        <f t="shared" ref="AL66:AM66" si="447">AJ66-Z66</f>
        <v>80.08</v>
      </c>
      <c r="AM66" s="485">
        <f t="shared" si="447"/>
        <v>384</v>
      </c>
      <c r="AN66" s="486">
        <f t="shared" si="8"/>
        <v>16.4</v>
      </c>
      <c r="AO66" s="487">
        <f t="shared" ref="AO66:AP66" si="448">V66+(V66*$AO$2)</f>
        <v>60.06</v>
      </c>
      <c r="AP66" s="475">
        <f t="shared" si="448"/>
        <v>288</v>
      </c>
      <c r="AQ66" s="432" t="b">
        <v>1</v>
      </c>
      <c r="AR66" s="485">
        <f t="shared" ref="AR66:AS66" si="449">AO66-Z66</f>
        <v>60.06</v>
      </c>
      <c r="AS66" s="485">
        <f t="shared" si="449"/>
        <v>288</v>
      </c>
      <c r="AT66" s="486">
        <f t="shared" si="11"/>
        <v>12.3</v>
      </c>
      <c r="AU66" s="301">
        <f t="shared" si="12"/>
        <v>301.5</v>
      </c>
      <c r="AV66" s="301">
        <f t="shared" si="195"/>
        <v>360</v>
      </c>
      <c r="AW66" s="29">
        <v>335</v>
      </c>
      <c r="AX66" s="29">
        <v>385</v>
      </c>
      <c r="BB66" s="302"/>
      <c r="BC66" s="301"/>
      <c r="BD66" s="303"/>
      <c r="BE66" s="304"/>
      <c r="BF66" s="307"/>
      <c r="BG66" s="301"/>
      <c r="BH66" s="303"/>
      <c r="BI66" s="304"/>
      <c r="BK66" s="29"/>
      <c r="BL66" s="29"/>
      <c r="BQ66" s="308"/>
      <c r="BR66" s="308"/>
    </row>
    <row r="67" ht="12.75" spans="1:72">
      <c r="A67" s="29" t="s">
        <v>1038</v>
      </c>
      <c r="B67" s="29" t="s">
        <v>1249</v>
      </c>
      <c r="C67" s="29" t="s">
        <v>1287</v>
      </c>
      <c r="D67" s="308"/>
      <c r="E67" s="29" t="s">
        <v>1217</v>
      </c>
      <c r="F67" s="29" t="b">
        <v>0</v>
      </c>
      <c r="G67" s="29" t="b">
        <v>0</v>
      </c>
      <c r="H67" s="29" t="b">
        <v>0</v>
      </c>
      <c r="I67" s="29" t="b">
        <v>0</v>
      </c>
      <c r="J67" s="29" t="b">
        <v>0</v>
      </c>
      <c r="K67" s="29" t="b">
        <v>0</v>
      </c>
      <c r="L67" s="29" t="b">
        <v>0</v>
      </c>
      <c r="M67" s="432" t="b">
        <v>1</v>
      </c>
      <c r="N67" s="432" t="b">
        <v>1</v>
      </c>
      <c r="O67" s="29"/>
      <c r="P67" s="29" t="s">
        <v>120</v>
      </c>
      <c r="Q67" s="441">
        <f t="shared" si="185"/>
        <v>0</v>
      </c>
      <c r="R67" s="441">
        <f t="shared" si="186"/>
        <v>0</v>
      </c>
      <c r="S67" s="442">
        <f t="shared" si="187"/>
        <v>119.9</v>
      </c>
      <c r="T67" s="308"/>
      <c r="U67" s="443"/>
      <c r="V67" s="245">
        <v>59.95</v>
      </c>
      <c r="W67" s="245">
        <v>284.75</v>
      </c>
      <c r="X67" s="444"/>
      <c r="Y67" s="245"/>
      <c r="Z67" s="245">
        <v>98.99</v>
      </c>
      <c r="AA67" s="245">
        <v>489.95</v>
      </c>
      <c r="AB67" s="463"/>
      <c r="AC67" s="464"/>
      <c r="AD67" s="476">
        <f t="shared" ref="AD67:AE67" si="450">1-(V67/Z67)</f>
        <v>0.394383271037478</v>
      </c>
      <c r="AE67" s="476">
        <f t="shared" si="450"/>
        <v>0.418818246759873</v>
      </c>
      <c r="AF67" s="475">
        <f t="shared" ref="AF67:AG67" si="451">(V67+Z67)/2</f>
        <v>79.47</v>
      </c>
      <c r="AG67" s="475">
        <f t="shared" si="451"/>
        <v>387.35</v>
      </c>
      <c r="AH67" s="483">
        <f t="shared" ref="AH67:AI67" si="452">1-(V67/AF67)</f>
        <v>0.245627280734869</v>
      </c>
      <c r="AI67" s="483">
        <f t="shared" si="452"/>
        <v>0.264876726474764</v>
      </c>
      <c r="AJ67" s="487">
        <f t="shared" ref="AJ67:AK67" si="453">V67+(V67*$AJ$2)</f>
        <v>119.9</v>
      </c>
      <c r="AK67" s="475">
        <f t="shared" si="453"/>
        <v>569.5</v>
      </c>
      <c r="AL67" s="485">
        <f t="shared" ref="AL67:AM67" si="454">AJ67-Z67</f>
        <v>20.91</v>
      </c>
      <c r="AM67" s="485">
        <f t="shared" si="454"/>
        <v>79.55</v>
      </c>
      <c r="AN67" s="486">
        <f t="shared" si="8"/>
        <v>30</v>
      </c>
      <c r="AO67" s="487">
        <f t="shared" ref="AO67:AP67" si="455">V67+(V67*$AO$2)</f>
        <v>89.925</v>
      </c>
      <c r="AP67" s="475">
        <f t="shared" si="455"/>
        <v>427.125</v>
      </c>
      <c r="AQ67" s="432" t="b">
        <v>0</v>
      </c>
      <c r="AR67" s="485">
        <f t="shared" ref="AR67:AS67" si="456">AO67-Z67</f>
        <v>-9.06499999999998</v>
      </c>
      <c r="AS67" s="485">
        <f t="shared" si="456"/>
        <v>-62.825</v>
      </c>
      <c r="AT67" s="486">
        <f t="shared" si="11"/>
        <v>22.5000000000001</v>
      </c>
      <c r="AU67" s="301">
        <f t="shared" si="12"/>
        <v>0</v>
      </c>
      <c r="AV67" s="301">
        <f t="shared" si="195"/>
        <v>0</v>
      </c>
      <c r="BB67" s="302">
        <f t="shared" ref="BB67:BB76" si="457">AV67</f>
        <v>0</v>
      </c>
      <c r="BC67" s="301"/>
      <c r="BD67" s="303">
        <f t="shared" ref="BD67:BD76" si="458">(BB67+BC67)/2</f>
        <v>0</v>
      </c>
      <c r="BE67" s="304" t="e">
        <f t="shared" ref="BE67:BE76" si="459">BB67/BC67</f>
        <v>#DIV/0!</v>
      </c>
      <c r="BF67" s="307">
        <f t="shared" ref="BF67:BF76" si="460">BB67*$BF$1</f>
        <v>0</v>
      </c>
      <c r="BG67" s="301"/>
      <c r="BH67" s="303">
        <f t="shared" ref="BH67:BH76" si="461">(BF67+BG67)/2</f>
        <v>0</v>
      </c>
      <c r="BI67" s="304" t="e">
        <f t="shared" ref="BI67:BI76" si="462">BF67/BG67</f>
        <v>#DIV/0!</v>
      </c>
      <c r="BK67" s="29"/>
      <c r="BL67" s="29"/>
      <c r="BP67" s="29" t="s">
        <v>1204</v>
      </c>
      <c r="BQ67" s="308"/>
      <c r="BR67" s="308"/>
      <c r="BS67" s="29"/>
      <c r="BT67" s="29" t="s">
        <v>1288</v>
      </c>
    </row>
    <row r="68" ht="12.75" spans="1:72">
      <c r="A68" s="29" t="s">
        <v>1038</v>
      </c>
      <c r="B68" s="29" t="s">
        <v>1249</v>
      </c>
      <c r="C68" s="29" t="s">
        <v>1287</v>
      </c>
      <c r="D68" s="308"/>
      <c r="E68" s="29" t="s">
        <v>1201</v>
      </c>
      <c r="F68" s="29" t="b">
        <v>0</v>
      </c>
      <c r="G68" s="29" t="b">
        <v>0</v>
      </c>
      <c r="H68" s="29" t="b">
        <v>0</v>
      </c>
      <c r="I68" s="29" t="b">
        <v>0</v>
      </c>
      <c r="J68" s="29" t="b">
        <v>0</v>
      </c>
      <c r="K68" s="29" t="b">
        <v>0</v>
      </c>
      <c r="L68" s="29" t="b">
        <v>0</v>
      </c>
      <c r="M68" s="432" t="b">
        <v>1</v>
      </c>
      <c r="N68" s="432" t="b">
        <v>1</v>
      </c>
      <c r="O68" s="29"/>
      <c r="P68" s="29" t="s">
        <v>120</v>
      </c>
      <c r="Q68" s="441">
        <f t="shared" si="185"/>
        <v>0</v>
      </c>
      <c r="R68" s="441">
        <f t="shared" si="186"/>
        <v>0</v>
      </c>
      <c r="S68" s="442">
        <f t="shared" si="187"/>
        <v>125.9</v>
      </c>
      <c r="T68" s="308"/>
      <c r="U68" s="443"/>
      <c r="V68" s="245">
        <v>62.95</v>
      </c>
      <c r="W68" s="245">
        <v>299.75</v>
      </c>
      <c r="X68" s="444"/>
      <c r="Y68" s="245"/>
      <c r="Z68" s="245">
        <v>101.99</v>
      </c>
      <c r="AA68" s="245">
        <v>504.95</v>
      </c>
      <c r="AB68" s="463"/>
      <c r="AC68" s="464"/>
      <c r="AD68" s="476">
        <f t="shared" ref="AD68:AE68" si="463">1-(V68/Z68)</f>
        <v>0.382782625747622</v>
      </c>
      <c r="AE68" s="476">
        <f t="shared" si="463"/>
        <v>0.40637686899693</v>
      </c>
      <c r="AF68" s="475">
        <f t="shared" ref="AF68:AG68" si="464">(V68+Z68)/2</f>
        <v>82.47</v>
      </c>
      <c r="AG68" s="475">
        <f t="shared" si="464"/>
        <v>402.35</v>
      </c>
      <c r="AH68" s="483">
        <f t="shared" ref="AH68:AI68" si="465">1-(V68/AF68)</f>
        <v>0.236692130471687</v>
      </c>
      <c r="AI68" s="483">
        <f t="shared" si="465"/>
        <v>0.255001864048714</v>
      </c>
      <c r="AJ68" s="487">
        <f t="shared" ref="AJ68:AK68" si="466">V68+(V68*$AJ$2)</f>
        <v>125.9</v>
      </c>
      <c r="AK68" s="475">
        <f t="shared" si="466"/>
        <v>599.5</v>
      </c>
      <c r="AL68" s="485">
        <f t="shared" ref="AL68:AM68" si="467">AJ68-Z68</f>
        <v>23.91</v>
      </c>
      <c r="AM68" s="485">
        <f t="shared" si="467"/>
        <v>94.55</v>
      </c>
      <c r="AN68" s="486">
        <f t="shared" si="8"/>
        <v>30</v>
      </c>
      <c r="AO68" s="487">
        <f t="shared" ref="AO68:AP68" si="468">V68+(V68*$AO$2)</f>
        <v>94.425</v>
      </c>
      <c r="AP68" s="475">
        <f t="shared" si="468"/>
        <v>449.625</v>
      </c>
      <c r="AQ68" s="432" t="b">
        <v>0</v>
      </c>
      <c r="AR68" s="485">
        <f t="shared" ref="AR68:AS68" si="469">AO68-Z68</f>
        <v>-7.56499999999998</v>
      </c>
      <c r="AS68" s="485">
        <f t="shared" si="469"/>
        <v>-55.325</v>
      </c>
      <c r="AT68" s="486">
        <f t="shared" si="11"/>
        <v>22.5000000000001</v>
      </c>
      <c r="AU68" s="301">
        <f t="shared" si="12"/>
        <v>0</v>
      </c>
      <c r="AV68" s="301">
        <f t="shared" si="195"/>
        <v>0</v>
      </c>
      <c r="BB68" s="302">
        <f t="shared" si="457"/>
        <v>0</v>
      </c>
      <c r="BC68" s="301"/>
      <c r="BD68" s="303">
        <f t="shared" si="458"/>
        <v>0</v>
      </c>
      <c r="BE68" s="304" t="e">
        <f t="shared" si="459"/>
        <v>#DIV/0!</v>
      </c>
      <c r="BF68" s="307">
        <f t="shared" si="460"/>
        <v>0</v>
      </c>
      <c r="BG68" s="301"/>
      <c r="BH68" s="303">
        <f t="shared" si="461"/>
        <v>0</v>
      </c>
      <c r="BI68" s="304" t="e">
        <f t="shared" si="462"/>
        <v>#DIV/0!</v>
      </c>
      <c r="BK68" s="29"/>
      <c r="BL68" s="29"/>
      <c r="BP68" s="29" t="s">
        <v>1204</v>
      </c>
      <c r="BQ68" s="308"/>
      <c r="BR68" s="308"/>
      <c r="BS68" s="29"/>
      <c r="BT68" s="29" t="s">
        <v>1288</v>
      </c>
    </row>
    <row r="69" ht="12.75" spans="1:72">
      <c r="A69" s="29" t="s">
        <v>1038</v>
      </c>
      <c r="B69" s="29" t="s">
        <v>1249</v>
      </c>
      <c r="C69" s="29" t="s">
        <v>1287</v>
      </c>
      <c r="D69" s="308"/>
      <c r="E69" s="29" t="s">
        <v>1271</v>
      </c>
      <c r="F69" s="29" t="b">
        <v>0</v>
      </c>
      <c r="G69" s="29" t="b">
        <v>0</v>
      </c>
      <c r="H69" s="29" t="b">
        <v>0</v>
      </c>
      <c r="I69" s="29" t="b">
        <v>0</v>
      </c>
      <c r="J69" s="29" t="b">
        <v>0</v>
      </c>
      <c r="K69" s="29" t="b">
        <v>0</v>
      </c>
      <c r="L69" s="29" t="b">
        <v>0</v>
      </c>
      <c r="M69" s="432" t="b">
        <v>1</v>
      </c>
      <c r="N69" s="432" t="b">
        <v>1</v>
      </c>
      <c r="O69" s="29"/>
      <c r="P69" s="29" t="s">
        <v>120</v>
      </c>
      <c r="Q69" s="441">
        <f t="shared" si="185"/>
        <v>0</v>
      </c>
      <c r="R69" s="441">
        <f t="shared" si="186"/>
        <v>0</v>
      </c>
      <c r="S69" s="442">
        <f t="shared" si="187"/>
        <v>129.9</v>
      </c>
      <c r="T69" s="308"/>
      <c r="U69" s="443"/>
      <c r="V69" s="245">
        <v>64.95</v>
      </c>
      <c r="W69" s="245">
        <v>309.75</v>
      </c>
      <c r="X69" s="444"/>
      <c r="Y69" s="245"/>
      <c r="Z69" s="245">
        <v>104.99</v>
      </c>
      <c r="AA69" s="245">
        <v>519.95</v>
      </c>
      <c r="AB69" s="463"/>
      <c r="AC69" s="464"/>
      <c r="AD69" s="476">
        <f t="shared" ref="AD69:AE69" si="470">1-(V69/Z69)</f>
        <v>0.381369654252786</v>
      </c>
      <c r="AE69" s="476">
        <f t="shared" si="470"/>
        <v>0.404269641311665</v>
      </c>
      <c r="AF69" s="475">
        <f t="shared" ref="AF69:AG69" si="471">(V69+Z69)/2</f>
        <v>84.97</v>
      </c>
      <c r="AG69" s="475">
        <f t="shared" si="471"/>
        <v>414.85</v>
      </c>
      <c r="AH69" s="483">
        <f t="shared" ref="AH69:AI69" si="472">1-(V69/AF69)</f>
        <v>0.23561256914205</v>
      </c>
      <c r="AI69" s="483">
        <f t="shared" si="472"/>
        <v>0.253344582379173</v>
      </c>
      <c r="AJ69" s="487">
        <f t="shared" ref="AJ69:AK69" si="473">V69+(V69*$AJ$2)</f>
        <v>129.9</v>
      </c>
      <c r="AK69" s="475">
        <f t="shared" si="473"/>
        <v>619.5</v>
      </c>
      <c r="AL69" s="485">
        <f t="shared" ref="AL69:AM69" si="474">AJ69-Z69</f>
        <v>24.91</v>
      </c>
      <c r="AM69" s="485">
        <f t="shared" si="474"/>
        <v>99.55</v>
      </c>
      <c r="AN69" s="486">
        <f t="shared" si="8"/>
        <v>30</v>
      </c>
      <c r="AO69" s="487">
        <f t="shared" ref="AO69:AP69" si="475">V69+(V69*$AO$2)</f>
        <v>97.425</v>
      </c>
      <c r="AP69" s="475">
        <f t="shared" si="475"/>
        <v>464.625</v>
      </c>
      <c r="AQ69" s="432" t="b">
        <v>0</v>
      </c>
      <c r="AR69" s="485">
        <f t="shared" ref="AR69:AS69" si="476">AO69-Z69</f>
        <v>-7.56499999999998</v>
      </c>
      <c r="AS69" s="485">
        <f t="shared" si="476"/>
        <v>-55.325</v>
      </c>
      <c r="AT69" s="486">
        <f t="shared" si="11"/>
        <v>22.5000000000001</v>
      </c>
      <c r="AU69" s="301">
        <f t="shared" si="12"/>
        <v>0</v>
      </c>
      <c r="AV69" s="301">
        <f t="shared" si="195"/>
        <v>0</v>
      </c>
      <c r="BB69" s="302">
        <f t="shared" si="457"/>
        <v>0</v>
      </c>
      <c r="BC69" s="301"/>
      <c r="BD69" s="303">
        <f t="shared" si="458"/>
        <v>0</v>
      </c>
      <c r="BE69" s="304" t="e">
        <f t="shared" si="459"/>
        <v>#DIV/0!</v>
      </c>
      <c r="BF69" s="307">
        <f t="shared" si="460"/>
        <v>0</v>
      </c>
      <c r="BG69" s="301"/>
      <c r="BH69" s="303">
        <f t="shared" si="461"/>
        <v>0</v>
      </c>
      <c r="BI69" s="304" t="e">
        <f t="shared" si="462"/>
        <v>#DIV/0!</v>
      </c>
      <c r="BK69" s="29"/>
      <c r="BL69" s="29"/>
      <c r="BP69" s="29" t="s">
        <v>1204</v>
      </c>
      <c r="BQ69" s="308"/>
      <c r="BR69" s="308"/>
      <c r="BS69" s="29"/>
      <c r="BT69" s="29" t="s">
        <v>1288</v>
      </c>
    </row>
    <row r="70" ht="12.75" spans="1:72">
      <c r="A70" s="29" t="s">
        <v>1044</v>
      </c>
      <c r="B70" s="29" t="s">
        <v>1249</v>
      </c>
      <c r="C70" s="29" t="s">
        <v>1287</v>
      </c>
      <c r="D70" s="308"/>
      <c r="E70" s="29" t="s">
        <v>1217</v>
      </c>
      <c r="F70" s="29" t="b">
        <v>0</v>
      </c>
      <c r="G70" s="29" t="b">
        <v>1</v>
      </c>
      <c r="H70" s="29" t="b">
        <v>0</v>
      </c>
      <c r="I70" s="29" t="b">
        <v>0</v>
      </c>
      <c r="J70" s="29" t="b">
        <v>0</v>
      </c>
      <c r="K70" s="29" t="b">
        <v>0</v>
      </c>
      <c r="L70" s="29" t="b">
        <v>0</v>
      </c>
      <c r="M70" s="432" t="b">
        <v>1</v>
      </c>
      <c r="N70" s="432" t="b">
        <v>1</v>
      </c>
      <c r="O70" s="29"/>
      <c r="P70" s="29" t="s">
        <v>120</v>
      </c>
      <c r="Q70" s="441">
        <f t="shared" si="185"/>
        <v>0</v>
      </c>
      <c r="R70" s="441">
        <f t="shared" si="186"/>
        <v>0</v>
      </c>
      <c r="S70" s="442">
        <f t="shared" si="187"/>
        <v>107.98</v>
      </c>
      <c r="T70" s="308"/>
      <c r="U70" s="443"/>
      <c r="V70" s="245">
        <v>53.99</v>
      </c>
      <c r="W70" s="245">
        <v>254.95</v>
      </c>
      <c r="X70" s="444"/>
      <c r="Y70" s="245"/>
      <c r="Z70" s="245">
        <v>85.49</v>
      </c>
      <c r="AA70" s="245">
        <v>422.45</v>
      </c>
      <c r="AB70" s="463"/>
      <c r="AC70" s="464"/>
      <c r="AD70" s="476">
        <f t="shared" ref="AD70:AE70" si="477">1-(V70/Z70)</f>
        <v>0.36846414785355</v>
      </c>
      <c r="AE70" s="476">
        <f t="shared" si="477"/>
        <v>0.396496626819742</v>
      </c>
      <c r="AF70" s="475">
        <f t="shared" ref="AF70:AG70" si="478">(V70+Z70)/2</f>
        <v>69.74</v>
      </c>
      <c r="AG70" s="475">
        <f t="shared" si="478"/>
        <v>338.7</v>
      </c>
      <c r="AH70" s="483">
        <f t="shared" ref="AH70:AI70" si="479">1-(V70/AF70)</f>
        <v>0.225838829939776</v>
      </c>
      <c r="AI70" s="483">
        <f t="shared" si="479"/>
        <v>0.247268969589607</v>
      </c>
      <c r="AJ70" s="487">
        <f t="shared" ref="AJ70:AK70" si="480">V70+(V70*$AJ$2)</f>
        <v>107.98</v>
      </c>
      <c r="AK70" s="475">
        <f t="shared" si="480"/>
        <v>509.9</v>
      </c>
      <c r="AL70" s="485">
        <f t="shared" ref="AL70:AM70" si="481">AJ70-Z70</f>
        <v>22.49</v>
      </c>
      <c r="AM70" s="485">
        <f t="shared" si="481"/>
        <v>87.45</v>
      </c>
      <c r="AN70" s="486">
        <f t="shared" si="8"/>
        <v>30</v>
      </c>
      <c r="AO70" s="487">
        <f t="shared" ref="AO70:AP70" si="482">V70+(V70*$AO$2)</f>
        <v>80.985</v>
      </c>
      <c r="AP70" s="475">
        <f t="shared" si="482"/>
        <v>382.425</v>
      </c>
      <c r="AQ70" s="432" t="b">
        <v>0</v>
      </c>
      <c r="AR70" s="485">
        <f t="shared" ref="AR70:AS70" si="483">AO70-Z70</f>
        <v>-4.505</v>
      </c>
      <c r="AS70" s="485">
        <f t="shared" si="483"/>
        <v>-40.025</v>
      </c>
      <c r="AT70" s="486">
        <f t="shared" si="11"/>
        <v>22.5000000000001</v>
      </c>
      <c r="AU70" s="301">
        <f t="shared" si="12"/>
        <v>0</v>
      </c>
      <c r="AV70" s="301">
        <f t="shared" si="195"/>
        <v>0</v>
      </c>
      <c r="BB70" s="302">
        <f t="shared" si="457"/>
        <v>0</v>
      </c>
      <c r="BC70" s="301"/>
      <c r="BD70" s="303">
        <f t="shared" si="458"/>
        <v>0</v>
      </c>
      <c r="BE70" s="304" t="e">
        <f t="shared" si="459"/>
        <v>#DIV/0!</v>
      </c>
      <c r="BF70" s="307">
        <f t="shared" si="460"/>
        <v>0</v>
      </c>
      <c r="BG70" s="301"/>
      <c r="BH70" s="303">
        <f t="shared" si="461"/>
        <v>0</v>
      </c>
      <c r="BI70" s="304" t="e">
        <f t="shared" si="462"/>
        <v>#DIV/0!</v>
      </c>
      <c r="BK70" s="29"/>
      <c r="BL70" s="29"/>
      <c r="BP70" s="29" t="s">
        <v>1204</v>
      </c>
      <c r="BQ70" s="308"/>
      <c r="BR70" s="308"/>
      <c r="BS70" s="29"/>
      <c r="BT70" s="29" t="s">
        <v>1289</v>
      </c>
    </row>
    <row r="71" ht="12.75" spans="1:72">
      <c r="A71" s="29" t="s">
        <v>1044</v>
      </c>
      <c r="B71" s="29" t="s">
        <v>1249</v>
      </c>
      <c r="C71" s="29" t="s">
        <v>1287</v>
      </c>
      <c r="D71" s="308"/>
      <c r="E71" s="29" t="s">
        <v>1201</v>
      </c>
      <c r="F71" s="29" t="b">
        <v>0</v>
      </c>
      <c r="G71" s="29" t="b">
        <v>1</v>
      </c>
      <c r="H71" s="29" t="b">
        <v>0</v>
      </c>
      <c r="I71" s="29" t="b">
        <v>0</v>
      </c>
      <c r="J71" s="29" t="b">
        <v>0</v>
      </c>
      <c r="K71" s="29" t="b">
        <v>0</v>
      </c>
      <c r="L71" s="29" t="b">
        <v>0</v>
      </c>
      <c r="M71" s="432" t="b">
        <v>1</v>
      </c>
      <c r="N71" s="432" t="b">
        <v>1</v>
      </c>
      <c r="O71" s="29"/>
      <c r="P71" s="29" t="s">
        <v>120</v>
      </c>
      <c r="Q71" s="441">
        <f t="shared" si="185"/>
        <v>0</v>
      </c>
      <c r="R71" s="441">
        <f t="shared" si="186"/>
        <v>0</v>
      </c>
      <c r="S71" s="442">
        <f t="shared" si="187"/>
        <v>113.98</v>
      </c>
      <c r="T71" s="308"/>
      <c r="U71" s="443"/>
      <c r="V71" s="245">
        <v>56.99</v>
      </c>
      <c r="W71" s="245">
        <v>269.95</v>
      </c>
      <c r="X71" s="444"/>
      <c r="Y71" s="245"/>
      <c r="Z71" s="245">
        <v>87.49</v>
      </c>
      <c r="AA71" s="245">
        <v>432.45</v>
      </c>
      <c r="AB71" s="463"/>
      <c r="AC71" s="464"/>
      <c r="AD71" s="476">
        <f t="shared" ref="AD71:AE71" si="484">1-(V71/Z71)</f>
        <v>0.348611269859412</v>
      </c>
      <c r="AE71" s="476">
        <f t="shared" si="484"/>
        <v>0.375765984506879</v>
      </c>
      <c r="AF71" s="475">
        <f t="shared" ref="AF71:AG71" si="485">(V71+Z71)/2</f>
        <v>72.24</v>
      </c>
      <c r="AG71" s="475">
        <f t="shared" si="485"/>
        <v>351.2</v>
      </c>
      <c r="AH71" s="483">
        <f t="shared" ref="AH71:AI71" si="486">1-(V71/AF71)</f>
        <v>0.21110188261351</v>
      </c>
      <c r="AI71" s="483">
        <f t="shared" si="486"/>
        <v>0.231349658314351</v>
      </c>
      <c r="AJ71" s="487">
        <f t="shared" ref="AJ71:AK71" si="487">V71+(V71*$AJ$2)</f>
        <v>113.98</v>
      </c>
      <c r="AK71" s="475">
        <f t="shared" si="487"/>
        <v>539.9</v>
      </c>
      <c r="AL71" s="485">
        <f t="shared" ref="AL71:AM71" si="488">AJ71-Z71</f>
        <v>26.49</v>
      </c>
      <c r="AM71" s="485">
        <f t="shared" si="488"/>
        <v>107.45</v>
      </c>
      <c r="AN71" s="486">
        <f t="shared" si="8"/>
        <v>30</v>
      </c>
      <c r="AO71" s="487">
        <f t="shared" ref="AO71:AP71" si="489">V71+(V71*$AO$2)</f>
        <v>85.485</v>
      </c>
      <c r="AP71" s="475">
        <f t="shared" si="489"/>
        <v>404.925</v>
      </c>
      <c r="AQ71" s="432" t="b">
        <v>0</v>
      </c>
      <c r="AR71" s="485">
        <f t="shared" ref="AR71:AS71" si="490">AO71-Z71</f>
        <v>-2.005</v>
      </c>
      <c r="AS71" s="485">
        <f t="shared" si="490"/>
        <v>-27.525</v>
      </c>
      <c r="AT71" s="486">
        <f t="shared" si="11"/>
        <v>22.5000000000001</v>
      </c>
      <c r="AU71" s="301">
        <f t="shared" si="12"/>
        <v>0</v>
      </c>
      <c r="AV71" s="301">
        <f t="shared" si="195"/>
        <v>0</v>
      </c>
      <c r="BB71" s="302">
        <f t="shared" si="457"/>
        <v>0</v>
      </c>
      <c r="BC71" s="301"/>
      <c r="BD71" s="303">
        <f t="shared" si="458"/>
        <v>0</v>
      </c>
      <c r="BE71" s="304" t="e">
        <f t="shared" si="459"/>
        <v>#DIV/0!</v>
      </c>
      <c r="BF71" s="307">
        <f t="shared" si="460"/>
        <v>0</v>
      </c>
      <c r="BG71" s="301"/>
      <c r="BH71" s="303">
        <f t="shared" si="461"/>
        <v>0</v>
      </c>
      <c r="BI71" s="304" t="e">
        <f t="shared" si="462"/>
        <v>#DIV/0!</v>
      </c>
      <c r="BK71" s="29"/>
      <c r="BL71" s="29"/>
      <c r="BP71" s="29" t="s">
        <v>1204</v>
      </c>
      <c r="BQ71" s="308"/>
      <c r="BR71" s="308"/>
      <c r="BS71" s="29"/>
      <c r="BT71" s="29" t="s">
        <v>1289</v>
      </c>
    </row>
    <row r="72" ht="12.75" spans="1:72">
      <c r="A72" s="29" t="s">
        <v>1044</v>
      </c>
      <c r="B72" s="29" t="s">
        <v>1249</v>
      </c>
      <c r="C72" s="29" t="s">
        <v>1287</v>
      </c>
      <c r="D72" s="308"/>
      <c r="E72" s="29" t="s">
        <v>1237</v>
      </c>
      <c r="F72" s="29" t="b">
        <v>0</v>
      </c>
      <c r="G72" s="29" t="b">
        <v>1</v>
      </c>
      <c r="H72" s="29" t="b">
        <v>0</v>
      </c>
      <c r="I72" s="29" t="b">
        <v>0</v>
      </c>
      <c r="J72" s="29" t="b">
        <v>0</v>
      </c>
      <c r="K72" s="29" t="b">
        <v>0</v>
      </c>
      <c r="L72" s="29" t="b">
        <v>0</v>
      </c>
      <c r="M72" s="432" t="b">
        <v>1</v>
      </c>
      <c r="N72" s="432" t="b">
        <v>1</v>
      </c>
      <c r="O72" s="29"/>
      <c r="P72" s="29" t="s">
        <v>120</v>
      </c>
      <c r="Q72" s="441">
        <f t="shared" si="185"/>
        <v>0</v>
      </c>
      <c r="R72" s="441">
        <f t="shared" si="186"/>
        <v>0</v>
      </c>
      <c r="S72" s="442">
        <f t="shared" si="187"/>
        <v>107.98</v>
      </c>
      <c r="T72" s="308"/>
      <c r="U72" s="443"/>
      <c r="V72" s="245">
        <v>53.99</v>
      </c>
      <c r="W72" s="245">
        <v>254.95</v>
      </c>
      <c r="X72" s="444"/>
      <c r="Y72" s="245"/>
      <c r="Z72" s="245">
        <v>85.49</v>
      </c>
      <c r="AA72" s="245">
        <v>422.45</v>
      </c>
      <c r="AB72" s="463"/>
      <c r="AC72" s="464"/>
      <c r="AD72" s="476">
        <f t="shared" ref="AD72:AE72" si="491">1-(V72/Z72)</f>
        <v>0.36846414785355</v>
      </c>
      <c r="AE72" s="476">
        <f t="shared" si="491"/>
        <v>0.396496626819742</v>
      </c>
      <c r="AF72" s="475">
        <f t="shared" ref="AF72:AG72" si="492">(V72+Z72)/2</f>
        <v>69.74</v>
      </c>
      <c r="AG72" s="475">
        <f t="shared" si="492"/>
        <v>338.7</v>
      </c>
      <c r="AH72" s="483">
        <f t="shared" ref="AH72:AI72" si="493">1-(V72/AF72)</f>
        <v>0.225838829939776</v>
      </c>
      <c r="AI72" s="483">
        <f t="shared" si="493"/>
        <v>0.247268969589607</v>
      </c>
      <c r="AJ72" s="487">
        <f t="shared" ref="AJ72:AK72" si="494">V72+(V72*$AJ$2)</f>
        <v>107.98</v>
      </c>
      <c r="AK72" s="475">
        <f t="shared" si="494"/>
        <v>509.9</v>
      </c>
      <c r="AL72" s="485">
        <f t="shared" ref="AL72:AM72" si="495">AJ72-Z72</f>
        <v>22.49</v>
      </c>
      <c r="AM72" s="485">
        <f t="shared" si="495"/>
        <v>87.45</v>
      </c>
      <c r="AN72" s="486">
        <f t="shared" si="8"/>
        <v>30</v>
      </c>
      <c r="AO72" s="487">
        <f t="shared" ref="AO72:AP72" si="496">V72+(V72*$AO$2)</f>
        <v>80.985</v>
      </c>
      <c r="AP72" s="475">
        <f t="shared" si="496"/>
        <v>382.425</v>
      </c>
      <c r="AQ72" s="432" t="b">
        <v>0</v>
      </c>
      <c r="AR72" s="485">
        <f t="shared" ref="AR72:AS72" si="497">AO72-Z72</f>
        <v>-4.505</v>
      </c>
      <c r="AS72" s="485">
        <f t="shared" si="497"/>
        <v>-40.025</v>
      </c>
      <c r="AT72" s="486">
        <f t="shared" si="11"/>
        <v>22.5000000000001</v>
      </c>
      <c r="AU72" s="301">
        <f t="shared" si="12"/>
        <v>0</v>
      </c>
      <c r="AV72" s="301">
        <f t="shared" si="195"/>
        <v>0</v>
      </c>
      <c r="BB72" s="302">
        <f t="shared" si="457"/>
        <v>0</v>
      </c>
      <c r="BC72" s="301"/>
      <c r="BD72" s="303">
        <f t="shared" si="458"/>
        <v>0</v>
      </c>
      <c r="BE72" s="304" t="e">
        <f t="shared" si="459"/>
        <v>#DIV/0!</v>
      </c>
      <c r="BF72" s="307">
        <f t="shared" si="460"/>
        <v>0</v>
      </c>
      <c r="BG72" s="301"/>
      <c r="BH72" s="303">
        <f t="shared" si="461"/>
        <v>0</v>
      </c>
      <c r="BI72" s="304" t="e">
        <f t="shared" si="462"/>
        <v>#DIV/0!</v>
      </c>
      <c r="BK72" s="29"/>
      <c r="BL72" s="29"/>
      <c r="BP72" s="29" t="s">
        <v>1204</v>
      </c>
      <c r="BQ72" s="308"/>
      <c r="BR72" s="308"/>
      <c r="BS72" s="29"/>
      <c r="BT72" s="29" t="s">
        <v>1289</v>
      </c>
    </row>
    <row r="73" ht="12.75" spans="1:72">
      <c r="A73" s="29" t="s">
        <v>1044</v>
      </c>
      <c r="B73" s="29" t="s">
        <v>1249</v>
      </c>
      <c r="C73" s="29" t="s">
        <v>1287</v>
      </c>
      <c r="D73" s="308"/>
      <c r="E73" s="29" t="s">
        <v>1245</v>
      </c>
      <c r="F73" s="29" t="b">
        <v>0</v>
      </c>
      <c r="G73" s="29" t="b">
        <v>1</v>
      </c>
      <c r="H73" s="29" t="b">
        <v>0</v>
      </c>
      <c r="I73" s="29" t="b">
        <v>0</v>
      </c>
      <c r="J73" s="29" t="b">
        <v>0</v>
      </c>
      <c r="K73" s="29" t="b">
        <v>0</v>
      </c>
      <c r="L73" s="29" t="b">
        <v>0</v>
      </c>
      <c r="M73" s="432" t="b">
        <v>1</v>
      </c>
      <c r="N73" s="432" t="b">
        <v>1</v>
      </c>
      <c r="O73" s="29"/>
      <c r="P73" s="29" t="s">
        <v>120</v>
      </c>
      <c r="Q73" s="441">
        <f t="shared" si="185"/>
        <v>0</v>
      </c>
      <c r="R73" s="441">
        <f t="shared" si="186"/>
        <v>0</v>
      </c>
      <c r="S73" s="442">
        <f t="shared" si="187"/>
        <v>119.98</v>
      </c>
      <c r="T73" s="308"/>
      <c r="U73" s="443"/>
      <c r="V73" s="245">
        <v>59.99</v>
      </c>
      <c r="W73" s="245">
        <v>284.95</v>
      </c>
      <c r="X73" s="444"/>
      <c r="Y73" s="245"/>
      <c r="Z73" s="245">
        <v>90.49</v>
      </c>
      <c r="AA73" s="245">
        <v>447.45</v>
      </c>
      <c r="AB73" s="463"/>
      <c r="AC73" s="464"/>
      <c r="AD73" s="476">
        <f t="shared" ref="AD73:AE73" si="498">1-(V73/Z73)</f>
        <v>0.337053818101448</v>
      </c>
      <c r="AE73" s="476">
        <f t="shared" si="498"/>
        <v>0.36316906916974</v>
      </c>
      <c r="AF73" s="475">
        <f t="shared" ref="AF73:AG73" si="499">(V73+Z73)/2</f>
        <v>75.24</v>
      </c>
      <c r="AG73" s="475">
        <f t="shared" si="499"/>
        <v>366.2</v>
      </c>
      <c r="AH73" s="483">
        <f t="shared" ref="AH73:AI73" si="500">1-(V73/AF73)</f>
        <v>0.202684742158426</v>
      </c>
      <c r="AI73" s="483">
        <f t="shared" si="500"/>
        <v>0.221873293282359</v>
      </c>
      <c r="AJ73" s="487">
        <f t="shared" ref="AJ73:AK73" si="501">V73+(V73*$AJ$2)</f>
        <v>119.98</v>
      </c>
      <c r="AK73" s="475">
        <f t="shared" si="501"/>
        <v>569.9</v>
      </c>
      <c r="AL73" s="485">
        <f t="shared" ref="AL73:AM73" si="502">AJ73-Z73</f>
        <v>29.49</v>
      </c>
      <c r="AM73" s="485">
        <f t="shared" si="502"/>
        <v>122.45</v>
      </c>
      <c r="AN73" s="486">
        <f t="shared" si="8"/>
        <v>30</v>
      </c>
      <c r="AO73" s="487">
        <f t="shared" ref="AO73:AP73" si="503">V73+(V73*$AO$2)</f>
        <v>89.985</v>
      </c>
      <c r="AP73" s="475">
        <f t="shared" si="503"/>
        <v>427.425</v>
      </c>
      <c r="AQ73" s="432" t="b">
        <v>0</v>
      </c>
      <c r="AR73" s="485">
        <f t="shared" ref="AR73:AS73" si="504">AO73-Z73</f>
        <v>-0.504999999999995</v>
      </c>
      <c r="AS73" s="485">
        <f t="shared" si="504"/>
        <v>-20.025</v>
      </c>
      <c r="AT73" s="486">
        <f t="shared" si="11"/>
        <v>22.5000000000001</v>
      </c>
      <c r="AU73" s="301">
        <f t="shared" si="12"/>
        <v>0</v>
      </c>
      <c r="AV73" s="301">
        <f t="shared" si="195"/>
        <v>0</v>
      </c>
      <c r="BB73" s="302">
        <f t="shared" si="457"/>
        <v>0</v>
      </c>
      <c r="BC73" s="301"/>
      <c r="BD73" s="303">
        <f t="shared" si="458"/>
        <v>0</v>
      </c>
      <c r="BE73" s="304" t="e">
        <f t="shared" si="459"/>
        <v>#DIV/0!</v>
      </c>
      <c r="BF73" s="307">
        <f t="shared" si="460"/>
        <v>0</v>
      </c>
      <c r="BG73" s="301"/>
      <c r="BH73" s="303">
        <f t="shared" si="461"/>
        <v>0</v>
      </c>
      <c r="BI73" s="304" t="e">
        <f t="shared" si="462"/>
        <v>#DIV/0!</v>
      </c>
      <c r="BK73" s="29"/>
      <c r="BL73" s="29"/>
      <c r="BP73" s="29" t="s">
        <v>1204</v>
      </c>
      <c r="BQ73" s="308"/>
      <c r="BR73" s="308"/>
      <c r="BS73" s="29"/>
      <c r="BT73" s="29" t="s">
        <v>1289</v>
      </c>
    </row>
    <row r="74" ht="12.75" spans="1:72">
      <c r="A74" s="29" t="s">
        <v>1044</v>
      </c>
      <c r="B74" s="29" t="s">
        <v>1249</v>
      </c>
      <c r="C74" s="29" t="s">
        <v>1290</v>
      </c>
      <c r="D74" s="308"/>
      <c r="E74" s="29" t="s">
        <v>1201</v>
      </c>
      <c r="F74" s="29" t="b">
        <v>1</v>
      </c>
      <c r="G74" s="29" t="b">
        <v>0</v>
      </c>
      <c r="H74" s="29" t="b">
        <v>0</v>
      </c>
      <c r="I74" s="29" t="b">
        <v>1</v>
      </c>
      <c r="J74" s="29" t="b">
        <v>1</v>
      </c>
      <c r="K74" s="29" t="b">
        <v>0</v>
      </c>
      <c r="L74" s="29" t="b">
        <v>0</v>
      </c>
      <c r="M74" s="432" t="b">
        <v>1</v>
      </c>
      <c r="N74" s="432" t="b">
        <v>1</v>
      </c>
      <c r="O74" s="29" t="s">
        <v>1291</v>
      </c>
      <c r="P74" s="29" t="s">
        <v>120</v>
      </c>
      <c r="Q74" s="441">
        <f t="shared" si="185"/>
        <v>375</v>
      </c>
      <c r="R74" s="441">
        <f t="shared" si="186"/>
        <v>375</v>
      </c>
      <c r="S74" s="442">
        <f t="shared" si="187"/>
        <v>113.98</v>
      </c>
      <c r="T74" s="29" t="s">
        <v>1203</v>
      </c>
      <c r="U74" s="443">
        <v>0.05</v>
      </c>
      <c r="V74" s="245">
        <v>56.99</v>
      </c>
      <c r="W74" s="245">
        <v>269.95</v>
      </c>
      <c r="X74" s="444"/>
      <c r="Y74" s="245"/>
      <c r="Z74" s="245">
        <v>109.49</v>
      </c>
      <c r="AA74" s="245">
        <v>542.45</v>
      </c>
      <c r="AB74" s="463"/>
      <c r="AC74" s="464"/>
      <c r="AD74" s="476">
        <f t="shared" ref="AD74:AE74" si="505">1-(V74/Z74)</f>
        <v>0.479495844369349</v>
      </c>
      <c r="AE74" s="476">
        <f t="shared" si="505"/>
        <v>0.502350447045811</v>
      </c>
      <c r="AF74" s="475">
        <f t="shared" ref="AF74:AG74" si="506">(V74+Z74)/2</f>
        <v>83.24</v>
      </c>
      <c r="AG74" s="475">
        <f t="shared" si="506"/>
        <v>406.2</v>
      </c>
      <c r="AH74" s="483">
        <f t="shared" ref="AH74:AI74" si="507">1-(V74/AF74)</f>
        <v>0.315353195579049</v>
      </c>
      <c r="AI74" s="483">
        <f t="shared" si="507"/>
        <v>0.335425898572132</v>
      </c>
      <c r="AJ74" s="487">
        <f t="shared" ref="AJ74:AK74" si="508">V74+(V74*$AJ$2)</f>
        <v>113.98</v>
      </c>
      <c r="AK74" s="475">
        <f t="shared" si="508"/>
        <v>539.9</v>
      </c>
      <c r="AL74" s="485">
        <f t="shared" ref="AL74:AM74" si="509">AJ74-Z74</f>
        <v>4.49000000000001</v>
      </c>
      <c r="AM74" s="485">
        <f t="shared" si="509"/>
        <v>-2.55000000000007</v>
      </c>
      <c r="AN74" s="486">
        <f t="shared" si="8"/>
        <v>30</v>
      </c>
      <c r="AO74" s="487">
        <f t="shared" ref="AO74:AP74" si="510">V74+(V74*$AO$2)</f>
        <v>85.485</v>
      </c>
      <c r="AP74" s="475">
        <f t="shared" si="510"/>
        <v>404.925</v>
      </c>
      <c r="AQ74" s="432" t="b">
        <v>0</v>
      </c>
      <c r="AR74" s="485">
        <f t="shared" ref="AR74:AS74" si="511">AO74-Z74</f>
        <v>-24.005</v>
      </c>
      <c r="AS74" s="485">
        <f t="shared" si="511"/>
        <v>-137.525</v>
      </c>
      <c r="AT74" s="486">
        <f t="shared" si="11"/>
        <v>22.5000000000001</v>
      </c>
      <c r="AU74" s="301">
        <f t="shared" si="12"/>
        <v>315</v>
      </c>
      <c r="AV74" s="301">
        <f t="shared" si="195"/>
        <v>375</v>
      </c>
      <c r="AW74" s="29">
        <v>350</v>
      </c>
      <c r="AX74" s="29">
        <v>400</v>
      </c>
      <c r="AY74" s="29">
        <v>2</v>
      </c>
      <c r="AZ74" s="29"/>
      <c r="BA74" s="29"/>
      <c r="BB74" s="302">
        <f t="shared" si="457"/>
        <v>375</v>
      </c>
      <c r="BC74" s="301"/>
      <c r="BD74" s="303">
        <f t="shared" si="458"/>
        <v>187.5</v>
      </c>
      <c r="BE74" s="304" t="e">
        <f t="shared" si="459"/>
        <v>#DIV/0!</v>
      </c>
      <c r="BF74" s="307">
        <f t="shared" si="460"/>
        <v>150</v>
      </c>
      <c r="BG74" s="301"/>
      <c r="BH74" s="303">
        <f t="shared" si="461"/>
        <v>75</v>
      </c>
      <c r="BI74" s="304" t="e">
        <f t="shared" si="462"/>
        <v>#DIV/0!</v>
      </c>
      <c r="BK74" s="29"/>
      <c r="BL74" s="29"/>
      <c r="BP74" s="29" t="s">
        <v>1292</v>
      </c>
      <c r="BQ74" s="308"/>
      <c r="BR74" s="308"/>
      <c r="BS74" s="29"/>
      <c r="BT74" s="29" t="s">
        <v>1293</v>
      </c>
    </row>
    <row r="75" ht="12.75" spans="1:72">
      <c r="A75" s="29" t="s">
        <v>1044</v>
      </c>
      <c r="B75" s="29" t="s">
        <v>1249</v>
      </c>
      <c r="C75" s="29" t="s">
        <v>1290</v>
      </c>
      <c r="D75" s="308"/>
      <c r="E75" s="29" t="s">
        <v>1245</v>
      </c>
      <c r="F75" s="29" t="b">
        <v>1</v>
      </c>
      <c r="G75" s="29" t="b">
        <v>0</v>
      </c>
      <c r="H75" s="29" t="b">
        <v>0</v>
      </c>
      <c r="I75" s="29" t="b">
        <v>1</v>
      </c>
      <c r="J75" s="29" t="b">
        <v>1</v>
      </c>
      <c r="K75" s="29" t="b">
        <v>0</v>
      </c>
      <c r="L75" s="29" t="b">
        <v>0</v>
      </c>
      <c r="M75" s="432" t="b">
        <v>1</v>
      </c>
      <c r="N75" s="432" t="b">
        <v>1</v>
      </c>
      <c r="O75" s="29" t="s">
        <v>1294</v>
      </c>
      <c r="P75" s="29" t="s">
        <v>120</v>
      </c>
      <c r="Q75" s="441">
        <f t="shared" si="185"/>
        <v>375</v>
      </c>
      <c r="R75" s="441">
        <f t="shared" si="186"/>
        <v>375</v>
      </c>
      <c r="S75" s="442">
        <f t="shared" si="187"/>
        <v>116.98</v>
      </c>
      <c r="T75" s="29" t="s">
        <v>1203</v>
      </c>
      <c r="U75" s="443">
        <v>0.05</v>
      </c>
      <c r="V75" s="245">
        <v>58.49</v>
      </c>
      <c r="W75" s="245">
        <v>277.45</v>
      </c>
      <c r="X75" s="444"/>
      <c r="Y75" s="245"/>
      <c r="Z75" s="245">
        <v>110.49</v>
      </c>
      <c r="AA75" s="245">
        <v>547.45</v>
      </c>
      <c r="AB75" s="463"/>
      <c r="AC75" s="464"/>
      <c r="AD75" s="476">
        <f t="shared" ref="AD75:AE75" si="512">1-(V75/Z75)</f>
        <v>0.470630826319124</v>
      </c>
      <c r="AE75" s="476">
        <f t="shared" si="512"/>
        <v>0.493195725637045</v>
      </c>
      <c r="AF75" s="475">
        <f t="shared" ref="AF75:AG75" si="513">(V75+Z75)/2</f>
        <v>84.49</v>
      </c>
      <c r="AG75" s="475">
        <f t="shared" si="513"/>
        <v>412.45</v>
      </c>
      <c r="AH75" s="483">
        <f t="shared" ref="AH75:AI75" si="514">1-(V75/AF75)</f>
        <v>0.307728725292934</v>
      </c>
      <c r="AI75" s="483">
        <f t="shared" si="514"/>
        <v>0.327312401503213</v>
      </c>
      <c r="AJ75" s="487">
        <f t="shared" ref="AJ75:AK75" si="515">V75+(V75*$AJ$2)</f>
        <v>116.98</v>
      </c>
      <c r="AK75" s="475">
        <f t="shared" si="515"/>
        <v>554.9</v>
      </c>
      <c r="AL75" s="485">
        <f t="shared" ref="AL75:AM75" si="516">AJ75-Z75</f>
        <v>6.49000000000001</v>
      </c>
      <c r="AM75" s="485">
        <f t="shared" si="516"/>
        <v>7.44999999999993</v>
      </c>
      <c r="AN75" s="486">
        <f t="shared" si="8"/>
        <v>30</v>
      </c>
      <c r="AO75" s="487">
        <f t="shared" ref="AO75:AP75" si="517">V75+(V75*$AO$2)</f>
        <v>87.735</v>
      </c>
      <c r="AP75" s="475">
        <f t="shared" si="517"/>
        <v>416.175</v>
      </c>
      <c r="AQ75" s="432" t="b">
        <v>0</v>
      </c>
      <c r="AR75" s="485">
        <f t="shared" ref="AR75:AS75" si="518">AO75-Z75</f>
        <v>-22.755</v>
      </c>
      <c r="AS75" s="485">
        <f t="shared" si="518"/>
        <v>-131.275</v>
      </c>
      <c r="AT75" s="486">
        <f t="shared" si="11"/>
        <v>22.5000000000001</v>
      </c>
      <c r="AU75" s="301">
        <f t="shared" si="12"/>
        <v>315</v>
      </c>
      <c r="AV75" s="301">
        <f t="shared" si="195"/>
        <v>375</v>
      </c>
      <c r="AW75" s="29">
        <v>350</v>
      </c>
      <c r="AX75" s="29">
        <v>400</v>
      </c>
      <c r="AY75" s="29">
        <v>2</v>
      </c>
      <c r="AZ75" s="29"/>
      <c r="BA75" s="29"/>
      <c r="BB75" s="302">
        <f t="shared" si="457"/>
        <v>375</v>
      </c>
      <c r="BC75" s="301"/>
      <c r="BD75" s="303">
        <f t="shared" si="458"/>
        <v>187.5</v>
      </c>
      <c r="BE75" s="304" t="e">
        <f t="shared" si="459"/>
        <v>#DIV/0!</v>
      </c>
      <c r="BF75" s="307">
        <f t="shared" si="460"/>
        <v>150</v>
      </c>
      <c r="BG75" s="301"/>
      <c r="BH75" s="303">
        <f t="shared" si="461"/>
        <v>75</v>
      </c>
      <c r="BI75" s="304" t="e">
        <f t="shared" si="462"/>
        <v>#DIV/0!</v>
      </c>
      <c r="BK75" s="29"/>
      <c r="BL75" s="29"/>
      <c r="BP75" s="29" t="s">
        <v>1292</v>
      </c>
      <c r="BQ75" s="308"/>
      <c r="BR75" s="308"/>
      <c r="BS75" s="29"/>
      <c r="BT75" s="29" t="s">
        <v>1293</v>
      </c>
    </row>
    <row r="76" ht="12.75" spans="1:72">
      <c r="A76" s="29" t="s">
        <v>1044</v>
      </c>
      <c r="B76" s="29" t="s">
        <v>1249</v>
      </c>
      <c r="C76" s="29" t="s">
        <v>1290</v>
      </c>
      <c r="D76" s="308"/>
      <c r="E76" s="29" t="s">
        <v>1271</v>
      </c>
      <c r="F76" s="29" t="b">
        <v>1</v>
      </c>
      <c r="G76" s="29" t="b">
        <v>0</v>
      </c>
      <c r="H76" s="29" t="b">
        <v>0</v>
      </c>
      <c r="I76" s="29" t="b">
        <v>1</v>
      </c>
      <c r="J76" s="29" t="b">
        <v>1</v>
      </c>
      <c r="K76" s="29" t="b">
        <v>0</v>
      </c>
      <c r="L76" s="29" t="b">
        <v>0</v>
      </c>
      <c r="M76" s="432" t="b">
        <v>1</v>
      </c>
      <c r="N76" s="432" t="b">
        <v>1</v>
      </c>
      <c r="O76" s="29" t="s">
        <v>1295</v>
      </c>
      <c r="P76" s="29" t="s">
        <v>120</v>
      </c>
      <c r="Q76" s="441">
        <f t="shared" si="185"/>
        <v>375</v>
      </c>
      <c r="R76" s="441">
        <f t="shared" si="186"/>
        <v>375</v>
      </c>
      <c r="S76" s="442">
        <f t="shared" si="187"/>
        <v>119.98</v>
      </c>
      <c r="T76" s="29" t="s">
        <v>1203</v>
      </c>
      <c r="U76" s="443">
        <v>0.05</v>
      </c>
      <c r="V76" s="245">
        <v>59.99</v>
      </c>
      <c r="W76" s="245" t="s">
        <v>13</v>
      </c>
      <c r="X76" s="444"/>
      <c r="Y76" s="245"/>
      <c r="Z76" s="245">
        <v>111.49</v>
      </c>
      <c r="AA76" s="245" t="s">
        <v>13</v>
      </c>
      <c r="AB76" s="463"/>
      <c r="AC76" s="464"/>
      <c r="AD76" s="476">
        <f t="shared" ref="AD76:AE76" si="519">1-(V76/Z76)</f>
        <v>0.461924836308189</v>
      </c>
      <c r="AE76" s="476" t="e">
        <f t="shared" si="519"/>
        <v>#VALUE!</v>
      </c>
      <c r="AF76" s="475">
        <f t="shared" ref="AF76:AG76" si="520">(V76+Z76)/2</f>
        <v>85.74</v>
      </c>
      <c r="AG76" s="475" t="e">
        <f t="shared" si="520"/>
        <v>#VALUE!</v>
      </c>
      <c r="AH76" s="483">
        <f t="shared" ref="AH76:AI76" si="521">1-(V76/AF76)</f>
        <v>0.300326568696058</v>
      </c>
      <c r="AI76" s="483" t="e">
        <f t="shared" si="521"/>
        <v>#VALUE!</v>
      </c>
      <c r="AJ76" s="487">
        <f t="shared" ref="AJ76:AJ245" si="522">V76+(V76*$AJ$2)</f>
        <v>119.98</v>
      </c>
      <c r="AK76" s="475" t="s">
        <v>13</v>
      </c>
      <c r="AL76" s="485">
        <f t="shared" ref="AL76:AM76" si="523">AJ76-Z76</f>
        <v>8.49000000000001</v>
      </c>
      <c r="AM76" s="485" t="e">
        <f t="shared" si="523"/>
        <v>#VALUE!</v>
      </c>
      <c r="AN76" s="486" t="e">
        <f t="shared" si="8"/>
        <v>#VALUE!</v>
      </c>
      <c r="AO76" s="487">
        <f t="shared" ref="AO76:AP76" si="524">V76+(V76*$AO$2)</f>
        <v>89.985</v>
      </c>
      <c r="AP76" s="475" t="e">
        <f t="shared" si="524"/>
        <v>#VALUE!</v>
      </c>
      <c r="AQ76" s="432" t="b">
        <v>0</v>
      </c>
      <c r="AR76" s="485">
        <f t="shared" ref="AR76:AS76" si="525">AO76-Z76</f>
        <v>-21.505</v>
      </c>
      <c r="AS76" s="485" t="e">
        <f t="shared" si="525"/>
        <v>#VALUE!</v>
      </c>
      <c r="AT76" s="486" t="e">
        <f t="shared" si="11"/>
        <v>#VALUE!</v>
      </c>
      <c r="AU76" s="301">
        <f t="shared" si="12"/>
        <v>315</v>
      </c>
      <c r="AV76" s="301">
        <f t="shared" si="195"/>
        <v>375</v>
      </c>
      <c r="AW76" s="29">
        <v>350</v>
      </c>
      <c r="AX76" s="29">
        <v>400</v>
      </c>
      <c r="AY76" s="29">
        <v>2</v>
      </c>
      <c r="AZ76" s="29"/>
      <c r="BA76" s="29"/>
      <c r="BB76" s="302">
        <f t="shared" si="457"/>
        <v>375</v>
      </c>
      <c r="BC76" s="301"/>
      <c r="BD76" s="303">
        <f t="shared" si="458"/>
        <v>187.5</v>
      </c>
      <c r="BE76" s="304" t="e">
        <f t="shared" si="459"/>
        <v>#DIV/0!</v>
      </c>
      <c r="BF76" s="307">
        <f t="shared" si="460"/>
        <v>150</v>
      </c>
      <c r="BG76" s="301"/>
      <c r="BH76" s="303">
        <f t="shared" si="461"/>
        <v>75</v>
      </c>
      <c r="BI76" s="304" t="e">
        <f t="shared" si="462"/>
        <v>#DIV/0!</v>
      </c>
      <c r="BK76" s="29"/>
      <c r="BL76" s="29"/>
      <c r="BP76" s="29" t="s">
        <v>1292</v>
      </c>
      <c r="BQ76" s="308"/>
      <c r="BR76" s="308"/>
      <c r="BS76" s="29"/>
      <c r="BT76" s="29" t="s">
        <v>1293</v>
      </c>
    </row>
    <row r="77" ht="12.75" spans="1:72">
      <c r="A77" s="500" t="s">
        <v>1044</v>
      </c>
      <c r="B77" s="500" t="s">
        <v>1249</v>
      </c>
      <c r="C77" s="500" t="s">
        <v>1296</v>
      </c>
      <c r="D77" s="500"/>
      <c r="E77" s="500" t="s">
        <v>1217</v>
      </c>
      <c r="F77" s="500" t="b">
        <v>1</v>
      </c>
      <c r="G77" s="500"/>
      <c r="H77" s="500" t="b">
        <v>0</v>
      </c>
      <c r="I77" s="500" t="b">
        <v>1</v>
      </c>
      <c r="J77" s="500" t="b">
        <v>0</v>
      </c>
      <c r="K77" s="500" t="b">
        <v>0</v>
      </c>
      <c r="L77" s="500" t="b">
        <v>0</v>
      </c>
      <c r="M77" s="501" t="b">
        <v>0</v>
      </c>
      <c r="N77" s="501" t="b">
        <v>0</v>
      </c>
      <c r="O77" s="500" t="s">
        <v>1297</v>
      </c>
      <c r="P77" s="500" t="s">
        <v>119</v>
      </c>
      <c r="Q77" s="503">
        <f t="shared" si="185"/>
        <v>0</v>
      </c>
      <c r="R77" s="503">
        <f t="shared" si="186"/>
        <v>0</v>
      </c>
      <c r="S77" s="504">
        <f t="shared" si="187"/>
        <v>0</v>
      </c>
      <c r="T77" s="505"/>
      <c r="U77" s="506"/>
      <c r="V77" s="507"/>
      <c r="W77" s="507"/>
      <c r="X77" s="507"/>
      <c r="Y77" s="507"/>
      <c r="Z77" s="507"/>
      <c r="AA77" s="507"/>
      <c r="AB77" s="511">
        <f t="shared" ref="AB77:AC77" si="526">V77-X77</f>
        <v>0</v>
      </c>
      <c r="AC77" s="512">
        <f t="shared" si="526"/>
        <v>0</v>
      </c>
      <c r="AD77" s="513" t="e">
        <f t="shared" ref="AD77:AE77" si="527">1-(V77/Z77)</f>
        <v>#DIV/0!</v>
      </c>
      <c r="AE77" s="513" t="e">
        <f t="shared" si="527"/>
        <v>#DIV/0!</v>
      </c>
      <c r="AF77" s="514"/>
      <c r="AG77" s="514"/>
      <c r="AH77" s="517"/>
      <c r="AI77" s="517"/>
      <c r="AJ77" s="484">
        <f t="shared" si="522"/>
        <v>0</v>
      </c>
      <c r="AK77" s="518">
        <f t="shared" ref="AK77:AK245" si="528">W77+(W77*$AJ$2)</f>
        <v>0</v>
      </c>
      <c r="AL77" s="519">
        <f t="shared" ref="AL77:AL82" si="529">AJ77-V77</f>
        <v>0</v>
      </c>
      <c r="AM77" s="519">
        <f t="shared" ref="AM77:AM82" si="530">AK77-AA77</f>
        <v>0</v>
      </c>
      <c r="AN77" s="520">
        <f t="shared" si="8"/>
        <v>0</v>
      </c>
      <c r="AO77" s="487">
        <f t="shared" ref="AO77:AP77" si="531">V77+(V77*$AO$2)</f>
        <v>0</v>
      </c>
      <c r="AP77" s="475">
        <f t="shared" si="531"/>
        <v>0</v>
      </c>
      <c r="AQ77" s="501" t="b">
        <v>0</v>
      </c>
      <c r="AR77" s="485">
        <f t="shared" ref="AR77:AS77" si="532">AO77-Z77</f>
        <v>0</v>
      </c>
      <c r="AS77" s="485">
        <f t="shared" si="532"/>
        <v>0</v>
      </c>
      <c r="AT77" s="486">
        <f t="shared" si="11"/>
        <v>0</v>
      </c>
      <c r="AU77" s="301">
        <f t="shared" si="12"/>
        <v>0</v>
      </c>
      <c r="AV77" s="524">
        <f t="shared" si="195"/>
        <v>0</v>
      </c>
      <c r="AW77" s="500"/>
      <c r="AX77" s="500"/>
      <c r="AY77" s="505"/>
      <c r="AZ77" s="505"/>
      <c r="BA77" s="505"/>
      <c r="BB77" s="525"/>
      <c r="BC77" s="524"/>
      <c r="BD77" s="526"/>
      <c r="BE77" s="527"/>
      <c r="BF77" s="528"/>
      <c r="BG77" s="524"/>
      <c r="BH77" s="526"/>
      <c r="BI77" s="527"/>
      <c r="BJ77" s="505"/>
      <c r="BK77" s="500"/>
      <c r="BL77" s="500"/>
      <c r="BM77" s="505"/>
      <c r="BN77" s="505"/>
      <c r="BO77" s="505"/>
      <c r="BP77" s="500" t="s">
        <v>1204</v>
      </c>
      <c r="BQ77" s="500"/>
      <c r="BR77" s="500"/>
      <c r="BS77" s="505"/>
      <c r="BT77" s="505"/>
    </row>
    <row r="78" ht="12.75" spans="1:70">
      <c r="A78" s="29" t="s">
        <v>1038</v>
      </c>
      <c r="B78" s="29" t="s">
        <v>1249</v>
      </c>
      <c r="C78" s="29" t="s">
        <v>1298</v>
      </c>
      <c r="D78" s="29" t="s">
        <v>1198</v>
      </c>
      <c r="F78" s="29" t="b">
        <v>1</v>
      </c>
      <c r="G78" s="29" t="b">
        <v>0</v>
      </c>
      <c r="H78" s="29" t="b">
        <v>0</v>
      </c>
      <c r="I78" s="29" t="b">
        <v>0</v>
      </c>
      <c r="J78" s="29" t="b">
        <v>0</v>
      </c>
      <c r="K78" s="29" t="b">
        <v>0</v>
      </c>
      <c r="L78" s="29" t="b">
        <v>0</v>
      </c>
      <c r="M78" s="432" t="b">
        <v>0</v>
      </c>
      <c r="N78" s="432" t="b">
        <v>0</v>
      </c>
      <c r="O78" s="29" t="s">
        <v>1299</v>
      </c>
      <c r="P78" s="29"/>
      <c r="Q78" s="441">
        <f t="shared" si="185"/>
        <v>375</v>
      </c>
      <c r="R78" s="441">
        <f t="shared" si="186"/>
        <v>375</v>
      </c>
      <c r="S78" s="442">
        <f t="shared" si="187"/>
        <v>63.78</v>
      </c>
      <c r="T78" s="29" t="s">
        <v>1203</v>
      </c>
      <c r="U78" s="443"/>
      <c r="V78" s="245">
        <v>31.89</v>
      </c>
      <c r="W78" s="445">
        <v>149.45</v>
      </c>
      <c r="X78" s="245"/>
      <c r="Y78" s="245"/>
      <c r="Z78" s="515">
        <v>73.49</v>
      </c>
      <c r="AA78" s="515">
        <v>362.45</v>
      </c>
      <c r="AB78" s="463">
        <f t="shared" ref="AB78:AC78" si="533">V78-X78</f>
        <v>31.89</v>
      </c>
      <c r="AC78" s="464">
        <f t="shared" si="533"/>
        <v>149.45</v>
      </c>
      <c r="AD78" s="474">
        <f t="shared" ref="AD78:AE78" si="534">1-(V78/Z78)</f>
        <v>0.566063409987753</v>
      </c>
      <c r="AE78" s="474">
        <f t="shared" si="534"/>
        <v>0.587667264450269</v>
      </c>
      <c r="AF78" s="475"/>
      <c r="AG78" s="475"/>
      <c r="AH78" s="483"/>
      <c r="AI78" s="490"/>
      <c r="AJ78" s="484">
        <f t="shared" si="522"/>
        <v>63.78</v>
      </c>
      <c r="AK78" s="252">
        <f t="shared" si="528"/>
        <v>298.9</v>
      </c>
      <c r="AL78" s="485">
        <f t="shared" si="529"/>
        <v>31.89</v>
      </c>
      <c r="AM78" s="485">
        <f t="shared" si="530"/>
        <v>-63.55</v>
      </c>
      <c r="AN78" s="486">
        <f t="shared" si="8"/>
        <v>20</v>
      </c>
      <c r="AO78" s="487">
        <f t="shared" ref="AO78:AP78" si="535">V78+(V78*$AO$2)</f>
        <v>47.835</v>
      </c>
      <c r="AP78" s="475">
        <f t="shared" si="535"/>
        <v>224.175</v>
      </c>
      <c r="AQ78" s="432" t="b">
        <v>1</v>
      </c>
      <c r="AR78" s="485">
        <f t="shared" ref="AR78:AS78" si="536">AO78-Z78</f>
        <v>-25.655</v>
      </c>
      <c r="AS78" s="485">
        <f t="shared" si="536"/>
        <v>-138.275</v>
      </c>
      <c r="AT78" s="486">
        <f t="shared" si="11"/>
        <v>15</v>
      </c>
      <c r="AU78" s="301">
        <f t="shared" si="12"/>
        <v>315</v>
      </c>
      <c r="AV78" s="301">
        <f t="shared" si="195"/>
        <v>375</v>
      </c>
      <c r="AW78" s="29">
        <v>350</v>
      </c>
      <c r="AX78" s="29">
        <v>400</v>
      </c>
      <c r="AY78" s="29">
        <v>1</v>
      </c>
      <c r="AZ78" s="29">
        <v>4</v>
      </c>
      <c r="BA78" s="29">
        <v>1.3</v>
      </c>
      <c r="BB78" s="302"/>
      <c r="BC78" s="301"/>
      <c r="BD78" s="303"/>
      <c r="BE78" s="304"/>
      <c r="BF78" s="307"/>
      <c r="BG78" s="301"/>
      <c r="BH78" s="303"/>
      <c r="BI78" s="304"/>
      <c r="BJ78" s="29" t="s">
        <v>1249</v>
      </c>
      <c r="BK78" s="164" t="s">
        <v>1300</v>
      </c>
      <c r="BL78" s="29"/>
      <c r="BQ78" s="308"/>
      <c r="BR78" s="308"/>
    </row>
    <row r="79" ht="12.75" spans="1:72">
      <c r="A79" s="500" t="s">
        <v>1022</v>
      </c>
      <c r="B79" s="500" t="s">
        <v>1301</v>
      </c>
      <c r="C79" s="500" t="s">
        <v>1302</v>
      </c>
      <c r="D79" s="500"/>
      <c r="E79" s="500" t="s">
        <v>1217</v>
      </c>
      <c r="F79" s="500" t="b">
        <v>0</v>
      </c>
      <c r="G79" s="500" t="b">
        <v>0</v>
      </c>
      <c r="H79" s="500" t="b">
        <v>0</v>
      </c>
      <c r="I79" s="500" t="b">
        <v>0</v>
      </c>
      <c r="J79" s="500" t="b">
        <v>0</v>
      </c>
      <c r="K79" s="500" t="b">
        <v>0</v>
      </c>
      <c r="L79" s="500" t="b">
        <v>0</v>
      </c>
      <c r="M79" s="501" t="b">
        <v>0</v>
      </c>
      <c r="N79" s="501" t="b">
        <v>0</v>
      </c>
      <c r="O79" s="500" t="s">
        <v>1303</v>
      </c>
      <c r="P79" s="500" t="s">
        <v>119</v>
      </c>
      <c r="Q79" s="503">
        <f t="shared" si="185"/>
        <v>0</v>
      </c>
      <c r="R79" s="503">
        <f t="shared" si="186"/>
        <v>0</v>
      </c>
      <c r="S79" s="504">
        <f t="shared" si="187"/>
        <v>0</v>
      </c>
      <c r="T79" s="505"/>
      <c r="U79" s="506"/>
      <c r="V79" s="507"/>
      <c r="W79" s="508"/>
      <c r="X79" s="507"/>
      <c r="Y79" s="507"/>
      <c r="Z79" s="507"/>
      <c r="AA79" s="507"/>
      <c r="AB79" s="511">
        <f t="shared" ref="AB79:AC79" si="537">V79-X79</f>
        <v>0</v>
      </c>
      <c r="AC79" s="512">
        <f t="shared" si="537"/>
        <v>0</v>
      </c>
      <c r="AD79" s="513" t="e">
        <f t="shared" ref="AD79:AE79" si="538">1-(V79/Z79)</f>
        <v>#DIV/0!</v>
      </c>
      <c r="AE79" s="513" t="e">
        <f t="shared" si="538"/>
        <v>#DIV/0!</v>
      </c>
      <c r="AF79" s="514"/>
      <c r="AG79" s="514"/>
      <c r="AH79" s="517"/>
      <c r="AI79" s="521"/>
      <c r="AJ79" s="484">
        <f t="shared" si="522"/>
        <v>0</v>
      </c>
      <c r="AK79" s="252">
        <f t="shared" si="528"/>
        <v>0</v>
      </c>
      <c r="AL79" s="519">
        <f t="shared" si="529"/>
        <v>0</v>
      </c>
      <c r="AM79" s="519">
        <f t="shared" si="530"/>
        <v>0</v>
      </c>
      <c r="AN79" s="520">
        <f t="shared" si="8"/>
        <v>0</v>
      </c>
      <c r="AO79" s="487">
        <f t="shared" ref="AO79:AP79" si="539">V79+(V79*$AO$2)</f>
        <v>0</v>
      </c>
      <c r="AP79" s="475">
        <f t="shared" si="539"/>
        <v>0</v>
      </c>
      <c r="AQ79" s="501" t="b">
        <v>0</v>
      </c>
      <c r="AR79" s="485">
        <f t="shared" ref="AR79:AS79" si="540">AO79-Z79</f>
        <v>0</v>
      </c>
      <c r="AS79" s="485">
        <f t="shared" si="540"/>
        <v>0</v>
      </c>
      <c r="AT79" s="486">
        <f t="shared" si="11"/>
        <v>0</v>
      </c>
      <c r="AU79" s="301">
        <f t="shared" si="12"/>
        <v>0</v>
      </c>
      <c r="AV79" s="524">
        <f t="shared" si="195"/>
        <v>0</v>
      </c>
      <c r="AW79" s="500"/>
      <c r="AX79" s="500"/>
      <c r="AY79" s="505"/>
      <c r="AZ79" s="505"/>
      <c r="BA79" s="505"/>
      <c r="BB79" s="525"/>
      <c r="BC79" s="524"/>
      <c r="BD79" s="526"/>
      <c r="BE79" s="527"/>
      <c r="BF79" s="528"/>
      <c r="BG79" s="524"/>
      <c r="BH79" s="526"/>
      <c r="BI79" s="527"/>
      <c r="BJ79" s="505"/>
      <c r="BK79" s="500"/>
      <c r="BL79" s="500"/>
      <c r="BM79" s="505"/>
      <c r="BN79" s="505"/>
      <c r="BO79" s="505"/>
      <c r="BP79" s="500" t="s">
        <v>1198</v>
      </c>
      <c r="BQ79" s="500"/>
      <c r="BR79" s="500"/>
      <c r="BS79" s="505"/>
      <c r="BT79" s="505"/>
    </row>
    <row r="80" ht="12.75" spans="1:70">
      <c r="A80" s="29" t="s">
        <v>1038</v>
      </c>
      <c r="B80" s="29" t="s">
        <v>1249</v>
      </c>
      <c r="C80" s="29" t="s">
        <v>1304</v>
      </c>
      <c r="D80" s="308"/>
      <c r="E80" s="29" t="s">
        <v>13</v>
      </c>
      <c r="F80" s="29" t="b">
        <v>0</v>
      </c>
      <c r="G80" s="29" t="b">
        <v>1</v>
      </c>
      <c r="H80" s="29" t="b">
        <v>0</v>
      </c>
      <c r="I80" s="29" t="b">
        <v>0</v>
      </c>
      <c r="J80" s="29" t="b">
        <v>0</v>
      </c>
      <c r="K80" s="29" t="b">
        <v>1</v>
      </c>
      <c r="L80" s="29" t="b">
        <v>0</v>
      </c>
      <c r="M80" s="432" t="b">
        <v>0</v>
      </c>
      <c r="N80" s="432" t="b">
        <v>0</v>
      </c>
      <c r="P80" s="29" t="s">
        <v>120</v>
      </c>
      <c r="Q80" s="441">
        <f t="shared" si="185"/>
        <v>0</v>
      </c>
      <c r="R80" s="441">
        <f t="shared" si="186"/>
        <v>0</v>
      </c>
      <c r="S80" s="442">
        <f t="shared" si="187"/>
        <v>0</v>
      </c>
      <c r="T80" s="308"/>
      <c r="U80" s="443"/>
      <c r="V80" s="245"/>
      <c r="W80" s="445"/>
      <c r="X80" s="245"/>
      <c r="Y80" s="245"/>
      <c r="Z80" s="245"/>
      <c r="AA80" s="245"/>
      <c r="AB80" s="463">
        <f t="shared" ref="AB80:AC80" si="541">V80-X80</f>
        <v>0</v>
      </c>
      <c r="AC80" s="464">
        <f t="shared" si="541"/>
        <v>0</v>
      </c>
      <c r="AD80" s="474" t="e">
        <f t="shared" ref="AD80:AE80" si="542">1-(V80/Z80)</f>
        <v>#DIV/0!</v>
      </c>
      <c r="AE80" s="474" t="e">
        <f t="shared" si="542"/>
        <v>#DIV/0!</v>
      </c>
      <c r="AF80" s="475"/>
      <c r="AG80" s="475"/>
      <c r="AH80" s="483"/>
      <c r="AI80" s="490"/>
      <c r="AJ80" s="484">
        <f t="shared" si="522"/>
        <v>0</v>
      </c>
      <c r="AK80" s="252">
        <f t="shared" si="528"/>
        <v>0</v>
      </c>
      <c r="AL80" s="485">
        <f t="shared" si="529"/>
        <v>0</v>
      </c>
      <c r="AM80" s="485">
        <f t="shared" si="530"/>
        <v>0</v>
      </c>
      <c r="AN80" s="486">
        <f t="shared" si="8"/>
        <v>0</v>
      </c>
      <c r="AO80" s="487">
        <f t="shared" ref="AO80:AP80" si="543">V80+(V80*$AO$2)</f>
        <v>0</v>
      </c>
      <c r="AP80" s="475">
        <f t="shared" si="543"/>
        <v>0</v>
      </c>
      <c r="AQ80" s="432" t="b">
        <v>0</v>
      </c>
      <c r="AR80" s="485">
        <f t="shared" ref="AR80:AS80" si="544">AO80-Z80</f>
        <v>0</v>
      </c>
      <c r="AS80" s="485">
        <f t="shared" si="544"/>
        <v>0</v>
      </c>
      <c r="AT80" s="486">
        <f t="shared" si="11"/>
        <v>0</v>
      </c>
      <c r="AU80" s="301">
        <f t="shared" si="12"/>
        <v>0</v>
      </c>
      <c r="AV80" s="301">
        <f t="shared" si="195"/>
        <v>0</v>
      </c>
      <c r="BB80" s="302">
        <f>AV80</f>
        <v>0</v>
      </c>
      <c r="BC80" s="301"/>
      <c r="BD80" s="303">
        <f>(BB80+BC80)/2</f>
        <v>0</v>
      </c>
      <c r="BE80" s="304" t="e">
        <f>BB80/BC80</f>
        <v>#DIV/0!</v>
      </c>
      <c r="BF80" s="307">
        <f>BB80*$BF$1</f>
        <v>0</v>
      </c>
      <c r="BG80" s="301"/>
      <c r="BH80" s="303">
        <f>(BF80+BG80)/2</f>
        <v>0</v>
      </c>
      <c r="BI80" s="304" t="e">
        <f>BF80/BG80</f>
        <v>#DIV/0!</v>
      </c>
      <c r="BK80" s="29"/>
      <c r="BL80" s="29"/>
      <c r="BQ80" s="308"/>
      <c r="BR80" s="308"/>
    </row>
    <row r="81" ht="12.75" spans="1:70">
      <c r="A81" s="29" t="s">
        <v>1044</v>
      </c>
      <c r="B81" s="29" t="s">
        <v>1305</v>
      </c>
      <c r="C81" s="29" t="s">
        <v>1306</v>
      </c>
      <c r="D81" s="29" t="s">
        <v>1200</v>
      </c>
      <c r="E81" s="29" t="s">
        <v>1307</v>
      </c>
      <c r="F81" s="29" t="b">
        <v>1</v>
      </c>
      <c r="G81" s="29" t="b">
        <v>0</v>
      </c>
      <c r="H81" s="29" t="b">
        <v>0</v>
      </c>
      <c r="I81" s="29" t="b">
        <v>1</v>
      </c>
      <c r="J81" s="29" t="b">
        <v>0</v>
      </c>
      <c r="K81" s="29" t="b">
        <v>0</v>
      </c>
      <c r="L81" s="29" t="b">
        <v>0</v>
      </c>
      <c r="M81" s="432" t="b">
        <v>0</v>
      </c>
      <c r="N81" s="432" t="b">
        <v>0</v>
      </c>
      <c r="O81" s="29" t="s">
        <v>1306</v>
      </c>
      <c r="P81" s="29" t="s">
        <v>142</v>
      </c>
      <c r="Q81" s="441">
        <f t="shared" si="185"/>
        <v>450</v>
      </c>
      <c r="R81" s="441">
        <f t="shared" si="186"/>
        <v>450</v>
      </c>
      <c r="S81" s="442">
        <f t="shared" si="187"/>
        <v>282</v>
      </c>
      <c r="T81" s="29" t="s">
        <v>1203</v>
      </c>
      <c r="U81" s="443"/>
      <c r="V81" s="245">
        <f>282/2</f>
        <v>141</v>
      </c>
      <c r="W81" s="245"/>
      <c r="X81" s="444"/>
      <c r="Y81" s="245"/>
      <c r="Z81" s="245"/>
      <c r="AA81" s="245"/>
      <c r="AB81" s="463">
        <f t="shared" ref="AB81:AC81" si="545">V81-X81</f>
        <v>141</v>
      </c>
      <c r="AC81" s="464">
        <f t="shared" si="545"/>
        <v>0</v>
      </c>
      <c r="AD81" s="474" t="e">
        <f t="shared" ref="AD81:AE81" si="546">1-(V81/Z81)</f>
        <v>#DIV/0!</v>
      </c>
      <c r="AE81" s="474" t="e">
        <f t="shared" si="546"/>
        <v>#DIV/0!</v>
      </c>
      <c r="AF81" s="475"/>
      <c r="AG81" s="475"/>
      <c r="AH81" s="483"/>
      <c r="AI81" s="483"/>
      <c r="AJ81" s="484">
        <f t="shared" si="522"/>
        <v>282</v>
      </c>
      <c r="AK81" s="252">
        <f t="shared" si="528"/>
        <v>0</v>
      </c>
      <c r="AL81" s="485">
        <f t="shared" si="529"/>
        <v>141</v>
      </c>
      <c r="AM81" s="485">
        <f t="shared" si="530"/>
        <v>0</v>
      </c>
      <c r="AN81" s="486">
        <f t="shared" si="8"/>
        <v>1410</v>
      </c>
      <c r="AO81" s="487">
        <f t="shared" ref="AO81:AP81" si="547">V81+(V81*$AO$2)</f>
        <v>211.5</v>
      </c>
      <c r="AP81" s="475">
        <f t="shared" si="547"/>
        <v>0</v>
      </c>
      <c r="AQ81" s="432" t="b">
        <v>1</v>
      </c>
      <c r="AR81" s="485">
        <f t="shared" ref="AR81:AS81" si="548">AO81-Z81</f>
        <v>211.5</v>
      </c>
      <c r="AS81" s="485">
        <f t="shared" si="548"/>
        <v>0</v>
      </c>
      <c r="AT81" s="486">
        <f t="shared" si="11"/>
        <v>1057.5</v>
      </c>
      <c r="AU81" s="301">
        <f t="shared" si="12"/>
        <v>360</v>
      </c>
      <c r="AV81" s="301">
        <f t="shared" si="195"/>
        <v>450</v>
      </c>
      <c r="AW81" s="29">
        <v>400</v>
      </c>
      <c r="AX81" s="29">
        <v>500</v>
      </c>
      <c r="AY81" s="29">
        <v>2</v>
      </c>
      <c r="BB81" s="302"/>
      <c r="BC81" s="301"/>
      <c r="BD81" s="303"/>
      <c r="BE81" s="304"/>
      <c r="BF81" s="307"/>
      <c r="BG81" s="301"/>
      <c r="BH81" s="303"/>
      <c r="BI81" s="304"/>
      <c r="BK81" s="29"/>
      <c r="BL81" s="29"/>
      <c r="BQ81" s="308"/>
      <c r="BR81" s="308"/>
    </row>
    <row r="82" ht="12.75" spans="1:70">
      <c r="A82" s="29" t="s">
        <v>1044</v>
      </c>
      <c r="B82" s="29" t="s">
        <v>1305</v>
      </c>
      <c r="C82" s="29" t="s">
        <v>1308</v>
      </c>
      <c r="D82" s="29" t="s">
        <v>1200</v>
      </c>
      <c r="E82" s="29" t="s">
        <v>1309</v>
      </c>
      <c r="F82" s="29" t="b">
        <v>1</v>
      </c>
      <c r="G82" s="29" t="b">
        <v>0</v>
      </c>
      <c r="H82" s="29" t="b">
        <v>0</v>
      </c>
      <c r="I82" s="29" t="b">
        <v>1</v>
      </c>
      <c r="J82" s="29" t="b">
        <v>0</v>
      </c>
      <c r="K82" s="29" t="b">
        <v>0</v>
      </c>
      <c r="L82" s="29" t="b">
        <v>0</v>
      </c>
      <c r="M82" s="432" t="b">
        <v>0</v>
      </c>
      <c r="N82" s="432" t="b">
        <v>0</v>
      </c>
      <c r="O82" s="29" t="s">
        <v>1308</v>
      </c>
      <c r="P82" s="29" t="s">
        <v>142</v>
      </c>
      <c r="Q82" s="441">
        <f t="shared" si="185"/>
        <v>450</v>
      </c>
      <c r="R82" s="441">
        <f t="shared" si="186"/>
        <v>450</v>
      </c>
      <c r="S82" s="442">
        <f t="shared" si="187"/>
        <v>258</v>
      </c>
      <c r="T82" s="29" t="s">
        <v>1203</v>
      </c>
      <c r="U82" s="443"/>
      <c r="V82" s="245">
        <v>129</v>
      </c>
      <c r="W82" s="245"/>
      <c r="X82" s="444"/>
      <c r="Y82" s="245"/>
      <c r="Z82" s="245"/>
      <c r="AA82" s="245"/>
      <c r="AB82" s="463">
        <f t="shared" ref="AB82:AC82" si="549">V82-X82</f>
        <v>129</v>
      </c>
      <c r="AC82" s="464">
        <f t="shared" si="549"/>
        <v>0</v>
      </c>
      <c r="AD82" s="474" t="e">
        <f t="shared" ref="AD82:AE82" si="550">1-(V82/Z82)</f>
        <v>#DIV/0!</v>
      </c>
      <c r="AE82" s="474" t="e">
        <f t="shared" si="550"/>
        <v>#DIV/0!</v>
      </c>
      <c r="AF82" s="475"/>
      <c r="AG82" s="475"/>
      <c r="AH82" s="483"/>
      <c r="AI82" s="483"/>
      <c r="AJ82" s="484">
        <f t="shared" si="522"/>
        <v>258</v>
      </c>
      <c r="AK82" s="252">
        <f t="shared" si="528"/>
        <v>0</v>
      </c>
      <c r="AL82" s="485">
        <f t="shared" si="529"/>
        <v>129</v>
      </c>
      <c r="AM82" s="485">
        <f t="shared" si="530"/>
        <v>0</v>
      </c>
      <c r="AN82" s="486">
        <f t="shared" si="8"/>
        <v>1290</v>
      </c>
      <c r="AO82" s="487">
        <f t="shared" ref="AO82:AP82" si="551">V82+(V82*$AO$2)</f>
        <v>193.5</v>
      </c>
      <c r="AP82" s="475">
        <f t="shared" si="551"/>
        <v>0</v>
      </c>
      <c r="AQ82" s="432" t="b">
        <v>1</v>
      </c>
      <c r="AR82" s="485">
        <f t="shared" ref="AR82:AS82" si="552">AO82-Z82</f>
        <v>193.5</v>
      </c>
      <c r="AS82" s="485">
        <f t="shared" si="552"/>
        <v>0</v>
      </c>
      <c r="AT82" s="486">
        <f t="shared" si="11"/>
        <v>967.5</v>
      </c>
      <c r="AU82" s="301">
        <f t="shared" si="12"/>
        <v>360</v>
      </c>
      <c r="AV82" s="301">
        <f t="shared" si="195"/>
        <v>450</v>
      </c>
      <c r="AW82" s="29">
        <v>400</v>
      </c>
      <c r="AX82" s="29">
        <v>500</v>
      </c>
      <c r="AY82" s="29">
        <v>2</v>
      </c>
      <c r="BB82" s="302"/>
      <c r="BC82" s="301"/>
      <c r="BD82" s="303"/>
      <c r="BE82" s="304"/>
      <c r="BF82" s="307"/>
      <c r="BG82" s="301"/>
      <c r="BH82" s="303"/>
      <c r="BI82" s="304"/>
      <c r="BK82" s="29"/>
      <c r="BL82" s="29"/>
      <c r="BQ82" s="308"/>
      <c r="BR82" s="308"/>
    </row>
    <row r="83" ht="12.75" spans="1:70">
      <c r="A83" s="29" t="s">
        <v>1044</v>
      </c>
      <c r="B83" s="29" t="s">
        <v>1195</v>
      </c>
      <c r="C83" s="29" t="s">
        <v>667</v>
      </c>
      <c r="D83" s="308"/>
      <c r="E83" s="29" t="s">
        <v>13</v>
      </c>
      <c r="F83" s="29" t="b">
        <v>0</v>
      </c>
      <c r="G83" s="29" t="b">
        <v>1</v>
      </c>
      <c r="H83" s="29" t="b">
        <v>0</v>
      </c>
      <c r="I83" s="29" t="b">
        <v>0</v>
      </c>
      <c r="J83" s="29" t="b">
        <v>0</v>
      </c>
      <c r="K83" s="29" t="b">
        <v>0</v>
      </c>
      <c r="L83" s="29" t="b">
        <v>0</v>
      </c>
      <c r="M83" s="432" t="b">
        <v>0</v>
      </c>
      <c r="N83" s="432" t="b">
        <v>1</v>
      </c>
      <c r="P83" s="29" t="s">
        <v>120</v>
      </c>
      <c r="Q83" s="441">
        <f t="shared" si="185"/>
        <v>400</v>
      </c>
      <c r="R83" s="441">
        <f t="shared" si="186"/>
        <v>400</v>
      </c>
      <c r="S83" s="442">
        <f t="shared" si="187"/>
        <v>0</v>
      </c>
      <c r="T83" s="308"/>
      <c r="U83" s="443"/>
      <c r="V83" s="245"/>
      <c r="W83" s="245"/>
      <c r="X83" s="444">
        <v>34.76</v>
      </c>
      <c r="Y83" s="245">
        <v>153.63</v>
      </c>
      <c r="Z83" s="245"/>
      <c r="AA83" s="245"/>
      <c r="AB83" s="463">
        <f t="shared" ref="AB83:AC83" si="553">V83-X83</f>
        <v>-34.76</v>
      </c>
      <c r="AC83" s="464">
        <f t="shared" si="553"/>
        <v>-153.63</v>
      </c>
      <c r="AD83" s="474" t="e">
        <f t="shared" ref="AD83:AE83" si="554">1-(V83/Z83)</f>
        <v>#DIV/0!</v>
      </c>
      <c r="AE83" s="474" t="e">
        <f t="shared" si="554"/>
        <v>#DIV/0!</v>
      </c>
      <c r="AF83" s="475"/>
      <c r="AG83" s="475"/>
      <c r="AH83" s="483"/>
      <c r="AI83" s="483"/>
      <c r="AJ83" s="487">
        <f t="shared" si="522"/>
        <v>0</v>
      </c>
      <c r="AK83" s="475">
        <f t="shared" si="528"/>
        <v>0</v>
      </c>
      <c r="AL83" s="485">
        <f t="shared" ref="AL83:AM83" si="555">AJ83-Z83</f>
        <v>0</v>
      </c>
      <c r="AM83" s="485">
        <f t="shared" si="555"/>
        <v>0</v>
      </c>
      <c r="AN83" s="486">
        <f t="shared" si="8"/>
        <v>0</v>
      </c>
      <c r="AO83" s="487">
        <f t="shared" ref="AO83:AP83" si="556">V83+(V83*$AO$2)</f>
        <v>0</v>
      </c>
      <c r="AP83" s="475">
        <f t="shared" si="556"/>
        <v>0</v>
      </c>
      <c r="AQ83" s="432" t="b">
        <v>0</v>
      </c>
      <c r="AR83" s="485">
        <f t="shared" ref="AR83:AS83" si="557">AO83-Z83</f>
        <v>0</v>
      </c>
      <c r="AS83" s="485">
        <f t="shared" si="557"/>
        <v>0</v>
      </c>
      <c r="AT83" s="486">
        <f t="shared" si="11"/>
        <v>0</v>
      </c>
      <c r="AU83" s="301">
        <f t="shared" si="12"/>
        <v>337.5</v>
      </c>
      <c r="AV83" s="301">
        <f t="shared" si="195"/>
        <v>400</v>
      </c>
      <c r="AW83" s="29">
        <v>375</v>
      </c>
      <c r="AX83" s="29">
        <v>425</v>
      </c>
      <c r="BB83" s="302">
        <f t="shared" ref="BB83:BB86" si="558">AV83</f>
        <v>400</v>
      </c>
      <c r="BC83" s="301"/>
      <c r="BD83" s="303">
        <f t="shared" ref="BD83:BD86" si="559">(BB83+BC83)/2</f>
        <v>200</v>
      </c>
      <c r="BE83" s="304" t="e">
        <f t="shared" ref="BE83:BE86" si="560">BB83/BC83</f>
        <v>#DIV/0!</v>
      </c>
      <c r="BF83" s="307">
        <f t="shared" ref="BF83:BF86" si="561">BB83*$BF$1</f>
        <v>160</v>
      </c>
      <c r="BG83" s="301"/>
      <c r="BH83" s="303">
        <f t="shared" ref="BH83:BH86" si="562">(BF83+BG83)/2</f>
        <v>80</v>
      </c>
      <c r="BI83" s="304" t="e">
        <f t="shared" ref="BI83:BI86" si="563">BF83/BG83</f>
        <v>#DIV/0!</v>
      </c>
      <c r="BK83" s="29"/>
      <c r="BL83" s="29"/>
      <c r="BQ83" s="308"/>
      <c r="BR83" s="308"/>
    </row>
    <row r="84" ht="12.75" spans="1:70">
      <c r="A84" s="29" t="s">
        <v>1022</v>
      </c>
      <c r="B84" s="29" t="s">
        <v>1195</v>
      </c>
      <c r="C84" s="29" t="s">
        <v>670</v>
      </c>
      <c r="D84" s="29" t="s">
        <v>1198</v>
      </c>
      <c r="E84" s="29" t="s">
        <v>13</v>
      </c>
      <c r="F84" s="29" t="b">
        <v>0</v>
      </c>
      <c r="G84" s="29" t="b">
        <v>1</v>
      </c>
      <c r="H84" s="29" t="b">
        <v>0</v>
      </c>
      <c r="I84" s="29" t="b">
        <v>0</v>
      </c>
      <c r="J84" s="29" t="b">
        <v>0</v>
      </c>
      <c r="K84" s="29" t="b">
        <v>0</v>
      </c>
      <c r="L84" s="29" t="b">
        <v>0</v>
      </c>
      <c r="M84" s="432" t="b">
        <v>0</v>
      </c>
      <c r="N84" s="432" t="b">
        <v>1</v>
      </c>
      <c r="P84" s="29" t="s">
        <v>120</v>
      </c>
      <c r="Q84" s="441">
        <f t="shared" si="185"/>
        <v>425</v>
      </c>
      <c r="R84" s="441">
        <f t="shared" si="186"/>
        <v>425</v>
      </c>
      <c r="S84" s="442">
        <f t="shared" si="187"/>
        <v>0</v>
      </c>
      <c r="T84" s="308"/>
      <c r="U84" s="443"/>
      <c r="V84" s="245"/>
      <c r="W84" s="245"/>
      <c r="X84" s="444">
        <v>41.57</v>
      </c>
      <c r="Y84" s="245">
        <v>204.88</v>
      </c>
      <c r="Z84" s="245"/>
      <c r="AA84" s="245"/>
      <c r="AB84" s="463">
        <f t="shared" ref="AB84:AC84" si="564">V84-X84</f>
        <v>-41.57</v>
      </c>
      <c r="AC84" s="464">
        <f t="shared" si="564"/>
        <v>-204.88</v>
      </c>
      <c r="AD84" s="474" t="e">
        <f t="shared" ref="AD84:AE84" si="565">1-(V84/Z84)</f>
        <v>#DIV/0!</v>
      </c>
      <c r="AE84" s="474" t="e">
        <f t="shared" si="565"/>
        <v>#DIV/0!</v>
      </c>
      <c r="AF84" s="475"/>
      <c r="AG84" s="475"/>
      <c r="AH84" s="483"/>
      <c r="AI84" s="483"/>
      <c r="AJ84" s="487">
        <f t="shared" si="522"/>
        <v>0</v>
      </c>
      <c r="AK84" s="475">
        <f t="shared" si="528"/>
        <v>0</v>
      </c>
      <c r="AL84" s="485">
        <f t="shared" ref="AL84:AM84" si="566">AJ84-Z84</f>
        <v>0</v>
      </c>
      <c r="AM84" s="485">
        <f t="shared" si="566"/>
        <v>0</v>
      </c>
      <c r="AN84" s="486">
        <f t="shared" si="8"/>
        <v>0</v>
      </c>
      <c r="AO84" s="487">
        <f t="shared" ref="AO84:AP84" si="567">V84+(V84*$AO$2)</f>
        <v>0</v>
      </c>
      <c r="AP84" s="475">
        <f t="shared" si="567"/>
        <v>0</v>
      </c>
      <c r="AQ84" s="432" t="b">
        <v>0</v>
      </c>
      <c r="AR84" s="485">
        <f t="shared" ref="AR84:AS84" si="568">AO84-Z84</f>
        <v>0</v>
      </c>
      <c r="AS84" s="485">
        <f t="shared" si="568"/>
        <v>0</v>
      </c>
      <c r="AT84" s="486">
        <f t="shared" si="11"/>
        <v>0</v>
      </c>
      <c r="AU84" s="301">
        <f t="shared" si="12"/>
        <v>360</v>
      </c>
      <c r="AV84" s="301">
        <f t="shared" si="195"/>
        <v>425</v>
      </c>
      <c r="AW84" s="29">
        <v>400</v>
      </c>
      <c r="AX84" s="29">
        <v>450</v>
      </c>
      <c r="BB84" s="302">
        <f t="shared" si="558"/>
        <v>425</v>
      </c>
      <c r="BC84" s="301"/>
      <c r="BD84" s="303">
        <f t="shared" si="559"/>
        <v>212.5</v>
      </c>
      <c r="BE84" s="304" t="e">
        <f t="shared" si="560"/>
        <v>#DIV/0!</v>
      </c>
      <c r="BF84" s="307">
        <f t="shared" si="561"/>
        <v>170</v>
      </c>
      <c r="BG84" s="301"/>
      <c r="BH84" s="303">
        <f t="shared" si="562"/>
        <v>85</v>
      </c>
      <c r="BI84" s="304" t="e">
        <f t="shared" si="563"/>
        <v>#DIV/0!</v>
      </c>
      <c r="BK84" s="29"/>
      <c r="BL84" s="29"/>
      <c r="BQ84" s="308"/>
      <c r="BR84" s="308"/>
    </row>
    <row r="85" ht="12.75" spans="1:70">
      <c r="A85" s="29" t="s">
        <v>1022</v>
      </c>
      <c r="B85" s="29" t="s">
        <v>1195</v>
      </c>
      <c r="C85" s="29" t="s">
        <v>670</v>
      </c>
      <c r="D85" s="29" t="s">
        <v>1198</v>
      </c>
      <c r="F85" s="29" t="b">
        <v>0</v>
      </c>
      <c r="G85" s="29" t="b">
        <v>1</v>
      </c>
      <c r="H85" s="29" t="b">
        <v>0</v>
      </c>
      <c r="I85" s="29" t="b">
        <v>0</v>
      </c>
      <c r="J85" s="29" t="b">
        <v>0</v>
      </c>
      <c r="K85" s="29" t="b">
        <v>0</v>
      </c>
      <c r="L85" s="29" t="b">
        <v>0</v>
      </c>
      <c r="M85" s="432" t="b">
        <v>0</v>
      </c>
      <c r="N85" s="432" t="b">
        <v>1</v>
      </c>
      <c r="P85" s="29" t="s">
        <v>120</v>
      </c>
      <c r="Q85" s="441">
        <f t="shared" si="185"/>
        <v>425</v>
      </c>
      <c r="R85" s="441">
        <f t="shared" si="186"/>
        <v>425</v>
      </c>
      <c r="S85" s="442">
        <f t="shared" si="187"/>
        <v>0</v>
      </c>
      <c r="T85" s="308"/>
      <c r="U85" s="443"/>
      <c r="V85" s="245"/>
      <c r="W85" s="245"/>
      <c r="X85" s="444">
        <v>41.57</v>
      </c>
      <c r="Y85" s="245">
        <v>204.88</v>
      </c>
      <c r="Z85" s="245"/>
      <c r="AA85" s="245"/>
      <c r="AB85" s="463">
        <f t="shared" ref="AB85:AC85" si="569">V85-X85</f>
        <v>-41.57</v>
      </c>
      <c r="AC85" s="464">
        <f t="shared" si="569"/>
        <v>-204.88</v>
      </c>
      <c r="AD85" s="474" t="e">
        <f t="shared" ref="AD85:AE85" si="570">1-(V85/Z85)</f>
        <v>#DIV/0!</v>
      </c>
      <c r="AE85" s="474" t="e">
        <f t="shared" si="570"/>
        <v>#DIV/0!</v>
      </c>
      <c r="AF85" s="475"/>
      <c r="AG85" s="475"/>
      <c r="AH85" s="483"/>
      <c r="AI85" s="483"/>
      <c r="AJ85" s="487">
        <f t="shared" si="522"/>
        <v>0</v>
      </c>
      <c r="AK85" s="475">
        <f t="shared" si="528"/>
        <v>0</v>
      </c>
      <c r="AL85" s="485">
        <f t="shared" ref="AL85:AM85" si="571">AJ85-Z85</f>
        <v>0</v>
      </c>
      <c r="AM85" s="485">
        <f t="shared" si="571"/>
        <v>0</v>
      </c>
      <c r="AN85" s="486">
        <f t="shared" si="8"/>
        <v>0</v>
      </c>
      <c r="AO85" s="487">
        <f t="shared" ref="AO85:AP85" si="572">V85+(V85*$AO$2)</f>
        <v>0</v>
      </c>
      <c r="AP85" s="475">
        <f t="shared" si="572"/>
        <v>0</v>
      </c>
      <c r="AQ85" s="432" t="b">
        <v>0</v>
      </c>
      <c r="AR85" s="485">
        <f t="shared" ref="AR85:AS85" si="573">AO85-Z85</f>
        <v>0</v>
      </c>
      <c r="AS85" s="485">
        <f t="shared" si="573"/>
        <v>0</v>
      </c>
      <c r="AT85" s="486">
        <f t="shared" si="11"/>
        <v>0</v>
      </c>
      <c r="AU85" s="301">
        <f t="shared" si="12"/>
        <v>360</v>
      </c>
      <c r="AV85" s="301">
        <f t="shared" si="195"/>
        <v>425</v>
      </c>
      <c r="AW85" s="29">
        <v>400</v>
      </c>
      <c r="AX85" s="29">
        <v>450</v>
      </c>
      <c r="BB85" s="302">
        <f t="shared" si="558"/>
        <v>425</v>
      </c>
      <c r="BC85" s="301"/>
      <c r="BD85" s="303">
        <f t="shared" si="559"/>
        <v>212.5</v>
      </c>
      <c r="BE85" s="304" t="e">
        <f t="shared" si="560"/>
        <v>#DIV/0!</v>
      </c>
      <c r="BF85" s="307">
        <f t="shared" si="561"/>
        <v>170</v>
      </c>
      <c r="BG85" s="301"/>
      <c r="BH85" s="303">
        <f t="shared" si="562"/>
        <v>85</v>
      </c>
      <c r="BI85" s="304" t="e">
        <f t="shared" si="563"/>
        <v>#DIV/0!</v>
      </c>
      <c r="BK85" s="29"/>
      <c r="BL85" s="29"/>
      <c r="BQ85" s="29"/>
      <c r="BR85" s="29"/>
    </row>
    <row r="86" ht="12.75" spans="1:70">
      <c r="A86" s="29" t="s">
        <v>1022</v>
      </c>
      <c r="B86" s="29" t="s">
        <v>1195</v>
      </c>
      <c r="C86" s="29" t="s">
        <v>673</v>
      </c>
      <c r="D86" s="29" t="s">
        <v>1198</v>
      </c>
      <c r="E86" s="29" t="s">
        <v>13</v>
      </c>
      <c r="F86" s="29" t="b">
        <v>0</v>
      </c>
      <c r="G86" s="29" t="b">
        <v>1</v>
      </c>
      <c r="H86" s="29" t="b">
        <v>0</v>
      </c>
      <c r="I86" s="29" t="b">
        <v>0</v>
      </c>
      <c r="J86" s="29" t="b">
        <v>0</v>
      </c>
      <c r="K86" s="29" t="b">
        <v>0</v>
      </c>
      <c r="L86" s="29" t="b">
        <v>0</v>
      </c>
      <c r="M86" s="432" t="b">
        <v>0</v>
      </c>
      <c r="N86" s="432" t="b">
        <v>1</v>
      </c>
      <c r="P86" s="29" t="s">
        <v>120</v>
      </c>
      <c r="Q86" s="441">
        <f t="shared" si="185"/>
        <v>450</v>
      </c>
      <c r="R86" s="441">
        <f t="shared" si="186"/>
        <v>450</v>
      </c>
      <c r="S86" s="442">
        <f t="shared" si="187"/>
        <v>0</v>
      </c>
      <c r="T86" s="308"/>
      <c r="U86" s="443"/>
      <c r="V86" s="245"/>
      <c r="W86" s="245"/>
      <c r="X86" s="444">
        <v>42.39</v>
      </c>
      <c r="Y86" s="245">
        <v>208.71</v>
      </c>
      <c r="Z86" s="245"/>
      <c r="AA86" s="245"/>
      <c r="AB86" s="463">
        <f t="shared" ref="AB86:AC86" si="574">V86-X86</f>
        <v>-42.39</v>
      </c>
      <c r="AC86" s="464">
        <f t="shared" si="574"/>
        <v>-208.71</v>
      </c>
      <c r="AD86" s="474" t="e">
        <f t="shared" ref="AD86:AE86" si="575">1-(V86/Z86)</f>
        <v>#DIV/0!</v>
      </c>
      <c r="AE86" s="474" t="e">
        <f t="shared" si="575"/>
        <v>#DIV/0!</v>
      </c>
      <c r="AF86" s="475"/>
      <c r="AG86" s="475"/>
      <c r="AH86" s="483"/>
      <c r="AI86" s="483"/>
      <c r="AJ86" s="487">
        <f t="shared" si="522"/>
        <v>0</v>
      </c>
      <c r="AK86" s="475">
        <f t="shared" si="528"/>
        <v>0</v>
      </c>
      <c r="AL86" s="485">
        <f t="shared" ref="AL86:AM86" si="576">AJ86-Z86</f>
        <v>0</v>
      </c>
      <c r="AM86" s="485">
        <f t="shared" si="576"/>
        <v>0</v>
      </c>
      <c r="AN86" s="486">
        <f t="shared" si="8"/>
        <v>0</v>
      </c>
      <c r="AO86" s="487">
        <f t="shared" ref="AO86:AP86" si="577">V86+(V86*$AO$2)</f>
        <v>0</v>
      </c>
      <c r="AP86" s="475">
        <f t="shared" si="577"/>
        <v>0</v>
      </c>
      <c r="AQ86" s="432" t="b">
        <v>0</v>
      </c>
      <c r="AR86" s="485">
        <f t="shared" ref="AR86:AS86" si="578">AO86-Z86</f>
        <v>0</v>
      </c>
      <c r="AS86" s="485">
        <f t="shared" si="578"/>
        <v>0</v>
      </c>
      <c r="AT86" s="486">
        <f t="shared" si="11"/>
        <v>0</v>
      </c>
      <c r="AU86" s="301">
        <f t="shared" si="12"/>
        <v>382.5</v>
      </c>
      <c r="AV86" s="301">
        <f t="shared" si="195"/>
        <v>450</v>
      </c>
      <c r="AW86" s="29">
        <v>425</v>
      </c>
      <c r="AX86" s="29">
        <v>475</v>
      </c>
      <c r="BB86" s="302">
        <f t="shared" si="558"/>
        <v>450</v>
      </c>
      <c r="BC86" s="301"/>
      <c r="BD86" s="303">
        <f t="shared" si="559"/>
        <v>225</v>
      </c>
      <c r="BE86" s="304" t="e">
        <f t="shared" si="560"/>
        <v>#DIV/0!</v>
      </c>
      <c r="BF86" s="307">
        <f t="shared" si="561"/>
        <v>180</v>
      </c>
      <c r="BG86" s="301"/>
      <c r="BH86" s="303">
        <f t="shared" si="562"/>
        <v>90</v>
      </c>
      <c r="BI86" s="304" t="e">
        <f t="shared" si="563"/>
        <v>#DIV/0!</v>
      </c>
      <c r="BK86" s="29"/>
      <c r="BL86" s="29"/>
      <c r="BQ86" s="308"/>
      <c r="BR86" s="308"/>
    </row>
    <row r="87" ht="12.75" spans="1:70">
      <c r="A87" s="29"/>
      <c r="B87" s="29"/>
      <c r="C87" s="29" t="s">
        <v>1310</v>
      </c>
      <c r="D87" s="29"/>
      <c r="F87" s="29" t="b">
        <v>1</v>
      </c>
      <c r="G87" s="29" t="b">
        <v>0</v>
      </c>
      <c r="H87" s="29" t="b">
        <v>0</v>
      </c>
      <c r="I87" s="29" t="b">
        <v>0</v>
      </c>
      <c r="J87" s="29" t="b">
        <v>0</v>
      </c>
      <c r="K87" s="29" t="b">
        <v>0</v>
      </c>
      <c r="L87" s="29" t="b">
        <v>0</v>
      </c>
      <c r="M87" s="432" t="b">
        <v>0</v>
      </c>
      <c r="N87" s="432" t="b">
        <v>0</v>
      </c>
      <c r="P87" s="29"/>
      <c r="Q87" s="441">
        <f t="shared" si="185"/>
        <v>250</v>
      </c>
      <c r="R87" s="441">
        <f t="shared" si="186"/>
        <v>250</v>
      </c>
      <c r="S87" s="442">
        <f t="shared" si="187"/>
        <v>97.98</v>
      </c>
      <c r="T87" s="308"/>
      <c r="U87" s="443"/>
      <c r="V87" s="245">
        <v>48.99</v>
      </c>
      <c r="W87" s="245"/>
      <c r="X87" s="444"/>
      <c r="Y87" s="245"/>
      <c r="Z87" s="245"/>
      <c r="AA87" s="245"/>
      <c r="AB87" s="463">
        <f t="shared" ref="AB87:AC87" si="579">V87-X87</f>
        <v>48.99</v>
      </c>
      <c r="AC87" s="464">
        <f t="shared" si="579"/>
        <v>0</v>
      </c>
      <c r="AD87" s="474" t="e">
        <f t="shared" ref="AD87:AE87" si="580">1-(V87/Z87)</f>
        <v>#DIV/0!</v>
      </c>
      <c r="AE87" s="474" t="e">
        <f t="shared" si="580"/>
        <v>#DIV/0!</v>
      </c>
      <c r="AF87" s="475"/>
      <c r="AG87" s="475"/>
      <c r="AH87" s="483"/>
      <c r="AI87" s="483"/>
      <c r="AJ87" s="484">
        <f t="shared" si="522"/>
        <v>97.98</v>
      </c>
      <c r="AK87" s="252">
        <f t="shared" si="528"/>
        <v>0</v>
      </c>
      <c r="AL87" s="485">
        <f t="shared" ref="AL87:AL92" si="581">AJ87-V87</f>
        <v>48.99</v>
      </c>
      <c r="AM87" s="485">
        <f t="shared" ref="AM87:AM92" si="582">AK87-AA87</f>
        <v>0</v>
      </c>
      <c r="AN87" s="486">
        <f t="shared" si="8"/>
        <v>489.9</v>
      </c>
      <c r="AO87" s="487">
        <f t="shared" ref="AO87:AP87" si="583">V87+(V87*$AO$2)</f>
        <v>73.485</v>
      </c>
      <c r="AP87" s="475">
        <f t="shared" si="583"/>
        <v>0</v>
      </c>
      <c r="AQ87" s="432" t="b">
        <v>1</v>
      </c>
      <c r="AR87" s="485">
        <f t="shared" ref="AR87:AS87" si="584">AO87-Z87</f>
        <v>73.485</v>
      </c>
      <c r="AS87" s="485">
        <f t="shared" si="584"/>
        <v>0</v>
      </c>
      <c r="AT87" s="486">
        <f t="shared" si="11"/>
        <v>367.425</v>
      </c>
      <c r="AU87" s="301">
        <f t="shared" si="12"/>
        <v>180</v>
      </c>
      <c r="AV87" s="301">
        <f t="shared" si="195"/>
        <v>250</v>
      </c>
      <c r="AW87" s="29">
        <v>200</v>
      </c>
      <c r="AX87" s="29">
        <v>300</v>
      </c>
      <c r="BB87" s="302"/>
      <c r="BC87" s="301"/>
      <c r="BD87" s="303"/>
      <c r="BE87" s="304"/>
      <c r="BF87" s="307"/>
      <c r="BG87" s="301"/>
      <c r="BH87" s="303"/>
      <c r="BI87" s="304"/>
      <c r="BK87" s="29"/>
      <c r="BL87" s="29"/>
      <c r="BQ87" s="308"/>
      <c r="BR87" s="308"/>
    </row>
    <row r="88" ht="12.75" spans="1:70">
      <c r="A88" s="29" t="s">
        <v>1038</v>
      </c>
      <c r="B88" s="29" t="s">
        <v>1311</v>
      </c>
      <c r="C88" s="429" t="s">
        <v>1312</v>
      </c>
      <c r="D88" s="29" t="s">
        <v>1313</v>
      </c>
      <c r="F88" s="29" t="b">
        <v>1</v>
      </c>
      <c r="G88" s="29" t="b">
        <v>0</v>
      </c>
      <c r="H88" s="29" t="b">
        <v>0</v>
      </c>
      <c r="I88" s="29" t="b">
        <v>0</v>
      </c>
      <c r="J88" s="29" t="b">
        <v>0</v>
      </c>
      <c r="K88" s="29" t="b">
        <v>0</v>
      </c>
      <c r="L88" s="29" t="b">
        <v>0</v>
      </c>
      <c r="M88" s="432" t="b">
        <v>0</v>
      </c>
      <c r="N88" s="432" t="b">
        <v>0</v>
      </c>
      <c r="P88" s="29"/>
      <c r="Q88" s="441">
        <f t="shared" si="185"/>
        <v>225</v>
      </c>
      <c r="R88" s="441">
        <f t="shared" si="186"/>
        <v>225</v>
      </c>
      <c r="S88" s="442">
        <f t="shared" si="187"/>
        <v>56</v>
      </c>
      <c r="T88" s="29" t="s">
        <v>1203</v>
      </c>
      <c r="U88" s="443"/>
      <c r="V88" s="245">
        <v>28</v>
      </c>
      <c r="W88" s="245">
        <v>156.95</v>
      </c>
      <c r="X88" s="444"/>
      <c r="Y88" s="245"/>
      <c r="Z88" s="245">
        <v>62.99</v>
      </c>
      <c r="AA88" s="245">
        <v>309.93</v>
      </c>
      <c r="AB88" s="463">
        <f t="shared" ref="AB88:AC88" si="585">V88-X88</f>
        <v>28</v>
      </c>
      <c r="AC88" s="464">
        <f t="shared" si="585"/>
        <v>156.95</v>
      </c>
      <c r="AD88" s="474">
        <f t="shared" ref="AD88:AE88" si="586">1-(V88/Z88)</f>
        <v>0.55548499761867</v>
      </c>
      <c r="AE88" s="474">
        <f t="shared" si="586"/>
        <v>0.493595327977285</v>
      </c>
      <c r="AF88" s="475"/>
      <c r="AG88" s="475"/>
      <c r="AH88" s="483"/>
      <c r="AI88" s="483"/>
      <c r="AJ88" s="484">
        <f t="shared" si="522"/>
        <v>56</v>
      </c>
      <c r="AK88" s="252">
        <f t="shared" si="528"/>
        <v>313.9</v>
      </c>
      <c r="AL88" s="485">
        <f t="shared" si="581"/>
        <v>28</v>
      </c>
      <c r="AM88" s="485">
        <f t="shared" si="582"/>
        <v>3.96999999999997</v>
      </c>
      <c r="AN88" s="486">
        <f t="shared" si="8"/>
        <v>-33.9</v>
      </c>
      <c r="AO88" s="487">
        <f t="shared" ref="AO88:AP88" si="587">V88+(V88*$AO$2)</f>
        <v>42</v>
      </c>
      <c r="AP88" s="475">
        <f t="shared" si="587"/>
        <v>235.425</v>
      </c>
      <c r="AQ88" s="432" t="b">
        <v>0</v>
      </c>
      <c r="AR88" s="485">
        <f t="shared" ref="AR88:AS88" si="588">AO88-Z88</f>
        <v>-20.99</v>
      </c>
      <c r="AS88" s="485">
        <f t="shared" si="588"/>
        <v>-74.505</v>
      </c>
      <c r="AT88" s="486">
        <f t="shared" si="11"/>
        <v>-25.425</v>
      </c>
      <c r="AU88" s="301">
        <f t="shared" si="12"/>
        <v>180</v>
      </c>
      <c r="AV88" s="301">
        <f t="shared" si="195"/>
        <v>225</v>
      </c>
      <c r="AW88" s="29">
        <v>200</v>
      </c>
      <c r="AX88" s="29">
        <v>250</v>
      </c>
      <c r="AY88" s="29">
        <v>2</v>
      </c>
      <c r="BK88" s="164" t="s">
        <v>1314</v>
      </c>
      <c r="BL88" s="29"/>
      <c r="BQ88" s="308"/>
      <c r="BR88" s="308"/>
    </row>
    <row r="89" ht="12.75" spans="1:70">
      <c r="A89" s="29" t="s">
        <v>1038</v>
      </c>
      <c r="B89" s="29" t="s">
        <v>1311</v>
      </c>
      <c r="C89" s="429" t="s">
        <v>1315</v>
      </c>
      <c r="D89" s="29" t="s">
        <v>1313</v>
      </c>
      <c r="F89" s="29" t="b">
        <v>1</v>
      </c>
      <c r="G89" s="29" t="b">
        <v>0</v>
      </c>
      <c r="H89" s="29" t="b">
        <v>0</v>
      </c>
      <c r="I89" s="29" t="b">
        <v>0</v>
      </c>
      <c r="J89" s="29" t="b">
        <v>0</v>
      </c>
      <c r="K89" s="29" t="b">
        <v>0</v>
      </c>
      <c r="L89" s="29" t="b">
        <v>0</v>
      </c>
      <c r="M89" s="432" t="b">
        <v>0</v>
      </c>
      <c r="N89" s="432" t="b">
        <v>0</v>
      </c>
      <c r="P89" s="29"/>
      <c r="Q89" s="441">
        <f t="shared" si="185"/>
        <v>1125</v>
      </c>
      <c r="R89" s="441">
        <f t="shared" si="186"/>
        <v>1125</v>
      </c>
      <c r="S89" s="442">
        <f>AK89</f>
        <v>313.9</v>
      </c>
      <c r="T89" s="29" t="s">
        <v>1316</v>
      </c>
      <c r="U89" s="443"/>
      <c r="V89" s="245">
        <v>33.39</v>
      </c>
      <c r="W89" s="245">
        <v>156.95</v>
      </c>
      <c r="X89" s="444"/>
      <c r="Y89" s="245"/>
      <c r="Z89" s="245">
        <v>62.99</v>
      </c>
      <c r="AA89" s="245">
        <v>309.93</v>
      </c>
      <c r="AB89" s="463">
        <f t="shared" ref="AB89:AC89" si="589">V89-X89</f>
        <v>33.39</v>
      </c>
      <c r="AC89" s="464">
        <f t="shared" si="589"/>
        <v>156.95</v>
      </c>
      <c r="AD89" s="474">
        <f t="shared" ref="AD89:AE89" si="590">1-(V89/Z89)</f>
        <v>0.469915859660264</v>
      </c>
      <c r="AE89" s="474">
        <f t="shared" si="590"/>
        <v>0.493595327977285</v>
      </c>
      <c r="AF89" s="475"/>
      <c r="AG89" s="475"/>
      <c r="AH89" s="483"/>
      <c r="AI89" s="483"/>
      <c r="AJ89" s="484">
        <f t="shared" si="522"/>
        <v>66.78</v>
      </c>
      <c r="AK89" s="252">
        <f t="shared" si="528"/>
        <v>313.9</v>
      </c>
      <c r="AL89" s="485">
        <f t="shared" si="581"/>
        <v>33.39</v>
      </c>
      <c r="AM89" s="485">
        <f t="shared" si="582"/>
        <v>3.96999999999997</v>
      </c>
      <c r="AN89" s="486">
        <f t="shared" si="8"/>
        <v>20</v>
      </c>
      <c r="AO89" s="487">
        <f t="shared" ref="AO89:AP89" si="591">V89+(V89*$AO$2)</f>
        <v>50.085</v>
      </c>
      <c r="AP89" s="475">
        <f t="shared" si="591"/>
        <v>235.425</v>
      </c>
      <c r="AQ89" s="432" t="b">
        <v>0</v>
      </c>
      <c r="AR89" s="485">
        <f t="shared" ref="AR89:AS89" si="592">AO89-Z89</f>
        <v>-12.905</v>
      </c>
      <c r="AS89" s="485">
        <f t="shared" si="592"/>
        <v>-74.505</v>
      </c>
      <c r="AT89" s="486">
        <f t="shared" si="11"/>
        <v>15</v>
      </c>
      <c r="AU89" s="301">
        <f t="shared" si="12"/>
        <v>900</v>
      </c>
      <c r="AV89" s="301">
        <f t="shared" si="195"/>
        <v>1125</v>
      </c>
      <c r="AW89" s="29">
        <f>200*5</f>
        <v>1000</v>
      </c>
      <c r="AX89" s="29">
        <f>250*5</f>
        <v>1250</v>
      </c>
      <c r="AY89" s="29">
        <v>2</v>
      </c>
      <c r="BK89" s="164" t="s">
        <v>1314</v>
      </c>
      <c r="BL89" s="29"/>
      <c r="BQ89" s="308"/>
      <c r="BR89" s="308"/>
    </row>
    <row r="90" ht="12.75" spans="1:70">
      <c r="A90" s="29" t="s">
        <v>1038</v>
      </c>
      <c r="B90" s="29" t="s">
        <v>1311</v>
      </c>
      <c r="C90" s="29" t="s">
        <v>1317</v>
      </c>
      <c r="D90" s="29" t="s">
        <v>241</v>
      </c>
      <c r="F90" s="29" t="b">
        <v>1</v>
      </c>
      <c r="G90" s="29" t="b">
        <v>0</v>
      </c>
      <c r="H90" s="29" t="b">
        <v>0</v>
      </c>
      <c r="I90" s="29" t="b">
        <v>0</v>
      </c>
      <c r="J90" s="29" t="b">
        <v>0</v>
      </c>
      <c r="K90" s="29" t="b">
        <v>0</v>
      </c>
      <c r="L90" s="29" t="b">
        <v>0</v>
      </c>
      <c r="M90" s="432" t="b">
        <v>0</v>
      </c>
      <c r="N90" s="432" t="b">
        <v>0</v>
      </c>
      <c r="P90" s="29"/>
      <c r="Q90" s="441">
        <f t="shared" si="185"/>
        <v>0</v>
      </c>
      <c r="R90" s="441">
        <f t="shared" si="186"/>
        <v>0</v>
      </c>
      <c r="S90" s="442">
        <f t="shared" ref="S90:S99" si="593">AJ90</f>
        <v>63.56</v>
      </c>
      <c r="T90" s="29" t="s">
        <v>1203</v>
      </c>
      <c r="U90" s="443"/>
      <c r="V90" s="245">
        <v>31.78</v>
      </c>
      <c r="W90" s="245"/>
      <c r="X90" s="444"/>
      <c r="Y90" s="245"/>
      <c r="Z90" s="245">
        <v>37.39</v>
      </c>
      <c r="AA90" s="245"/>
      <c r="AB90" s="463">
        <f t="shared" ref="AB90:AC90" si="594">V90-X90</f>
        <v>31.78</v>
      </c>
      <c r="AC90" s="464">
        <f t="shared" si="594"/>
        <v>0</v>
      </c>
      <c r="AD90" s="474">
        <f t="shared" ref="AD90:AE90" si="595">1-(V90/Z90)</f>
        <v>0.150040117678524</v>
      </c>
      <c r="AE90" s="474" t="e">
        <f t="shared" si="595"/>
        <v>#DIV/0!</v>
      </c>
      <c r="AF90" s="475"/>
      <c r="AG90" s="475"/>
      <c r="AH90" s="483"/>
      <c r="AI90" s="483"/>
      <c r="AJ90" s="484">
        <f t="shared" si="522"/>
        <v>63.56</v>
      </c>
      <c r="AK90" s="252">
        <f t="shared" si="528"/>
        <v>0</v>
      </c>
      <c r="AL90" s="485">
        <f t="shared" si="581"/>
        <v>31.78</v>
      </c>
      <c r="AM90" s="485">
        <f t="shared" si="582"/>
        <v>0</v>
      </c>
      <c r="AN90" s="486">
        <f t="shared" si="8"/>
        <v>317.8</v>
      </c>
      <c r="AO90" s="487">
        <f t="shared" ref="AO90:AP90" si="596">V90+(V90*$AO$2)</f>
        <v>47.67</v>
      </c>
      <c r="AP90" s="475">
        <f t="shared" si="596"/>
        <v>0</v>
      </c>
      <c r="AQ90" s="432" t="b">
        <v>0</v>
      </c>
      <c r="AR90" s="485">
        <f t="shared" ref="AR90:AS90" si="597">AO90-Z90</f>
        <v>10.28</v>
      </c>
      <c r="AS90" s="485">
        <f t="shared" si="597"/>
        <v>0</v>
      </c>
      <c r="AT90" s="486">
        <f t="shared" si="11"/>
        <v>238.35</v>
      </c>
      <c r="AU90" s="301">
        <f t="shared" si="12"/>
        <v>0</v>
      </c>
      <c r="AV90" s="301">
        <f t="shared" si="195"/>
        <v>0</v>
      </c>
      <c r="AW90" s="29"/>
      <c r="AX90" s="29"/>
      <c r="BB90" s="302"/>
      <c r="BC90" s="301"/>
      <c r="BD90" s="303"/>
      <c r="BE90" s="304"/>
      <c r="BF90" s="307"/>
      <c r="BG90" s="301"/>
      <c r="BH90" s="303"/>
      <c r="BI90" s="304"/>
      <c r="BK90" s="29"/>
      <c r="BL90" s="29"/>
      <c r="BQ90" s="308"/>
      <c r="BR90" s="308"/>
    </row>
    <row r="91" ht="12.75" spans="1:70">
      <c r="A91" s="29" t="s">
        <v>1038</v>
      </c>
      <c r="B91" s="29" t="s">
        <v>1311</v>
      </c>
      <c r="C91" s="29" t="s">
        <v>1318</v>
      </c>
      <c r="D91" s="29" t="s">
        <v>1313</v>
      </c>
      <c r="E91" s="29" t="s">
        <v>1271</v>
      </c>
      <c r="F91" s="29" t="b">
        <v>1</v>
      </c>
      <c r="G91" s="29" t="b">
        <v>0</v>
      </c>
      <c r="H91" s="29" t="b">
        <v>0</v>
      </c>
      <c r="I91" s="29" t="b">
        <v>1</v>
      </c>
      <c r="J91" s="29" t="b">
        <v>0</v>
      </c>
      <c r="K91" s="29" t="b">
        <v>0</v>
      </c>
      <c r="L91" s="29" t="b">
        <v>0</v>
      </c>
      <c r="M91" s="432" t="b">
        <v>0</v>
      </c>
      <c r="N91" s="432" t="b">
        <v>1</v>
      </c>
      <c r="O91" s="29" t="s">
        <v>1318</v>
      </c>
      <c r="P91" s="29"/>
      <c r="Q91" s="441">
        <f t="shared" si="185"/>
        <v>250</v>
      </c>
      <c r="R91" s="441">
        <f t="shared" si="186"/>
        <v>250</v>
      </c>
      <c r="S91" s="442">
        <f t="shared" si="593"/>
        <v>83.18</v>
      </c>
      <c r="T91" s="29" t="s">
        <v>1203</v>
      </c>
      <c r="U91" s="443"/>
      <c r="V91" s="245">
        <v>41.59</v>
      </c>
      <c r="W91" s="245">
        <v>202.95</v>
      </c>
      <c r="X91" s="444"/>
      <c r="Y91" s="245"/>
      <c r="Z91" s="245">
        <v>68.99</v>
      </c>
      <c r="AA91" s="245">
        <v>399.95</v>
      </c>
      <c r="AB91" s="463">
        <f t="shared" ref="AB91:AC91" si="598">V91-X91</f>
        <v>41.59</v>
      </c>
      <c r="AC91" s="464">
        <f t="shared" si="598"/>
        <v>202.95</v>
      </c>
      <c r="AD91" s="474">
        <f t="shared" ref="AD91:AE91" si="599">1-(V91/Z91)</f>
        <v>0.397159008551964</v>
      </c>
      <c r="AE91" s="474">
        <f t="shared" si="599"/>
        <v>0.492561570196275</v>
      </c>
      <c r="AF91" s="475"/>
      <c r="AG91" s="475"/>
      <c r="AH91" s="483"/>
      <c r="AI91" s="483"/>
      <c r="AJ91" s="484">
        <f t="shared" si="522"/>
        <v>83.18</v>
      </c>
      <c r="AK91" s="252">
        <f t="shared" si="528"/>
        <v>405.9</v>
      </c>
      <c r="AL91" s="485">
        <f t="shared" si="581"/>
        <v>41.59</v>
      </c>
      <c r="AM91" s="485">
        <f t="shared" si="582"/>
        <v>5.94999999999999</v>
      </c>
      <c r="AN91" s="486">
        <f t="shared" si="8"/>
        <v>10.0000000000001</v>
      </c>
      <c r="AO91" s="487">
        <f t="shared" ref="AO91:AP91" si="600">V91+(V91*$AO$2)</f>
        <v>62.385</v>
      </c>
      <c r="AP91" s="475">
        <f t="shared" si="600"/>
        <v>304.425</v>
      </c>
      <c r="AQ91" s="432" t="b">
        <v>1</v>
      </c>
      <c r="AR91" s="485">
        <f t="shared" ref="AR91:AS91" si="601">AO91-Z91</f>
        <v>-6.60499999999999</v>
      </c>
      <c r="AS91" s="485">
        <f t="shared" si="601"/>
        <v>-95.525</v>
      </c>
      <c r="AT91" s="486">
        <f t="shared" si="11"/>
        <v>7.50000000000006</v>
      </c>
      <c r="AU91" s="301">
        <f t="shared" si="12"/>
        <v>180</v>
      </c>
      <c r="AV91" s="301">
        <f t="shared" si="195"/>
        <v>250</v>
      </c>
      <c r="AW91" s="29">
        <v>200</v>
      </c>
      <c r="AX91" s="29">
        <v>300</v>
      </c>
      <c r="AY91" s="29">
        <v>2</v>
      </c>
      <c r="AZ91" s="29"/>
      <c r="BA91" s="29"/>
      <c r="BB91" s="302"/>
      <c r="BC91" s="301"/>
      <c r="BD91" s="303"/>
      <c r="BE91" s="304"/>
      <c r="BF91" s="307"/>
      <c r="BG91" s="301"/>
      <c r="BH91" s="303"/>
      <c r="BI91" s="304"/>
      <c r="BJ91" s="29" t="s">
        <v>1249</v>
      </c>
      <c r="BK91" s="29"/>
      <c r="BL91" s="29"/>
      <c r="BQ91" s="308"/>
      <c r="BR91" s="308"/>
    </row>
    <row r="92" ht="12.75" spans="1:70">
      <c r="A92" s="29" t="s">
        <v>1038</v>
      </c>
      <c r="B92" s="29" t="s">
        <v>1319</v>
      </c>
      <c r="C92" s="29" t="s">
        <v>1320</v>
      </c>
      <c r="D92" s="29" t="s">
        <v>1191</v>
      </c>
      <c r="F92" s="29" t="b">
        <v>1</v>
      </c>
      <c r="G92" s="29" t="b">
        <v>0</v>
      </c>
      <c r="H92" s="29" t="b">
        <v>0</v>
      </c>
      <c r="I92" s="29" t="b">
        <v>1</v>
      </c>
      <c r="J92" s="29" t="b">
        <v>0</v>
      </c>
      <c r="K92" s="29" t="b">
        <v>0</v>
      </c>
      <c r="L92" s="29" t="b">
        <v>0</v>
      </c>
      <c r="M92" s="432" t="b">
        <v>0</v>
      </c>
      <c r="N92" s="432" t="b">
        <v>0</v>
      </c>
      <c r="O92" s="29" t="s">
        <v>199</v>
      </c>
      <c r="P92" s="29" t="s">
        <v>142</v>
      </c>
      <c r="Q92" s="441">
        <f t="shared" si="185"/>
        <v>12</v>
      </c>
      <c r="R92" s="441">
        <f t="shared" si="186"/>
        <v>12</v>
      </c>
      <c r="S92" s="442">
        <f t="shared" si="593"/>
        <v>57.84</v>
      </c>
      <c r="T92" s="29" t="s">
        <v>1192</v>
      </c>
      <c r="U92" s="443"/>
      <c r="V92" s="245">
        <v>28.92</v>
      </c>
      <c r="W92" s="245"/>
      <c r="X92" s="444"/>
      <c r="Y92" s="245"/>
      <c r="Z92" s="245"/>
      <c r="AA92" s="245"/>
      <c r="AB92" s="463">
        <f t="shared" ref="AB92:AC92" si="602">V92-X92</f>
        <v>28.92</v>
      </c>
      <c r="AC92" s="464">
        <f t="shared" si="602"/>
        <v>0</v>
      </c>
      <c r="AD92" s="474" t="e">
        <f t="shared" ref="AD92:AE92" si="603">1-(V92/Z92)</f>
        <v>#DIV/0!</v>
      </c>
      <c r="AE92" s="474" t="e">
        <f t="shared" si="603"/>
        <v>#DIV/0!</v>
      </c>
      <c r="AF92" s="475"/>
      <c r="AG92" s="475"/>
      <c r="AH92" s="483"/>
      <c r="AI92" s="483"/>
      <c r="AJ92" s="484">
        <f t="shared" si="522"/>
        <v>57.84</v>
      </c>
      <c r="AK92" s="252">
        <f t="shared" si="528"/>
        <v>0</v>
      </c>
      <c r="AL92" s="485">
        <f t="shared" si="581"/>
        <v>28.92</v>
      </c>
      <c r="AM92" s="485">
        <f t="shared" si="582"/>
        <v>0</v>
      </c>
      <c r="AN92" s="486">
        <f t="shared" si="8"/>
        <v>289.2</v>
      </c>
      <c r="AO92" s="487">
        <f t="shared" ref="AO92:AP92" si="604">V92+(V92*$AO$2)</f>
        <v>43.38</v>
      </c>
      <c r="AP92" s="475">
        <f t="shared" si="604"/>
        <v>0</v>
      </c>
      <c r="AQ92" s="432" t="b">
        <v>0</v>
      </c>
      <c r="AR92" s="485">
        <f t="shared" ref="AR92:AS92" si="605">AO92-Z92</f>
        <v>43.38</v>
      </c>
      <c r="AS92" s="485">
        <f t="shared" si="605"/>
        <v>0</v>
      </c>
      <c r="AT92" s="486">
        <f t="shared" si="11"/>
        <v>216.9</v>
      </c>
      <c r="AU92" s="301">
        <f t="shared" si="12"/>
        <v>10.8</v>
      </c>
      <c r="AV92" s="301">
        <f t="shared" si="195"/>
        <v>12</v>
      </c>
      <c r="AW92" s="29">
        <v>12</v>
      </c>
      <c r="AX92" s="29">
        <v>12</v>
      </c>
      <c r="BB92" s="302"/>
      <c r="BC92" s="301"/>
      <c r="BD92" s="303"/>
      <c r="BE92" s="304"/>
      <c r="BF92" s="307"/>
      <c r="BG92" s="301"/>
      <c r="BH92" s="303"/>
      <c r="BI92" s="304"/>
      <c r="BJ92" s="29" t="s">
        <v>1189</v>
      </c>
      <c r="BK92" s="29"/>
      <c r="BL92" s="29"/>
      <c r="BQ92" s="308"/>
      <c r="BR92" s="308"/>
    </row>
    <row r="93" ht="12.75" spans="1:70">
      <c r="A93" s="29" t="s">
        <v>1038</v>
      </c>
      <c r="B93" s="29" t="s">
        <v>241</v>
      </c>
      <c r="C93" s="29" t="s">
        <v>1321</v>
      </c>
      <c r="D93" s="308"/>
      <c r="F93" s="29" t="b">
        <v>1</v>
      </c>
      <c r="G93" s="29" t="b">
        <v>0</v>
      </c>
      <c r="H93" s="29" t="b">
        <v>0</v>
      </c>
      <c r="I93" s="29" t="b">
        <v>1</v>
      </c>
      <c r="J93" s="29" t="b">
        <v>0</v>
      </c>
      <c r="K93" s="29" t="b">
        <v>0</v>
      </c>
      <c r="L93" s="29" t="b">
        <v>0</v>
      </c>
      <c r="M93" s="432" t="b">
        <v>0</v>
      </c>
      <c r="N93" s="432" t="b">
        <v>0</v>
      </c>
      <c r="P93" s="29"/>
      <c r="Q93" s="441">
        <f t="shared" si="185"/>
        <v>0</v>
      </c>
      <c r="R93" s="441">
        <f t="shared" si="186"/>
        <v>0</v>
      </c>
      <c r="S93" s="442">
        <f t="shared" si="593"/>
        <v>0</v>
      </c>
      <c r="T93" s="308"/>
      <c r="U93" s="443"/>
      <c r="V93" s="245"/>
      <c r="W93" s="245"/>
      <c r="X93" s="444"/>
      <c r="Y93" s="245"/>
      <c r="Z93" s="245"/>
      <c r="AA93" s="245"/>
      <c r="AB93" s="463">
        <f t="shared" ref="AB93:AC93" si="606">V93-X93</f>
        <v>0</v>
      </c>
      <c r="AC93" s="464">
        <f t="shared" si="606"/>
        <v>0</v>
      </c>
      <c r="AD93" s="474" t="e">
        <f t="shared" ref="AD93:AE93" si="607">1-(V93/Z93)</f>
        <v>#DIV/0!</v>
      </c>
      <c r="AE93" s="474" t="e">
        <f t="shared" si="607"/>
        <v>#DIV/0!</v>
      </c>
      <c r="AF93" s="475"/>
      <c r="AG93" s="475"/>
      <c r="AH93" s="483"/>
      <c r="AI93" s="483"/>
      <c r="AJ93" s="487">
        <f t="shared" si="522"/>
        <v>0</v>
      </c>
      <c r="AK93" s="475">
        <f t="shared" si="528"/>
        <v>0</v>
      </c>
      <c r="AL93" s="485">
        <f t="shared" ref="AL93:AM93" si="608">AJ93-Z93</f>
        <v>0</v>
      </c>
      <c r="AM93" s="485">
        <f t="shared" si="608"/>
        <v>0</v>
      </c>
      <c r="AN93" s="486">
        <f t="shared" si="8"/>
        <v>0</v>
      </c>
      <c r="AO93" s="487">
        <f t="shared" ref="AO93:AP93" si="609">V93+(V93*$AO$2)</f>
        <v>0</v>
      </c>
      <c r="AP93" s="475">
        <f t="shared" si="609"/>
        <v>0</v>
      </c>
      <c r="AQ93" s="432" t="b">
        <v>0</v>
      </c>
      <c r="AR93" s="485">
        <f t="shared" ref="AR93:AS93" si="610">AO93-Z93</f>
        <v>0</v>
      </c>
      <c r="AS93" s="485">
        <f t="shared" si="610"/>
        <v>0</v>
      </c>
      <c r="AT93" s="486">
        <f t="shared" si="11"/>
        <v>0</v>
      </c>
      <c r="AU93" s="301">
        <f t="shared" si="12"/>
        <v>0</v>
      </c>
      <c r="AV93" s="301">
        <f t="shared" si="195"/>
        <v>0</v>
      </c>
      <c r="AW93" s="29"/>
      <c r="AX93" s="29"/>
      <c r="BB93" s="302"/>
      <c r="BC93" s="301"/>
      <c r="BD93" s="303"/>
      <c r="BE93" s="304"/>
      <c r="BF93" s="307"/>
      <c r="BG93" s="301"/>
      <c r="BH93" s="303"/>
      <c r="BI93" s="304"/>
      <c r="BK93" s="29"/>
      <c r="BL93" s="29"/>
      <c r="BQ93" s="308"/>
      <c r="BR93" s="308"/>
    </row>
    <row r="94" ht="12.75" spans="1:70">
      <c r="A94" s="29" t="s">
        <v>1022</v>
      </c>
      <c r="B94" s="29" t="s">
        <v>1195</v>
      </c>
      <c r="C94" s="29" t="s">
        <v>676</v>
      </c>
      <c r="D94" s="308"/>
      <c r="F94" s="29" t="b">
        <v>0</v>
      </c>
      <c r="G94" s="29" t="b">
        <v>1</v>
      </c>
      <c r="H94" s="29" t="b">
        <v>0</v>
      </c>
      <c r="I94" s="29" t="b">
        <v>0</v>
      </c>
      <c r="J94" s="29" t="b">
        <v>0</v>
      </c>
      <c r="K94" s="29" t="b">
        <v>0</v>
      </c>
      <c r="L94" s="29" t="b">
        <v>0</v>
      </c>
      <c r="M94" s="432" t="b">
        <v>0</v>
      </c>
      <c r="N94" s="432" t="b">
        <v>1</v>
      </c>
      <c r="P94" s="29"/>
      <c r="Q94" s="441" t="e">
        <f t="shared" si="185"/>
        <v>#VALUE!</v>
      </c>
      <c r="R94" s="441" t="e">
        <f t="shared" si="186"/>
        <v>#VALUE!</v>
      </c>
      <c r="S94" s="442">
        <f t="shared" si="593"/>
        <v>0</v>
      </c>
      <c r="T94" s="308"/>
      <c r="U94" s="443"/>
      <c r="V94" s="245"/>
      <c r="W94" s="245"/>
      <c r="X94" s="444">
        <v>29.31</v>
      </c>
      <c r="Y94" s="245">
        <v>143.69</v>
      </c>
      <c r="Z94" s="245"/>
      <c r="AA94" s="245"/>
      <c r="AB94" s="463">
        <f t="shared" ref="AB94:AC94" si="611">V94-X94</f>
        <v>-29.31</v>
      </c>
      <c r="AC94" s="464">
        <f t="shared" si="611"/>
        <v>-143.69</v>
      </c>
      <c r="AD94" s="474" t="e">
        <f t="shared" ref="AD94:AE94" si="612">1-(V94/Z94)</f>
        <v>#DIV/0!</v>
      </c>
      <c r="AE94" s="474" t="e">
        <f t="shared" si="612"/>
        <v>#DIV/0!</v>
      </c>
      <c r="AF94" s="475"/>
      <c r="AG94" s="475"/>
      <c r="AH94" s="483"/>
      <c r="AI94" s="483"/>
      <c r="AJ94" s="487">
        <f t="shared" si="522"/>
        <v>0</v>
      </c>
      <c r="AK94" s="475">
        <f t="shared" si="528"/>
        <v>0</v>
      </c>
      <c r="AL94" s="485">
        <f t="shared" ref="AL94:AM94" si="613">AJ94-Z94</f>
        <v>0</v>
      </c>
      <c r="AM94" s="485">
        <f t="shared" si="613"/>
        <v>0</v>
      </c>
      <c r="AN94" s="486">
        <f t="shared" si="8"/>
        <v>0</v>
      </c>
      <c r="AO94" s="487">
        <f t="shared" ref="AO94:AP94" si="614">V94+(V94*$AO$2)</f>
        <v>0</v>
      </c>
      <c r="AP94" s="475">
        <f t="shared" si="614"/>
        <v>0</v>
      </c>
      <c r="AQ94" s="432" t="b">
        <v>0</v>
      </c>
      <c r="AR94" s="485">
        <f t="shared" ref="AR94:AS94" si="615">AO94-Z94</f>
        <v>0</v>
      </c>
      <c r="AS94" s="485">
        <f t="shared" si="615"/>
        <v>0</v>
      </c>
      <c r="AT94" s="486">
        <f t="shared" si="11"/>
        <v>0</v>
      </c>
      <c r="AU94" s="301" t="e">
        <f t="shared" si="12"/>
        <v>#VALUE!</v>
      </c>
      <c r="AV94" s="301" t="e">
        <f t="shared" si="195"/>
        <v>#VALUE!</v>
      </c>
      <c r="AW94" s="302" t="s">
        <v>117</v>
      </c>
      <c r="AX94" s="302" t="s">
        <v>117</v>
      </c>
      <c r="BB94" s="302"/>
      <c r="BC94" s="301"/>
      <c r="BD94" s="303"/>
      <c r="BE94" s="304"/>
      <c r="BF94" s="307"/>
      <c r="BG94" s="301"/>
      <c r="BH94" s="303"/>
      <c r="BI94" s="304"/>
      <c r="BK94" s="29"/>
      <c r="BL94" s="29"/>
      <c r="BQ94" s="308"/>
      <c r="BR94" s="308"/>
    </row>
    <row r="95" ht="12.75" spans="1:70">
      <c r="A95" s="29" t="s">
        <v>1022</v>
      </c>
      <c r="B95" s="29" t="s">
        <v>1195</v>
      </c>
      <c r="C95" s="29" t="s">
        <v>679</v>
      </c>
      <c r="D95" s="308"/>
      <c r="F95" s="29" t="b">
        <v>0</v>
      </c>
      <c r="G95" s="29" t="b">
        <v>1</v>
      </c>
      <c r="H95" s="29" t="b">
        <v>0</v>
      </c>
      <c r="I95" s="29" t="b">
        <v>0</v>
      </c>
      <c r="J95" s="29" t="b">
        <v>0</v>
      </c>
      <c r="K95" s="29" t="b">
        <v>0</v>
      </c>
      <c r="L95" s="29" t="b">
        <v>0</v>
      </c>
      <c r="M95" s="432" t="b">
        <v>0</v>
      </c>
      <c r="N95" s="432" t="b">
        <v>1</v>
      </c>
      <c r="P95" s="29"/>
      <c r="Q95" s="441" t="e">
        <f t="shared" si="185"/>
        <v>#VALUE!</v>
      </c>
      <c r="R95" s="441" t="e">
        <f t="shared" si="186"/>
        <v>#VALUE!</v>
      </c>
      <c r="S95" s="442">
        <f t="shared" si="593"/>
        <v>0</v>
      </c>
      <c r="T95" s="308"/>
      <c r="U95" s="443"/>
      <c r="V95" s="245"/>
      <c r="W95" s="245"/>
      <c r="X95" s="444">
        <v>29.31</v>
      </c>
      <c r="Y95" s="245">
        <v>143.69</v>
      </c>
      <c r="Z95" s="245"/>
      <c r="AA95" s="245"/>
      <c r="AB95" s="463">
        <f t="shared" ref="AB95:AC95" si="616">V95-X95</f>
        <v>-29.31</v>
      </c>
      <c r="AC95" s="464">
        <f t="shared" si="616"/>
        <v>-143.69</v>
      </c>
      <c r="AD95" s="474" t="e">
        <f t="shared" ref="AD95:AE95" si="617">1-(V95/Z95)</f>
        <v>#DIV/0!</v>
      </c>
      <c r="AE95" s="474" t="e">
        <f t="shared" si="617"/>
        <v>#DIV/0!</v>
      </c>
      <c r="AF95" s="475"/>
      <c r="AG95" s="475"/>
      <c r="AH95" s="483"/>
      <c r="AI95" s="483"/>
      <c r="AJ95" s="487">
        <f t="shared" si="522"/>
        <v>0</v>
      </c>
      <c r="AK95" s="475">
        <f t="shared" si="528"/>
        <v>0</v>
      </c>
      <c r="AL95" s="485">
        <f t="shared" ref="AL95:AM95" si="618">AJ95-Z95</f>
        <v>0</v>
      </c>
      <c r="AM95" s="485">
        <f t="shared" si="618"/>
        <v>0</v>
      </c>
      <c r="AN95" s="486">
        <f t="shared" si="8"/>
        <v>0</v>
      </c>
      <c r="AO95" s="487">
        <f t="shared" ref="AO95:AP95" si="619">V95+(V95*$AO$2)</f>
        <v>0</v>
      </c>
      <c r="AP95" s="475">
        <f t="shared" si="619"/>
        <v>0</v>
      </c>
      <c r="AQ95" s="432" t="b">
        <v>0</v>
      </c>
      <c r="AR95" s="485">
        <f t="shared" ref="AR95:AS95" si="620">AO95-Z95</f>
        <v>0</v>
      </c>
      <c r="AS95" s="485">
        <f t="shared" si="620"/>
        <v>0</v>
      </c>
      <c r="AT95" s="486">
        <f t="shared" si="11"/>
        <v>0</v>
      </c>
      <c r="AU95" s="301" t="e">
        <f t="shared" si="12"/>
        <v>#VALUE!</v>
      </c>
      <c r="AV95" s="301" t="e">
        <f t="shared" si="195"/>
        <v>#VALUE!</v>
      </c>
      <c r="AW95" s="302" t="s">
        <v>117</v>
      </c>
      <c r="AX95" s="302" t="s">
        <v>117</v>
      </c>
      <c r="BB95" s="302"/>
      <c r="BC95" s="301"/>
      <c r="BD95" s="303"/>
      <c r="BE95" s="304"/>
      <c r="BF95" s="307"/>
      <c r="BG95" s="301"/>
      <c r="BH95" s="303"/>
      <c r="BI95" s="304"/>
      <c r="BK95" s="29"/>
      <c r="BL95" s="29"/>
      <c r="BQ95" s="308"/>
      <c r="BR95" s="308"/>
    </row>
    <row r="96" ht="12.75" spans="1:70">
      <c r="A96" s="29" t="s">
        <v>1022</v>
      </c>
      <c r="B96" s="29" t="s">
        <v>1195</v>
      </c>
      <c r="C96" s="29" t="s">
        <v>682</v>
      </c>
      <c r="D96" s="308"/>
      <c r="F96" s="29" t="b">
        <v>0</v>
      </c>
      <c r="G96" s="29" t="b">
        <v>1</v>
      </c>
      <c r="H96" s="29" t="b">
        <v>0</v>
      </c>
      <c r="I96" s="29" t="b">
        <v>0</v>
      </c>
      <c r="J96" s="29" t="b">
        <v>0</v>
      </c>
      <c r="K96" s="29" t="b">
        <v>0</v>
      </c>
      <c r="L96" s="29" t="b">
        <v>0</v>
      </c>
      <c r="M96" s="432" t="b">
        <v>0</v>
      </c>
      <c r="N96" s="432" t="b">
        <v>1</v>
      </c>
      <c r="P96" s="29"/>
      <c r="Q96" s="441" t="e">
        <f t="shared" si="185"/>
        <v>#VALUE!</v>
      </c>
      <c r="R96" s="441" t="e">
        <f t="shared" si="186"/>
        <v>#VALUE!</v>
      </c>
      <c r="S96" s="442">
        <f t="shared" si="593"/>
        <v>0</v>
      </c>
      <c r="T96" s="308"/>
      <c r="U96" s="443"/>
      <c r="V96" s="245"/>
      <c r="W96" s="245"/>
      <c r="X96" s="444">
        <v>31.71</v>
      </c>
      <c r="Y96" s="245" t="s">
        <v>117</v>
      </c>
      <c r="Z96" s="245"/>
      <c r="AA96" s="245"/>
      <c r="AB96" s="463">
        <f t="shared" ref="AB96:AC96" si="621">V96-X96</f>
        <v>-31.71</v>
      </c>
      <c r="AC96" s="464" t="e">
        <f t="shared" si="621"/>
        <v>#VALUE!</v>
      </c>
      <c r="AD96" s="474" t="e">
        <f t="shared" ref="AD96:AE96" si="622">1-(V96/Z96)</f>
        <v>#DIV/0!</v>
      </c>
      <c r="AE96" s="474" t="e">
        <f t="shared" si="622"/>
        <v>#DIV/0!</v>
      </c>
      <c r="AF96" s="475"/>
      <c r="AG96" s="475"/>
      <c r="AH96" s="483"/>
      <c r="AI96" s="483"/>
      <c r="AJ96" s="487">
        <f t="shared" si="522"/>
        <v>0</v>
      </c>
      <c r="AK96" s="475">
        <f t="shared" si="528"/>
        <v>0</v>
      </c>
      <c r="AL96" s="485">
        <f t="shared" ref="AL96:AM96" si="623">AJ96-Z96</f>
        <v>0</v>
      </c>
      <c r="AM96" s="485">
        <f t="shared" si="623"/>
        <v>0</v>
      </c>
      <c r="AN96" s="486">
        <f t="shared" si="8"/>
        <v>0</v>
      </c>
      <c r="AO96" s="487">
        <f t="shared" ref="AO96:AP96" si="624">V96+(V96*$AO$2)</f>
        <v>0</v>
      </c>
      <c r="AP96" s="475">
        <f t="shared" si="624"/>
        <v>0</v>
      </c>
      <c r="AQ96" s="432" t="b">
        <v>0</v>
      </c>
      <c r="AR96" s="485">
        <f t="shared" ref="AR96:AS96" si="625">AO96-Z96</f>
        <v>0</v>
      </c>
      <c r="AS96" s="485">
        <f t="shared" si="625"/>
        <v>0</v>
      </c>
      <c r="AT96" s="486">
        <f t="shared" si="11"/>
        <v>0</v>
      </c>
      <c r="AU96" s="301" t="e">
        <f t="shared" si="12"/>
        <v>#VALUE!</v>
      </c>
      <c r="AV96" s="301" t="e">
        <f t="shared" si="195"/>
        <v>#VALUE!</v>
      </c>
      <c r="AW96" s="302" t="s">
        <v>117</v>
      </c>
      <c r="AX96" s="302" t="s">
        <v>117</v>
      </c>
      <c r="BB96" s="302"/>
      <c r="BC96" s="301"/>
      <c r="BD96" s="303"/>
      <c r="BE96" s="304"/>
      <c r="BF96" s="307"/>
      <c r="BG96" s="301"/>
      <c r="BH96" s="303"/>
      <c r="BI96" s="304"/>
      <c r="BK96" s="29"/>
      <c r="BL96" s="29"/>
      <c r="BQ96" s="308"/>
      <c r="BR96" s="308"/>
    </row>
    <row r="97" ht="12.75" spans="1:70">
      <c r="A97" s="29" t="s">
        <v>1022</v>
      </c>
      <c r="B97" s="29" t="s">
        <v>1195</v>
      </c>
      <c r="C97" s="29" t="s">
        <v>1322</v>
      </c>
      <c r="D97" s="308"/>
      <c r="F97" s="29" t="b">
        <v>0</v>
      </c>
      <c r="G97" s="29" t="b">
        <v>1</v>
      </c>
      <c r="H97" s="29" t="b">
        <v>0</v>
      </c>
      <c r="I97" s="29" t="b">
        <v>0</v>
      </c>
      <c r="J97" s="29" t="b">
        <v>0</v>
      </c>
      <c r="K97" s="29" t="b">
        <v>0</v>
      </c>
      <c r="L97" s="29" t="b">
        <v>0</v>
      </c>
      <c r="M97" s="432" t="b">
        <v>0</v>
      </c>
      <c r="N97" s="432" t="b">
        <v>1</v>
      </c>
      <c r="P97" s="29"/>
      <c r="Q97" s="441" t="e">
        <f t="shared" si="185"/>
        <v>#VALUE!</v>
      </c>
      <c r="R97" s="441" t="e">
        <f t="shared" si="186"/>
        <v>#VALUE!</v>
      </c>
      <c r="S97" s="442">
        <f t="shared" si="593"/>
        <v>0</v>
      </c>
      <c r="T97" s="308"/>
      <c r="U97" s="443"/>
      <c r="V97" s="245"/>
      <c r="W97" s="245"/>
      <c r="X97" s="444">
        <v>29.31</v>
      </c>
      <c r="Y97" s="245">
        <v>143.69</v>
      </c>
      <c r="Z97" s="245"/>
      <c r="AA97" s="245"/>
      <c r="AB97" s="463">
        <f t="shared" ref="AB97:AC97" si="626">V97-X97</f>
        <v>-29.31</v>
      </c>
      <c r="AC97" s="464">
        <f t="shared" si="626"/>
        <v>-143.69</v>
      </c>
      <c r="AD97" s="474" t="e">
        <f t="shared" ref="AD97:AE97" si="627">1-(V97/Z97)</f>
        <v>#DIV/0!</v>
      </c>
      <c r="AE97" s="474" t="e">
        <f t="shared" si="627"/>
        <v>#DIV/0!</v>
      </c>
      <c r="AF97" s="475"/>
      <c r="AG97" s="475"/>
      <c r="AH97" s="483"/>
      <c r="AI97" s="483"/>
      <c r="AJ97" s="487">
        <f t="shared" si="522"/>
        <v>0</v>
      </c>
      <c r="AK97" s="475">
        <f t="shared" si="528"/>
        <v>0</v>
      </c>
      <c r="AL97" s="485">
        <f t="shared" ref="AL97:AM97" si="628">AJ97-Z97</f>
        <v>0</v>
      </c>
      <c r="AM97" s="485">
        <f t="shared" si="628"/>
        <v>0</v>
      </c>
      <c r="AN97" s="486">
        <f t="shared" si="8"/>
        <v>0</v>
      </c>
      <c r="AO97" s="487">
        <f t="shared" ref="AO97:AP97" si="629">V97+(V97*$AO$2)</f>
        <v>0</v>
      </c>
      <c r="AP97" s="475">
        <f t="shared" si="629"/>
        <v>0</v>
      </c>
      <c r="AQ97" s="432" t="b">
        <v>0</v>
      </c>
      <c r="AR97" s="485">
        <f t="shared" ref="AR97:AS97" si="630">AO97-Z97</f>
        <v>0</v>
      </c>
      <c r="AS97" s="485">
        <f t="shared" si="630"/>
        <v>0</v>
      </c>
      <c r="AT97" s="486">
        <f t="shared" si="11"/>
        <v>0</v>
      </c>
      <c r="AU97" s="301" t="e">
        <f t="shared" si="12"/>
        <v>#VALUE!</v>
      </c>
      <c r="AV97" s="301" t="e">
        <f t="shared" si="195"/>
        <v>#VALUE!</v>
      </c>
      <c r="AW97" s="302" t="s">
        <v>117</v>
      </c>
      <c r="AX97" s="302" t="s">
        <v>117</v>
      </c>
      <c r="BB97" s="302"/>
      <c r="BC97" s="301"/>
      <c r="BD97" s="303"/>
      <c r="BE97" s="304"/>
      <c r="BF97" s="307"/>
      <c r="BG97" s="301"/>
      <c r="BH97" s="303"/>
      <c r="BI97" s="304"/>
      <c r="BK97" s="29"/>
      <c r="BL97" s="29"/>
      <c r="BQ97" s="308"/>
      <c r="BR97" s="308"/>
    </row>
    <row r="98" ht="12.75" spans="1:70">
      <c r="A98" s="29" t="s">
        <v>1022</v>
      </c>
      <c r="B98" s="29" t="s">
        <v>1195</v>
      </c>
      <c r="C98" s="29" t="s">
        <v>688</v>
      </c>
      <c r="D98" s="308"/>
      <c r="F98" s="29" t="b">
        <v>0</v>
      </c>
      <c r="G98" s="29" t="b">
        <v>1</v>
      </c>
      <c r="H98" s="29" t="b">
        <v>0</v>
      </c>
      <c r="I98" s="29" t="b">
        <v>0</v>
      </c>
      <c r="J98" s="29" t="b">
        <v>0</v>
      </c>
      <c r="K98" s="29" t="b">
        <v>0</v>
      </c>
      <c r="L98" s="29" t="b">
        <v>0</v>
      </c>
      <c r="M98" s="432" t="b">
        <v>0</v>
      </c>
      <c r="N98" s="432" t="b">
        <v>1</v>
      </c>
      <c r="P98" s="29"/>
      <c r="Q98" s="441" t="e">
        <f t="shared" si="185"/>
        <v>#VALUE!</v>
      </c>
      <c r="R98" s="441" t="e">
        <f t="shared" si="186"/>
        <v>#VALUE!</v>
      </c>
      <c r="S98" s="442">
        <f t="shared" si="593"/>
        <v>0</v>
      </c>
      <c r="T98" s="308"/>
      <c r="U98" s="443"/>
      <c r="V98" s="245"/>
      <c r="W98" s="245"/>
      <c r="X98" s="444">
        <v>29.72</v>
      </c>
      <c r="Y98" s="245">
        <v>145.64</v>
      </c>
      <c r="Z98" s="245"/>
      <c r="AA98" s="245"/>
      <c r="AB98" s="463">
        <f t="shared" ref="AB98:AC98" si="631">V98-X98</f>
        <v>-29.72</v>
      </c>
      <c r="AC98" s="464">
        <f t="shared" si="631"/>
        <v>-145.64</v>
      </c>
      <c r="AD98" s="474" t="e">
        <f t="shared" ref="AD98:AE98" si="632">1-(V98/Z98)</f>
        <v>#DIV/0!</v>
      </c>
      <c r="AE98" s="474" t="e">
        <f t="shared" si="632"/>
        <v>#DIV/0!</v>
      </c>
      <c r="AF98" s="475"/>
      <c r="AG98" s="475"/>
      <c r="AH98" s="483"/>
      <c r="AI98" s="483"/>
      <c r="AJ98" s="487">
        <f t="shared" si="522"/>
        <v>0</v>
      </c>
      <c r="AK98" s="475">
        <f t="shared" si="528"/>
        <v>0</v>
      </c>
      <c r="AL98" s="485">
        <f t="shared" ref="AL98:AM98" si="633">AJ98-Z98</f>
        <v>0</v>
      </c>
      <c r="AM98" s="485">
        <f t="shared" si="633"/>
        <v>0</v>
      </c>
      <c r="AN98" s="486">
        <f t="shared" si="8"/>
        <v>0</v>
      </c>
      <c r="AO98" s="487">
        <f t="shared" ref="AO98:AP98" si="634">V98+(V98*$AO$2)</f>
        <v>0</v>
      </c>
      <c r="AP98" s="475">
        <f t="shared" si="634"/>
        <v>0</v>
      </c>
      <c r="AQ98" s="432" t="b">
        <v>0</v>
      </c>
      <c r="AR98" s="485">
        <f t="shared" ref="AR98:AS98" si="635">AO98-Z98</f>
        <v>0</v>
      </c>
      <c r="AS98" s="485">
        <f t="shared" si="635"/>
        <v>0</v>
      </c>
      <c r="AT98" s="486">
        <f t="shared" si="11"/>
        <v>0</v>
      </c>
      <c r="AU98" s="301" t="e">
        <f t="shared" si="12"/>
        <v>#VALUE!</v>
      </c>
      <c r="AV98" s="301" t="e">
        <f t="shared" si="195"/>
        <v>#VALUE!</v>
      </c>
      <c r="AW98" s="29" t="s">
        <v>117</v>
      </c>
      <c r="AX98" s="302" t="s">
        <v>117</v>
      </c>
      <c r="BB98" s="302"/>
      <c r="BC98" s="301"/>
      <c r="BD98" s="303"/>
      <c r="BE98" s="304"/>
      <c r="BF98" s="307"/>
      <c r="BG98" s="301"/>
      <c r="BH98" s="303"/>
      <c r="BI98" s="304"/>
      <c r="BK98" s="29"/>
      <c r="BL98" s="29"/>
      <c r="BQ98" s="308"/>
      <c r="BR98" s="308"/>
    </row>
    <row r="99" ht="12.75" spans="1:70">
      <c r="A99" s="29" t="s">
        <v>1022</v>
      </c>
      <c r="B99" s="29" t="s">
        <v>1323</v>
      </c>
      <c r="C99" s="29" t="s">
        <v>1324</v>
      </c>
      <c r="D99" s="29" t="s">
        <v>1198</v>
      </c>
      <c r="F99" s="29" t="b">
        <v>1</v>
      </c>
      <c r="G99" s="29" t="b">
        <v>0</v>
      </c>
      <c r="H99" s="29" t="b">
        <v>0</v>
      </c>
      <c r="I99" s="29" t="b">
        <v>1</v>
      </c>
      <c r="J99" s="29" t="b">
        <v>0</v>
      </c>
      <c r="K99" s="29" t="b">
        <v>0</v>
      </c>
      <c r="L99" s="29" t="b">
        <v>0</v>
      </c>
      <c r="M99" s="432" t="b">
        <v>0</v>
      </c>
      <c r="N99" s="432" t="b">
        <v>1</v>
      </c>
      <c r="O99" s="29" t="s">
        <v>1324</v>
      </c>
      <c r="P99" s="29" t="s">
        <v>142</v>
      </c>
      <c r="Q99" s="441">
        <f t="shared" si="185"/>
        <v>350</v>
      </c>
      <c r="R99" s="441">
        <f t="shared" si="186"/>
        <v>350</v>
      </c>
      <c r="S99" s="442">
        <f t="shared" si="593"/>
        <v>127.5</v>
      </c>
      <c r="T99" s="308"/>
      <c r="U99" s="443"/>
      <c r="V99" s="245">
        <v>63.75</v>
      </c>
      <c r="W99" s="245"/>
      <c r="X99" s="444"/>
      <c r="Y99" s="245"/>
      <c r="Z99" s="245"/>
      <c r="AA99" s="245"/>
      <c r="AB99" s="463">
        <f t="shared" ref="AB99:AC99" si="636">V99-X99</f>
        <v>63.75</v>
      </c>
      <c r="AC99" s="464">
        <f t="shared" si="636"/>
        <v>0</v>
      </c>
      <c r="AD99" s="474" t="e">
        <f t="shared" ref="AD99:AE99" si="637">1-(V99/Z99)</f>
        <v>#DIV/0!</v>
      </c>
      <c r="AE99" s="474" t="e">
        <f t="shared" si="637"/>
        <v>#DIV/0!</v>
      </c>
      <c r="AF99" s="475"/>
      <c r="AG99" s="475"/>
      <c r="AH99" s="483"/>
      <c r="AI99" s="483"/>
      <c r="AJ99" s="484">
        <f t="shared" si="522"/>
        <v>127.5</v>
      </c>
      <c r="AK99" s="252">
        <f t="shared" si="528"/>
        <v>0</v>
      </c>
      <c r="AL99" s="485">
        <f t="shared" ref="AL99:AL100" si="638">AJ99-V99</f>
        <v>63.75</v>
      </c>
      <c r="AM99" s="485">
        <f t="shared" ref="AM99:AM100" si="639">AK99-AA99</f>
        <v>0</v>
      </c>
      <c r="AN99" s="486">
        <f t="shared" si="8"/>
        <v>637.5</v>
      </c>
      <c r="AO99" s="487">
        <f t="shared" ref="AO99:AP99" si="640">V99+(V99*$AO$2)</f>
        <v>95.625</v>
      </c>
      <c r="AP99" s="475">
        <f t="shared" si="640"/>
        <v>0</v>
      </c>
      <c r="AQ99" s="432" t="b">
        <v>1</v>
      </c>
      <c r="AR99" s="485">
        <f t="shared" ref="AR99:AS99" si="641">AO99-Z99</f>
        <v>95.625</v>
      </c>
      <c r="AS99" s="485">
        <f t="shared" si="641"/>
        <v>0</v>
      </c>
      <c r="AT99" s="486">
        <f t="shared" si="11"/>
        <v>478.125</v>
      </c>
      <c r="AU99" s="301">
        <f t="shared" si="12"/>
        <v>270</v>
      </c>
      <c r="AV99" s="301">
        <f t="shared" si="195"/>
        <v>350</v>
      </c>
      <c r="AW99" s="29">
        <v>300</v>
      </c>
      <c r="AX99" s="29">
        <v>400</v>
      </c>
      <c r="AY99" s="29">
        <v>1</v>
      </c>
      <c r="AZ99" s="29"/>
      <c r="BA99" s="29"/>
      <c r="BB99" s="302"/>
      <c r="BC99" s="301"/>
      <c r="BD99" s="303"/>
      <c r="BE99" s="304"/>
      <c r="BF99" s="307"/>
      <c r="BG99" s="301"/>
      <c r="BH99" s="303"/>
      <c r="BI99" s="304"/>
      <c r="BJ99" s="29" t="s">
        <v>1325</v>
      </c>
      <c r="BK99" s="29"/>
      <c r="BL99" s="29"/>
      <c r="BQ99" s="308"/>
      <c r="BR99" s="308"/>
    </row>
    <row r="100" ht="12.75" spans="1:70">
      <c r="A100" s="29" t="s">
        <v>1044</v>
      </c>
      <c r="B100" s="29" t="s">
        <v>1326</v>
      </c>
      <c r="C100" s="29" t="s">
        <v>1327</v>
      </c>
      <c r="D100" s="29" t="s">
        <v>1198</v>
      </c>
      <c r="F100" s="29" t="b">
        <v>0</v>
      </c>
      <c r="G100" s="29" t="b">
        <v>1</v>
      </c>
      <c r="H100" s="29" t="b">
        <v>0</v>
      </c>
      <c r="I100" s="29" t="b">
        <v>1</v>
      </c>
      <c r="J100" s="29" t="b">
        <v>0</v>
      </c>
      <c r="K100" s="29" t="b">
        <v>0</v>
      </c>
      <c r="L100" s="29" t="b">
        <v>0</v>
      </c>
      <c r="M100" s="432" t="b">
        <v>0</v>
      </c>
      <c r="N100" s="432" t="b">
        <v>0</v>
      </c>
      <c r="O100" s="29" t="s">
        <v>1327</v>
      </c>
      <c r="P100" s="29" t="s">
        <v>142</v>
      </c>
      <c r="Q100" s="441">
        <f t="shared" si="185"/>
        <v>1800</v>
      </c>
      <c r="R100" s="441">
        <f t="shared" si="186"/>
        <v>1800</v>
      </c>
      <c r="S100" s="442">
        <f>AK100</f>
        <v>136</v>
      </c>
      <c r="T100" s="29" t="s">
        <v>1316</v>
      </c>
      <c r="U100" s="443"/>
      <c r="V100" s="245"/>
      <c r="W100" s="245">
        <v>68</v>
      </c>
      <c r="X100" s="444"/>
      <c r="Y100" s="245"/>
      <c r="Z100" s="245"/>
      <c r="AA100" s="245"/>
      <c r="AB100" s="463">
        <f t="shared" ref="AB100:AC100" si="642">V100-X100</f>
        <v>0</v>
      </c>
      <c r="AC100" s="464">
        <f t="shared" si="642"/>
        <v>68</v>
      </c>
      <c r="AD100" s="474" t="e">
        <f t="shared" ref="AD100:AE100" si="643">1-(V100/Z100)</f>
        <v>#DIV/0!</v>
      </c>
      <c r="AE100" s="474" t="e">
        <f t="shared" si="643"/>
        <v>#DIV/0!</v>
      </c>
      <c r="AF100" s="475"/>
      <c r="AG100" s="475"/>
      <c r="AH100" s="483"/>
      <c r="AI100" s="483"/>
      <c r="AJ100" s="484">
        <f t="shared" si="522"/>
        <v>0</v>
      </c>
      <c r="AK100" s="252">
        <f t="shared" si="528"/>
        <v>136</v>
      </c>
      <c r="AL100" s="485">
        <f t="shared" si="638"/>
        <v>0</v>
      </c>
      <c r="AM100" s="485">
        <f t="shared" si="639"/>
        <v>136</v>
      </c>
      <c r="AN100" s="486">
        <f t="shared" si="8"/>
        <v>-136</v>
      </c>
      <c r="AO100" s="487">
        <f t="shared" ref="AO100:AP100" si="644">V100+(V100*$AO$2)</f>
        <v>0</v>
      </c>
      <c r="AP100" s="475">
        <f t="shared" si="644"/>
        <v>102</v>
      </c>
      <c r="AQ100" s="432" t="b">
        <v>0</v>
      </c>
      <c r="AR100" s="485">
        <f t="shared" ref="AR100:AS100" si="645">AO100-Z100</f>
        <v>0</v>
      </c>
      <c r="AS100" s="485">
        <f t="shared" si="645"/>
        <v>102</v>
      </c>
      <c r="AT100" s="486">
        <f t="shared" si="11"/>
        <v>-102</v>
      </c>
      <c r="AU100" s="301">
        <f t="shared" si="12"/>
        <v>1530</v>
      </c>
      <c r="AV100" s="301">
        <f t="shared" si="195"/>
        <v>1800</v>
      </c>
      <c r="AW100" s="29">
        <v>1700</v>
      </c>
      <c r="AX100" s="29">
        <v>1900</v>
      </c>
      <c r="AY100" s="29">
        <v>1</v>
      </c>
      <c r="AZ100" s="29"/>
      <c r="BA100" s="29"/>
      <c r="BB100" s="302"/>
      <c r="BC100" s="301"/>
      <c r="BD100" s="303"/>
      <c r="BE100" s="304"/>
      <c r="BF100" s="307"/>
      <c r="BG100" s="301"/>
      <c r="BH100" s="303"/>
      <c r="BI100" s="304"/>
      <c r="BJ100" s="29" t="s">
        <v>1189</v>
      </c>
      <c r="BK100" s="164" t="s">
        <v>1328</v>
      </c>
      <c r="BL100" s="29"/>
      <c r="BQ100" s="308"/>
      <c r="BR100" s="308"/>
    </row>
    <row r="101" ht="12.75" spans="1:72">
      <c r="A101" s="29" t="s">
        <v>1038</v>
      </c>
      <c r="B101" s="29" t="s">
        <v>1249</v>
      </c>
      <c r="C101" s="29" t="s">
        <v>1329</v>
      </c>
      <c r="D101" s="308"/>
      <c r="E101" s="29" t="s">
        <v>1217</v>
      </c>
      <c r="F101" s="29" t="b">
        <v>0</v>
      </c>
      <c r="G101" s="29" t="b">
        <v>0</v>
      </c>
      <c r="H101" s="29" t="b">
        <v>0</v>
      </c>
      <c r="I101" s="29" t="b">
        <v>0</v>
      </c>
      <c r="J101" s="29" t="b">
        <v>0</v>
      </c>
      <c r="K101" s="29" t="b">
        <v>0</v>
      </c>
      <c r="L101" s="29" t="b">
        <v>0</v>
      </c>
      <c r="M101" s="432" t="b">
        <v>1</v>
      </c>
      <c r="N101" s="432" t="b">
        <v>1</v>
      </c>
      <c r="O101" s="29"/>
      <c r="P101" s="29" t="s">
        <v>120</v>
      </c>
      <c r="Q101" s="441">
        <f t="shared" si="185"/>
        <v>375</v>
      </c>
      <c r="R101" s="441">
        <f t="shared" si="186"/>
        <v>375</v>
      </c>
      <c r="S101" s="442">
        <f t="shared" ref="S101:S115" si="646">AJ101</f>
        <v>101.9</v>
      </c>
      <c r="T101" s="308"/>
      <c r="U101" s="443"/>
      <c r="V101" s="245">
        <v>50.95</v>
      </c>
      <c r="W101" s="245">
        <v>239.75</v>
      </c>
      <c r="X101" s="444"/>
      <c r="Y101" s="245"/>
      <c r="Z101" s="245">
        <v>86.99</v>
      </c>
      <c r="AA101" s="245">
        <v>429.95</v>
      </c>
      <c r="AB101" s="463"/>
      <c r="AC101" s="464"/>
      <c r="AD101" s="476">
        <f t="shared" ref="AD101:AE101" si="647">1-(V101/Z101)</f>
        <v>0.414300494309691</v>
      </c>
      <c r="AE101" s="476">
        <f t="shared" si="647"/>
        <v>0.442377020583789</v>
      </c>
      <c r="AF101" s="475">
        <f t="shared" ref="AF101:AG101" si="648">(V101+Z101)/2</f>
        <v>68.97</v>
      </c>
      <c r="AG101" s="475">
        <f t="shared" si="648"/>
        <v>334.85</v>
      </c>
      <c r="AH101" s="483">
        <f t="shared" ref="AH101:AI101" si="649">1-(V101/AF101)</f>
        <v>0.261273017253878</v>
      </c>
      <c r="AI101" s="483">
        <f t="shared" si="649"/>
        <v>0.284007764670748</v>
      </c>
      <c r="AJ101" s="487">
        <f t="shared" si="522"/>
        <v>101.9</v>
      </c>
      <c r="AK101" s="475">
        <f t="shared" si="528"/>
        <v>479.5</v>
      </c>
      <c r="AL101" s="485">
        <f t="shared" ref="AL101:AM101" si="650">AJ101-Z101</f>
        <v>14.91</v>
      </c>
      <c r="AM101" s="485">
        <f t="shared" si="650"/>
        <v>49.55</v>
      </c>
      <c r="AN101" s="486">
        <f t="shared" si="8"/>
        <v>30</v>
      </c>
      <c r="AO101" s="487">
        <f t="shared" ref="AO101:AP101" si="651">V101+(V101*$AO$2)</f>
        <v>76.425</v>
      </c>
      <c r="AP101" s="475">
        <f t="shared" si="651"/>
        <v>359.625</v>
      </c>
      <c r="AQ101" s="432" t="b">
        <v>0</v>
      </c>
      <c r="AR101" s="485">
        <f t="shared" ref="AR101:AS101" si="652">AO101-Z101</f>
        <v>-10.565</v>
      </c>
      <c r="AS101" s="485">
        <f t="shared" si="652"/>
        <v>-70.325</v>
      </c>
      <c r="AT101" s="486">
        <f t="shared" si="11"/>
        <v>22.5000000000001</v>
      </c>
      <c r="AU101" s="301">
        <f t="shared" si="12"/>
        <v>315</v>
      </c>
      <c r="AV101" s="301">
        <f t="shared" si="195"/>
        <v>375</v>
      </c>
      <c r="AW101" s="29">
        <v>350</v>
      </c>
      <c r="AX101" s="29">
        <v>400</v>
      </c>
      <c r="BB101" s="302">
        <f t="shared" ref="BB101:BB109" si="653">AV101</f>
        <v>375</v>
      </c>
      <c r="BC101" s="301"/>
      <c r="BD101" s="303">
        <f t="shared" ref="BD101:BD109" si="654">(BB101+BC101)/2</f>
        <v>187.5</v>
      </c>
      <c r="BE101" s="304" t="e">
        <f t="shared" ref="BE101:BE109" si="655">BB101/BC101</f>
        <v>#DIV/0!</v>
      </c>
      <c r="BF101" s="307">
        <f t="shared" ref="BF101:BF109" si="656">BB101*$BF$1</f>
        <v>150</v>
      </c>
      <c r="BG101" s="301"/>
      <c r="BH101" s="303">
        <f t="shared" ref="BH101:BH109" si="657">(BF101+BG101)/2</f>
        <v>75</v>
      </c>
      <c r="BI101" s="304" t="e">
        <f t="shared" ref="BI101:BI109" si="658">BF101/BG101</f>
        <v>#DIV/0!</v>
      </c>
      <c r="BK101" s="29"/>
      <c r="BL101" s="29"/>
      <c r="BP101" s="29" t="s">
        <v>1204</v>
      </c>
      <c r="BQ101" s="308"/>
      <c r="BR101" s="308"/>
      <c r="BS101" s="29"/>
      <c r="BT101" s="29" t="s">
        <v>1330</v>
      </c>
    </row>
    <row r="102" ht="12.75" spans="1:72">
      <c r="A102" s="29" t="s">
        <v>1038</v>
      </c>
      <c r="B102" s="29" t="s">
        <v>1249</v>
      </c>
      <c r="C102" s="29" t="s">
        <v>1329</v>
      </c>
      <c r="D102" s="308"/>
      <c r="E102" s="29" t="s">
        <v>1201</v>
      </c>
      <c r="F102" s="29" t="b">
        <v>0</v>
      </c>
      <c r="G102" s="29" t="b">
        <v>0</v>
      </c>
      <c r="H102" s="29" t="b">
        <v>0</v>
      </c>
      <c r="I102" s="29" t="b">
        <v>0</v>
      </c>
      <c r="J102" s="29" t="b">
        <v>0</v>
      </c>
      <c r="K102" s="29" t="b">
        <v>0</v>
      </c>
      <c r="L102" s="29" t="b">
        <v>0</v>
      </c>
      <c r="M102" s="432" t="b">
        <v>1</v>
      </c>
      <c r="N102" s="432" t="b">
        <v>1</v>
      </c>
      <c r="O102" s="29"/>
      <c r="P102" s="29" t="s">
        <v>120</v>
      </c>
      <c r="Q102" s="441">
        <f t="shared" si="185"/>
        <v>0</v>
      </c>
      <c r="R102" s="441">
        <f t="shared" si="186"/>
        <v>0</v>
      </c>
      <c r="S102" s="442">
        <f t="shared" si="646"/>
        <v>109.9</v>
      </c>
      <c r="T102" s="308"/>
      <c r="U102" s="443"/>
      <c r="V102" s="245">
        <v>54.95</v>
      </c>
      <c r="W102" s="245">
        <v>259.75</v>
      </c>
      <c r="X102" s="444"/>
      <c r="Y102" s="245"/>
      <c r="Z102" s="245">
        <v>89.99</v>
      </c>
      <c r="AA102" s="245">
        <v>444.95</v>
      </c>
      <c r="AB102" s="463"/>
      <c r="AC102" s="464"/>
      <c r="AD102" s="476">
        <f t="shared" ref="AD102:AE102" si="659">1-(V102/Z102)</f>
        <v>0.389376597399711</v>
      </c>
      <c r="AE102" s="476">
        <f t="shared" si="659"/>
        <v>0.416226542308125</v>
      </c>
      <c r="AF102" s="475">
        <f t="shared" ref="AF102:AG102" si="660">(V102+Z102)/2</f>
        <v>72.47</v>
      </c>
      <c r="AG102" s="475">
        <f t="shared" si="660"/>
        <v>352.35</v>
      </c>
      <c r="AH102" s="483">
        <f t="shared" ref="AH102:AI102" si="661">1-(V102/AF102)</f>
        <v>0.241755209052022</v>
      </c>
      <c r="AI102" s="483">
        <f t="shared" si="661"/>
        <v>0.262806868170853</v>
      </c>
      <c r="AJ102" s="487">
        <f t="shared" si="522"/>
        <v>109.9</v>
      </c>
      <c r="AK102" s="475">
        <f t="shared" si="528"/>
        <v>519.5</v>
      </c>
      <c r="AL102" s="485">
        <f t="shared" ref="AL102:AM102" si="662">AJ102-Z102</f>
        <v>19.91</v>
      </c>
      <c r="AM102" s="485">
        <f t="shared" si="662"/>
        <v>74.55</v>
      </c>
      <c r="AN102" s="486">
        <f t="shared" si="8"/>
        <v>30</v>
      </c>
      <c r="AO102" s="487">
        <f t="shared" ref="AO102:AP102" si="663">V102+(V102*$AO$2)</f>
        <v>82.425</v>
      </c>
      <c r="AP102" s="475">
        <f t="shared" si="663"/>
        <v>389.625</v>
      </c>
      <c r="AQ102" s="432" t="b">
        <v>0</v>
      </c>
      <c r="AR102" s="485">
        <f t="shared" ref="AR102:AS102" si="664">AO102-Z102</f>
        <v>-7.56499999999998</v>
      </c>
      <c r="AS102" s="485">
        <f t="shared" si="664"/>
        <v>-55.325</v>
      </c>
      <c r="AT102" s="486">
        <f t="shared" si="11"/>
        <v>22.5000000000001</v>
      </c>
      <c r="AU102" s="301">
        <f t="shared" si="12"/>
        <v>0</v>
      </c>
      <c r="AV102" s="301">
        <f t="shared" si="195"/>
        <v>0</v>
      </c>
      <c r="BB102" s="302">
        <f t="shared" si="653"/>
        <v>0</v>
      </c>
      <c r="BC102" s="301"/>
      <c r="BD102" s="303">
        <f t="shared" si="654"/>
        <v>0</v>
      </c>
      <c r="BE102" s="304" t="e">
        <f t="shared" si="655"/>
        <v>#DIV/0!</v>
      </c>
      <c r="BF102" s="307">
        <f t="shared" si="656"/>
        <v>0</v>
      </c>
      <c r="BG102" s="301"/>
      <c r="BH102" s="303">
        <f t="shared" si="657"/>
        <v>0</v>
      </c>
      <c r="BI102" s="304" t="e">
        <f t="shared" si="658"/>
        <v>#DIV/0!</v>
      </c>
      <c r="BK102" s="29"/>
      <c r="BL102" s="29"/>
      <c r="BP102" s="29" t="s">
        <v>1204</v>
      </c>
      <c r="BQ102" s="308"/>
      <c r="BR102" s="308"/>
      <c r="BS102" s="29"/>
      <c r="BT102" s="29" t="s">
        <v>1330</v>
      </c>
    </row>
    <row r="103" ht="12.75" spans="1:72">
      <c r="A103" s="29" t="s">
        <v>1038</v>
      </c>
      <c r="B103" s="29" t="s">
        <v>1249</v>
      </c>
      <c r="C103" s="29" t="s">
        <v>1329</v>
      </c>
      <c r="D103" s="308"/>
      <c r="E103" s="29" t="s">
        <v>1271</v>
      </c>
      <c r="F103" s="29" t="b">
        <v>0</v>
      </c>
      <c r="G103" s="29" t="b">
        <v>0</v>
      </c>
      <c r="H103" s="29" t="b">
        <v>0</v>
      </c>
      <c r="I103" s="29" t="b">
        <v>0</v>
      </c>
      <c r="J103" s="29" t="b">
        <v>0</v>
      </c>
      <c r="K103" s="29" t="b">
        <v>0</v>
      </c>
      <c r="L103" s="29" t="b">
        <v>0</v>
      </c>
      <c r="M103" s="432" t="b">
        <v>1</v>
      </c>
      <c r="N103" s="432" t="b">
        <v>1</v>
      </c>
      <c r="O103" s="29"/>
      <c r="P103" s="29" t="s">
        <v>120</v>
      </c>
      <c r="Q103" s="441">
        <f t="shared" si="185"/>
        <v>0</v>
      </c>
      <c r="R103" s="441">
        <f t="shared" si="186"/>
        <v>0</v>
      </c>
      <c r="S103" s="442">
        <f t="shared" si="646"/>
        <v>111.9</v>
      </c>
      <c r="T103" s="308"/>
      <c r="U103" s="443"/>
      <c r="V103" s="245">
        <v>55.95</v>
      </c>
      <c r="W103" s="245">
        <v>264.75</v>
      </c>
      <c r="X103" s="444"/>
      <c r="Y103" s="245"/>
      <c r="Z103" s="245">
        <v>92.99</v>
      </c>
      <c r="AA103" s="245">
        <v>459.95</v>
      </c>
      <c r="AB103" s="463"/>
      <c r="AC103" s="464"/>
      <c r="AD103" s="476">
        <f t="shared" ref="AD103:AE103" si="665">1-(V103/Z103)</f>
        <v>0.398322400258092</v>
      </c>
      <c r="AE103" s="476">
        <f t="shared" si="665"/>
        <v>0.424393955864768</v>
      </c>
      <c r="AF103" s="475">
        <f t="shared" ref="AF103:AG103" si="666">(V103+Z103)/2</f>
        <v>74.47</v>
      </c>
      <c r="AG103" s="475">
        <f t="shared" si="666"/>
        <v>362.35</v>
      </c>
      <c r="AH103" s="483">
        <f t="shared" ref="AH103:AI103" si="667">1-(V103/AF103)</f>
        <v>0.248690747952195</v>
      </c>
      <c r="AI103" s="483">
        <f t="shared" si="667"/>
        <v>0.269352835656134</v>
      </c>
      <c r="AJ103" s="487">
        <f t="shared" si="522"/>
        <v>111.9</v>
      </c>
      <c r="AK103" s="475">
        <f t="shared" si="528"/>
        <v>529.5</v>
      </c>
      <c r="AL103" s="485">
        <f t="shared" ref="AL103:AM103" si="668">AJ103-Z103</f>
        <v>18.91</v>
      </c>
      <c r="AM103" s="485">
        <f t="shared" si="668"/>
        <v>69.55</v>
      </c>
      <c r="AN103" s="486">
        <f t="shared" si="8"/>
        <v>30</v>
      </c>
      <c r="AO103" s="487">
        <f t="shared" ref="AO103:AP103" si="669">V103+(V103*$AO$2)</f>
        <v>83.925</v>
      </c>
      <c r="AP103" s="475">
        <f t="shared" si="669"/>
        <v>397.125</v>
      </c>
      <c r="AQ103" s="432" t="b">
        <v>0</v>
      </c>
      <c r="AR103" s="485">
        <f t="shared" ref="AR103:AS103" si="670">AO103-Z103</f>
        <v>-9.06499999999998</v>
      </c>
      <c r="AS103" s="485">
        <f t="shared" si="670"/>
        <v>-62.825</v>
      </c>
      <c r="AT103" s="486">
        <f t="shared" si="11"/>
        <v>22.5000000000001</v>
      </c>
      <c r="AU103" s="301">
        <f t="shared" si="12"/>
        <v>0</v>
      </c>
      <c r="AV103" s="301">
        <f t="shared" si="195"/>
        <v>0</v>
      </c>
      <c r="BB103" s="302">
        <f t="shared" si="653"/>
        <v>0</v>
      </c>
      <c r="BC103" s="301"/>
      <c r="BD103" s="303">
        <f t="shared" si="654"/>
        <v>0</v>
      </c>
      <c r="BE103" s="304" t="e">
        <f t="shared" si="655"/>
        <v>#DIV/0!</v>
      </c>
      <c r="BF103" s="307">
        <f t="shared" si="656"/>
        <v>0</v>
      </c>
      <c r="BG103" s="301"/>
      <c r="BH103" s="303">
        <f t="shared" si="657"/>
        <v>0</v>
      </c>
      <c r="BI103" s="304" t="e">
        <f t="shared" si="658"/>
        <v>#DIV/0!</v>
      </c>
      <c r="BK103" s="29"/>
      <c r="BL103" s="29"/>
      <c r="BP103" s="29" t="s">
        <v>1204</v>
      </c>
      <c r="BQ103" s="308"/>
      <c r="BR103" s="308"/>
      <c r="BS103" s="29"/>
      <c r="BT103" s="29" t="s">
        <v>1330</v>
      </c>
    </row>
    <row r="104" ht="12.75" spans="1:72">
      <c r="A104" s="29" t="s">
        <v>1038</v>
      </c>
      <c r="B104" s="29" t="s">
        <v>1249</v>
      </c>
      <c r="C104" s="29" t="s">
        <v>1331</v>
      </c>
      <c r="D104" s="308"/>
      <c r="E104" s="29" t="s">
        <v>1217</v>
      </c>
      <c r="F104" s="29" t="b">
        <v>1</v>
      </c>
      <c r="G104" s="29" t="b">
        <v>0</v>
      </c>
      <c r="H104" s="29" t="b">
        <v>0</v>
      </c>
      <c r="I104" s="29" t="b">
        <v>1</v>
      </c>
      <c r="J104" s="29" t="b">
        <v>0</v>
      </c>
      <c r="K104" s="29" t="b">
        <v>0</v>
      </c>
      <c r="L104" s="29" t="b">
        <v>1</v>
      </c>
      <c r="M104" s="432" t="b">
        <v>1</v>
      </c>
      <c r="N104" s="432" t="b">
        <v>0</v>
      </c>
      <c r="O104" s="29" t="s">
        <v>1332</v>
      </c>
      <c r="P104" s="29" t="s">
        <v>142</v>
      </c>
      <c r="Q104" s="441">
        <f t="shared" si="185"/>
        <v>260</v>
      </c>
      <c r="R104" s="441">
        <f t="shared" si="186"/>
        <v>260</v>
      </c>
      <c r="S104" s="442">
        <f t="shared" si="646"/>
        <v>45.98</v>
      </c>
      <c r="T104" s="29" t="s">
        <v>1203</v>
      </c>
      <c r="U104" s="443" t="s">
        <v>119</v>
      </c>
      <c r="V104" s="245">
        <v>22.99</v>
      </c>
      <c r="W104" s="245">
        <v>104.95</v>
      </c>
      <c r="X104" s="444"/>
      <c r="Y104" s="245"/>
      <c r="Z104" s="245">
        <v>59.49</v>
      </c>
      <c r="AA104" s="245">
        <v>292.45</v>
      </c>
      <c r="AB104" s="463"/>
      <c r="AC104" s="464"/>
      <c r="AD104" s="516">
        <f t="shared" ref="AD104:AE104" si="671">1-(V104/Z104)</f>
        <v>0.61354849554547</v>
      </c>
      <c r="AE104" s="516">
        <f t="shared" si="671"/>
        <v>0.641135236792614</v>
      </c>
      <c r="AF104" s="245">
        <f t="shared" ref="AF104:AG104" si="672">(V104+Z104)/2</f>
        <v>41.24</v>
      </c>
      <c r="AG104" s="245">
        <f t="shared" si="672"/>
        <v>198.7</v>
      </c>
      <c r="AH104" s="305">
        <f t="shared" ref="AH104:AI104" si="673">1-(V104/AF104)</f>
        <v>0.442531522793405</v>
      </c>
      <c r="AI104" s="305">
        <f t="shared" si="673"/>
        <v>0.471816809260191</v>
      </c>
      <c r="AJ104" s="522">
        <f t="shared" si="522"/>
        <v>45.98</v>
      </c>
      <c r="AK104" s="245">
        <f t="shared" si="528"/>
        <v>209.9</v>
      </c>
      <c r="AL104" s="329">
        <f t="shared" ref="AL104:AM104" si="674">AJ104-Z104</f>
        <v>-13.51</v>
      </c>
      <c r="AM104" s="329">
        <f t="shared" si="674"/>
        <v>-82.55</v>
      </c>
      <c r="AN104" s="523">
        <f t="shared" si="8"/>
        <v>20</v>
      </c>
      <c r="AO104" s="487">
        <f t="shared" ref="AO104:AP104" si="675">V104+(V104*$AO$2)</f>
        <v>34.485</v>
      </c>
      <c r="AP104" s="475">
        <f t="shared" si="675"/>
        <v>157.425</v>
      </c>
      <c r="AQ104" s="432" t="b">
        <v>0</v>
      </c>
      <c r="AR104" s="485">
        <f t="shared" ref="AR104:AS104" si="676">AO104-Z104</f>
        <v>-25.005</v>
      </c>
      <c r="AS104" s="485">
        <f t="shared" si="676"/>
        <v>-135.025</v>
      </c>
      <c r="AT104" s="486">
        <f t="shared" si="11"/>
        <v>15</v>
      </c>
      <c r="AU104" s="301">
        <f t="shared" si="12"/>
        <v>180</v>
      </c>
      <c r="AV104" s="301">
        <f t="shared" si="195"/>
        <v>260</v>
      </c>
      <c r="AW104" s="29">
        <v>200</v>
      </c>
      <c r="AX104" s="29">
        <v>320</v>
      </c>
      <c r="AY104" s="29">
        <v>1</v>
      </c>
      <c r="AZ104" s="29"/>
      <c r="BA104" s="29"/>
      <c r="BB104" s="302">
        <f t="shared" si="653"/>
        <v>260</v>
      </c>
      <c r="BC104" s="301"/>
      <c r="BD104" s="303">
        <f t="shared" si="654"/>
        <v>130</v>
      </c>
      <c r="BE104" s="304" t="e">
        <f t="shared" si="655"/>
        <v>#DIV/0!</v>
      </c>
      <c r="BF104" s="307">
        <f t="shared" si="656"/>
        <v>104</v>
      </c>
      <c r="BG104" s="301"/>
      <c r="BH104" s="303">
        <f t="shared" si="657"/>
        <v>52</v>
      </c>
      <c r="BI104" s="304" t="e">
        <f t="shared" si="658"/>
        <v>#DIV/0!</v>
      </c>
      <c r="BK104" s="29"/>
      <c r="BL104" s="29"/>
      <c r="BP104" s="29" t="s">
        <v>1198</v>
      </c>
      <c r="BQ104" s="308"/>
      <c r="BR104" s="308"/>
      <c r="BS104" s="29"/>
      <c r="BT104" s="29" t="s">
        <v>1333</v>
      </c>
    </row>
    <row r="105" ht="12.75" spans="1:72">
      <c r="A105" s="29" t="s">
        <v>1038</v>
      </c>
      <c r="B105" s="29" t="s">
        <v>1249</v>
      </c>
      <c r="C105" s="29" t="s">
        <v>1334</v>
      </c>
      <c r="D105" s="308"/>
      <c r="E105" s="29" t="s">
        <v>1217</v>
      </c>
      <c r="F105" s="29" t="b">
        <v>1</v>
      </c>
      <c r="G105" s="29" t="b">
        <v>0</v>
      </c>
      <c r="H105" s="29" t="b">
        <v>0</v>
      </c>
      <c r="I105" s="29" t="b">
        <v>1</v>
      </c>
      <c r="J105" s="29" t="b">
        <v>1</v>
      </c>
      <c r="K105" s="29" t="b">
        <v>0</v>
      </c>
      <c r="L105" s="29" t="b">
        <v>0</v>
      </c>
      <c r="M105" s="432" t="b">
        <v>1</v>
      </c>
      <c r="N105" s="432" t="b">
        <v>1</v>
      </c>
      <c r="O105" s="29" t="s">
        <v>1335</v>
      </c>
      <c r="P105" s="29" t="s">
        <v>142</v>
      </c>
      <c r="Q105" s="441">
        <f t="shared" si="185"/>
        <v>260</v>
      </c>
      <c r="R105" s="441">
        <f t="shared" si="186"/>
        <v>260</v>
      </c>
      <c r="S105" s="442">
        <f t="shared" si="646"/>
        <v>71.98</v>
      </c>
      <c r="T105" s="29" t="s">
        <v>1203</v>
      </c>
      <c r="U105" s="443" t="s">
        <v>119</v>
      </c>
      <c r="V105" s="245">
        <v>35.99</v>
      </c>
      <c r="W105" s="245">
        <v>169.95</v>
      </c>
      <c r="X105" s="444"/>
      <c r="Y105" s="245"/>
      <c r="Z105" s="245">
        <v>374.95</v>
      </c>
      <c r="AA105" s="245">
        <v>75.99</v>
      </c>
      <c r="AB105" s="463"/>
      <c r="AC105" s="464"/>
      <c r="AD105" s="476">
        <f t="shared" ref="AD105:AE105" si="677">1-(V105/Z105)</f>
        <v>0.904013868515802</v>
      </c>
      <c r="AE105" s="476">
        <f t="shared" si="677"/>
        <v>-1.23647848401105</v>
      </c>
      <c r="AF105" s="475">
        <f t="shared" ref="AF105:AG105" si="678">(V105+Z105)/2</f>
        <v>205.47</v>
      </c>
      <c r="AG105" s="475">
        <f t="shared" si="678"/>
        <v>122.97</v>
      </c>
      <c r="AH105" s="483">
        <f t="shared" ref="AH105:AI105" si="679">1-(V105/AF105)</f>
        <v>0.824840609334696</v>
      </c>
      <c r="AI105" s="483">
        <f t="shared" si="679"/>
        <v>-0.382044401073433</v>
      </c>
      <c r="AJ105" s="487">
        <f t="shared" si="522"/>
        <v>71.98</v>
      </c>
      <c r="AK105" s="475">
        <f t="shared" si="528"/>
        <v>339.9</v>
      </c>
      <c r="AL105" s="485">
        <f t="shared" ref="AL105:AM105" si="680">AJ105-Z105</f>
        <v>-302.97</v>
      </c>
      <c r="AM105" s="485">
        <f t="shared" si="680"/>
        <v>263.91</v>
      </c>
      <c r="AN105" s="486">
        <f t="shared" si="8"/>
        <v>20.0000000000001</v>
      </c>
      <c r="AO105" s="487">
        <f t="shared" ref="AO105:AP105" si="681">V105+(V105*$AO$2)</f>
        <v>53.985</v>
      </c>
      <c r="AP105" s="475">
        <f t="shared" si="681"/>
        <v>254.925</v>
      </c>
      <c r="AQ105" s="432" t="b">
        <v>0</v>
      </c>
      <c r="AR105" s="485">
        <f t="shared" ref="AR105:AS105" si="682">AO105-Z105</f>
        <v>-320.965</v>
      </c>
      <c r="AS105" s="485">
        <f t="shared" si="682"/>
        <v>178.935</v>
      </c>
      <c r="AT105" s="486">
        <f t="shared" si="11"/>
        <v>15</v>
      </c>
      <c r="AU105" s="301">
        <f t="shared" si="12"/>
        <v>180</v>
      </c>
      <c r="AV105" s="301">
        <f t="shared" si="195"/>
        <v>260</v>
      </c>
      <c r="AW105" s="29">
        <v>200</v>
      </c>
      <c r="AX105" s="29">
        <v>320</v>
      </c>
      <c r="AY105" s="29">
        <v>1</v>
      </c>
      <c r="AZ105" s="29"/>
      <c r="BA105" s="29"/>
      <c r="BB105" s="302">
        <f t="shared" si="653"/>
        <v>260</v>
      </c>
      <c r="BC105" s="301"/>
      <c r="BD105" s="303">
        <f t="shared" si="654"/>
        <v>130</v>
      </c>
      <c r="BE105" s="304" t="e">
        <f t="shared" si="655"/>
        <v>#DIV/0!</v>
      </c>
      <c r="BF105" s="307">
        <f t="shared" si="656"/>
        <v>104</v>
      </c>
      <c r="BG105" s="301"/>
      <c r="BH105" s="303">
        <f t="shared" si="657"/>
        <v>52</v>
      </c>
      <c r="BI105" s="304" t="e">
        <f t="shared" si="658"/>
        <v>#DIV/0!</v>
      </c>
      <c r="BK105" s="29"/>
      <c r="BL105" s="29"/>
      <c r="BP105" s="29" t="s">
        <v>1198</v>
      </c>
      <c r="BQ105" s="308"/>
      <c r="BR105" s="308"/>
      <c r="BS105" s="29"/>
      <c r="BT105" s="29" t="s">
        <v>133</v>
      </c>
    </row>
    <row r="106" ht="12.75" spans="1:72">
      <c r="A106" s="29" t="s">
        <v>1038</v>
      </c>
      <c r="B106" s="29" t="s">
        <v>1249</v>
      </c>
      <c r="C106" s="29" t="s">
        <v>1336</v>
      </c>
      <c r="D106" s="308"/>
      <c r="E106" s="29" t="s">
        <v>1217</v>
      </c>
      <c r="F106" s="29" t="b">
        <v>1</v>
      </c>
      <c r="G106" s="29" t="b">
        <v>0</v>
      </c>
      <c r="H106" s="29" t="b">
        <v>0</v>
      </c>
      <c r="I106" s="29" t="b">
        <v>1</v>
      </c>
      <c r="J106" s="29" t="b">
        <v>1</v>
      </c>
      <c r="K106" s="29" t="b">
        <v>0</v>
      </c>
      <c r="L106" s="29" t="b">
        <v>0</v>
      </c>
      <c r="M106" s="432" t="b">
        <v>1</v>
      </c>
      <c r="N106" s="432" t="b">
        <v>1</v>
      </c>
      <c r="O106" s="29" t="s">
        <v>1337</v>
      </c>
      <c r="P106" s="29" t="s">
        <v>142</v>
      </c>
      <c r="Q106" s="441">
        <f t="shared" si="185"/>
        <v>275</v>
      </c>
      <c r="R106" s="441">
        <f t="shared" si="186"/>
        <v>275</v>
      </c>
      <c r="S106" s="442">
        <f t="shared" si="646"/>
        <v>81.7</v>
      </c>
      <c r="T106" s="29" t="s">
        <v>1203</v>
      </c>
      <c r="U106" s="443" t="s">
        <v>119</v>
      </c>
      <c r="V106" s="245">
        <v>40.85</v>
      </c>
      <c r="W106" s="245">
        <v>194.25</v>
      </c>
      <c r="X106" s="444"/>
      <c r="Y106" s="245"/>
      <c r="Z106" s="245">
        <v>97.99</v>
      </c>
      <c r="AA106" s="245">
        <v>484.95</v>
      </c>
      <c r="AB106" s="463"/>
      <c r="AC106" s="464"/>
      <c r="AD106" s="516">
        <f t="shared" ref="AD106:AE106" si="683">1-(V106/Z106)</f>
        <v>0.583120726604756</v>
      </c>
      <c r="AE106" s="516">
        <f t="shared" si="683"/>
        <v>0.599443241571296</v>
      </c>
      <c r="AF106" s="245">
        <f t="shared" ref="AF106:AG106" si="684">(V106+Z106)/2</f>
        <v>69.42</v>
      </c>
      <c r="AG106" s="245">
        <f t="shared" si="684"/>
        <v>339.6</v>
      </c>
      <c r="AH106" s="305">
        <f t="shared" ref="AH106:AI106" si="685">1-(V106/AF106)</f>
        <v>0.411552866609046</v>
      </c>
      <c r="AI106" s="305">
        <f t="shared" si="685"/>
        <v>0.428003533568905</v>
      </c>
      <c r="AJ106" s="522">
        <f t="shared" si="522"/>
        <v>81.7</v>
      </c>
      <c r="AK106" s="245">
        <f t="shared" si="528"/>
        <v>388.5</v>
      </c>
      <c r="AL106" s="329">
        <f t="shared" ref="AL106:AM106" si="686">AJ106-Z106</f>
        <v>-16.29</v>
      </c>
      <c r="AM106" s="329">
        <f t="shared" si="686"/>
        <v>-96.45</v>
      </c>
      <c r="AN106" s="523">
        <f t="shared" si="8"/>
        <v>20</v>
      </c>
      <c r="AO106" s="487">
        <f t="shared" ref="AO106:AP106" si="687">V106+(V106*$AO$2)</f>
        <v>61.275</v>
      </c>
      <c r="AP106" s="475">
        <f t="shared" si="687"/>
        <v>291.375</v>
      </c>
      <c r="AQ106" s="432" t="b">
        <v>0</v>
      </c>
      <c r="AR106" s="485">
        <f t="shared" ref="AR106:AS106" si="688">AO106-Z106</f>
        <v>-36.715</v>
      </c>
      <c r="AS106" s="485">
        <f t="shared" si="688"/>
        <v>-193.575</v>
      </c>
      <c r="AT106" s="486">
        <f t="shared" si="11"/>
        <v>15</v>
      </c>
      <c r="AU106" s="301">
        <f t="shared" si="12"/>
        <v>202.5</v>
      </c>
      <c r="AV106" s="301">
        <f t="shared" si="195"/>
        <v>275</v>
      </c>
      <c r="AW106" s="29">
        <v>225</v>
      </c>
      <c r="AX106" s="29">
        <v>325</v>
      </c>
      <c r="AY106" s="29">
        <v>1</v>
      </c>
      <c r="AZ106" s="29"/>
      <c r="BA106" s="29"/>
      <c r="BB106" s="302">
        <f t="shared" si="653"/>
        <v>275</v>
      </c>
      <c r="BC106" s="301"/>
      <c r="BD106" s="303">
        <f t="shared" si="654"/>
        <v>137.5</v>
      </c>
      <c r="BE106" s="304" t="e">
        <f t="shared" si="655"/>
        <v>#DIV/0!</v>
      </c>
      <c r="BF106" s="307">
        <f t="shared" si="656"/>
        <v>110</v>
      </c>
      <c r="BG106" s="301"/>
      <c r="BH106" s="303">
        <f t="shared" si="657"/>
        <v>55</v>
      </c>
      <c r="BI106" s="304" t="e">
        <f t="shared" si="658"/>
        <v>#DIV/0!</v>
      </c>
      <c r="BK106" s="29"/>
      <c r="BL106" s="29"/>
      <c r="BP106" s="29" t="s">
        <v>1198</v>
      </c>
      <c r="BQ106" s="308"/>
      <c r="BR106" s="308"/>
      <c r="BS106" s="29"/>
      <c r="BT106" s="29" t="s">
        <v>1338</v>
      </c>
    </row>
    <row r="107" ht="12.75" spans="1:72">
      <c r="A107" s="29" t="s">
        <v>1038</v>
      </c>
      <c r="B107" s="29" t="s">
        <v>1249</v>
      </c>
      <c r="C107" s="29" t="s">
        <v>1336</v>
      </c>
      <c r="D107" s="308"/>
      <c r="E107" s="29" t="s">
        <v>1201</v>
      </c>
      <c r="F107" s="29" t="b">
        <v>1</v>
      </c>
      <c r="G107" s="29" t="b">
        <v>0</v>
      </c>
      <c r="H107" s="29" t="b">
        <v>0</v>
      </c>
      <c r="I107" s="29" t="b">
        <v>1</v>
      </c>
      <c r="J107" s="29" t="b">
        <v>0</v>
      </c>
      <c r="K107" s="29" t="b">
        <v>0</v>
      </c>
      <c r="L107" s="29" t="b">
        <v>0</v>
      </c>
      <c r="M107" s="432" t="b">
        <v>1</v>
      </c>
      <c r="N107" s="432" t="b">
        <v>1</v>
      </c>
      <c r="O107" s="29" t="s">
        <v>1339</v>
      </c>
      <c r="P107" s="29" t="s">
        <v>142</v>
      </c>
      <c r="Q107" s="441">
        <f t="shared" si="185"/>
        <v>275</v>
      </c>
      <c r="R107" s="441">
        <f t="shared" si="186"/>
        <v>275</v>
      </c>
      <c r="S107" s="442">
        <f t="shared" si="646"/>
        <v>85.7</v>
      </c>
      <c r="T107" s="29" t="s">
        <v>1203</v>
      </c>
      <c r="U107" s="443" t="s">
        <v>119</v>
      </c>
      <c r="V107" s="245">
        <v>42.85</v>
      </c>
      <c r="W107" s="245">
        <v>204.25</v>
      </c>
      <c r="X107" s="444"/>
      <c r="Y107" s="245"/>
      <c r="Z107" s="245">
        <v>99.99</v>
      </c>
      <c r="AA107" s="245">
        <v>494.95</v>
      </c>
      <c r="AB107" s="463"/>
      <c r="AC107" s="464"/>
      <c r="AD107" s="516">
        <f t="shared" ref="AD107:AE107" si="689">1-(V107/Z107)</f>
        <v>0.571457145714571</v>
      </c>
      <c r="AE107" s="516">
        <f t="shared" si="689"/>
        <v>0.587332053742802</v>
      </c>
      <c r="AF107" s="245">
        <f t="shared" ref="AF107:AG107" si="690">(V107+Z107)/2</f>
        <v>71.42</v>
      </c>
      <c r="AG107" s="245">
        <f t="shared" si="690"/>
        <v>349.6</v>
      </c>
      <c r="AH107" s="305">
        <f t="shared" ref="AH107:AI107" si="691">1-(V107/AF107)</f>
        <v>0.400028003360403</v>
      </c>
      <c r="AI107" s="305">
        <f t="shared" si="691"/>
        <v>0.415760869565217</v>
      </c>
      <c r="AJ107" s="522">
        <f t="shared" si="522"/>
        <v>85.7</v>
      </c>
      <c r="AK107" s="245">
        <f t="shared" si="528"/>
        <v>408.5</v>
      </c>
      <c r="AL107" s="329">
        <f t="shared" ref="AL107:AM107" si="692">AJ107-Z107</f>
        <v>-14.29</v>
      </c>
      <c r="AM107" s="329">
        <f t="shared" si="692"/>
        <v>-86.45</v>
      </c>
      <c r="AN107" s="523">
        <f t="shared" si="8"/>
        <v>20</v>
      </c>
      <c r="AO107" s="487">
        <f t="shared" ref="AO107:AP107" si="693">V107+(V107*$AO$2)</f>
        <v>64.275</v>
      </c>
      <c r="AP107" s="475">
        <f t="shared" si="693"/>
        <v>306.375</v>
      </c>
      <c r="AQ107" s="432" t="b">
        <v>0</v>
      </c>
      <c r="AR107" s="485">
        <f t="shared" ref="AR107:AS107" si="694">AO107-Z107</f>
        <v>-35.715</v>
      </c>
      <c r="AS107" s="485">
        <f t="shared" si="694"/>
        <v>-188.575</v>
      </c>
      <c r="AT107" s="486">
        <f t="shared" si="11"/>
        <v>15</v>
      </c>
      <c r="AU107" s="301">
        <f t="shared" si="12"/>
        <v>202.5</v>
      </c>
      <c r="AV107" s="301">
        <f t="shared" si="195"/>
        <v>275</v>
      </c>
      <c r="AW107" s="29">
        <v>225</v>
      </c>
      <c r="AX107" s="29">
        <v>325</v>
      </c>
      <c r="AY107" s="29">
        <v>1</v>
      </c>
      <c r="AZ107" s="29"/>
      <c r="BA107" s="29"/>
      <c r="BB107" s="302">
        <f t="shared" si="653"/>
        <v>275</v>
      </c>
      <c r="BC107" s="301"/>
      <c r="BD107" s="303">
        <f t="shared" si="654"/>
        <v>137.5</v>
      </c>
      <c r="BE107" s="304" t="e">
        <f t="shared" si="655"/>
        <v>#DIV/0!</v>
      </c>
      <c r="BF107" s="307">
        <f t="shared" si="656"/>
        <v>110</v>
      </c>
      <c r="BG107" s="301"/>
      <c r="BH107" s="303">
        <f t="shared" si="657"/>
        <v>55</v>
      </c>
      <c r="BI107" s="304" t="e">
        <f t="shared" si="658"/>
        <v>#DIV/0!</v>
      </c>
      <c r="BK107" s="29"/>
      <c r="BL107" s="29"/>
      <c r="BP107" s="29" t="s">
        <v>1198</v>
      </c>
      <c r="BQ107" s="308"/>
      <c r="BR107" s="308"/>
      <c r="BS107" s="29"/>
      <c r="BT107" s="29" t="s">
        <v>1340</v>
      </c>
    </row>
    <row r="108" ht="12.75" spans="1:72">
      <c r="A108" s="288" t="s">
        <v>1038</v>
      </c>
      <c r="B108" s="288" t="s">
        <v>1249</v>
      </c>
      <c r="C108" s="288" t="s">
        <v>1341</v>
      </c>
      <c r="D108" s="288" t="s">
        <v>1200</v>
      </c>
      <c r="E108" s="288" t="s">
        <v>1342</v>
      </c>
      <c r="F108" s="288" t="b">
        <v>0</v>
      </c>
      <c r="G108" s="288" t="b">
        <v>0</v>
      </c>
      <c r="H108" s="288" t="b">
        <v>0</v>
      </c>
      <c r="I108" s="288" t="b">
        <v>0</v>
      </c>
      <c r="J108" s="288" t="b">
        <v>0</v>
      </c>
      <c r="K108" s="288" t="b">
        <v>1</v>
      </c>
      <c r="L108" s="288" t="b">
        <v>0</v>
      </c>
      <c r="M108" s="502" t="b">
        <v>1</v>
      </c>
      <c r="N108" s="502" t="b">
        <v>1</v>
      </c>
      <c r="O108" s="288"/>
      <c r="P108" s="288" t="s">
        <v>120</v>
      </c>
      <c r="Q108" s="441">
        <f t="shared" si="185"/>
        <v>0</v>
      </c>
      <c r="R108" s="441">
        <f t="shared" si="186"/>
        <v>0</v>
      </c>
      <c r="S108" s="442" t="e">
        <f t="shared" si="646"/>
        <v>#VALUE!</v>
      </c>
      <c r="T108" s="509"/>
      <c r="U108" s="443" t="s">
        <v>119</v>
      </c>
      <c r="V108" s="252" t="s">
        <v>119</v>
      </c>
      <c r="W108" s="252">
        <v>295.45</v>
      </c>
      <c r="X108" s="510"/>
      <c r="Y108" s="252"/>
      <c r="Z108" s="252" t="s">
        <v>119</v>
      </c>
      <c r="AA108" s="252">
        <v>384.95</v>
      </c>
      <c r="AB108" s="463"/>
      <c r="AC108" s="464"/>
      <c r="AD108" s="474" t="e">
        <f t="shared" ref="AD108:AE108" si="695">1-(V108/Z108)</f>
        <v>#VALUE!</v>
      </c>
      <c r="AE108" s="474">
        <f t="shared" si="695"/>
        <v>0.23249772697753</v>
      </c>
      <c r="AF108" s="252" t="e">
        <f t="shared" ref="AF108:AG108" si="696">(V108+Z108)/2</f>
        <v>#VALUE!</v>
      </c>
      <c r="AG108" s="252">
        <f t="shared" si="696"/>
        <v>340.2</v>
      </c>
      <c r="AH108" s="286" t="e">
        <f t="shared" ref="AH108:AI108" si="697">1-(V108/AF108)</f>
        <v>#VALUE!</v>
      </c>
      <c r="AI108" s="286">
        <f t="shared" si="697"/>
        <v>0.131540270429159</v>
      </c>
      <c r="AJ108" s="484" t="e">
        <f t="shared" si="522"/>
        <v>#VALUE!</v>
      </c>
      <c r="AK108" s="252">
        <f t="shared" si="528"/>
        <v>590.9</v>
      </c>
      <c r="AL108" s="485" t="e">
        <f t="shared" ref="AL108:AM108" si="698">AJ108-Z108</f>
        <v>#VALUE!</v>
      </c>
      <c r="AM108" s="485">
        <f t="shared" si="698"/>
        <v>205.95</v>
      </c>
      <c r="AN108" s="486" t="e">
        <f t="shared" si="8"/>
        <v>#VALUE!</v>
      </c>
      <c r="AO108" s="487" t="e">
        <f t="shared" ref="AO108:AP108" si="699">V108+(V108*$AO$2)</f>
        <v>#VALUE!</v>
      </c>
      <c r="AP108" s="475">
        <f t="shared" si="699"/>
        <v>443.175</v>
      </c>
      <c r="AQ108" s="502" t="b">
        <v>0</v>
      </c>
      <c r="AR108" s="485" t="e">
        <f t="shared" ref="AR108:AS108" si="700">AO108-Z108</f>
        <v>#VALUE!</v>
      </c>
      <c r="AS108" s="485">
        <f t="shared" si="700"/>
        <v>58.225</v>
      </c>
      <c r="AT108" s="486" t="e">
        <f t="shared" si="11"/>
        <v>#VALUE!</v>
      </c>
      <c r="AU108" s="301">
        <f t="shared" si="12"/>
        <v>0</v>
      </c>
      <c r="AV108" s="301">
        <f t="shared" si="195"/>
        <v>0</v>
      </c>
      <c r="AW108" s="509"/>
      <c r="AX108" s="509"/>
      <c r="AY108" s="509"/>
      <c r="AZ108" s="509"/>
      <c r="BA108" s="509"/>
      <c r="BB108" s="302">
        <f t="shared" si="653"/>
        <v>0</v>
      </c>
      <c r="BC108" s="301"/>
      <c r="BD108" s="303">
        <f t="shared" si="654"/>
        <v>0</v>
      </c>
      <c r="BE108" s="304" t="e">
        <f t="shared" si="655"/>
        <v>#DIV/0!</v>
      </c>
      <c r="BF108" s="307">
        <f t="shared" si="656"/>
        <v>0</v>
      </c>
      <c r="BG108" s="301"/>
      <c r="BH108" s="303">
        <f t="shared" si="657"/>
        <v>0</v>
      </c>
      <c r="BI108" s="304" t="e">
        <f t="shared" si="658"/>
        <v>#DIV/0!</v>
      </c>
      <c r="BJ108" s="509"/>
      <c r="BK108" s="288"/>
      <c r="BL108" s="288"/>
      <c r="BM108" s="509"/>
      <c r="BN108" s="509"/>
      <c r="BO108" s="509"/>
      <c r="BP108" s="288" t="s">
        <v>1198</v>
      </c>
      <c r="BQ108" s="288"/>
      <c r="BR108" s="288"/>
      <c r="BS108" s="288"/>
      <c r="BT108" s="288" t="s">
        <v>1343</v>
      </c>
    </row>
    <row r="109" ht="12.75" spans="1:72">
      <c r="A109" s="29" t="s">
        <v>1038</v>
      </c>
      <c r="B109" s="29" t="s">
        <v>1249</v>
      </c>
      <c r="C109" s="29" t="s">
        <v>1344</v>
      </c>
      <c r="D109" s="308"/>
      <c r="E109" s="29" t="s">
        <v>1217</v>
      </c>
      <c r="F109" s="29" t="b">
        <v>1</v>
      </c>
      <c r="G109" s="29" t="b">
        <v>0</v>
      </c>
      <c r="H109" s="29" t="b">
        <v>0</v>
      </c>
      <c r="I109" s="29" t="b">
        <v>1</v>
      </c>
      <c r="J109" s="29" t="b">
        <v>1</v>
      </c>
      <c r="K109" s="29" t="b">
        <v>0</v>
      </c>
      <c r="L109" s="29" t="b">
        <v>0</v>
      </c>
      <c r="M109" s="432" t="b">
        <v>1</v>
      </c>
      <c r="N109" s="432" t="b">
        <v>1</v>
      </c>
      <c r="O109" s="29" t="s">
        <v>1345</v>
      </c>
      <c r="P109" s="29" t="s">
        <v>142</v>
      </c>
      <c r="Q109" s="441">
        <f t="shared" si="185"/>
        <v>97.5</v>
      </c>
      <c r="R109" s="441">
        <f t="shared" si="186"/>
        <v>97.5</v>
      </c>
      <c r="S109" s="442">
        <f t="shared" si="646"/>
        <v>73.1</v>
      </c>
      <c r="T109" s="29" t="s">
        <v>1203</v>
      </c>
      <c r="U109" s="443" t="s">
        <v>119</v>
      </c>
      <c r="V109" s="245">
        <v>36.55</v>
      </c>
      <c r="W109" s="245">
        <v>172.75</v>
      </c>
      <c r="X109" s="444"/>
      <c r="Y109" s="245"/>
      <c r="Z109" s="245">
        <v>89.99</v>
      </c>
      <c r="AA109" s="245">
        <v>444.95</v>
      </c>
      <c r="AB109" s="463"/>
      <c r="AC109" s="464"/>
      <c r="AD109" s="516">
        <f t="shared" ref="AD109:AE109" si="701">1-(V109/Z109)</f>
        <v>0.593843760417824</v>
      </c>
      <c r="AE109" s="516">
        <f t="shared" si="701"/>
        <v>0.611754129677492</v>
      </c>
      <c r="AF109" s="245">
        <f t="shared" ref="AF109:AG109" si="702">(V109+Z109)/2</f>
        <v>63.27</v>
      </c>
      <c r="AG109" s="245">
        <f t="shared" si="702"/>
        <v>308.85</v>
      </c>
      <c r="AH109" s="305">
        <f t="shared" ref="AH109:AI109" si="703">1-(V109/AF109)</f>
        <v>0.422317053896001</v>
      </c>
      <c r="AI109" s="305">
        <f t="shared" si="703"/>
        <v>0.440666990448438</v>
      </c>
      <c r="AJ109" s="522">
        <f t="shared" si="522"/>
        <v>73.1</v>
      </c>
      <c r="AK109" s="245">
        <f t="shared" si="528"/>
        <v>345.5</v>
      </c>
      <c r="AL109" s="329">
        <f t="shared" ref="AL109:AM109" si="704">AJ109-Z109</f>
        <v>-16.89</v>
      </c>
      <c r="AM109" s="329">
        <f t="shared" si="704"/>
        <v>-99.45</v>
      </c>
      <c r="AN109" s="523">
        <f t="shared" si="8"/>
        <v>20</v>
      </c>
      <c r="AO109" s="487">
        <f t="shared" ref="AO109:AP109" si="705">V109+(V109*$AO$2)</f>
        <v>54.825</v>
      </c>
      <c r="AP109" s="475">
        <f t="shared" si="705"/>
        <v>259.125</v>
      </c>
      <c r="AQ109" s="432" t="b">
        <v>0</v>
      </c>
      <c r="AR109" s="485">
        <f t="shared" ref="AR109:AS109" si="706">AO109-Z109</f>
        <v>-35.165</v>
      </c>
      <c r="AS109" s="485">
        <f t="shared" si="706"/>
        <v>-185.825</v>
      </c>
      <c r="AT109" s="486">
        <f t="shared" si="11"/>
        <v>15</v>
      </c>
      <c r="AU109" s="301">
        <f t="shared" si="12"/>
        <v>76.5</v>
      </c>
      <c r="AV109" s="301">
        <f t="shared" si="195"/>
        <v>97.5</v>
      </c>
      <c r="AW109" s="29">
        <v>85</v>
      </c>
      <c r="AX109" s="29">
        <v>110</v>
      </c>
      <c r="AY109" s="29">
        <v>1</v>
      </c>
      <c r="AZ109" s="29"/>
      <c r="BA109" s="29"/>
      <c r="BB109" s="302">
        <f t="shared" si="653"/>
        <v>97.5</v>
      </c>
      <c r="BC109" s="301"/>
      <c r="BD109" s="303">
        <f t="shared" si="654"/>
        <v>48.75</v>
      </c>
      <c r="BE109" s="304" t="e">
        <f t="shared" si="655"/>
        <v>#DIV/0!</v>
      </c>
      <c r="BF109" s="307">
        <f t="shared" si="656"/>
        <v>39</v>
      </c>
      <c r="BG109" s="301"/>
      <c r="BH109" s="303">
        <f t="shared" si="657"/>
        <v>19.5</v>
      </c>
      <c r="BI109" s="304" t="e">
        <f t="shared" si="658"/>
        <v>#DIV/0!</v>
      </c>
      <c r="BK109" s="29"/>
      <c r="BL109" s="29"/>
      <c r="BP109" s="29" t="s">
        <v>1346</v>
      </c>
      <c r="BQ109" s="308"/>
      <c r="BR109" s="308"/>
      <c r="BS109" s="29"/>
      <c r="BT109" s="29" t="s">
        <v>1347</v>
      </c>
    </row>
    <row r="110" ht="12.75" spans="1:70">
      <c r="A110" s="29" t="s">
        <v>1044</v>
      </c>
      <c r="B110" s="29" t="s">
        <v>1301</v>
      </c>
      <c r="C110" s="29" t="s">
        <v>1348</v>
      </c>
      <c r="D110" s="29" t="s">
        <v>1349</v>
      </c>
      <c r="F110" s="29" t="b">
        <v>1</v>
      </c>
      <c r="G110" s="29"/>
      <c r="H110" s="29" t="b">
        <v>0</v>
      </c>
      <c r="I110" s="29" t="b">
        <v>1</v>
      </c>
      <c r="J110" s="29" t="b">
        <v>0</v>
      </c>
      <c r="K110" s="29" t="b">
        <v>0</v>
      </c>
      <c r="L110" s="29" t="b">
        <v>0</v>
      </c>
      <c r="M110" s="432" t="b">
        <v>0</v>
      </c>
      <c r="N110" s="432" t="b">
        <v>0</v>
      </c>
      <c r="P110" s="29" t="s">
        <v>120</v>
      </c>
      <c r="Q110" s="441">
        <f t="shared" si="185"/>
        <v>0</v>
      </c>
      <c r="R110" s="441">
        <f t="shared" si="186"/>
        <v>0</v>
      </c>
      <c r="S110" s="442">
        <f t="shared" si="646"/>
        <v>48.56</v>
      </c>
      <c r="T110" s="29" t="s">
        <v>1222</v>
      </c>
      <c r="U110" s="443"/>
      <c r="V110" s="245">
        <v>24.28</v>
      </c>
      <c r="W110" s="245"/>
      <c r="X110" s="444"/>
      <c r="Y110" s="245"/>
      <c r="Z110" s="245"/>
      <c r="AA110" s="245"/>
      <c r="AB110" s="463">
        <f t="shared" ref="AB110:AC110" si="707">V110-X110</f>
        <v>24.28</v>
      </c>
      <c r="AC110" s="464">
        <f t="shared" si="707"/>
        <v>0</v>
      </c>
      <c r="AD110" s="474" t="e">
        <f t="shared" ref="AD110:AE110" si="708">1-(V110/Z110)</f>
        <v>#DIV/0!</v>
      </c>
      <c r="AE110" s="474" t="e">
        <f t="shared" si="708"/>
        <v>#DIV/0!</v>
      </c>
      <c r="AF110" s="475"/>
      <c r="AG110" s="475"/>
      <c r="AH110" s="483"/>
      <c r="AI110" s="483"/>
      <c r="AJ110" s="484">
        <f t="shared" si="522"/>
        <v>48.56</v>
      </c>
      <c r="AK110" s="252">
        <f t="shared" si="528"/>
        <v>0</v>
      </c>
      <c r="AL110" s="485">
        <f t="shared" ref="AL110:AL112" si="709">AJ110-V110</f>
        <v>24.28</v>
      </c>
      <c r="AM110" s="485">
        <f t="shared" ref="AM110:AM112" si="710">AK110-AA110</f>
        <v>0</v>
      </c>
      <c r="AN110" s="486">
        <f t="shared" si="8"/>
        <v>242.8</v>
      </c>
      <c r="AO110" s="487">
        <f t="shared" ref="AO110:AP110" si="711">V110+(V110*$AO$2)</f>
        <v>36.42</v>
      </c>
      <c r="AP110" s="475">
        <f t="shared" si="711"/>
        <v>0</v>
      </c>
      <c r="AQ110" s="432" t="b">
        <v>0</v>
      </c>
      <c r="AR110" s="485">
        <f t="shared" ref="AR110:AS110" si="712">AO110-Z110</f>
        <v>36.42</v>
      </c>
      <c r="AS110" s="485">
        <f t="shared" si="712"/>
        <v>0</v>
      </c>
      <c r="AT110" s="486">
        <f t="shared" si="11"/>
        <v>182.1</v>
      </c>
      <c r="AU110" s="301">
        <f t="shared" si="12"/>
        <v>0</v>
      </c>
      <c r="AV110" s="301">
        <f t="shared" si="195"/>
        <v>0</v>
      </c>
      <c r="AW110" s="29"/>
      <c r="AX110" s="29"/>
      <c r="BB110" s="302"/>
      <c r="BC110" s="301"/>
      <c r="BD110" s="303"/>
      <c r="BE110" s="304"/>
      <c r="BF110" s="307"/>
      <c r="BG110" s="301"/>
      <c r="BH110" s="303"/>
      <c r="BI110" s="304"/>
      <c r="BK110" s="29"/>
      <c r="BL110" s="29"/>
      <c r="BQ110" s="308"/>
      <c r="BR110" s="308"/>
    </row>
    <row r="111" ht="12.75" spans="1:70">
      <c r="A111" s="29" t="s">
        <v>1022</v>
      </c>
      <c r="B111" s="29" t="s">
        <v>1350</v>
      </c>
      <c r="C111" s="29" t="s">
        <v>1351</v>
      </c>
      <c r="D111" s="29" t="s">
        <v>1352</v>
      </c>
      <c r="F111" s="29" t="b">
        <v>1</v>
      </c>
      <c r="G111" s="29" t="b">
        <v>0</v>
      </c>
      <c r="H111" s="29" t="b">
        <v>0</v>
      </c>
      <c r="I111" s="29" t="b">
        <v>1</v>
      </c>
      <c r="J111" s="29" t="b">
        <v>0</v>
      </c>
      <c r="K111" s="29" t="b">
        <v>0</v>
      </c>
      <c r="L111" s="29" t="b">
        <v>0</v>
      </c>
      <c r="M111" s="432" t="b">
        <v>0</v>
      </c>
      <c r="N111" s="432" t="b">
        <v>0</v>
      </c>
      <c r="O111" s="29" t="s">
        <v>1351</v>
      </c>
      <c r="P111" s="29"/>
      <c r="Q111" s="441">
        <f t="shared" si="185"/>
        <v>400</v>
      </c>
      <c r="R111" s="441">
        <f t="shared" si="186"/>
        <v>400</v>
      </c>
      <c r="S111" s="442">
        <f t="shared" si="646"/>
        <v>279.98</v>
      </c>
      <c r="T111" s="29" t="s">
        <v>1203</v>
      </c>
      <c r="U111" s="443"/>
      <c r="V111" s="245">
        <v>139.99</v>
      </c>
      <c r="W111" s="245"/>
      <c r="X111" s="444"/>
      <c r="Y111" s="245"/>
      <c r="Z111" s="245"/>
      <c r="AA111" s="245"/>
      <c r="AB111" s="463">
        <f t="shared" ref="AB111:AC111" si="713">V111-X111</f>
        <v>139.99</v>
      </c>
      <c r="AC111" s="464">
        <f t="shared" si="713"/>
        <v>0</v>
      </c>
      <c r="AD111" s="474" t="e">
        <f t="shared" ref="AD111:AE111" si="714">1-(V111/Z111)</f>
        <v>#DIV/0!</v>
      </c>
      <c r="AE111" s="474" t="e">
        <f t="shared" si="714"/>
        <v>#DIV/0!</v>
      </c>
      <c r="AF111" s="475"/>
      <c r="AG111" s="475"/>
      <c r="AH111" s="483"/>
      <c r="AI111" s="483"/>
      <c r="AJ111" s="484">
        <f t="shared" si="522"/>
        <v>279.98</v>
      </c>
      <c r="AK111" s="252">
        <f t="shared" si="528"/>
        <v>0</v>
      </c>
      <c r="AL111" s="485">
        <f t="shared" si="709"/>
        <v>139.99</v>
      </c>
      <c r="AM111" s="485">
        <f t="shared" si="710"/>
        <v>0</v>
      </c>
      <c r="AN111" s="486">
        <f t="shared" si="8"/>
        <v>1399.9</v>
      </c>
      <c r="AO111" s="487">
        <f t="shared" ref="AO111:AP111" si="715">V111+(V111*$AO$2)</f>
        <v>209.985</v>
      </c>
      <c r="AP111" s="475">
        <f t="shared" si="715"/>
        <v>0</v>
      </c>
      <c r="AQ111" s="432" t="b">
        <v>0</v>
      </c>
      <c r="AR111" s="485">
        <f t="shared" ref="AR111:AS111" si="716">AO111-Z111</f>
        <v>209.985</v>
      </c>
      <c r="AS111" s="485">
        <f t="shared" si="716"/>
        <v>0</v>
      </c>
      <c r="AT111" s="486">
        <f t="shared" si="11"/>
        <v>1049.925</v>
      </c>
      <c r="AU111" s="301">
        <f t="shared" si="12"/>
        <v>315</v>
      </c>
      <c r="AV111" s="301">
        <f t="shared" si="195"/>
        <v>400</v>
      </c>
      <c r="AW111" s="29">
        <v>350</v>
      </c>
      <c r="AX111" s="29">
        <v>450</v>
      </c>
      <c r="BB111" s="302"/>
      <c r="BC111" s="301"/>
      <c r="BD111" s="303"/>
      <c r="BE111" s="304"/>
      <c r="BF111" s="307"/>
      <c r="BG111" s="301"/>
      <c r="BH111" s="303"/>
      <c r="BI111" s="304"/>
      <c r="BJ111" s="29" t="s">
        <v>1353</v>
      </c>
      <c r="BK111" s="164" t="s">
        <v>1354</v>
      </c>
      <c r="BL111" s="29"/>
      <c r="BQ111" s="308"/>
      <c r="BR111" s="308"/>
    </row>
    <row r="112" ht="12.75" spans="1:70">
      <c r="A112" s="29" t="s">
        <v>1038</v>
      </c>
      <c r="B112" s="29" t="s">
        <v>1249</v>
      </c>
      <c r="C112" s="29" t="s">
        <v>1355</v>
      </c>
      <c r="D112" s="308"/>
      <c r="E112" s="29" t="s">
        <v>13</v>
      </c>
      <c r="F112" s="29" t="b">
        <v>0</v>
      </c>
      <c r="G112" s="29" t="b">
        <v>1</v>
      </c>
      <c r="H112" s="29" t="b">
        <v>0</v>
      </c>
      <c r="I112" s="29" t="b">
        <v>0</v>
      </c>
      <c r="J112" s="29" t="b">
        <v>0</v>
      </c>
      <c r="K112" s="29" t="b">
        <v>1</v>
      </c>
      <c r="L112" s="29" t="b">
        <v>0</v>
      </c>
      <c r="M112" s="432" t="b">
        <v>0</v>
      </c>
      <c r="N112" s="432" t="b">
        <v>0</v>
      </c>
      <c r="P112" s="29" t="s">
        <v>120</v>
      </c>
      <c r="Q112" s="441">
        <f t="shared" si="185"/>
        <v>0</v>
      </c>
      <c r="R112" s="441">
        <f t="shared" si="186"/>
        <v>0</v>
      </c>
      <c r="S112" s="442">
        <f t="shared" si="646"/>
        <v>0</v>
      </c>
      <c r="T112" s="308"/>
      <c r="U112" s="443"/>
      <c r="V112" s="245"/>
      <c r="W112" s="245"/>
      <c r="X112" s="444"/>
      <c r="Y112" s="245"/>
      <c r="Z112" s="245"/>
      <c r="AA112" s="245"/>
      <c r="AB112" s="463">
        <f t="shared" ref="AB112:AC112" si="717">V112-X112</f>
        <v>0</v>
      </c>
      <c r="AC112" s="464">
        <f t="shared" si="717"/>
        <v>0</v>
      </c>
      <c r="AD112" s="474" t="e">
        <f t="shared" ref="AD112:AE112" si="718">1-(V112/Z112)</f>
        <v>#DIV/0!</v>
      </c>
      <c r="AE112" s="474" t="e">
        <f t="shared" si="718"/>
        <v>#DIV/0!</v>
      </c>
      <c r="AF112" s="475"/>
      <c r="AG112" s="475"/>
      <c r="AH112" s="483"/>
      <c r="AI112" s="483"/>
      <c r="AJ112" s="484">
        <f t="shared" si="522"/>
        <v>0</v>
      </c>
      <c r="AK112" s="252">
        <f t="shared" si="528"/>
        <v>0</v>
      </c>
      <c r="AL112" s="485">
        <f t="shared" si="709"/>
        <v>0</v>
      </c>
      <c r="AM112" s="485">
        <f t="shared" si="710"/>
        <v>0</v>
      </c>
      <c r="AN112" s="486">
        <f t="shared" si="8"/>
        <v>0</v>
      </c>
      <c r="AO112" s="487">
        <f t="shared" ref="AO112:AP112" si="719">V112+(V112*$AO$2)</f>
        <v>0</v>
      </c>
      <c r="AP112" s="475">
        <f t="shared" si="719"/>
        <v>0</v>
      </c>
      <c r="AQ112" s="432" t="b">
        <v>0</v>
      </c>
      <c r="AR112" s="485">
        <f t="shared" ref="AR112:AS112" si="720">AO112-Z112</f>
        <v>0</v>
      </c>
      <c r="AS112" s="485">
        <f t="shared" si="720"/>
        <v>0</v>
      </c>
      <c r="AT112" s="486">
        <f t="shared" si="11"/>
        <v>0</v>
      </c>
      <c r="AU112" s="301">
        <f t="shared" si="12"/>
        <v>0</v>
      </c>
      <c r="AV112" s="301">
        <f t="shared" si="195"/>
        <v>0</v>
      </c>
      <c r="BB112" s="302">
        <f t="shared" ref="BB112:BB115" si="721">AV112</f>
        <v>0</v>
      </c>
      <c r="BC112" s="301"/>
      <c r="BD112" s="303">
        <f t="shared" ref="BD112:BD115" si="722">(BB112+BC112)/2</f>
        <v>0</v>
      </c>
      <c r="BE112" s="304" t="e">
        <f t="shared" ref="BE112:BE115" si="723">BB112/BC112</f>
        <v>#DIV/0!</v>
      </c>
      <c r="BF112" s="307">
        <f t="shared" ref="BF112:BF115" si="724">BB112*$BF$1</f>
        <v>0</v>
      </c>
      <c r="BG112" s="301"/>
      <c r="BH112" s="303">
        <f t="shared" ref="BH112:BH115" si="725">(BF112+BG112)/2</f>
        <v>0</v>
      </c>
      <c r="BI112" s="304" t="e">
        <f t="shared" ref="BI112:BI115" si="726">BF112/BG112</f>
        <v>#DIV/0!</v>
      </c>
      <c r="BK112" s="29"/>
      <c r="BL112" s="29"/>
      <c r="BQ112" s="308"/>
      <c r="BR112" s="308"/>
    </row>
    <row r="113" ht="12.75" spans="1:70">
      <c r="A113" s="29" t="s">
        <v>1022</v>
      </c>
      <c r="B113" s="29" t="s">
        <v>1195</v>
      </c>
      <c r="C113" s="29" t="s">
        <v>691</v>
      </c>
      <c r="D113" s="29" t="s">
        <v>1356</v>
      </c>
      <c r="E113" s="29" t="s">
        <v>1255</v>
      </c>
      <c r="F113" s="29" t="b">
        <v>0</v>
      </c>
      <c r="G113" s="29" t="b">
        <v>1</v>
      </c>
      <c r="H113" s="29" t="b">
        <v>0</v>
      </c>
      <c r="I113" s="29" t="b">
        <v>0</v>
      </c>
      <c r="J113" s="29" t="b">
        <v>0</v>
      </c>
      <c r="K113" s="29" t="b">
        <v>0</v>
      </c>
      <c r="L113" s="29" t="b">
        <v>0</v>
      </c>
      <c r="M113" s="432" t="b">
        <v>0</v>
      </c>
      <c r="N113" s="432" t="b">
        <v>1</v>
      </c>
      <c r="P113" s="29" t="s">
        <v>120</v>
      </c>
      <c r="Q113" s="441">
        <f t="shared" si="185"/>
        <v>400</v>
      </c>
      <c r="R113" s="441">
        <f t="shared" si="186"/>
        <v>400</v>
      </c>
      <c r="S113" s="442">
        <f t="shared" si="646"/>
        <v>0</v>
      </c>
      <c r="T113" s="308"/>
      <c r="U113" s="443"/>
      <c r="V113" s="245"/>
      <c r="W113" s="245"/>
      <c r="X113" s="444">
        <v>49.55</v>
      </c>
      <c r="Y113" s="245">
        <v>243.79</v>
      </c>
      <c r="Z113" s="245"/>
      <c r="AA113" s="245"/>
      <c r="AB113" s="463">
        <f t="shared" ref="AB113:AC113" si="727">V113-X113</f>
        <v>-49.55</v>
      </c>
      <c r="AC113" s="464">
        <f t="shared" si="727"/>
        <v>-243.79</v>
      </c>
      <c r="AD113" s="474" t="e">
        <f t="shared" ref="AD113:AE113" si="728">1-(V113/Z113)</f>
        <v>#DIV/0!</v>
      </c>
      <c r="AE113" s="474" t="e">
        <f t="shared" si="728"/>
        <v>#DIV/0!</v>
      </c>
      <c r="AF113" s="475"/>
      <c r="AG113" s="475"/>
      <c r="AH113" s="483"/>
      <c r="AI113" s="483"/>
      <c r="AJ113" s="487">
        <f t="shared" si="522"/>
        <v>0</v>
      </c>
      <c r="AK113" s="475">
        <f t="shared" si="528"/>
        <v>0</v>
      </c>
      <c r="AL113" s="485">
        <f t="shared" ref="AL113:AM113" si="729">AJ113-Z113</f>
        <v>0</v>
      </c>
      <c r="AM113" s="485">
        <f t="shared" si="729"/>
        <v>0</v>
      </c>
      <c r="AN113" s="486">
        <f t="shared" si="8"/>
        <v>0</v>
      </c>
      <c r="AO113" s="487">
        <f t="shared" ref="AO113:AP113" si="730">V113+(V113*$AO$2)</f>
        <v>0</v>
      </c>
      <c r="AP113" s="475">
        <f t="shared" si="730"/>
        <v>0</v>
      </c>
      <c r="AQ113" s="432" t="b">
        <v>0</v>
      </c>
      <c r="AR113" s="485">
        <f t="shared" ref="AR113:AS113" si="731">AO113-Z113</f>
        <v>0</v>
      </c>
      <c r="AS113" s="485">
        <f t="shared" si="731"/>
        <v>0</v>
      </c>
      <c r="AT113" s="486">
        <f t="shared" si="11"/>
        <v>0</v>
      </c>
      <c r="AU113" s="301">
        <f t="shared" si="12"/>
        <v>337.5</v>
      </c>
      <c r="AV113" s="301">
        <f t="shared" si="195"/>
        <v>400</v>
      </c>
      <c r="AW113" s="29">
        <v>375</v>
      </c>
      <c r="AX113" s="29">
        <v>425</v>
      </c>
      <c r="BB113" s="302">
        <f t="shared" si="721"/>
        <v>400</v>
      </c>
      <c r="BC113" s="301"/>
      <c r="BD113" s="303">
        <f t="shared" si="722"/>
        <v>200</v>
      </c>
      <c r="BE113" s="304" t="e">
        <f t="shared" si="723"/>
        <v>#DIV/0!</v>
      </c>
      <c r="BF113" s="307">
        <f t="shared" si="724"/>
        <v>160</v>
      </c>
      <c r="BG113" s="301"/>
      <c r="BH113" s="303">
        <f t="shared" si="725"/>
        <v>80</v>
      </c>
      <c r="BI113" s="304" t="e">
        <f t="shared" si="726"/>
        <v>#DIV/0!</v>
      </c>
      <c r="BK113" s="29"/>
      <c r="BL113" s="29"/>
      <c r="BQ113" s="308"/>
      <c r="BR113" s="308"/>
    </row>
    <row r="114" ht="12.75" spans="1:70">
      <c r="A114" s="29" t="s">
        <v>1022</v>
      </c>
      <c r="B114" s="29" t="s">
        <v>1195</v>
      </c>
      <c r="C114" s="29" t="s">
        <v>694</v>
      </c>
      <c r="D114" s="29" t="s">
        <v>1200</v>
      </c>
      <c r="E114" s="29" t="s">
        <v>1261</v>
      </c>
      <c r="F114" s="29" t="b">
        <v>0</v>
      </c>
      <c r="G114" s="29" t="b">
        <v>1</v>
      </c>
      <c r="H114" s="29" t="b">
        <v>0</v>
      </c>
      <c r="I114" s="29" t="b">
        <v>0</v>
      </c>
      <c r="J114" s="29" t="b">
        <v>0</v>
      </c>
      <c r="K114" s="29" t="b">
        <v>0</v>
      </c>
      <c r="L114" s="29" t="b">
        <v>0</v>
      </c>
      <c r="M114" s="432" t="b">
        <v>0</v>
      </c>
      <c r="N114" s="432" t="b">
        <v>1</v>
      </c>
      <c r="P114" s="29" t="s">
        <v>120</v>
      </c>
      <c r="Q114" s="441">
        <f t="shared" si="185"/>
        <v>400</v>
      </c>
      <c r="R114" s="441">
        <f t="shared" si="186"/>
        <v>400</v>
      </c>
      <c r="S114" s="442">
        <f t="shared" si="646"/>
        <v>0</v>
      </c>
      <c r="T114" s="308"/>
      <c r="U114" s="443"/>
      <c r="V114" s="245"/>
      <c r="W114" s="245"/>
      <c r="X114" s="444">
        <v>47.67</v>
      </c>
      <c r="Y114" s="245">
        <v>239.41</v>
      </c>
      <c r="Z114" s="245"/>
      <c r="AA114" s="245"/>
      <c r="AB114" s="463">
        <f t="shared" ref="AB114:AC114" si="732">V114-X114</f>
        <v>-47.67</v>
      </c>
      <c r="AC114" s="464">
        <f t="shared" si="732"/>
        <v>-239.41</v>
      </c>
      <c r="AD114" s="474" t="e">
        <f t="shared" ref="AD114:AE114" si="733">1-(V114/Z114)</f>
        <v>#DIV/0!</v>
      </c>
      <c r="AE114" s="474" t="e">
        <f t="shared" si="733"/>
        <v>#DIV/0!</v>
      </c>
      <c r="AF114" s="475"/>
      <c r="AG114" s="475"/>
      <c r="AH114" s="483"/>
      <c r="AI114" s="483"/>
      <c r="AJ114" s="487">
        <f t="shared" si="522"/>
        <v>0</v>
      </c>
      <c r="AK114" s="475">
        <f t="shared" si="528"/>
        <v>0</v>
      </c>
      <c r="AL114" s="485">
        <f t="shared" ref="AL114:AM114" si="734">AJ114-Z114</f>
        <v>0</v>
      </c>
      <c r="AM114" s="485">
        <f t="shared" si="734"/>
        <v>0</v>
      </c>
      <c r="AN114" s="486">
        <f t="shared" si="8"/>
        <v>0</v>
      </c>
      <c r="AO114" s="487">
        <f t="shared" ref="AO114:AP114" si="735">V114+(V114*$AO$2)</f>
        <v>0</v>
      </c>
      <c r="AP114" s="475">
        <f t="shared" si="735"/>
        <v>0</v>
      </c>
      <c r="AQ114" s="432" t="b">
        <v>0</v>
      </c>
      <c r="AR114" s="485">
        <f t="shared" ref="AR114:AS114" si="736">AO114-Z114</f>
        <v>0</v>
      </c>
      <c r="AS114" s="485">
        <f t="shared" si="736"/>
        <v>0</v>
      </c>
      <c r="AT114" s="486">
        <f t="shared" si="11"/>
        <v>0</v>
      </c>
      <c r="AU114" s="301">
        <f t="shared" si="12"/>
        <v>337.5</v>
      </c>
      <c r="AV114" s="301">
        <f t="shared" si="195"/>
        <v>400</v>
      </c>
      <c r="AW114" s="29">
        <v>375</v>
      </c>
      <c r="AX114" s="29">
        <v>425</v>
      </c>
      <c r="BB114" s="302">
        <f t="shared" si="721"/>
        <v>400</v>
      </c>
      <c r="BC114" s="301"/>
      <c r="BD114" s="303">
        <f t="shared" si="722"/>
        <v>200</v>
      </c>
      <c r="BE114" s="304" t="e">
        <f t="shared" si="723"/>
        <v>#DIV/0!</v>
      </c>
      <c r="BF114" s="307">
        <f t="shared" si="724"/>
        <v>160</v>
      </c>
      <c r="BG114" s="301"/>
      <c r="BH114" s="303">
        <f t="shared" si="725"/>
        <v>80</v>
      </c>
      <c r="BI114" s="304" t="e">
        <f t="shared" si="726"/>
        <v>#DIV/0!</v>
      </c>
      <c r="BK114" s="29"/>
      <c r="BL114" s="29"/>
      <c r="BQ114" s="308"/>
      <c r="BR114" s="308"/>
    </row>
    <row r="115" ht="12.75" spans="1:70">
      <c r="A115" s="29" t="s">
        <v>1022</v>
      </c>
      <c r="B115" s="29" t="s">
        <v>1195</v>
      </c>
      <c r="C115" s="29" t="s">
        <v>697</v>
      </c>
      <c r="D115" s="29" t="s">
        <v>1198</v>
      </c>
      <c r="E115" s="29" t="s">
        <v>13</v>
      </c>
      <c r="F115" s="29" t="b">
        <v>0</v>
      </c>
      <c r="G115" s="29" t="b">
        <v>1</v>
      </c>
      <c r="H115" s="29" t="b">
        <v>0</v>
      </c>
      <c r="I115" s="29" t="b">
        <v>0</v>
      </c>
      <c r="J115" s="29" t="b">
        <v>0</v>
      </c>
      <c r="K115" s="29" t="b">
        <v>1</v>
      </c>
      <c r="L115" s="29" t="b">
        <v>0</v>
      </c>
      <c r="M115" s="432" t="b">
        <v>1</v>
      </c>
      <c r="N115" s="432" t="b">
        <v>0</v>
      </c>
      <c r="P115" s="29" t="s">
        <v>120</v>
      </c>
      <c r="Q115" s="441">
        <f t="shared" si="185"/>
        <v>0</v>
      </c>
      <c r="R115" s="441">
        <f t="shared" si="186"/>
        <v>0</v>
      </c>
      <c r="S115" s="442">
        <f t="shared" si="646"/>
        <v>151.8</v>
      </c>
      <c r="T115" s="308"/>
      <c r="U115" s="443"/>
      <c r="V115" s="245">
        <v>75.9</v>
      </c>
      <c r="W115" s="454">
        <f>Y115</f>
        <v>0</v>
      </c>
      <c r="X115" s="446"/>
      <c r="Y115" s="454"/>
      <c r="Z115" s="454"/>
      <c r="AA115" s="454"/>
      <c r="AB115" s="463">
        <f t="shared" ref="AB115:AC115" si="737">V115-X115</f>
        <v>75.9</v>
      </c>
      <c r="AC115" s="464">
        <f t="shared" si="737"/>
        <v>0</v>
      </c>
      <c r="AD115" s="474" t="e">
        <f t="shared" ref="AD115:AE115" si="738">1-(V115/Z115)</f>
        <v>#DIV/0!</v>
      </c>
      <c r="AE115" s="474" t="e">
        <f t="shared" si="738"/>
        <v>#DIV/0!</v>
      </c>
      <c r="AF115" s="475"/>
      <c r="AG115" s="475"/>
      <c r="AH115" s="483"/>
      <c r="AI115" s="483"/>
      <c r="AJ115" s="487">
        <f t="shared" si="522"/>
        <v>151.8</v>
      </c>
      <c r="AK115" s="475">
        <f t="shared" si="528"/>
        <v>0</v>
      </c>
      <c r="AL115" s="485">
        <f t="shared" ref="AL115:AM115" si="739">AJ115-Z115</f>
        <v>151.8</v>
      </c>
      <c r="AM115" s="485">
        <f t="shared" si="739"/>
        <v>0</v>
      </c>
      <c r="AN115" s="486">
        <f t="shared" si="8"/>
        <v>759</v>
      </c>
      <c r="AO115" s="487">
        <f t="shared" ref="AO115:AP115" si="740">V115+(V115*$AO$2)</f>
        <v>113.85</v>
      </c>
      <c r="AP115" s="475">
        <f t="shared" si="740"/>
        <v>0</v>
      </c>
      <c r="AQ115" s="432" t="b">
        <v>0</v>
      </c>
      <c r="AR115" s="485">
        <f t="shared" ref="AR115:AS115" si="741">AO115-Z115</f>
        <v>113.85</v>
      </c>
      <c r="AS115" s="485">
        <f t="shared" si="741"/>
        <v>0</v>
      </c>
      <c r="AT115" s="486">
        <f t="shared" si="11"/>
        <v>569.25</v>
      </c>
      <c r="AU115" s="301">
        <f t="shared" si="12"/>
        <v>0</v>
      </c>
      <c r="AV115" s="301">
        <f t="shared" si="195"/>
        <v>0</v>
      </c>
      <c r="BB115" s="302">
        <f t="shared" si="721"/>
        <v>0</v>
      </c>
      <c r="BC115" s="301"/>
      <c r="BD115" s="303">
        <f t="shared" si="722"/>
        <v>0</v>
      </c>
      <c r="BE115" s="304" t="e">
        <f t="shared" si="723"/>
        <v>#DIV/0!</v>
      </c>
      <c r="BF115" s="307">
        <f t="shared" si="724"/>
        <v>0</v>
      </c>
      <c r="BG115" s="301"/>
      <c r="BH115" s="303">
        <f t="shared" si="725"/>
        <v>0</v>
      </c>
      <c r="BI115" s="304" t="e">
        <f t="shared" si="726"/>
        <v>#DIV/0!</v>
      </c>
      <c r="BK115" s="29"/>
      <c r="BL115" s="29"/>
      <c r="BP115" s="29" t="s">
        <v>1198</v>
      </c>
      <c r="BQ115" s="29"/>
      <c r="BR115" s="29"/>
    </row>
    <row r="116" ht="12.75" spans="1:70">
      <c r="A116" s="29"/>
      <c r="B116" s="29" t="s">
        <v>1249</v>
      </c>
      <c r="C116" s="29" t="s">
        <v>1357</v>
      </c>
      <c r="D116" s="29" t="s">
        <v>1200</v>
      </c>
      <c r="F116" s="29" t="b">
        <v>0</v>
      </c>
      <c r="G116" s="29" t="b">
        <v>1</v>
      </c>
      <c r="H116" s="29" t="b">
        <v>0</v>
      </c>
      <c r="I116" s="29" t="b">
        <v>0</v>
      </c>
      <c r="J116" s="29" t="b">
        <v>0</v>
      </c>
      <c r="K116" s="29" t="b">
        <v>0</v>
      </c>
      <c r="L116" s="29" t="b">
        <v>0</v>
      </c>
      <c r="M116" s="432" t="b">
        <v>0</v>
      </c>
      <c r="N116" s="432" t="b">
        <v>0</v>
      </c>
      <c r="P116" s="29"/>
      <c r="Q116" s="441">
        <f t="shared" si="185"/>
        <v>0</v>
      </c>
      <c r="R116" s="441">
        <f t="shared" si="186"/>
        <v>0</v>
      </c>
      <c r="S116" s="448">
        <v>50.3</v>
      </c>
      <c r="T116" s="308"/>
      <c r="U116" s="443"/>
      <c r="V116" s="245"/>
      <c r="W116" s="245"/>
      <c r="X116" s="444"/>
      <c r="Y116" s="245"/>
      <c r="Z116" s="245"/>
      <c r="AA116" s="245"/>
      <c r="AB116" s="463">
        <f t="shared" ref="AB116:AC116" si="742">V116-X116</f>
        <v>0</v>
      </c>
      <c r="AC116" s="464">
        <f t="shared" si="742"/>
        <v>0</v>
      </c>
      <c r="AD116" s="474" t="e">
        <f t="shared" ref="AD116:AE116" si="743">1-(V116/Z116)</f>
        <v>#DIV/0!</v>
      </c>
      <c r="AE116" s="474" t="e">
        <f t="shared" si="743"/>
        <v>#DIV/0!</v>
      </c>
      <c r="AF116" s="475"/>
      <c r="AG116" s="475"/>
      <c r="AH116" s="483"/>
      <c r="AI116" s="483"/>
      <c r="AJ116" s="484">
        <f t="shared" si="522"/>
        <v>0</v>
      </c>
      <c r="AK116" s="252">
        <f t="shared" si="528"/>
        <v>0</v>
      </c>
      <c r="AL116" s="485">
        <f>AJ116-V116</f>
        <v>0</v>
      </c>
      <c r="AM116" s="485">
        <f>AK116-AA116</f>
        <v>0</v>
      </c>
      <c r="AN116" s="486">
        <f t="shared" si="8"/>
        <v>0</v>
      </c>
      <c r="AO116" s="487">
        <f t="shared" ref="AO116:AP116" si="744">V116+(V116*$AO$2)</f>
        <v>0</v>
      </c>
      <c r="AP116" s="475">
        <f t="shared" si="744"/>
        <v>0</v>
      </c>
      <c r="AQ116" s="432" t="b">
        <v>0</v>
      </c>
      <c r="AR116" s="485">
        <f t="shared" ref="AR116:AS116" si="745">AO116-Z116</f>
        <v>0</v>
      </c>
      <c r="AS116" s="485">
        <f t="shared" si="745"/>
        <v>0</v>
      </c>
      <c r="AT116" s="486">
        <f t="shared" si="11"/>
        <v>0</v>
      </c>
      <c r="AU116" s="301">
        <f t="shared" si="12"/>
        <v>0</v>
      </c>
      <c r="AV116" s="301">
        <f t="shared" si="195"/>
        <v>0</v>
      </c>
      <c r="AW116" s="29"/>
      <c r="AX116" s="29"/>
      <c r="BB116" s="302"/>
      <c r="BC116" s="301"/>
      <c r="BD116" s="303"/>
      <c r="BE116" s="304"/>
      <c r="BF116" s="307"/>
      <c r="BG116" s="301"/>
      <c r="BH116" s="303"/>
      <c r="BI116" s="304"/>
      <c r="BK116" s="29"/>
      <c r="BL116" s="29"/>
      <c r="BQ116" s="308"/>
      <c r="BR116" s="308"/>
    </row>
    <row r="117" ht="12.75" spans="1:70">
      <c r="A117" s="29" t="s">
        <v>1022</v>
      </c>
      <c r="B117" s="29" t="s">
        <v>1195</v>
      </c>
      <c r="C117" s="29" t="s">
        <v>698</v>
      </c>
      <c r="D117" s="29" t="s">
        <v>1198</v>
      </c>
      <c r="F117" s="29" t="b">
        <v>0</v>
      </c>
      <c r="G117" s="29" t="b">
        <v>1</v>
      </c>
      <c r="H117" s="29" t="b">
        <v>0</v>
      </c>
      <c r="I117" s="29" t="b">
        <v>0</v>
      </c>
      <c r="J117" s="29" t="b">
        <v>0</v>
      </c>
      <c r="K117" s="29" t="b">
        <v>0</v>
      </c>
      <c r="L117" s="29" t="b">
        <v>0</v>
      </c>
      <c r="M117" s="432" t="b">
        <v>0</v>
      </c>
      <c r="N117" s="432" t="b">
        <v>1</v>
      </c>
      <c r="P117" s="29" t="s">
        <v>120</v>
      </c>
      <c r="Q117" s="441">
        <f t="shared" si="185"/>
        <v>400</v>
      </c>
      <c r="R117" s="441">
        <f t="shared" si="186"/>
        <v>400</v>
      </c>
      <c r="S117" s="442">
        <f t="shared" ref="S117:S120" si="746">AJ117</f>
        <v>0</v>
      </c>
      <c r="T117" s="308"/>
      <c r="U117" s="443"/>
      <c r="V117" s="245"/>
      <c r="W117" s="245"/>
      <c r="X117" s="444">
        <v>27.58</v>
      </c>
      <c r="Y117" s="245">
        <v>134.51</v>
      </c>
      <c r="Z117" s="245"/>
      <c r="AA117" s="245"/>
      <c r="AB117" s="463">
        <f t="shared" ref="AB117:AC117" si="747">V117-X117</f>
        <v>-27.58</v>
      </c>
      <c r="AC117" s="464">
        <f t="shared" si="747"/>
        <v>-134.51</v>
      </c>
      <c r="AD117" s="474" t="e">
        <f t="shared" ref="AD117:AE117" si="748">1-(V117/Z117)</f>
        <v>#DIV/0!</v>
      </c>
      <c r="AE117" s="474" t="e">
        <f t="shared" si="748"/>
        <v>#DIV/0!</v>
      </c>
      <c r="AF117" s="475"/>
      <c r="AG117" s="475"/>
      <c r="AH117" s="483"/>
      <c r="AI117" s="483"/>
      <c r="AJ117" s="487">
        <f t="shared" si="522"/>
        <v>0</v>
      </c>
      <c r="AK117" s="475">
        <f t="shared" si="528"/>
        <v>0</v>
      </c>
      <c r="AL117" s="485">
        <f t="shared" ref="AL117:AM117" si="749">AJ117-Z117</f>
        <v>0</v>
      </c>
      <c r="AM117" s="485">
        <f t="shared" si="749"/>
        <v>0</v>
      </c>
      <c r="AN117" s="486">
        <f t="shared" si="8"/>
        <v>0</v>
      </c>
      <c r="AO117" s="487">
        <f t="shared" ref="AO117:AP117" si="750">V117+(V117*$AO$2)</f>
        <v>0</v>
      </c>
      <c r="AP117" s="475">
        <f t="shared" si="750"/>
        <v>0</v>
      </c>
      <c r="AQ117" s="432" t="b">
        <v>0</v>
      </c>
      <c r="AR117" s="485">
        <f t="shared" ref="AR117:AS117" si="751">AO117-Z117</f>
        <v>0</v>
      </c>
      <c r="AS117" s="485">
        <f t="shared" si="751"/>
        <v>0</v>
      </c>
      <c r="AT117" s="486">
        <f t="shared" si="11"/>
        <v>0</v>
      </c>
      <c r="AU117" s="301">
        <f t="shared" si="12"/>
        <v>337.5</v>
      </c>
      <c r="AV117" s="301">
        <f t="shared" si="195"/>
        <v>400</v>
      </c>
      <c r="AW117" s="29">
        <v>375</v>
      </c>
      <c r="AX117" s="29">
        <v>425</v>
      </c>
      <c r="BB117" s="302">
        <f t="shared" ref="BB117:BB119" si="752">AV117</f>
        <v>400</v>
      </c>
      <c r="BC117" s="301"/>
      <c r="BD117" s="303">
        <f t="shared" ref="BD117:BD119" si="753">(BB117+BC117)/2</f>
        <v>200</v>
      </c>
      <c r="BE117" s="304" t="e">
        <f t="shared" ref="BE117:BE119" si="754">BB117/BC117</f>
        <v>#DIV/0!</v>
      </c>
      <c r="BF117" s="307">
        <f t="shared" ref="BF117:BF119" si="755">BB117*$BF$1</f>
        <v>160</v>
      </c>
      <c r="BG117" s="301"/>
      <c r="BH117" s="303">
        <f t="shared" ref="BH117:BH119" si="756">(BF117+BG117)/2</f>
        <v>80</v>
      </c>
      <c r="BI117" s="304" t="e">
        <f t="shared" ref="BI117:BI119" si="757">BF117/BG117</f>
        <v>#DIV/0!</v>
      </c>
      <c r="BK117" s="29"/>
      <c r="BL117" s="29"/>
      <c r="BQ117" s="29"/>
      <c r="BR117" s="29"/>
    </row>
    <row r="118" ht="12.75" spans="1:70">
      <c r="A118" s="29" t="s">
        <v>1022</v>
      </c>
      <c r="B118" s="29" t="s">
        <v>1195</v>
      </c>
      <c r="C118" s="29" t="s">
        <v>701</v>
      </c>
      <c r="D118" s="308"/>
      <c r="E118" s="29" t="s">
        <v>13</v>
      </c>
      <c r="F118" s="29" t="b">
        <v>0</v>
      </c>
      <c r="G118" s="29" t="b">
        <v>1</v>
      </c>
      <c r="H118" s="29" t="b">
        <v>0</v>
      </c>
      <c r="I118" s="29" t="b">
        <v>0</v>
      </c>
      <c r="J118" s="29" t="b">
        <v>0</v>
      </c>
      <c r="K118" s="29" t="b">
        <v>0</v>
      </c>
      <c r="L118" s="29" t="b">
        <v>0</v>
      </c>
      <c r="M118" s="432" t="b">
        <v>0</v>
      </c>
      <c r="N118" s="432" t="b">
        <v>1</v>
      </c>
      <c r="P118" s="29" t="s">
        <v>120</v>
      </c>
      <c r="Q118" s="441">
        <f t="shared" si="185"/>
        <v>425</v>
      </c>
      <c r="R118" s="441">
        <f t="shared" si="186"/>
        <v>425</v>
      </c>
      <c r="S118" s="442">
        <f t="shared" si="746"/>
        <v>58</v>
      </c>
      <c r="T118" s="308"/>
      <c r="U118" s="443"/>
      <c r="V118" s="245">
        <v>29</v>
      </c>
      <c r="W118" s="245"/>
      <c r="X118" s="444">
        <v>28.24</v>
      </c>
      <c r="Y118" s="245">
        <v>139.8</v>
      </c>
      <c r="Z118" s="245"/>
      <c r="AA118" s="245"/>
      <c r="AB118" s="463">
        <f t="shared" ref="AB118:AC118" si="758">V118-X118</f>
        <v>0.760000000000002</v>
      </c>
      <c r="AC118" s="464">
        <f t="shared" si="758"/>
        <v>-139.8</v>
      </c>
      <c r="AD118" s="474" t="e">
        <f t="shared" ref="AD118:AE118" si="759">1-(V118/Z118)</f>
        <v>#DIV/0!</v>
      </c>
      <c r="AE118" s="474" t="e">
        <f t="shared" si="759"/>
        <v>#DIV/0!</v>
      </c>
      <c r="AF118" s="475"/>
      <c r="AG118" s="475"/>
      <c r="AH118" s="483"/>
      <c r="AI118" s="483"/>
      <c r="AJ118" s="487">
        <f t="shared" si="522"/>
        <v>58</v>
      </c>
      <c r="AK118" s="475">
        <f t="shared" si="528"/>
        <v>0</v>
      </c>
      <c r="AL118" s="485">
        <f t="shared" ref="AL118:AM118" si="760">AJ118-Z118</f>
        <v>58</v>
      </c>
      <c r="AM118" s="485">
        <f t="shared" si="760"/>
        <v>0</v>
      </c>
      <c r="AN118" s="486">
        <f t="shared" si="8"/>
        <v>290</v>
      </c>
      <c r="AO118" s="487">
        <f t="shared" ref="AO118:AP118" si="761">V118+(V118*$AO$2)</f>
        <v>43.5</v>
      </c>
      <c r="AP118" s="475">
        <f t="shared" si="761"/>
        <v>0</v>
      </c>
      <c r="AQ118" s="432" t="b">
        <v>1</v>
      </c>
      <c r="AR118" s="485">
        <f t="shared" ref="AR118:AS118" si="762">AO118-Z118</f>
        <v>43.5</v>
      </c>
      <c r="AS118" s="485">
        <f t="shared" si="762"/>
        <v>0</v>
      </c>
      <c r="AT118" s="486">
        <f t="shared" si="11"/>
        <v>217.5</v>
      </c>
      <c r="AU118" s="301">
        <f t="shared" si="12"/>
        <v>360</v>
      </c>
      <c r="AV118" s="301">
        <f t="shared" si="195"/>
        <v>425</v>
      </c>
      <c r="AW118" s="29">
        <v>400</v>
      </c>
      <c r="AX118" s="29">
        <v>450</v>
      </c>
      <c r="BB118" s="302">
        <f t="shared" si="752"/>
        <v>425</v>
      </c>
      <c r="BC118" s="301"/>
      <c r="BD118" s="303">
        <f t="shared" si="753"/>
        <v>212.5</v>
      </c>
      <c r="BE118" s="304" t="e">
        <f t="shared" si="754"/>
        <v>#DIV/0!</v>
      </c>
      <c r="BF118" s="307">
        <f t="shared" si="755"/>
        <v>170</v>
      </c>
      <c r="BG118" s="301"/>
      <c r="BH118" s="303">
        <f t="shared" si="756"/>
        <v>85</v>
      </c>
      <c r="BI118" s="304" t="e">
        <f t="shared" si="757"/>
        <v>#DIV/0!</v>
      </c>
      <c r="BK118" s="29"/>
      <c r="BL118" s="29"/>
      <c r="BQ118" s="308"/>
      <c r="BR118" s="308"/>
    </row>
    <row r="119" ht="12.75" spans="1:70">
      <c r="A119" s="29" t="s">
        <v>1038</v>
      </c>
      <c r="B119" s="29" t="s">
        <v>1195</v>
      </c>
      <c r="C119" s="426" t="s">
        <v>1358</v>
      </c>
      <c r="D119" s="29" t="s">
        <v>1198</v>
      </c>
      <c r="E119" s="29" t="s">
        <v>13</v>
      </c>
      <c r="F119" s="29" t="b">
        <v>0</v>
      </c>
      <c r="G119" s="29" t="b">
        <v>1</v>
      </c>
      <c r="H119" s="29" t="b">
        <v>1</v>
      </c>
      <c r="I119" s="29" t="b">
        <v>0</v>
      </c>
      <c r="J119" s="29" t="b">
        <v>0</v>
      </c>
      <c r="K119" s="29" t="b">
        <v>1</v>
      </c>
      <c r="L119" s="29" t="b">
        <v>0</v>
      </c>
      <c r="M119" s="432" t="b">
        <v>0</v>
      </c>
      <c r="N119" s="432" t="b">
        <v>1</v>
      </c>
      <c r="O119" s="29" t="s">
        <v>1197</v>
      </c>
      <c r="P119" s="29" t="s">
        <v>120</v>
      </c>
      <c r="Q119" s="441">
        <f t="shared" si="185"/>
        <v>350</v>
      </c>
      <c r="R119" s="441">
        <f t="shared" si="186"/>
        <v>350</v>
      </c>
      <c r="S119" s="442" t="e">
        <f t="shared" si="746"/>
        <v>#VALUE!</v>
      </c>
      <c r="T119" s="308"/>
      <c r="U119" s="443"/>
      <c r="V119" s="454" t="str">
        <f t="shared" ref="V119:W119" si="763">X119</f>
        <v>-</v>
      </c>
      <c r="W119" s="454" t="str">
        <f t="shared" si="763"/>
        <v>-</v>
      </c>
      <c r="X119" s="444" t="s">
        <v>13</v>
      </c>
      <c r="Y119" s="245" t="s">
        <v>13</v>
      </c>
      <c r="Z119" s="245"/>
      <c r="AA119" s="245"/>
      <c r="AB119" s="463" t="e">
        <f t="shared" ref="AB119:AC119" si="764">V119-X119</f>
        <v>#VALUE!</v>
      </c>
      <c r="AC119" s="464" t="e">
        <f t="shared" si="764"/>
        <v>#VALUE!</v>
      </c>
      <c r="AD119" s="474" t="e">
        <f t="shared" ref="AD119:AE119" si="765">1-(V119/Z119)</f>
        <v>#VALUE!</v>
      </c>
      <c r="AE119" s="474" t="e">
        <f t="shared" si="765"/>
        <v>#VALUE!</v>
      </c>
      <c r="AF119" s="475"/>
      <c r="AG119" s="475"/>
      <c r="AH119" s="483"/>
      <c r="AI119" s="483"/>
      <c r="AJ119" s="487" t="e">
        <f t="shared" si="522"/>
        <v>#VALUE!</v>
      </c>
      <c r="AK119" s="475" t="e">
        <f t="shared" si="528"/>
        <v>#VALUE!</v>
      </c>
      <c r="AL119" s="485" t="e">
        <f t="shared" ref="AL119:AM119" si="766">AJ119-Z119</f>
        <v>#VALUE!</v>
      </c>
      <c r="AM119" s="485" t="e">
        <f t="shared" si="766"/>
        <v>#VALUE!</v>
      </c>
      <c r="AN119" s="486" t="e">
        <f t="shared" si="8"/>
        <v>#VALUE!</v>
      </c>
      <c r="AO119" s="487" t="e">
        <f t="shared" ref="AO119:AP119" si="767">V119+(V119*$AO$2)</f>
        <v>#VALUE!</v>
      </c>
      <c r="AP119" s="475" t="e">
        <f t="shared" si="767"/>
        <v>#VALUE!</v>
      </c>
      <c r="AQ119" s="432" t="b">
        <v>0</v>
      </c>
      <c r="AR119" s="485" t="e">
        <f t="shared" ref="AR119:AS119" si="768">AO119-Z119</f>
        <v>#VALUE!</v>
      </c>
      <c r="AS119" s="485" t="e">
        <f t="shared" si="768"/>
        <v>#VALUE!</v>
      </c>
      <c r="AT119" s="486" t="e">
        <f t="shared" si="11"/>
        <v>#VALUE!</v>
      </c>
      <c r="AU119" s="301">
        <f t="shared" si="12"/>
        <v>270</v>
      </c>
      <c r="AV119" s="301">
        <f t="shared" si="195"/>
        <v>350</v>
      </c>
      <c r="AW119" s="29">
        <v>300</v>
      </c>
      <c r="AX119" s="29">
        <v>400</v>
      </c>
      <c r="BB119" s="302">
        <f t="shared" si="752"/>
        <v>350</v>
      </c>
      <c r="BC119" s="301"/>
      <c r="BD119" s="303">
        <f t="shared" si="753"/>
        <v>175</v>
      </c>
      <c r="BE119" s="304" t="e">
        <f t="shared" si="754"/>
        <v>#DIV/0!</v>
      </c>
      <c r="BF119" s="307">
        <f t="shared" si="755"/>
        <v>140</v>
      </c>
      <c r="BG119" s="301"/>
      <c r="BH119" s="303">
        <f t="shared" si="756"/>
        <v>70</v>
      </c>
      <c r="BI119" s="304" t="e">
        <f t="shared" si="757"/>
        <v>#DIV/0!</v>
      </c>
      <c r="BK119" s="29"/>
      <c r="BL119" s="29"/>
      <c r="BP119" s="29" t="s">
        <v>1198</v>
      </c>
      <c r="BQ119" s="29"/>
      <c r="BR119" s="29"/>
    </row>
    <row r="120" ht="12.75" spans="1:70">
      <c r="A120" s="29"/>
      <c r="B120" s="29"/>
      <c r="C120" s="29" t="s">
        <v>1359</v>
      </c>
      <c r="D120" s="29"/>
      <c r="F120" s="29" t="b">
        <v>0</v>
      </c>
      <c r="G120" s="29" t="b">
        <v>1</v>
      </c>
      <c r="H120" s="29" t="b">
        <v>0</v>
      </c>
      <c r="I120" s="29" t="b">
        <v>0</v>
      </c>
      <c r="J120" s="29" t="b">
        <v>0</v>
      </c>
      <c r="K120" s="29" t="b">
        <v>0</v>
      </c>
      <c r="L120" s="29" t="b">
        <v>0</v>
      </c>
      <c r="M120" s="432" t="b">
        <v>0</v>
      </c>
      <c r="N120" s="432" t="b">
        <v>0</v>
      </c>
      <c r="P120" s="29"/>
      <c r="Q120" s="441">
        <f t="shared" si="185"/>
        <v>0</v>
      </c>
      <c r="R120" s="441">
        <f t="shared" si="186"/>
        <v>0</v>
      </c>
      <c r="S120" s="442">
        <f t="shared" si="746"/>
        <v>0</v>
      </c>
      <c r="T120" s="308"/>
      <c r="U120" s="443"/>
      <c r="V120" s="245"/>
      <c r="W120" s="245"/>
      <c r="X120" s="444"/>
      <c r="Y120" s="245"/>
      <c r="Z120" s="245"/>
      <c r="AA120" s="245"/>
      <c r="AB120" s="463">
        <f t="shared" ref="AB120:AC120" si="769">V120-X120</f>
        <v>0</v>
      </c>
      <c r="AC120" s="464">
        <f t="shared" si="769"/>
        <v>0</v>
      </c>
      <c r="AD120" s="474" t="e">
        <f t="shared" ref="AD120:AE120" si="770">1-(V120/Z120)</f>
        <v>#DIV/0!</v>
      </c>
      <c r="AE120" s="474" t="e">
        <f t="shared" si="770"/>
        <v>#DIV/0!</v>
      </c>
      <c r="AF120" s="475"/>
      <c r="AG120" s="475"/>
      <c r="AH120" s="483"/>
      <c r="AI120" s="483"/>
      <c r="AJ120" s="484">
        <f t="shared" si="522"/>
        <v>0</v>
      </c>
      <c r="AK120" s="252">
        <f t="shared" si="528"/>
        <v>0</v>
      </c>
      <c r="AL120" s="485">
        <f>AJ120-V120</f>
        <v>0</v>
      </c>
      <c r="AM120" s="485">
        <f>AK120-AA120</f>
        <v>0</v>
      </c>
      <c r="AN120" s="486">
        <f t="shared" si="8"/>
        <v>0</v>
      </c>
      <c r="AO120" s="487">
        <f t="shared" ref="AO120:AP120" si="771">V120+(V120*$AO$2)</f>
        <v>0</v>
      </c>
      <c r="AP120" s="475">
        <f t="shared" si="771"/>
        <v>0</v>
      </c>
      <c r="AQ120" s="432" t="b">
        <v>0</v>
      </c>
      <c r="AR120" s="485">
        <f t="shared" ref="AR120:AS120" si="772">AO120-Z120</f>
        <v>0</v>
      </c>
      <c r="AS120" s="485">
        <f t="shared" si="772"/>
        <v>0</v>
      </c>
      <c r="AT120" s="486">
        <f t="shared" si="11"/>
        <v>0</v>
      </c>
      <c r="AU120" s="301">
        <f t="shared" si="12"/>
        <v>0</v>
      </c>
      <c r="AV120" s="301">
        <f t="shared" si="195"/>
        <v>0</v>
      </c>
      <c r="AW120" s="29"/>
      <c r="AX120" s="29"/>
      <c r="BB120" s="302"/>
      <c r="BC120" s="301"/>
      <c r="BD120" s="303"/>
      <c r="BE120" s="304"/>
      <c r="BF120" s="307"/>
      <c r="BG120" s="301"/>
      <c r="BH120" s="303"/>
      <c r="BI120" s="304"/>
      <c r="BK120" s="29"/>
      <c r="BL120" s="29"/>
      <c r="BQ120" s="308"/>
      <c r="BR120" s="308"/>
    </row>
    <row r="121" ht="12.75" spans="1:70">
      <c r="A121" s="308"/>
      <c r="B121" s="29" t="s">
        <v>1360</v>
      </c>
      <c r="C121" s="29" t="s">
        <v>1361</v>
      </c>
      <c r="D121" s="308"/>
      <c r="F121" s="29" t="b">
        <v>0</v>
      </c>
      <c r="G121" s="29" t="b">
        <v>0</v>
      </c>
      <c r="H121" s="29" t="b">
        <v>0</v>
      </c>
      <c r="I121" s="29" t="b">
        <v>0</v>
      </c>
      <c r="J121" s="29" t="b">
        <v>0</v>
      </c>
      <c r="K121" s="29" t="b">
        <v>0</v>
      </c>
      <c r="L121" s="29" t="b">
        <v>0</v>
      </c>
      <c r="M121" s="432" t="b">
        <v>0</v>
      </c>
      <c r="N121" s="432" t="b">
        <v>0</v>
      </c>
      <c r="P121" s="29"/>
      <c r="Q121" s="448"/>
      <c r="R121" s="448"/>
      <c r="S121" s="448"/>
      <c r="T121" s="308"/>
      <c r="U121" s="443"/>
      <c r="V121" s="245">
        <v>247</v>
      </c>
      <c r="W121" s="245"/>
      <c r="X121" s="444"/>
      <c r="Y121" s="245"/>
      <c r="Z121" s="245"/>
      <c r="AA121" s="245"/>
      <c r="AB121" s="463"/>
      <c r="AC121" s="464"/>
      <c r="AD121" s="498"/>
      <c r="AE121" s="498"/>
      <c r="AF121" s="475"/>
      <c r="AG121" s="475"/>
      <c r="AH121" s="483"/>
      <c r="AI121" s="483"/>
      <c r="AJ121" s="487">
        <f t="shared" si="522"/>
        <v>494</v>
      </c>
      <c r="AK121" s="475">
        <f t="shared" si="528"/>
        <v>0</v>
      </c>
      <c r="AL121" s="485">
        <f t="shared" ref="AL121:AM121" si="773">AJ121-Z121</f>
        <v>494</v>
      </c>
      <c r="AM121" s="485">
        <f t="shared" si="773"/>
        <v>0</v>
      </c>
      <c r="AN121" s="486">
        <f t="shared" si="8"/>
        <v>2470</v>
      </c>
      <c r="AO121" s="487">
        <f t="shared" ref="AO121:AP121" si="774">V121+(V121*$AO$2)</f>
        <v>370.5</v>
      </c>
      <c r="AP121" s="475">
        <f t="shared" si="774"/>
        <v>0</v>
      </c>
      <c r="AQ121" s="432" t="b">
        <v>0</v>
      </c>
      <c r="AR121" s="485">
        <f t="shared" ref="AR121:AS121" si="775">AO121-Z121</f>
        <v>370.5</v>
      </c>
      <c r="AS121" s="485">
        <f t="shared" si="775"/>
        <v>0</v>
      </c>
      <c r="AT121" s="486">
        <f t="shared" si="11"/>
        <v>1852.5</v>
      </c>
      <c r="AU121" s="301">
        <f t="shared" si="12"/>
        <v>0</v>
      </c>
      <c r="AV121" s="301"/>
      <c r="BB121" s="302"/>
      <c r="BC121" s="301"/>
      <c r="BD121" s="303"/>
      <c r="BE121" s="304"/>
      <c r="BF121" s="307"/>
      <c r="BG121" s="301"/>
      <c r="BH121" s="303"/>
      <c r="BI121" s="304"/>
      <c r="BK121" s="29"/>
      <c r="BL121" s="29"/>
      <c r="BQ121" s="308"/>
      <c r="BR121" s="308"/>
    </row>
    <row r="122" ht="12.75" spans="1:70">
      <c r="A122" s="29" t="s">
        <v>1038</v>
      </c>
      <c r="B122" s="29" t="s">
        <v>1195</v>
      </c>
      <c r="C122" s="426" t="s">
        <v>1362</v>
      </c>
      <c r="D122" s="29" t="s">
        <v>1200</v>
      </c>
      <c r="E122" s="29" t="s">
        <v>13</v>
      </c>
      <c r="F122" s="29" t="b">
        <v>0</v>
      </c>
      <c r="G122" s="29" t="b">
        <v>1</v>
      </c>
      <c r="H122" s="29" t="b">
        <v>0</v>
      </c>
      <c r="I122" s="29" t="b">
        <v>0</v>
      </c>
      <c r="J122" s="29" t="b">
        <v>0</v>
      </c>
      <c r="K122" s="29" t="b">
        <v>1</v>
      </c>
      <c r="L122" s="29" t="b">
        <v>0</v>
      </c>
      <c r="M122" s="432" t="b">
        <v>0</v>
      </c>
      <c r="N122" s="432" t="b">
        <v>1</v>
      </c>
      <c r="O122" s="29" t="s">
        <v>1197</v>
      </c>
      <c r="P122" s="29" t="s">
        <v>120</v>
      </c>
      <c r="Q122" s="441">
        <f t="shared" ref="Q122:Q154" si="776">AV122</f>
        <v>350</v>
      </c>
      <c r="R122" s="441">
        <f t="shared" ref="R122:R154" si="777">Q122</f>
        <v>350</v>
      </c>
      <c r="S122" s="442" t="e">
        <f t="shared" ref="S122:S142" si="778">AJ122</f>
        <v>#VALUE!</v>
      </c>
      <c r="T122" s="308"/>
      <c r="U122" s="443"/>
      <c r="V122" s="454" t="str">
        <f t="shared" ref="V122:W122" si="779">X122</f>
        <v>-</v>
      </c>
      <c r="W122" s="454" t="str">
        <f t="shared" si="779"/>
        <v>-</v>
      </c>
      <c r="X122" s="444" t="s">
        <v>13</v>
      </c>
      <c r="Y122" s="245" t="s">
        <v>13</v>
      </c>
      <c r="Z122" s="245"/>
      <c r="AA122" s="245"/>
      <c r="AB122" s="463" t="e">
        <f t="shared" ref="AB122:AC122" si="780">V122-X122</f>
        <v>#VALUE!</v>
      </c>
      <c r="AC122" s="464" t="e">
        <f t="shared" si="780"/>
        <v>#VALUE!</v>
      </c>
      <c r="AD122" s="474" t="e">
        <f t="shared" ref="AD122:AE122" si="781">1-(V122/Z122)</f>
        <v>#VALUE!</v>
      </c>
      <c r="AE122" s="474" t="e">
        <f t="shared" si="781"/>
        <v>#VALUE!</v>
      </c>
      <c r="AF122" s="475"/>
      <c r="AG122" s="475"/>
      <c r="AH122" s="483"/>
      <c r="AI122" s="483"/>
      <c r="AJ122" s="487" t="e">
        <f t="shared" si="522"/>
        <v>#VALUE!</v>
      </c>
      <c r="AK122" s="475" t="e">
        <f t="shared" si="528"/>
        <v>#VALUE!</v>
      </c>
      <c r="AL122" s="485" t="e">
        <f t="shared" ref="AL122:AM122" si="782">AJ122-Z122</f>
        <v>#VALUE!</v>
      </c>
      <c r="AM122" s="485" t="e">
        <f t="shared" si="782"/>
        <v>#VALUE!</v>
      </c>
      <c r="AN122" s="486" t="e">
        <f t="shared" si="8"/>
        <v>#VALUE!</v>
      </c>
      <c r="AO122" s="487" t="e">
        <f t="shared" ref="AO122:AP122" si="783">V122+(V122*$AO$2)</f>
        <v>#VALUE!</v>
      </c>
      <c r="AP122" s="475" t="e">
        <f t="shared" si="783"/>
        <v>#VALUE!</v>
      </c>
      <c r="AQ122" s="432" t="b">
        <v>0</v>
      </c>
      <c r="AR122" s="485" t="e">
        <f t="shared" ref="AR122:AS122" si="784">AO122-Z122</f>
        <v>#VALUE!</v>
      </c>
      <c r="AS122" s="485" t="e">
        <f t="shared" si="784"/>
        <v>#VALUE!</v>
      </c>
      <c r="AT122" s="486" t="e">
        <f t="shared" si="11"/>
        <v>#VALUE!</v>
      </c>
      <c r="AU122" s="301">
        <f t="shared" si="12"/>
        <v>180</v>
      </c>
      <c r="AV122" s="301">
        <f t="shared" ref="AV122:AV153" si="785">(AW122+AX122)/2</f>
        <v>350</v>
      </c>
      <c r="AW122" s="29">
        <v>200</v>
      </c>
      <c r="AX122" s="29">
        <v>500</v>
      </c>
      <c r="BB122" s="302">
        <f>AV122</f>
        <v>350</v>
      </c>
      <c r="BC122" s="301"/>
      <c r="BD122" s="303">
        <f>(BB122+BC122)/2</f>
        <v>175</v>
      </c>
      <c r="BE122" s="304" t="e">
        <f>BB122/BC122</f>
        <v>#DIV/0!</v>
      </c>
      <c r="BF122" s="307">
        <f>BB122*$BF$1</f>
        <v>140</v>
      </c>
      <c r="BG122" s="301"/>
      <c r="BH122" s="303">
        <f>(BF122+BG122)/2</f>
        <v>70</v>
      </c>
      <c r="BI122" s="304" t="e">
        <f>BF122/BG122</f>
        <v>#DIV/0!</v>
      </c>
      <c r="BK122" s="29"/>
      <c r="BL122" s="29"/>
      <c r="BQ122" s="29"/>
      <c r="BR122" s="29"/>
    </row>
    <row r="123" ht="12.75" spans="1:71">
      <c r="A123" s="29" t="s">
        <v>1044</v>
      </c>
      <c r="B123" s="29" t="s">
        <v>1249</v>
      </c>
      <c r="C123" s="29" t="s">
        <v>1363</v>
      </c>
      <c r="D123" s="29" t="s">
        <v>1364</v>
      </c>
      <c r="F123" s="29" t="b">
        <v>0</v>
      </c>
      <c r="G123" s="29" t="b">
        <v>1</v>
      </c>
      <c r="H123" s="29" t="b">
        <v>0</v>
      </c>
      <c r="I123" s="29" t="b">
        <v>0</v>
      </c>
      <c r="J123" s="29" t="b">
        <v>0</v>
      </c>
      <c r="K123" s="29" t="b">
        <v>0</v>
      </c>
      <c r="L123" s="29" t="b">
        <v>0</v>
      </c>
      <c r="M123" s="432" t="b">
        <v>0</v>
      </c>
      <c r="N123" s="432" t="b">
        <v>0</v>
      </c>
      <c r="P123" s="29"/>
      <c r="Q123" s="441">
        <f t="shared" si="776"/>
        <v>36.5</v>
      </c>
      <c r="R123" s="441">
        <f t="shared" si="777"/>
        <v>36.5</v>
      </c>
      <c r="S123" s="442">
        <f t="shared" si="778"/>
        <v>5.32</v>
      </c>
      <c r="T123" s="29" t="s">
        <v>1365</v>
      </c>
      <c r="U123" s="443"/>
      <c r="V123" s="245">
        <v>2.66</v>
      </c>
      <c r="W123" s="245"/>
      <c r="X123" s="444"/>
      <c r="Y123" s="245"/>
      <c r="Z123" s="245">
        <v>3.89</v>
      </c>
      <c r="AA123" s="245"/>
      <c r="AB123" s="463">
        <f t="shared" ref="AB123:AC123" si="786">V123-X123</f>
        <v>2.66</v>
      </c>
      <c r="AC123" s="464">
        <f t="shared" si="786"/>
        <v>0</v>
      </c>
      <c r="AD123" s="474">
        <f t="shared" ref="AD123:AE123" si="787">1-(V123/Z123)</f>
        <v>0.316195372750643</v>
      </c>
      <c r="AE123" s="474" t="e">
        <f t="shared" si="787"/>
        <v>#DIV/0!</v>
      </c>
      <c r="AF123" s="475"/>
      <c r="AG123" s="475"/>
      <c r="AH123" s="483"/>
      <c r="AI123" s="483"/>
      <c r="AJ123" s="484">
        <f t="shared" si="522"/>
        <v>5.32</v>
      </c>
      <c r="AK123" s="252">
        <f t="shared" si="528"/>
        <v>0</v>
      </c>
      <c r="AL123" s="485">
        <f>AJ123-V123</f>
        <v>2.66</v>
      </c>
      <c r="AM123" s="485">
        <f>AK123-AA123</f>
        <v>0</v>
      </c>
      <c r="AN123" s="486">
        <f t="shared" si="8"/>
        <v>26.6</v>
      </c>
      <c r="AO123" s="487">
        <f t="shared" ref="AO123:AP123" si="788">V123+(V123*$AO$2)</f>
        <v>3.99</v>
      </c>
      <c r="AP123" s="475">
        <f t="shared" si="788"/>
        <v>0</v>
      </c>
      <c r="AQ123" s="432" t="b">
        <v>0</v>
      </c>
      <c r="AR123" s="485">
        <f t="shared" ref="AR123:AS123" si="789">AO123-Z123</f>
        <v>0.1</v>
      </c>
      <c r="AS123" s="485">
        <f t="shared" si="789"/>
        <v>0</v>
      </c>
      <c r="AT123" s="486">
        <f t="shared" si="11"/>
        <v>19.95</v>
      </c>
      <c r="AU123" s="301">
        <f t="shared" si="12"/>
        <v>21.6</v>
      </c>
      <c r="AV123" s="301">
        <f t="shared" si="785"/>
        <v>36.5</v>
      </c>
      <c r="AW123" s="29">
        <v>24</v>
      </c>
      <c r="AX123" s="29">
        <v>49</v>
      </c>
      <c r="AY123" s="29">
        <v>1</v>
      </c>
      <c r="AZ123" s="29"/>
      <c r="BA123" s="29"/>
      <c r="BB123" s="302"/>
      <c r="BC123" s="301"/>
      <c r="BD123" s="303"/>
      <c r="BE123" s="304"/>
      <c r="BF123" s="307"/>
      <c r="BG123" s="301"/>
      <c r="BH123" s="303"/>
      <c r="BI123" s="304"/>
      <c r="BK123" s="29"/>
      <c r="BL123" s="29"/>
      <c r="BQ123" s="29"/>
      <c r="BR123" s="29"/>
      <c r="BS123" s="29" t="s">
        <v>1366</v>
      </c>
    </row>
    <row r="124" ht="12.75" spans="1:70">
      <c r="A124" s="29" t="s">
        <v>1044</v>
      </c>
      <c r="B124" s="29" t="s">
        <v>1195</v>
      </c>
      <c r="C124" s="29" t="s">
        <v>710</v>
      </c>
      <c r="D124" s="308"/>
      <c r="E124" s="29" t="s">
        <v>1246</v>
      </c>
      <c r="F124" s="29" t="b">
        <v>0</v>
      </c>
      <c r="G124" s="29" t="b">
        <v>1</v>
      </c>
      <c r="H124" s="29" t="b">
        <v>0</v>
      </c>
      <c r="I124" s="29" t="b">
        <v>0</v>
      </c>
      <c r="J124" s="29" t="b">
        <v>0</v>
      </c>
      <c r="K124" s="29" t="b">
        <v>0</v>
      </c>
      <c r="L124" s="29" t="b">
        <v>0</v>
      </c>
      <c r="M124" s="432" t="b">
        <v>0</v>
      </c>
      <c r="N124" s="432" t="b">
        <v>1</v>
      </c>
      <c r="P124" s="29" t="s">
        <v>120</v>
      </c>
      <c r="Q124" s="441">
        <f t="shared" si="776"/>
        <v>375</v>
      </c>
      <c r="R124" s="441">
        <f t="shared" si="777"/>
        <v>375</v>
      </c>
      <c r="S124" s="442">
        <f t="shared" si="778"/>
        <v>0</v>
      </c>
      <c r="T124" s="308"/>
      <c r="U124" s="443"/>
      <c r="V124" s="245"/>
      <c r="W124" s="245"/>
      <c r="X124" s="444">
        <v>52.97</v>
      </c>
      <c r="Y124" s="245">
        <v>261.48</v>
      </c>
      <c r="Z124" s="245"/>
      <c r="AA124" s="245"/>
      <c r="AB124" s="463">
        <f t="shared" ref="AB124:AC124" si="790">V124-X124</f>
        <v>-52.97</v>
      </c>
      <c r="AC124" s="464">
        <f t="shared" si="790"/>
        <v>-261.48</v>
      </c>
      <c r="AD124" s="474" t="e">
        <f t="shared" ref="AD124:AE124" si="791">1-(V124/Z124)</f>
        <v>#DIV/0!</v>
      </c>
      <c r="AE124" s="474" t="e">
        <f t="shared" si="791"/>
        <v>#DIV/0!</v>
      </c>
      <c r="AF124" s="475"/>
      <c r="AG124" s="475"/>
      <c r="AH124" s="483"/>
      <c r="AI124" s="483"/>
      <c r="AJ124" s="487">
        <f t="shared" si="522"/>
        <v>0</v>
      </c>
      <c r="AK124" s="475">
        <f t="shared" si="528"/>
        <v>0</v>
      </c>
      <c r="AL124" s="485">
        <f t="shared" ref="AL124:AM124" si="792">AJ124-Z124</f>
        <v>0</v>
      </c>
      <c r="AM124" s="485">
        <f t="shared" si="792"/>
        <v>0</v>
      </c>
      <c r="AN124" s="486">
        <f t="shared" si="8"/>
        <v>0</v>
      </c>
      <c r="AO124" s="487">
        <f t="shared" ref="AO124:AP124" si="793">V124+(V124*$AO$2)</f>
        <v>0</v>
      </c>
      <c r="AP124" s="475">
        <f t="shared" si="793"/>
        <v>0</v>
      </c>
      <c r="AQ124" s="432" t="b">
        <v>0</v>
      </c>
      <c r="AR124" s="485">
        <f t="shared" ref="AR124:AS124" si="794">AO124-Z124</f>
        <v>0</v>
      </c>
      <c r="AS124" s="485">
        <f t="shared" si="794"/>
        <v>0</v>
      </c>
      <c r="AT124" s="486">
        <f t="shared" si="11"/>
        <v>0</v>
      </c>
      <c r="AU124" s="301">
        <f t="shared" si="12"/>
        <v>315</v>
      </c>
      <c r="AV124" s="301">
        <f t="shared" si="785"/>
        <v>375</v>
      </c>
      <c r="AW124" s="29">
        <v>350</v>
      </c>
      <c r="AX124" s="29">
        <v>400</v>
      </c>
      <c r="BB124" s="302">
        <f t="shared" ref="BB124:BB125" si="795">AV124</f>
        <v>375</v>
      </c>
      <c r="BC124" s="301"/>
      <c r="BD124" s="303">
        <f t="shared" ref="BD124:BD125" si="796">(BB124+BC124)/2</f>
        <v>187.5</v>
      </c>
      <c r="BE124" s="304" t="e">
        <f t="shared" ref="BE124:BE125" si="797">BB124/BC124</f>
        <v>#DIV/0!</v>
      </c>
      <c r="BF124" s="307">
        <f t="shared" ref="BF124:BF125" si="798">BB124*$BF$1</f>
        <v>150</v>
      </c>
      <c r="BG124" s="301"/>
      <c r="BH124" s="303">
        <f t="shared" ref="BH124:BH125" si="799">(BF124+BG124)/2</f>
        <v>75</v>
      </c>
      <c r="BI124" s="304" t="e">
        <f t="shared" ref="BI124:BI125" si="800">BF124/BG124</f>
        <v>#DIV/0!</v>
      </c>
      <c r="BK124" s="29"/>
      <c r="BL124" s="29"/>
      <c r="BQ124" s="308"/>
      <c r="BR124" s="308"/>
    </row>
    <row r="125" ht="12.75" spans="1:70">
      <c r="A125" s="29" t="s">
        <v>1044</v>
      </c>
      <c r="B125" s="29" t="s">
        <v>1195</v>
      </c>
      <c r="C125" s="29" t="s">
        <v>713</v>
      </c>
      <c r="D125" s="308"/>
      <c r="E125" s="29" t="s">
        <v>1261</v>
      </c>
      <c r="F125" s="29" t="b">
        <v>0</v>
      </c>
      <c r="G125" s="29" t="b">
        <v>1</v>
      </c>
      <c r="H125" s="29" t="b">
        <v>0</v>
      </c>
      <c r="I125" s="29" t="b">
        <v>0</v>
      </c>
      <c r="J125" s="29" t="b">
        <v>0</v>
      </c>
      <c r="K125" s="29" t="b">
        <v>0</v>
      </c>
      <c r="L125" s="29" t="b">
        <v>0</v>
      </c>
      <c r="M125" s="432" t="b">
        <v>0</v>
      </c>
      <c r="N125" s="432" t="b">
        <v>1</v>
      </c>
      <c r="P125" s="29" t="s">
        <v>120</v>
      </c>
      <c r="Q125" s="441">
        <f t="shared" si="776"/>
        <v>400</v>
      </c>
      <c r="R125" s="441">
        <f t="shared" si="777"/>
        <v>400</v>
      </c>
      <c r="S125" s="442">
        <f t="shared" si="778"/>
        <v>0</v>
      </c>
      <c r="T125" s="308"/>
      <c r="U125" s="443"/>
      <c r="V125" s="245"/>
      <c r="W125" s="245"/>
      <c r="X125" s="444">
        <v>47.62</v>
      </c>
      <c r="Y125" s="245">
        <v>238.12</v>
      </c>
      <c r="Z125" s="245"/>
      <c r="AA125" s="245"/>
      <c r="AB125" s="463">
        <f t="shared" ref="AB125:AC125" si="801">V125-X125</f>
        <v>-47.62</v>
      </c>
      <c r="AC125" s="464">
        <f t="shared" si="801"/>
        <v>-238.12</v>
      </c>
      <c r="AD125" s="474" t="e">
        <f t="shared" ref="AD125:AE125" si="802">1-(V125/Z125)</f>
        <v>#DIV/0!</v>
      </c>
      <c r="AE125" s="474" t="e">
        <f t="shared" si="802"/>
        <v>#DIV/0!</v>
      </c>
      <c r="AF125" s="475"/>
      <c r="AG125" s="475"/>
      <c r="AH125" s="483"/>
      <c r="AI125" s="483"/>
      <c r="AJ125" s="487">
        <f t="shared" si="522"/>
        <v>0</v>
      </c>
      <c r="AK125" s="475">
        <f t="shared" si="528"/>
        <v>0</v>
      </c>
      <c r="AL125" s="485">
        <f t="shared" ref="AL125:AM125" si="803">AJ125-Z125</f>
        <v>0</v>
      </c>
      <c r="AM125" s="485">
        <f t="shared" si="803"/>
        <v>0</v>
      </c>
      <c r="AN125" s="486">
        <f t="shared" si="8"/>
        <v>0</v>
      </c>
      <c r="AO125" s="487">
        <f t="shared" ref="AO125:AP125" si="804">V125+(V125*$AO$2)</f>
        <v>0</v>
      </c>
      <c r="AP125" s="475">
        <f t="shared" si="804"/>
        <v>0</v>
      </c>
      <c r="AQ125" s="432" t="b">
        <v>0</v>
      </c>
      <c r="AR125" s="485">
        <f t="shared" ref="AR125:AS125" si="805">AO125-Z125</f>
        <v>0</v>
      </c>
      <c r="AS125" s="485">
        <f t="shared" si="805"/>
        <v>0</v>
      </c>
      <c r="AT125" s="486">
        <f t="shared" si="11"/>
        <v>0</v>
      </c>
      <c r="AU125" s="301">
        <f t="shared" si="12"/>
        <v>337.5</v>
      </c>
      <c r="AV125" s="301">
        <f t="shared" si="785"/>
        <v>400</v>
      </c>
      <c r="AW125" s="29">
        <v>375</v>
      </c>
      <c r="AX125" s="29">
        <v>425</v>
      </c>
      <c r="BB125" s="302">
        <f t="shared" si="795"/>
        <v>400</v>
      </c>
      <c r="BC125" s="301"/>
      <c r="BD125" s="303">
        <f t="shared" si="796"/>
        <v>200</v>
      </c>
      <c r="BE125" s="304" t="e">
        <f t="shared" si="797"/>
        <v>#DIV/0!</v>
      </c>
      <c r="BF125" s="307">
        <f t="shared" si="798"/>
        <v>160</v>
      </c>
      <c r="BG125" s="301"/>
      <c r="BH125" s="303">
        <f t="shared" si="799"/>
        <v>80</v>
      </c>
      <c r="BI125" s="304" t="e">
        <f t="shared" si="800"/>
        <v>#DIV/0!</v>
      </c>
      <c r="BK125" s="29"/>
      <c r="BL125" s="29"/>
      <c r="BQ125" s="308"/>
      <c r="BR125" s="308"/>
    </row>
    <row r="126" ht="12.75" spans="1:70">
      <c r="A126" s="29" t="s">
        <v>1044</v>
      </c>
      <c r="B126" s="29" t="s">
        <v>1249</v>
      </c>
      <c r="C126" s="29" t="s">
        <v>1367</v>
      </c>
      <c r="D126" s="308"/>
      <c r="E126" s="29" t="s">
        <v>1217</v>
      </c>
      <c r="F126" s="29"/>
      <c r="G126" s="29"/>
      <c r="H126" s="29" t="b">
        <v>0</v>
      </c>
      <c r="I126" s="29"/>
      <c r="J126" s="29" t="b">
        <v>0</v>
      </c>
      <c r="K126" s="29" t="b">
        <v>0</v>
      </c>
      <c r="L126" s="29" t="b">
        <v>0</v>
      </c>
      <c r="M126" s="432" t="b">
        <v>0</v>
      </c>
      <c r="N126" s="432" t="b">
        <v>0</v>
      </c>
      <c r="O126" s="29" t="s">
        <v>1368</v>
      </c>
      <c r="P126" s="29" t="s">
        <v>142</v>
      </c>
      <c r="Q126" s="441">
        <f t="shared" si="776"/>
        <v>375</v>
      </c>
      <c r="R126" s="441">
        <f t="shared" si="777"/>
        <v>375</v>
      </c>
      <c r="S126" s="442">
        <f t="shared" si="778"/>
        <v>70.9</v>
      </c>
      <c r="T126" s="308"/>
      <c r="U126" s="443"/>
      <c r="V126" s="245">
        <v>35.45</v>
      </c>
      <c r="W126" s="245">
        <v>159.95</v>
      </c>
      <c r="X126" s="444"/>
      <c r="Y126" s="245"/>
      <c r="Z126" s="245">
        <v>58.99</v>
      </c>
      <c r="AA126" s="245">
        <v>262.45</v>
      </c>
      <c r="AB126" s="463">
        <f t="shared" ref="AB126:AC126" si="806">V126-X126</f>
        <v>35.45</v>
      </c>
      <c r="AC126" s="464">
        <f t="shared" si="806"/>
        <v>159.95</v>
      </c>
      <c r="AD126" s="474">
        <f t="shared" ref="AD126:AE126" si="807">1-(V126/Z126)</f>
        <v>0.399050686557044</v>
      </c>
      <c r="AE126" s="474">
        <f t="shared" si="807"/>
        <v>0.39055058106306</v>
      </c>
      <c r="AF126" s="475"/>
      <c r="AG126" s="475"/>
      <c r="AH126" s="483"/>
      <c r="AI126" s="483"/>
      <c r="AJ126" s="484">
        <f t="shared" si="522"/>
        <v>70.9</v>
      </c>
      <c r="AK126" s="252">
        <f t="shared" si="528"/>
        <v>319.9</v>
      </c>
      <c r="AL126" s="485">
        <f>AJ126-V126</f>
        <v>35.45</v>
      </c>
      <c r="AM126" s="485">
        <f>AK126-AA126</f>
        <v>57.45</v>
      </c>
      <c r="AN126" s="486">
        <f t="shared" si="8"/>
        <v>34.6</v>
      </c>
      <c r="AO126" s="487">
        <f t="shared" ref="AO126:AP126" si="808">V126+(V126*$AO$2)</f>
        <v>53.175</v>
      </c>
      <c r="AP126" s="475">
        <f t="shared" si="808"/>
        <v>239.925</v>
      </c>
      <c r="AQ126" s="432" t="b">
        <v>0</v>
      </c>
      <c r="AR126" s="485">
        <f t="shared" ref="AR126:AS126" si="809">AO126-Z126</f>
        <v>-5.815</v>
      </c>
      <c r="AS126" s="485">
        <f t="shared" si="809"/>
        <v>-22.525</v>
      </c>
      <c r="AT126" s="486">
        <f t="shared" si="11"/>
        <v>25.95</v>
      </c>
      <c r="AU126" s="301">
        <f t="shared" si="12"/>
        <v>315</v>
      </c>
      <c r="AV126" s="301">
        <f t="shared" si="785"/>
        <v>375</v>
      </c>
      <c r="AW126" s="29">
        <v>350</v>
      </c>
      <c r="AX126" s="29">
        <v>400</v>
      </c>
      <c r="AY126" s="29">
        <v>1</v>
      </c>
      <c r="AZ126" s="29"/>
      <c r="BA126" s="29"/>
      <c r="BB126" s="302"/>
      <c r="BC126" s="301"/>
      <c r="BD126" s="303"/>
      <c r="BE126" s="304"/>
      <c r="BF126" s="307"/>
      <c r="BG126" s="301"/>
      <c r="BH126" s="303"/>
      <c r="BI126" s="304"/>
      <c r="BJ126" s="29" t="s">
        <v>1249</v>
      </c>
      <c r="BK126" s="29"/>
      <c r="BL126" s="29"/>
      <c r="BP126" s="29" t="s">
        <v>1204</v>
      </c>
      <c r="BQ126" s="308"/>
      <c r="BR126" s="308"/>
    </row>
    <row r="127" ht="12.75" spans="1:70">
      <c r="A127" s="29" t="s">
        <v>1022</v>
      </c>
      <c r="B127" s="29" t="s">
        <v>1195</v>
      </c>
      <c r="C127" s="29" t="s">
        <v>716</v>
      </c>
      <c r="D127" s="29" t="s">
        <v>1198</v>
      </c>
      <c r="E127" s="29" t="s">
        <v>13</v>
      </c>
      <c r="F127" s="29" t="b">
        <v>0</v>
      </c>
      <c r="G127" s="29" t="b">
        <v>1</v>
      </c>
      <c r="H127" s="29" t="b">
        <v>0</v>
      </c>
      <c r="I127" s="29" t="b">
        <v>0</v>
      </c>
      <c r="J127" s="29" t="b">
        <v>0</v>
      </c>
      <c r="K127" s="29" t="b">
        <v>0</v>
      </c>
      <c r="L127" s="29" t="b">
        <v>0</v>
      </c>
      <c r="M127" s="432" t="b">
        <v>0</v>
      </c>
      <c r="N127" s="432" t="b">
        <v>1</v>
      </c>
      <c r="P127" s="29" t="s">
        <v>120</v>
      </c>
      <c r="Q127" s="441">
        <f t="shared" si="776"/>
        <v>425</v>
      </c>
      <c r="R127" s="441">
        <f t="shared" si="777"/>
        <v>425</v>
      </c>
      <c r="S127" s="442">
        <f t="shared" si="778"/>
        <v>0</v>
      </c>
      <c r="T127" s="308"/>
      <c r="U127" s="443"/>
      <c r="V127" s="245"/>
      <c r="W127" s="245"/>
      <c r="X127" s="444">
        <v>27.29</v>
      </c>
      <c r="Y127" s="245">
        <v>122.7</v>
      </c>
      <c r="Z127" s="245"/>
      <c r="AA127" s="245"/>
      <c r="AB127" s="463">
        <f t="shared" ref="AB127:AC127" si="810">V127-X127</f>
        <v>-27.29</v>
      </c>
      <c r="AC127" s="464">
        <f t="shared" si="810"/>
        <v>-122.7</v>
      </c>
      <c r="AD127" s="474" t="e">
        <f t="shared" ref="AD127:AE127" si="811">1-(V127/Z127)</f>
        <v>#DIV/0!</v>
      </c>
      <c r="AE127" s="474" t="e">
        <f t="shared" si="811"/>
        <v>#DIV/0!</v>
      </c>
      <c r="AF127" s="475"/>
      <c r="AG127" s="475"/>
      <c r="AH127" s="483"/>
      <c r="AI127" s="483"/>
      <c r="AJ127" s="487">
        <f t="shared" si="522"/>
        <v>0</v>
      </c>
      <c r="AK127" s="475">
        <f t="shared" si="528"/>
        <v>0</v>
      </c>
      <c r="AL127" s="485">
        <f t="shared" ref="AL127:AM127" si="812">AJ127-Z127</f>
        <v>0</v>
      </c>
      <c r="AM127" s="485">
        <f t="shared" si="812"/>
        <v>0</v>
      </c>
      <c r="AN127" s="486">
        <f t="shared" si="8"/>
        <v>0</v>
      </c>
      <c r="AO127" s="487">
        <f t="shared" ref="AO127:AP127" si="813">V127+(V127*$AO$2)</f>
        <v>0</v>
      </c>
      <c r="AP127" s="475">
        <f t="shared" si="813"/>
        <v>0</v>
      </c>
      <c r="AQ127" s="432" t="b">
        <v>0</v>
      </c>
      <c r="AR127" s="485">
        <f t="shared" ref="AR127:AS127" si="814">AO127-Z127</f>
        <v>0</v>
      </c>
      <c r="AS127" s="485">
        <f t="shared" si="814"/>
        <v>0</v>
      </c>
      <c r="AT127" s="486">
        <f t="shared" si="11"/>
        <v>0</v>
      </c>
      <c r="AU127" s="301">
        <f t="shared" si="12"/>
        <v>360</v>
      </c>
      <c r="AV127" s="301">
        <f t="shared" si="785"/>
        <v>425</v>
      </c>
      <c r="AW127" s="29">
        <v>400</v>
      </c>
      <c r="AX127" s="29">
        <v>450</v>
      </c>
      <c r="BB127" s="302">
        <f>AV127</f>
        <v>425</v>
      </c>
      <c r="BC127" s="301"/>
      <c r="BD127" s="303">
        <f>(BB127+BC127)/2</f>
        <v>212.5</v>
      </c>
      <c r="BE127" s="304" t="e">
        <f>BB127/BC127</f>
        <v>#DIV/0!</v>
      </c>
      <c r="BF127" s="307">
        <f>BB127*$BF$1</f>
        <v>170</v>
      </c>
      <c r="BG127" s="301"/>
      <c r="BH127" s="303">
        <f>(BF127+BG127)/2</f>
        <v>85</v>
      </c>
      <c r="BI127" s="304" t="e">
        <f>BF127/BG127</f>
        <v>#DIV/0!</v>
      </c>
      <c r="BK127" s="29"/>
      <c r="BL127" s="29"/>
      <c r="BQ127" s="308"/>
      <c r="BR127" s="308"/>
    </row>
    <row r="128" ht="12.75" spans="1:70">
      <c r="A128" s="29" t="s">
        <v>1038</v>
      </c>
      <c r="B128" s="29" t="s">
        <v>1249</v>
      </c>
      <c r="C128" s="288" t="s">
        <v>1369</v>
      </c>
      <c r="D128" s="29" t="s">
        <v>1200</v>
      </c>
      <c r="E128" s="29" t="s">
        <v>1245</v>
      </c>
      <c r="F128" s="29" t="b">
        <v>1</v>
      </c>
      <c r="G128" s="29" t="b">
        <v>0</v>
      </c>
      <c r="H128" s="29" t="b">
        <v>0</v>
      </c>
      <c r="I128" s="29" t="b">
        <v>0</v>
      </c>
      <c r="J128" s="29" t="b">
        <v>0</v>
      </c>
      <c r="K128" s="29" t="b">
        <v>0</v>
      </c>
      <c r="L128" s="29" t="b">
        <v>0</v>
      </c>
      <c r="M128" s="432" t="b">
        <v>1</v>
      </c>
      <c r="N128" s="432" t="s">
        <v>119</v>
      </c>
      <c r="O128" s="29" t="s">
        <v>1370</v>
      </c>
      <c r="P128" s="29" t="s">
        <v>142</v>
      </c>
      <c r="Q128" s="441">
        <f t="shared" si="776"/>
        <v>219</v>
      </c>
      <c r="R128" s="441">
        <f t="shared" si="777"/>
        <v>219</v>
      </c>
      <c r="S128" s="442">
        <f t="shared" si="778"/>
        <v>97.98</v>
      </c>
      <c r="T128" s="29" t="s">
        <v>1203</v>
      </c>
      <c r="U128" s="443">
        <v>0.05</v>
      </c>
      <c r="V128" s="245">
        <v>48.99</v>
      </c>
      <c r="W128" s="245">
        <v>234.95</v>
      </c>
      <c r="X128" s="444"/>
      <c r="Y128" s="245"/>
      <c r="Z128" s="245">
        <v>132.09</v>
      </c>
      <c r="AA128" s="245">
        <v>650.45</v>
      </c>
      <c r="AB128" s="463">
        <f t="shared" ref="AB128:AC128" si="815">V128-X128</f>
        <v>48.99</v>
      </c>
      <c r="AC128" s="464">
        <f t="shared" si="815"/>
        <v>234.95</v>
      </c>
      <c r="AD128" s="474">
        <f t="shared" ref="AD128:AE128" si="816">1-(V128/Z128)</f>
        <v>0.629116511469453</v>
      </c>
      <c r="AE128" s="474">
        <f t="shared" si="816"/>
        <v>0.638788531016988</v>
      </c>
      <c r="AF128" s="475"/>
      <c r="AG128" s="475"/>
      <c r="AH128" s="483"/>
      <c r="AI128" s="483"/>
      <c r="AJ128" s="484">
        <f t="shared" si="522"/>
        <v>97.98</v>
      </c>
      <c r="AK128" s="252">
        <f t="shared" si="528"/>
        <v>469.9</v>
      </c>
      <c r="AL128" s="485">
        <f t="shared" ref="AL128:AL133" si="817">AJ128-V128</f>
        <v>48.99</v>
      </c>
      <c r="AM128" s="485">
        <f t="shared" ref="AM128:AM133" si="818">AK128-AA128</f>
        <v>-180.55</v>
      </c>
      <c r="AN128" s="486">
        <f t="shared" si="8"/>
        <v>20.0000000000001</v>
      </c>
      <c r="AO128" s="487">
        <f t="shared" ref="AO128:AP128" si="819">V128+(V128*$AO$2)</f>
        <v>73.485</v>
      </c>
      <c r="AP128" s="475">
        <f t="shared" si="819"/>
        <v>352.425</v>
      </c>
      <c r="AQ128" s="432" t="b">
        <v>1</v>
      </c>
      <c r="AR128" s="485">
        <f t="shared" ref="AR128:AS128" si="820">AO128-Z128</f>
        <v>-58.605</v>
      </c>
      <c r="AS128" s="485">
        <f t="shared" si="820"/>
        <v>-298.025</v>
      </c>
      <c r="AT128" s="486">
        <f t="shared" si="11"/>
        <v>15.0000000000001</v>
      </c>
      <c r="AU128" s="301">
        <f t="shared" si="12"/>
        <v>151.2</v>
      </c>
      <c r="AV128" s="301">
        <f t="shared" si="785"/>
        <v>219</v>
      </c>
      <c r="AW128" s="29">
        <v>168</v>
      </c>
      <c r="AX128" s="29">
        <v>270</v>
      </c>
      <c r="BB128" s="302"/>
      <c r="BC128" s="301"/>
      <c r="BD128" s="303"/>
      <c r="BE128" s="304"/>
      <c r="BF128" s="307"/>
      <c r="BG128" s="301"/>
      <c r="BH128" s="303"/>
      <c r="BI128" s="304"/>
      <c r="BK128" s="29"/>
      <c r="BL128" s="29"/>
      <c r="BQ128" s="29"/>
      <c r="BR128" s="29"/>
    </row>
    <row r="129" ht="12.75" spans="1:70">
      <c r="A129" s="29" t="s">
        <v>1038</v>
      </c>
      <c r="B129" s="29" t="s">
        <v>1249</v>
      </c>
      <c r="C129" s="288" t="s">
        <v>1369</v>
      </c>
      <c r="D129" s="29" t="s">
        <v>1200</v>
      </c>
      <c r="E129" s="29" t="s">
        <v>1271</v>
      </c>
      <c r="F129" s="29" t="b">
        <v>1</v>
      </c>
      <c r="G129" s="29" t="b">
        <v>0</v>
      </c>
      <c r="H129" s="29" t="b">
        <v>0</v>
      </c>
      <c r="I129" s="29" t="b">
        <v>0</v>
      </c>
      <c r="J129" s="29" t="b">
        <v>0</v>
      </c>
      <c r="K129" s="29" t="b">
        <v>0</v>
      </c>
      <c r="L129" s="29" t="b">
        <v>0</v>
      </c>
      <c r="M129" s="432" t="b">
        <v>1</v>
      </c>
      <c r="N129" s="432" t="s">
        <v>119</v>
      </c>
      <c r="O129" s="29" t="s">
        <v>1371</v>
      </c>
      <c r="P129" s="29" t="s">
        <v>142</v>
      </c>
      <c r="Q129" s="441">
        <f t="shared" si="776"/>
        <v>219</v>
      </c>
      <c r="R129" s="441">
        <f t="shared" si="777"/>
        <v>219</v>
      </c>
      <c r="S129" s="442">
        <f t="shared" si="778"/>
        <v>97.98</v>
      </c>
      <c r="T129" s="29" t="s">
        <v>1203</v>
      </c>
      <c r="U129" s="443">
        <v>0.05</v>
      </c>
      <c r="V129" s="245">
        <v>48.99</v>
      </c>
      <c r="W129" s="245">
        <v>234.95</v>
      </c>
      <c r="X129" s="444"/>
      <c r="Y129" s="245"/>
      <c r="Z129" s="245">
        <v>132.09</v>
      </c>
      <c r="AA129" s="245">
        <v>650.45</v>
      </c>
      <c r="AB129" s="463">
        <f t="shared" ref="AB129:AC129" si="821">V129-X129</f>
        <v>48.99</v>
      </c>
      <c r="AC129" s="464">
        <f t="shared" si="821"/>
        <v>234.95</v>
      </c>
      <c r="AD129" s="474">
        <f t="shared" ref="AD129:AE129" si="822">1-(V129/Z129)</f>
        <v>0.629116511469453</v>
      </c>
      <c r="AE129" s="474">
        <f t="shared" si="822"/>
        <v>0.638788531016988</v>
      </c>
      <c r="AF129" s="475"/>
      <c r="AG129" s="475"/>
      <c r="AH129" s="483"/>
      <c r="AI129" s="483"/>
      <c r="AJ129" s="484">
        <f t="shared" si="522"/>
        <v>97.98</v>
      </c>
      <c r="AK129" s="252">
        <f t="shared" si="528"/>
        <v>469.9</v>
      </c>
      <c r="AL129" s="485">
        <f t="shared" si="817"/>
        <v>48.99</v>
      </c>
      <c r="AM129" s="485">
        <f t="shared" si="818"/>
        <v>-180.55</v>
      </c>
      <c r="AN129" s="486">
        <f t="shared" si="8"/>
        <v>20.0000000000001</v>
      </c>
      <c r="AO129" s="487">
        <f t="shared" ref="AO129:AP129" si="823">V129+(V129*$AO$2)</f>
        <v>73.485</v>
      </c>
      <c r="AP129" s="475">
        <f t="shared" si="823"/>
        <v>352.425</v>
      </c>
      <c r="AQ129" s="432" t="b">
        <v>1</v>
      </c>
      <c r="AR129" s="485">
        <f t="shared" ref="AR129:AS129" si="824">AO129-Z129</f>
        <v>-58.605</v>
      </c>
      <c r="AS129" s="485">
        <f t="shared" si="824"/>
        <v>-298.025</v>
      </c>
      <c r="AT129" s="486">
        <f t="shared" si="11"/>
        <v>15.0000000000001</v>
      </c>
      <c r="AU129" s="301">
        <f t="shared" si="12"/>
        <v>151.2</v>
      </c>
      <c r="AV129" s="301">
        <f t="shared" si="785"/>
        <v>219</v>
      </c>
      <c r="AW129" s="29">
        <v>168</v>
      </c>
      <c r="AX129" s="29">
        <v>270</v>
      </c>
      <c r="BB129" s="302"/>
      <c r="BC129" s="301"/>
      <c r="BD129" s="303"/>
      <c r="BE129" s="304"/>
      <c r="BF129" s="307"/>
      <c r="BG129" s="301"/>
      <c r="BH129" s="303"/>
      <c r="BI129" s="304"/>
      <c r="BK129" s="29"/>
      <c r="BL129" s="29"/>
      <c r="BQ129" s="29"/>
      <c r="BR129" s="29"/>
    </row>
    <row r="130" ht="12.75" spans="1:70">
      <c r="A130" s="29" t="s">
        <v>1038</v>
      </c>
      <c r="B130" s="29" t="s">
        <v>1249</v>
      </c>
      <c r="C130" s="29" t="s">
        <v>1369</v>
      </c>
      <c r="D130" s="29" t="s">
        <v>1200</v>
      </c>
      <c r="E130" s="29" t="s">
        <v>1224</v>
      </c>
      <c r="F130" s="29" t="b">
        <v>1</v>
      </c>
      <c r="G130" s="29" t="b">
        <v>0</v>
      </c>
      <c r="H130" s="29" t="b">
        <v>0</v>
      </c>
      <c r="I130" s="29" t="b">
        <v>1</v>
      </c>
      <c r="J130" s="29" t="b">
        <v>0</v>
      </c>
      <c r="K130" s="29" t="b">
        <v>0</v>
      </c>
      <c r="L130" s="29" t="b">
        <v>0</v>
      </c>
      <c r="M130" s="432" t="b">
        <v>1</v>
      </c>
      <c r="N130" s="432" t="b">
        <v>1</v>
      </c>
      <c r="O130" s="29" t="s">
        <v>1372</v>
      </c>
      <c r="P130" s="29" t="s">
        <v>142</v>
      </c>
      <c r="Q130" s="441">
        <f t="shared" si="776"/>
        <v>219</v>
      </c>
      <c r="R130" s="441">
        <f t="shared" si="777"/>
        <v>219</v>
      </c>
      <c r="S130" s="442">
        <f t="shared" si="778"/>
        <v>97.98</v>
      </c>
      <c r="T130" s="29" t="s">
        <v>1203</v>
      </c>
      <c r="U130" s="443">
        <v>0.05</v>
      </c>
      <c r="V130" s="245">
        <v>48.99</v>
      </c>
      <c r="W130" s="245">
        <v>234.95</v>
      </c>
      <c r="X130" s="444"/>
      <c r="Y130" s="245"/>
      <c r="Z130" s="245">
        <v>132.09</v>
      </c>
      <c r="AA130" s="245">
        <v>650.45</v>
      </c>
      <c r="AB130" s="463">
        <f t="shared" ref="AB130:AC130" si="825">V130-X130</f>
        <v>48.99</v>
      </c>
      <c r="AC130" s="464">
        <f t="shared" si="825"/>
        <v>234.95</v>
      </c>
      <c r="AD130" s="474">
        <f t="shared" ref="AD130:AE130" si="826">1-(V130/Z130)</f>
        <v>0.629116511469453</v>
      </c>
      <c r="AE130" s="474">
        <f t="shared" si="826"/>
        <v>0.638788531016988</v>
      </c>
      <c r="AF130" s="475"/>
      <c r="AG130" s="475"/>
      <c r="AH130" s="483"/>
      <c r="AI130" s="483"/>
      <c r="AJ130" s="484">
        <f t="shared" si="522"/>
        <v>97.98</v>
      </c>
      <c r="AK130" s="252">
        <f t="shared" si="528"/>
        <v>469.9</v>
      </c>
      <c r="AL130" s="485">
        <f t="shared" si="817"/>
        <v>48.99</v>
      </c>
      <c r="AM130" s="485">
        <f t="shared" si="818"/>
        <v>-180.55</v>
      </c>
      <c r="AN130" s="486">
        <f t="shared" si="8"/>
        <v>20.0000000000001</v>
      </c>
      <c r="AO130" s="487">
        <f t="shared" ref="AO130:AP130" si="827">V130+(V130*$AO$2)</f>
        <v>73.485</v>
      </c>
      <c r="AP130" s="475">
        <f t="shared" si="827"/>
        <v>352.425</v>
      </c>
      <c r="AQ130" s="432" t="b">
        <v>1</v>
      </c>
      <c r="AR130" s="485">
        <f t="shared" ref="AR130:AS130" si="828">AO130-Z130</f>
        <v>-58.605</v>
      </c>
      <c r="AS130" s="485">
        <f t="shared" si="828"/>
        <v>-298.025</v>
      </c>
      <c r="AT130" s="486">
        <f t="shared" si="11"/>
        <v>15.0000000000001</v>
      </c>
      <c r="AU130" s="301">
        <f t="shared" si="12"/>
        <v>151.2</v>
      </c>
      <c r="AV130" s="301">
        <f t="shared" si="785"/>
        <v>219</v>
      </c>
      <c r="AW130" s="29">
        <v>168</v>
      </c>
      <c r="AX130" s="29">
        <v>270</v>
      </c>
      <c r="BB130" s="302"/>
      <c r="BC130" s="301"/>
      <c r="BD130" s="303"/>
      <c r="BE130" s="304"/>
      <c r="BF130" s="307"/>
      <c r="BG130" s="301"/>
      <c r="BH130" s="303"/>
      <c r="BI130" s="304"/>
      <c r="BK130" s="29"/>
      <c r="BL130" s="29"/>
      <c r="BQ130" s="29"/>
      <c r="BR130" s="29"/>
    </row>
    <row r="131" ht="12.75" spans="1:70">
      <c r="A131" s="29" t="s">
        <v>1038</v>
      </c>
      <c r="B131" s="29" t="s">
        <v>1249</v>
      </c>
      <c r="C131" s="29" t="s">
        <v>1373</v>
      </c>
      <c r="D131" s="29" t="s">
        <v>1200</v>
      </c>
      <c r="F131" s="29" t="b">
        <v>1</v>
      </c>
      <c r="G131" s="29" t="b">
        <v>0</v>
      </c>
      <c r="H131" s="29" t="b">
        <v>0</v>
      </c>
      <c r="I131" s="29" t="b">
        <v>0</v>
      </c>
      <c r="J131" s="29" t="b">
        <v>0</v>
      </c>
      <c r="K131" s="29" t="b">
        <v>0</v>
      </c>
      <c r="L131" s="29" t="b">
        <v>0</v>
      </c>
      <c r="M131" s="432" t="b">
        <v>0</v>
      </c>
      <c r="N131" s="432" t="b">
        <v>0</v>
      </c>
      <c r="P131" s="29"/>
      <c r="Q131" s="441">
        <f t="shared" si="776"/>
        <v>200.5</v>
      </c>
      <c r="R131" s="441">
        <f t="shared" si="777"/>
        <v>200.5</v>
      </c>
      <c r="S131" s="442">
        <f t="shared" si="778"/>
        <v>108</v>
      </c>
      <c r="T131" s="29" t="s">
        <v>1203</v>
      </c>
      <c r="U131" s="443"/>
      <c r="V131" s="245">
        <v>54</v>
      </c>
      <c r="W131" s="245"/>
      <c r="X131" s="444"/>
      <c r="Y131" s="245"/>
      <c r="Z131" s="245"/>
      <c r="AA131" s="245"/>
      <c r="AB131" s="463">
        <f t="shared" ref="AB131:AC131" si="829">V131-X131</f>
        <v>54</v>
      </c>
      <c r="AC131" s="464">
        <f t="shared" si="829"/>
        <v>0</v>
      </c>
      <c r="AD131" s="474" t="e">
        <f t="shared" ref="AD131:AE131" si="830">1-(V131/Z131)</f>
        <v>#DIV/0!</v>
      </c>
      <c r="AE131" s="474" t="e">
        <f t="shared" si="830"/>
        <v>#DIV/0!</v>
      </c>
      <c r="AF131" s="475"/>
      <c r="AG131" s="475"/>
      <c r="AH131" s="483"/>
      <c r="AI131" s="483"/>
      <c r="AJ131" s="484">
        <f t="shared" si="522"/>
        <v>108</v>
      </c>
      <c r="AK131" s="252">
        <f t="shared" si="528"/>
        <v>0</v>
      </c>
      <c r="AL131" s="485">
        <f t="shared" si="817"/>
        <v>54</v>
      </c>
      <c r="AM131" s="485">
        <f t="shared" si="818"/>
        <v>0</v>
      </c>
      <c r="AN131" s="486">
        <f t="shared" si="8"/>
        <v>540</v>
      </c>
      <c r="AO131" s="487">
        <f t="shared" ref="AO131:AP131" si="831">V131+(V131*$AO$2)</f>
        <v>81</v>
      </c>
      <c r="AP131" s="475">
        <f t="shared" si="831"/>
        <v>0</v>
      </c>
      <c r="AQ131" s="432" t="b">
        <v>1</v>
      </c>
      <c r="AR131" s="485">
        <f t="shared" ref="AR131:AS131" si="832">AO131-Z131</f>
        <v>81</v>
      </c>
      <c r="AS131" s="485">
        <f t="shared" si="832"/>
        <v>0</v>
      </c>
      <c r="AT131" s="486">
        <f t="shared" si="11"/>
        <v>405</v>
      </c>
      <c r="AU131" s="301">
        <f t="shared" si="12"/>
        <v>120.6</v>
      </c>
      <c r="AV131" s="301">
        <f t="shared" si="785"/>
        <v>200.5</v>
      </c>
      <c r="AW131" s="29">
        <v>134</v>
      </c>
      <c r="AX131" s="29">
        <v>267</v>
      </c>
      <c r="AY131" s="29">
        <v>2</v>
      </c>
      <c r="BB131" s="302"/>
      <c r="BC131" s="301"/>
      <c r="BD131" s="303"/>
      <c r="BE131" s="304"/>
      <c r="BF131" s="307"/>
      <c r="BG131" s="301"/>
      <c r="BH131" s="303"/>
      <c r="BI131" s="304"/>
      <c r="BK131" s="29"/>
      <c r="BL131" s="29"/>
      <c r="BQ131" s="308"/>
      <c r="BR131" s="308"/>
    </row>
    <row r="132" ht="12.75" spans="1:70">
      <c r="A132" s="29" t="s">
        <v>1038</v>
      </c>
      <c r="B132" s="29" t="s">
        <v>1249</v>
      </c>
      <c r="C132" s="29" t="s">
        <v>1374</v>
      </c>
      <c r="D132" s="29" t="s">
        <v>1198</v>
      </c>
      <c r="E132" s="29" t="s">
        <v>1375</v>
      </c>
      <c r="F132" s="29" t="b">
        <v>1</v>
      </c>
      <c r="G132" s="29" t="b">
        <v>0</v>
      </c>
      <c r="H132" s="29" t="b">
        <v>0</v>
      </c>
      <c r="I132" s="29" t="b">
        <v>1</v>
      </c>
      <c r="J132" s="29" t="b">
        <v>0</v>
      </c>
      <c r="K132" s="29" t="b">
        <v>0</v>
      </c>
      <c r="L132" s="29" t="b">
        <v>0</v>
      </c>
      <c r="M132" s="432" t="b">
        <v>0</v>
      </c>
      <c r="N132" s="432" t="b">
        <v>0</v>
      </c>
      <c r="O132" s="29" t="s">
        <v>1376</v>
      </c>
      <c r="P132" s="29" t="s">
        <v>142</v>
      </c>
      <c r="Q132" s="441">
        <f t="shared" si="776"/>
        <v>240</v>
      </c>
      <c r="R132" s="441">
        <f t="shared" si="777"/>
        <v>240</v>
      </c>
      <c r="S132" s="442">
        <f t="shared" si="778"/>
        <v>102</v>
      </c>
      <c r="T132" s="29" t="s">
        <v>1203</v>
      </c>
      <c r="U132" s="443">
        <v>0.05</v>
      </c>
      <c r="V132" s="245">
        <v>51</v>
      </c>
      <c r="W132" s="245">
        <v>246.5</v>
      </c>
      <c r="X132" s="444"/>
      <c r="Y132" s="245"/>
      <c r="Z132" s="245">
        <v>111.09</v>
      </c>
      <c r="AA132" s="245">
        <v>545.45</v>
      </c>
      <c r="AB132" s="463">
        <f t="shared" ref="AB132:AC132" si="833">V132-X132</f>
        <v>51</v>
      </c>
      <c r="AC132" s="464">
        <f t="shared" si="833"/>
        <v>246.5</v>
      </c>
      <c r="AD132" s="474">
        <f t="shared" ref="AD132:AE132" si="834">1-(V132/Z132)</f>
        <v>0.540912773426951</v>
      </c>
      <c r="AE132" s="474">
        <f t="shared" si="834"/>
        <v>0.548079567329728</v>
      </c>
      <c r="AF132" s="475"/>
      <c r="AG132" s="475"/>
      <c r="AH132" s="483"/>
      <c r="AI132" s="483"/>
      <c r="AJ132" s="484">
        <f t="shared" si="522"/>
        <v>102</v>
      </c>
      <c r="AK132" s="252">
        <f t="shared" si="528"/>
        <v>493</v>
      </c>
      <c r="AL132" s="485">
        <f t="shared" si="817"/>
        <v>51</v>
      </c>
      <c r="AM132" s="485">
        <f t="shared" si="818"/>
        <v>-52.45</v>
      </c>
      <c r="AN132" s="486">
        <f t="shared" si="8"/>
        <v>17</v>
      </c>
      <c r="AO132" s="487">
        <f t="shared" ref="AO132:AP132" si="835">V132+(V132*$AO$2)</f>
        <v>76.5</v>
      </c>
      <c r="AP132" s="475">
        <f t="shared" si="835"/>
        <v>369.75</v>
      </c>
      <c r="AQ132" s="432" t="b">
        <v>1</v>
      </c>
      <c r="AR132" s="485">
        <f t="shared" ref="AR132:AS132" si="836">AO132-Z132</f>
        <v>-34.59</v>
      </c>
      <c r="AS132" s="485">
        <f t="shared" si="836"/>
        <v>-175.7</v>
      </c>
      <c r="AT132" s="486">
        <f t="shared" si="11"/>
        <v>12.75</v>
      </c>
      <c r="AU132" s="301">
        <f t="shared" si="12"/>
        <v>144</v>
      </c>
      <c r="AV132" s="301">
        <f t="shared" si="785"/>
        <v>240</v>
      </c>
      <c r="AW132" s="29">
        <v>160</v>
      </c>
      <c r="AX132" s="29">
        <v>320</v>
      </c>
      <c r="BB132" s="302"/>
      <c r="BC132" s="301"/>
      <c r="BD132" s="303"/>
      <c r="BE132" s="304"/>
      <c r="BF132" s="307"/>
      <c r="BG132" s="301"/>
      <c r="BH132" s="303"/>
      <c r="BI132" s="304"/>
      <c r="BK132" s="29"/>
      <c r="BL132" s="29"/>
      <c r="BQ132" s="29"/>
      <c r="BR132" s="29"/>
    </row>
    <row r="133" ht="12.75" spans="1:70">
      <c r="A133" s="29" t="s">
        <v>1038</v>
      </c>
      <c r="B133" s="29" t="s">
        <v>1249</v>
      </c>
      <c r="C133" t="s">
        <v>1377</v>
      </c>
      <c r="D133" s="29" t="s">
        <v>1200</v>
      </c>
      <c r="F133" s="29" t="b">
        <v>1</v>
      </c>
      <c r="G133" s="29" t="b">
        <v>0</v>
      </c>
      <c r="H133" s="29" t="b">
        <v>0</v>
      </c>
      <c r="I133" s="29" t="b">
        <v>0</v>
      </c>
      <c r="J133" s="29" t="b">
        <v>0</v>
      </c>
      <c r="K133" s="29" t="b">
        <v>0</v>
      </c>
      <c r="L133" s="29" t="b">
        <v>0</v>
      </c>
      <c r="M133" s="432" t="b">
        <v>0</v>
      </c>
      <c r="N133" s="432" t="b">
        <v>0</v>
      </c>
      <c r="O133" s="429" t="s">
        <v>1377</v>
      </c>
      <c r="P133" s="29"/>
      <c r="Q133" s="441">
        <f t="shared" si="776"/>
        <v>200.5</v>
      </c>
      <c r="R133" s="441">
        <f t="shared" si="777"/>
        <v>200.5</v>
      </c>
      <c r="S133" s="442">
        <f t="shared" si="778"/>
        <v>112</v>
      </c>
      <c r="T133" s="29" t="s">
        <v>1203</v>
      </c>
      <c r="U133" s="443"/>
      <c r="V133" s="245">
        <v>56</v>
      </c>
      <c r="W133" s="245"/>
      <c r="X133" s="444"/>
      <c r="Y133" s="245"/>
      <c r="Z133" s="245"/>
      <c r="AA133" s="245"/>
      <c r="AB133" s="463">
        <f t="shared" ref="AB133:AC133" si="837">V133-X133</f>
        <v>56</v>
      </c>
      <c r="AC133" s="464">
        <f t="shared" si="837"/>
        <v>0</v>
      </c>
      <c r="AD133" s="474" t="e">
        <f t="shared" ref="AD133:AE133" si="838">1-(V133/Z133)</f>
        <v>#DIV/0!</v>
      </c>
      <c r="AE133" s="474" t="e">
        <f t="shared" si="838"/>
        <v>#DIV/0!</v>
      </c>
      <c r="AF133" s="475"/>
      <c r="AG133" s="475"/>
      <c r="AH133" s="483"/>
      <c r="AI133" s="483"/>
      <c r="AJ133" s="484">
        <f t="shared" si="522"/>
        <v>112</v>
      </c>
      <c r="AK133" s="252">
        <f t="shared" si="528"/>
        <v>0</v>
      </c>
      <c r="AL133" s="485">
        <f t="shared" si="817"/>
        <v>56</v>
      </c>
      <c r="AM133" s="485">
        <f t="shared" si="818"/>
        <v>0</v>
      </c>
      <c r="AN133" s="486">
        <f t="shared" si="8"/>
        <v>560</v>
      </c>
      <c r="AO133" s="487">
        <f t="shared" ref="AO133:AP133" si="839">V133+(V133*$AO$2)</f>
        <v>84</v>
      </c>
      <c r="AP133" s="475">
        <f t="shared" si="839"/>
        <v>0</v>
      </c>
      <c r="AQ133" s="432" t="b">
        <v>1</v>
      </c>
      <c r="AR133" s="485">
        <f t="shared" ref="AR133:AS133" si="840">AO133-Z133</f>
        <v>84</v>
      </c>
      <c r="AS133" s="485">
        <f t="shared" si="840"/>
        <v>0</v>
      </c>
      <c r="AT133" s="486">
        <f t="shared" si="11"/>
        <v>420</v>
      </c>
      <c r="AU133" s="301">
        <f t="shared" si="12"/>
        <v>120.6</v>
      </c>
      <c r="AV133" s="301">
        <f t="shared" si="785"/>
        <v>200.5</v>
      </c>
      <c r="AW133" s="29">
        <v>134</v>
      </c>
      <c r="AX133" s="29">
        <v>267</v>
      </c>
      <c r="AZ133" s="494">
        <v>45455</v>
      </c>
      <c r="BA133" s="29" t="s">
        <v>1378</v>
      </c>
      <c r="BB133" s="302"/>
      <c r="BC133" s="301"/>
      <c r="BD133" s="303"/>
      <c r="BE133" s="304"/>
      <c r="BF133" s="307"/>
      <c r="BG133" s="301"/>
      <c r="BH133" s="303"/>
      <c r="BI133" s="304"/>
      <c r="BJ133" s="29" t="s">
        <v>1249</v>
      </c>
      <c r="BK133" s="29"/>
      <c r="BL133" s="29"/>
      <c r="BQ133" s="308"/>
      <c r="BR133" s="308"/>
    </row>
    <row r="134" ht="12.75" spans="1:72">
      <c r="A134" s="29" t="s">
        <v>1044</v>
      </c>
      <c r="B134" s="29" t="s">
        <v>1249</v>
      </c>
      <c r="C134" s="29" t="s">
        <v>1379</v>
      </c>
      <c r="D134" s="308"/>
      <c r="E134" s="29" t="s">
        <v>1201</v>
      </c>
      <c r="F134" s="29" t="b">
        <v>1</v>
      </c>
      <c r="G134" s="29" t="b">
        <v>0</v>
      </c>
      <c r="H134" s="29" t="b">
        <v>0</v>
      </c>
      <c r="I134" s="29" t="b">
        <v>1</v>
      </c>
      <c r="J134" s="29" t="b">
        <v>0</v>
      </c>
      <c r="K134" s="29" t="b">
        <v>1</v>
      </c>
      <c r="L134" s="29" t="b">
        <v>0</v>
      </c>
      <c r="M134" s="432" t="b">
        <v>1</v>
      </c>
      <c r="N134" s="432" t="b">
        <v>1</v>
      </c>
      <c r="O134" s="29" t="s">
        <v>1380</v>
      </c>
      <c r="P134" s="29" t="s">
        <v>142</v>
      </c>
      <c r="Q134" s="441">
        <f t="shared" si="776"/>
        <v>375</v>
      </c>
      <c r="R134" s="441">
        <f t="shared" si="777"/>
        <v>375</v>
      </c>
      <c r="S134" s="442">
        <f t="shared" si="778"/>
        <v>86.98</v>
      </c>
      <c r="T134" s="29" t="s">
        <v>1203</v>
      </c>
      <c r="U134" s="443"/>
      <c r="V134" s="245">
        <v>43.49</v>
      </c>
      <c r="W134" s="245">
        <v>202.45</v>
      </c>
      <c r="X134" s="444"/>
      <c r="Y134" s="245"/>
      <c r="Z134" s="245">
        <v>89.99</v>
      </c>
      <c r="AA134" s="245">
        <v>444.95</v>
      </c>
      <c r="AB134" s="532"/>
      <c r="AC134" s="533"/>
      <c r="AD134" s="516">
        <f t="shared" ref="AD134:AE134" si="841">1-(V134/Z134)</f>
        <v>0.516724080453384</v>
      </c>
      <c r="AE134" s="516">
        <f t="shared" si="841"/>
        <v>0.545005056747949</v>
      </c>
      <c r="AF134" s="245">
        <f t="shared" ref="AF134:AG134" si="842">(V134+Z134)/2</f>
        <v>66.74</v>
      </c>
      <c r="AG134" s="245">
        <f t="shared" si="842"/>
        <v>323.7</v>
      </c>
      <c r="AH134" s="305">
        <f t="shared" ref="AH134:AI134" si="843">1-(V134/AF134)</f>
        <v>0.348366796523824</v>
      </c>
      <c r="AI134" s="305">
        <f t="shared" si="843"/>
        <v>0.374575223972814</v>
      </c>
      <c r="AJ134" s="522">
        <f t="shared" si="522"/>
        <v>86.98</v>
      </c>
      <c r="AK134" s="245">
        <f t="shared" si="528"/>
        <v>404.9</v>
      </c>
      <c r="AL134" s="329">
        <f t="shared" ref="AL134:AM134" si="844">AJ134-Z134</f>
        <v>-3.00999999999999</v>
      </c>
      <c r="AM134" s="329">
        <f t="shared" si="844"/>
        <v>-40.05</v>
      </c>
      <c r="AN134" s="523">
        <f t="shared" si="8"/>
        <v>30.0000000000001</v>
      </c>
      <c r="AO134" s="487">
        <f t="shared" ref="AO134:AP134" si="845">V134+(V134*$AO$2)</f>
        <v>65.235</v>
      </c>
      <c r="AP134" s="475">
        <f t="shared" si="845"/>
        <v>303.675</v>
      </c>
      <c r="AQ134" s="432" t="b">
        <v>0</v>
      </c>
      <c r="AR134" s="485">
        <f t="shared" ref="AR134:AS134" si="846">AO134-Z134</f>
        <v>-24.755</v>
      </c>
      <c r="AS134" s="485">
        <f t="shared" si="846"/>
        <v>-141.275</v>
      </c>
      <c r="AT134" s="486">
        <f t="shared" si="11"/>
        <v>22.5000000000001</v>
      </c>
      <c r="AU134" s="301">
        <f t="shared" si="12"/>
        <v>315</v>
      </c>
      <c r="AV134" s="296">
        <f t="shared" si="785"/>
        <v>375</v>
      </c>
      <c r="AW134" s="29">
        <v>350</v>
      </c>
      <c r="AX134" s="29">
        <v>400</v>
      </c>
      <c r="AY134" s="29">
        <v>2</v>
      </c>
      <c r="AZ134" s="29"/>
      <c r="BA134" s="29"/>
      <c r="BB134" s="299">
        <f t="shared" ref="BB134:BB138" si="847">AV134</f>
        <v>375</v>
      </c>
      <c r="BC134" s="296"/>
      <c r="BD134" s="297">
        <f t="shared" ref="BD134:BD138" si="848">(BB134+BC134)/2</f>
        <v>187.5</v>
      </c>
      <c r="BE134" s="298" t="e">
        <f t="shared" ref="BE134:BE138" si="849">BB134/BC134</f>
        <v>#DIV/0!</v>
      </c>
      <c r="BF134" s="308">
        <f t="shared" ref="BF134:BF138" si="850">BB134*$BF$1</f>
        <v>150</v>
      </c>
      <c r="BG134" s="296"/>
      <c r="BH134" s="297">
        <f t="shared" ref="BH134:BH138" si="851">(BF134+BG134)/2</f>
        <v>75</v>
      </c>
      <c r="BI134" s="298" t="e">
        <f t="shared" ref="BI134:BI138" si="852">BF134/BG134</f>
        <v>#DIV/0!</v>
      </c>
      <c r="BK134" s="29"/>
      <c r="BL134" s="29"/>
      <c r="BP134" s="29" t="s">
        <v>1204</v>
      </c>
      <c r="BQ134" s="308"/>
      <c r="BR134" s="308"/>
      <c r="BS134" s="29"/>
      <c r="BT134" s="29" t="s">
        <v>1381</v>
      </c>
    </row>
    <row r="135" ht="12.75" spans="1:72">
      <c r="A135" s="29" t="s">
        <v>1044</v>
      </c>
      <c r="B135" s="29" t="s">
        <v>1249</v>
      </c>
      <c r="C135" s="29" t="s">
        <v>1379</v>
      </c>
      <c r="D135" s="308"/>
      <c r="E135" s="29" t="s">
        <v>1271</v>
      </c>
      <c r="F135" s="29" t="b">
        <v>1</v>
      </c>
      <c r="G135" s="29" t="b">
        <v>0</v>
      </c>
      <c r="H135" s="29" t="b">
        <v>0</v>
      </c>
      <c r="I135" s="29" t="b">
        <v>1</v>
      </c>
      <c r="J135" s="29" t="b">
        <v>0</v>
      </c>
      <c r="K135" s="29" t="b">
        <v>1</v>
      </c>
      <c r="L135" s="29" t="b">
        <v>0</v>
      </c>
      <c r="M135" s="432" t="b">
        <v>1</v>
      </c>
      <c r="N135" s="432" t="b">
        <v>1</v>
      </c>
      <c r="O135" s="29" t="s">
        <v>1382</v>
      </c>
      <c r="P135" s="29" t="s">
        <v>142</v>
      </c>
      <c r="Q135" s="441">
        <f t="shared" si="776"/>
        <v>375</v>
      </c>
      <c r="R135" s="441">
        <f t="shared" si="777"/>
        <v>375</v>
      </c>
      <c r="S135" s="442">
        <f t="shared" si="778"/>
        <v>93.98</v>
      </c>
      <c r="T135" s="29" t="s">
        <v>1203</v>
      </c>
      <c r="U135" s="443"/>
      <c r="V135" s="245">
        <v>46.99</v>
      </c>
      <c r="W135" s="245">
        <v>219.95</v>
      </c>
      <c r="X135" s="444"/>
      <c r="Y135" s="245"/>
      <c r="Z135" s="245">
        <v>93.99</v>
      </c>
      <c r="AA135" s="245">
        <v>464.95</v>
      </c>
      <c r="AB135" s="532"/>
      <c r="AC135" s="533"/>
      <c r="AD135" s="516">
        <f t="shared" ref="AD135:AE135" si="853">1-(V135/Z135)</f>
        <v>0.500053197148633</v>
      </c>
      <c r="AE135" s="516">
        <f t="shared" si="853"/>
        <v>0.526938380471018</v>
      </c>
      <c r="AF135" s="245">
        <f t="shared" ref="AF135:AG135" si="854">(V135+Z135)/2</f>
        <v>70.49</v>
      </c>
      <c r="AG135" s="245">
        <f t="shared" si="854"/>
        <v>342.45</v>
      </c>
      <c r="AH135" s="305">
        <f t="shared" ref="AH135:AI135" si="855">1-(V135/AF135)</f>
        <v>0.333380621364732</v>
      </c>
      <c r="AI135" s="305">
        <f t="shared" si="855"/>
        <v>0.357716454956928</v>
      </c>
      <c r="AJ135" s="522">
        <f t="shared" si="522"/>
        <v>93.98</v>
      </c>
      <c r="AK135" s="245">
        <f t="shared" si="528"/>
        <v>439.9</v>
      </c>
      <c r="AL135" s="329">
        <f t="shared" ref="AL135:AM135" si="856">AJ135-Z135</f>
        <v>-0.00999999999999091</v>
      </c>
      <c r="AM135" s="329">
        <f t="shared" si="856"/>
        <v>-25.05</v>
      </c>
      <c r="AN135" s="523">
        <f t="shared" si="8"/>
        <v>30.0000000000001</v>
      </c>
      <c r="AO135" s="487">
        <f t="shared" ref="AO135:AP135" si="857">V135+(V135*$AO$2)</f>
        <v>70.485</v>
      </c>
      <c r="AP135" s="475">
        <f t="shared" si="857"/>
        <v>329.925</v>
      </c>
      <c r="AQ135" s="432" t="b">
        <v>0</v>
      </c>
      <c r="AR135" s="485">
        <f t="shared" ref="AR135:AS135" si="858">AO135-Z135</f>
        <v>-23.505</v>
      </c>
      <c r="AS135" s="485">
        <f t="shared" si="858"/>
        <v>-135.025</v>
      </c>
      <c r="AT135" s="486">
        <f t="shared" si="11"/>
        <v>22.5000000000001</v>
      </c>
      <c r="AU135" s="301">
        <f t="shared" si="12"/>
        <v>315</v>
      </c>
      <c r="AV135" s="296">
        <f t="shared" si="785"/>
        <v>375</v>
      </c>
      <c r="AW135" s="29">
        <v>350</v>
      </c>
      <c r="AX135" s="29">
        <v>400</v>
      </c>
      <c r="AY135" s="29">
        <v>2</v>
      </c>
      <c r="AZ135" s="29"/>
      <c r="BA135" s="29"/>
      <c r="BB135" s="299">
        <f t="shared" si="847"/>
        <v>375</v>
      </c>
      <c r="BC135" s="296"/>
      <c r="BD135" s="297">
        <f t="shared" si="848"/>
        <v>187.5</v>
      </c>
      <c r="BE135" s="298" t="e">
        <f t="shared" si="849"/>
        <v>#DIV/0!</v>
      </c>
      <c r="BF135" s="308">
        <f t="shared" si="850"/>
        <v>150</v>
      </c>
      <c r="BG135" s="296"/>
      <c r="BH135" s="297">
        <f t="shared" si="851"/>
        <v>75</v>
      </c>
      <c r="BI135" s="298" t="e">
        <f t="shared" si="852"/>
        <v>#DIV/0!</v>
      </c>
      <c r="BK135" s="29"/>
      <c r="BL135" s="29"/>
      <c r="BP135" s="29" t="s">
        <v>1204</v>
      </c>
      <c r="BQ135" s="308"/>
      <c r="BR135" s="308"/>
      <c r="BS135" s="29"/>
      <c r="BT135" s="29" t="s">
        <v>1381</v>
      </c>
    </row>
    <row r="136" ht="12.75" spans="1:72">
      <c r="A136" s="29" t="s">
        <v>1044</v>
      </c>
      <c r="B136" s="29" t="s">
        <v>1249</v>
      </c>
      <c r="C136" s="29" t="s">
        <v>1379</v>
      </c>
      <c r="D136" s="308"/>
      <c r="E136" s="29" t="s">
        <v>1383</v>
      </c>
      <c r="F136" s="29" t="b">
        <v>1</v>
      </c>
      <c r="G136" s="29" t="b">
        <v>0</v>
      </c>
      <c r="H136" s="29" t="b">
        <v>0</v>
      </c>
      <c r="I136" s="29" t="b">
        <v>1</v>
      </c>
      <c r="J136" s="29" t="b">
        <v>0</v>
      </c>
      <c r="K136" s="29" t="b">
        <v>1</v>
      </c>
      <c r="L136" s="29" t="b">
        <v>0</v>
      </c>
      <c r="M136" s="432" t="b">
        <v>1</v>
      </c>
      <c r="N136" s="432" t="b">
        <v>1</v>
      </c>
      <c r="O136" s="29" t="s">
        <v>1384</v>
      </c>
      <c r="P136" s="29" t="s">
        <v>142</v>
      </c>
      <c r="Q136" s="441">
        <f t="shared" si="776"/>
        <v>375</v>
      </c>
      <c r="R136" s="441">
        <f t="shared" si="777"/>
        <v>375</v>
      </c>
      <c r="S136" s="442">
        <f t="shared" si="778"/>
        <v>95.98</v>
      </c>
      <c r="T136" s="29" t="s">
        <v>1203</v>
      </c>
      <c r="U136" s="443"/>
      <c r="V136" s="245">
        <v>47.99</v>
      </c>
      <c r="W136" s="245" t="s">
        <v>119</v>
      </c>
      <c r="X136" s="444"/>
      <c r="Y136" s="245"/>
      <c r="Z136" s="245">
        <v>95.99</v>
      </c>
      <c r="AA136" s="245" t="s">
        <v>119</v>
      </c>
      <c r="AB136" s="532"/>
      <c r="AC136" s="533"/>
      <c r="AD136" s="516">
        <f t="shared" ref="AD136:AE136" si="859">1-(V136/Z136)</f>
        <v>0.500052088759246</v>
      </c>
      <c r="AE136" s="516" t="e">
        <f t="shared" si="859"/>
        <v>#VALUE!</v>
      </c>
      <c r="AF136" s="245">
        <f t="shared" ref="AF136:AG136" si="860">(V136+Z136)/2</f>
        <v>71.99</v>
      </c>
      <c r="AG136" s="245" t="e">
        <f t="shared" si="860"/>
        <v>#VALUE!</v>
      </c>
      <c r="AH136" s="305">
        <f t="shared" ref="AH136:AI136" si="861">1-(V136/AF136)</f>
        <v>0.333379636060564</v>
      </c>
      <c r="AI136" s="305" t="e">
        <f t="shared" si="861"/>
        <v>#VALUE!</v>
      </c>
      <c r="AJ136" s="522">
        <f t="shared" si="522"/>
        <v>95.98</v>
      </c>
      <c r="AK136" s="245" t="e">
        <f t="shared" si="528"/>
        <v>#VALUE!</v>
      </c>
      <c r="AL136" s="329">
        <f t="shared" ref="AL136:AM136" si="862">AJ136-Z136</f>
        <v>-0.00999999999999091</v>
      </c>
      <c r="AM136" s="329" t="e">
        <f t="shared" si="862"/>
        <v>#VALUE!</v>
      </c>
      <c r="AN136" s="523" t="e">
        <f t="shared" si="8"/>
        <v>#VALUE!</v>
      </c>
      <c r="AO136" s="487">
        <f t="shared" ref="AO136:AP136" si="863">V136+(V136*$AO$2)</f>
        <v>71.985</v>
      </c>
      <c r="AP136" s="475" t="e">
        <f t="shared" si="863"/>
        <v>#VALUE!</v>
      </c>
      <c r="AQ136" s="432" t="b">
        <v>0</v>
      </c>
      <c r="AR136" s="485">
        <f t="shared" ref="AR136:AS136" si="864">AO136-Z136</f>
        <v>-24.005</v>
      </c>
      <c r="AS136" s="485" t="e">
        <f t="shared" si="864"/>
        <v>#VALUE!</v>
      </c>
      <c r="AT136" s="486" t="e">
        <f t="shared" si="11"/>
        <v>#VALUE!</v>
      </c>
      <c r="AU136" s="301">
        <f t="shared" si="12"/>
        <v>315</v>
      </c>
      <c r="AV136" s="296">
        <f t="shared" si="785"/>
        <v>375</v>
      </c>
      <c r="AW136" s="29">
        <v>350</v>
      </c>
      <c r="AX136" s="29">
        <v>400</v>
      </c>
      <c r="AY136" s="29">
        <v>2</v>
      </c>
      <c r="AZ136" s="29"/>
      <c r="BA136" s="29"/>
      <c r="BB136" s="299">
        <f t="shared" si="847"/>
        <v>375</v>
      </c>
      <c r="BC136" s="296"/>
      <c r="BD136" s="297">
        <f t="shared" si="848"/>
        <v>187.5</v>
      </c>
      <c r="BE136" s="298" t="e">
        <f t="shared" si="849"/>
        <v>#DIV/0!</v>
      </c>
      <c r="BF136" s="308">
        <f t="shared" si="850"/>
        <v>150</v>
      </c>
      <c r="BG136" s="296"/>
      <c r="BH136" s="297">
        <f t="shared" si="851"/>
        <v>75</v>
      </c>
      <c r="BI136" s="298" t="e">
        <f t="shared" si="852"/>
        <v>#DIV/0!</v>
      </c>
      <c r="BK136" s="29"/>
      <c r="BL136" s="29"/>
      <c r="BP136" s="29" t="s">
        <v>1204</v>
      </c>
      <c r="BQ136" s="308"/>
      <c r="BR136" s="308"/>
      <c r="BS136" s="29"/>
      <c r="BT136" s="29" t="s">
        <v>1381</v>
      </c>
    </row>
    <row r="137" ht="12.75" spans="1:72">
      <c r="A137" s="29" t="s">
        <v>1044</v>
      </c>
      <c r="B137" s="29" t="s">
        <v>1249</v>
      </c>
      <c r="C137" s="29" t="s">
        <v>1379</v>
      </c>
      <c r="D137" s="308"/>
      <c r="E137" s="29" t="s">
        <v>1245</v>
      </c>
      <c r="F137" s="29" t="b">
        <v>1</v>
      </c>
      <c r="G137" s="29" t="b">
        <v>0</v>
      </c>
      <c r="H137" s="29" t="b">
        <v>0</v>
      </c>
      <c r="I137" s="29" t="b">
        <v>1</v>
      </c>
      <c r="J137" s="29" t="b">
        <v>0</v>
      </c>
      <c r="K137" s="29" t="b">
        <v>1</v>
      </c>
      <c r="L137" s="29" t="b">
        <v>0</v>
      </c>
      <c r="M137" s="432" t="b">
        <v>1</v>
      </c>
      <c r="N137" s="432" t="b">
        <v>1</v>
      </c>
      <c r="O137" s="29" t="s">
        <v>1385</v>
      </c>
      <c r="P137" s="29" t="s">
        <v>142</v>
      </c>
      <c r="Q137" s="441">
        <f t="shared" si="776"/>
        <v>375</v>
      </c>
      <c r="R137" s="441">
        <f t="shared" si="777"/>
        <v>375</v>
      </c>
      <c r="S137" s="442">
        <f t="shared" si="778"/>
        <v>90.98</v>
      </c>
      <c r="T137" s="29" t="s">
        <v>1203</v>
      </c>
      <c r="U137" s="443"/>
      <c r="V137" s="245">
        <v>45.49</v>
      </c>
      <c r="W137" s="245">
        <v>212.45</v>
      </c>
      <c r="X137" s="444"/>
      <c r="Y137" s="245"/>
      <c r="Z137" s="245">
        <v>91.99</v>
      </c>
      <c r="AA137" s="245">
        <v>454.95</v>
      </c>
      <c r="AB137" s="532"/>
      <c r="AC137" s="533"/>
      <c r="AD137" s="516">
        <f t="shared" ref="AD137:AE137" si="865">1-(V137/Z137)</f>
        <v>0.505489727144255</v>
      </c>
      <c r="AE137" s="516">
        <f t="shared" si="865"/>
        <v>0.533025607209583</v>
      </c>
      <c r="AF137" s="245">
        <f t="shared" ref="AF137:AG137" si="866">(V137+Z137)/2</f>
        <v>68.74</v>
      </c>
      <c r="AG137" s="245">
        <f t="shared" si="866"/>
        <v>333.7</v>
      </c>
      <c r="AH137" s="305">
        <f t="shared" ref="AH137:AI137" si="867">1-(V137/AF137)</f>
        <v>0.338231015420425</v>
      </c>
      <c r="AI137" s="305">
        <f t="shared" si="867"/>
        <v>0.363350314653881</v>
      </c>
      <c r="AJ137" s="522">
        <f t="shared" si="522"/>
        <v>90.98</v>
      </c>
      <c r="AK137" s="245">
        <f t="shared" si="528"/>
        <v>424.9</v>
      </c>
      <c r="AL137" s="329">
        <f t="shared" ref="AL137:AM137" si="868">AJ137-Z137</f>
        <v>-1.00999999999999</v>
      </c>
      <c r="AM137" s="329">
        <f t="shared" si="868"/>
        <v>-30.05</v>
      </c>
      <c r="AN137" s="523">
        <f t="shared" si="8"/>
        <v>30.0000000000001</v>
      </c>
      <c r="AO137" s="487">
        <f t="shared" ref="AO137:AP137" si="869">V137+(V137*$AO$2)</f>
        <v>68.235</v>
      </c>
      <c r="AP137" s="475">
        <f t="shared" si="869"/>
        <v>318.675</v>
      </c>
      <c r="AQ137" s="432" t="b">
        <v>0</v>
      </c>
      <c r="AR137" s="485">
        <f t="shared" ref="AR137:AS137" si="870">AO137-Z137</f>
        <v>-23.755</v>
      </c>
      <c r="AS137" s="485">
        <f t="shared" si="870"/>
        <v>-136.275</v>
      </c>
      <c r="AT137" s="486">
        <f t="shared" si="11"/>
        <v>22.5000000000001</v>
      </c>
      <c r="AU137" s="301">
        <f t="shared" si="12"/>
        <v>315</v>
      </c>
      <c r="AV137" s="296">
        <f t="shared" si="785"/>
        <v>375</v>
      </c>
      <c r="AW137" s="29">
        <v>350</v>
      </c>
      <c r="AX137" s="29">
        <v>400</v>
      </c>
      <c r="AY137" s="29">
        <v>2</v>
      </c>
      <c r="AZ137" s="29"/>
      <c r="BA137" s="29"/>
      <c r="BB137" s="299">
        <f t="shared" si="847"/>
        <v>375</v>
      </c>
      <c r="BC137" s="296"/>
      <c r="BD137" s="297">
        <f t="shared" si="848"/>
        <v>187.5</v>
      </c>
      <c r="BE137" s="298" t="e">
        <f t="shared" si="849"/>
        <v>#DIV/0!</v>
      </c>
      <c r="BF137" s="308">
        <f t="shared" si="850"/>
        <v>150</v>
      </c>
      <c r="BG137" s="296"/>
      <c r="BH137" s="297">
        <f t="shared" si="851"/>
        <v>75</v>
      </c>
      <c r="BI137" s="298" t="e">
        <f t="shared" si="852"/>
        <v>#DIV/0!</v>
      </c>
      <c r="BK137" s="29"/>
      <c r="BL137" s="29"/>
      <c r="BP137" s="29" t="s">
        <v>1204</v>
      </c>
      <c r="BQ137" s="308"/>
      <c r="BR137" s="308"/>
      <c r="BS137" s="29"/>
      <c r="BT137" s="29" t="s">
        <v>1381</v>
      </c>
    </row>
    <row r="138" ht="12.75" spans="1:70">
      <c r="A138" s="29" t="s">
        <v>1038</v>
      </c>
      <c r="B138" s="29" t="s">
        <v>1249</v>
      </c>
      <c r="C138" s="426" t="s">
        <v>1386</v>
      </c>
      <c r="D138" s="308"/>
      <c r="E138" s="29" t="s">
        <v>13</v>
      </c>
      <c r="F138" s="29" t="b">
        <v>0</v>
      </c>
      <c r="G138" s="29" t="b">
        <v>1</v>
      </c>
      <c r="H138" s="29" t="b">
        <v>0</v>
      </c>
      <c r="I138" s="29" t="b">
        <v>0</v>
      </c>
      <c r="J138" s="29" t="b">
        <v>0</v>
      </c>
      <c r="K138" s="29" t="b">
        <v>1</v>
      </c>
      <c r="L138" s="29" t="b">
        <v>0</v>
      </c>
      <c r="M138" s="432" t="b">
        <v>0</v>
      </c>
      <c r="N138" s="432" t="b">
        <v>0</v>
      </c>
      <c r="P138" s="29" t="s">
        <v>120</v>
      </c>
      <c r="Q138" s="441">
        <f t="shared" si="776"/>
        <v>0</v>
      </c>
      <c r="R138" s="441">
        <f t="shared" si="777"/>
        <v>0</v>
      </c>
      <c r="S138" s="442">
        <f t="shared" si="778"/>
        <v>0</v>
      </c>
      <c r="T138" s="308"/>
      <c r="U138" s="443"/>
      <c r="V138" s="245"/>
      <c r="W138" s="245"/>
      <c r="X138" s="444"/>
      <c r="Y138" s="245"/>
      <c r="Z138" s="245"/>
      <c r="AA138" s="245"/>
      <c r="AB138" s="463">
        <f t="shared" ref="AB138:AC138" si="871">V138-X138</f>
        <v>0</v>
      </c>
      <c r="AC138" s="464">
        <f t="shared" si="871"/>
        <v>0</v>
      </c>
      <c r="AD138" s="474" t="e">
        <f t="shared" ref="AD138:AE138" si="872">1-(V138/Z138)</f>
        <v>#DIV/0!</v>
      </c>
      <c r="AE138" s="474" t="e">
        <f t="shared" si="872"/>
        <v>#DIV/0!</v>
      </c>
      <c r="AF138" s="475"/>
      <c r="AG138" s="475"/>
      <c r="AH138" s="483"/>
      <c r="AI138" s="483"/>
      <c r="AJ138" s="484">
        <f t="shared" si="522"/>
        <v>0</v>
      </c>
      <c r="AK138" s="252">
        <f t="shared" si="528"/>
        <v>0</v>
      </c>
      <c r="AL138" s="485">
        <f t="shared" ref="AL138:AL141" si="873">AJ138-V138</f>
        <v>0</v>
      </c>
      <c r="AM138" s="485">
        <f t="shared" ref="AM138:AM141" si="874">AK138-AA138</f>
        <v>0</v>
      </c>
      <c r="AN138" s="486">
        <f t="shared" si="8"/>
        <v>0</v>
      </c>
      <c r="AO138" s="487">
        <f t="shared" ref="AO138:AP138" si="875">V138+(V138*$AO$2)</f>
        <v>0</v>
      </c>
      <c r="AP138" s="475">
        <f t="shared" si="875"/>
        <v>0</v>
      </c>
      <c r="AQ138" s="432" t="b">
        <v>0</v>
      </c>
      <c r="AR138" s="485">
        <f t="shared" ref="AR138:AS138" si="876">AO138-Z138</f>
        <v>0</v>
      </c>
      <c r="AS138" s="485">
        <f t="shared" si="876"/>
        <v>0</v>
      </c>
      <c r="AT138" s="486">
        <f t="shared" si="11"/>
        <v>0</v>
      </c>
      <c r="AU138" s="301">
        <f t="shared" si="12"/>
        <v>0</v>
      </c>
      <c r="AV138" s="301">
        <f t="shared" si="785"/>
        <v>0</v>
      </c>
      <c r="BB138" s="302">
        <f t="shared" si="847"/>
        <v>0</v>
      </c>
      <c r="BC138" s="301"/>
      <c r="BD138" s="303">
        <f t="shared" si="848"/>
        <v>0</v>
      </c>
      <c r="BE138" s="304" t="e">
        <f t="shared" si="849"/>
        <v>#DIV/0!</v>
      </c>
      <c r="BF138" s="307">
        <f t="shared" si="850"/>
        <v>0</v>
      </c>
      <c r="BG138" s="301"/>
      <c r="BH138" s="303">
        <f t="shared" si="851"/>
        <v>0</v>
      </c>
      <c r="BI138" s="304" t="e">
        <f t="shared" si="852"/>
        <v>#DIV/0!</v>
      </c>
      <c r="BK138" s="29"/>
      <c r="BL138" s="29"/>
      <c r="BP138" s="29" t="s">
        <v>1387</v>
      </c>
      <c r="BQ138" s="308"/>
      <c r="BR138" s="308"/>
    </row>
    <row r="139" ht="12.75" spans="1:70">
      <c r="A139" s="29" t="s">
        <v>1044</v>
      </c>
      <c r="B139" s="29" t="s">
        <v>1249</v>
      </c>
      <c r="C139" s="29" t="s">
        <v>1388</v>
      </c>
      <c r="D139" s="308"/>
      <c r="F139" s="29"/>
      <c r="G139" s="29"/>
      <c r="H139" s="29" t="b">
        <v>0</v>
      </c>
      <c r="I139" s="29"/>
      <c r="J139" s="29" t="b">
        <v>0</v>
      </c>
      <c r="K139" s="29" t="b">
        <v>0</v>
      </c>
      <c r="L139" s="29" t="b">
        <v>0</v>
      </c>
      <c r="M139" s="432" t="b">
        <v>0</v>
      </c>
      <c r="N139" s="432" t="b">
        <v>0</v>
      </c>
      <c r="O139" s="29" t="s">
        <v>1389</v>
      </c>
      <c r="P139" s="29"/>
      <c r="Q139" s="441">
        <f t="shared" si="776"/>
        <v>0</v>
      </c>
      <c r="R139" s="441">
        <f t="shared" si="777"/>
        <v>0</v>
      </c>
      <c r="S139" s="442">
        <f t="shared" si="778"/>
        <v>0</v>
      </c>
      <c r="T139" s="308"/>
      <c r="U139" s="443"/>
      <c r="V139" s="245"/>
      <c r="W139" s="245"/>
      <c r="X139" s="444"/>
      <c r="Y139" s="245"/>
      <c r="Z139" s="245"/>
      <c r="AA139" s="245"/>
      <c r="AB139" s="463">
        <f t="shared" ref="AB139:AC139" si="877">V139-X139</f>
        <v>0</v>
      </c>
      <c r="AC139" s="464">
        <f t="shared" si="877"/>
        <v>0</v>
      </c>
      <c r="AD139" s="474" t="e">
        <f t="shared" ref="AD139:AE139" si="878">1-(V139/Z139)</f>
        <v>#DIV/0!</v>
      </c>
      <c r="AE139" s="474" t="e">
        <f t="shared" si="878"/>
        <v>#DIV/0!</v>
      </c>
      <c r="AF139" s="475"/>
      <c r="AG139" s="475"/>
      <c r="AH139" s="483"/>
      <c r="AI139" s="483"/>
      <c r="AJ139" s="484">
        <f t="shared" si="522"/>
        <v>0</v>
      </c>
      <c r="AK139" s="252">
        <f t="shared" si="528"/>
        <v>0</v>
      </c>
      <c r="AL139" s="485">
        <f t="shared" si="873"/>
        <v>0</v>
      </c>
      <c r="AM139" s="485">
        <f t="shared" si="874"/>
        <v>0</v>
      </c>
      <c r="AN139" s="486">
        <f t="shared" si="8"/>
        <v>0</v>
      </c>
      <c r="AO139" s="487">
        <f t="shared" ref="AO139:AP139" si="879">V139+(V139*$AO$2)</f>
        <v>0</v>
      </c>
      <c r="AP139" s="475">
        <f t="shared" si="879"/>
        <v>0</v>
      </c>
      <c r="AQ139" s="432" t="b">
        <v>0</v>
      </c>
      <c r="AR139" s="485">
        <f t="shared" ref="AR139:AS139" si="880">AO139-Z139</f>
        <v>0</v>
      </c>
      <c r="AS139" s="485">
        <f t="shared" si="880"/>
        <v>0</v>
      </c>
      <c r="AT139" s="486">
        <f t="shared" si="11"/>
        <v>0</v>
      </c>
      <c r="AU139" s="301">
        <f t="shared" si="12"/>
        <v>0</v>
      </c>
      <c r="AV139" s="301">
        <f t="shared" si="785"/>
        <v>0</v>
      </c>
      <c r="AW139" s="29"/>
      <c r="AX139" s="29"/>
      <c r="BB139" s="302"/>
      <c r="BC139" s="301"/>
      <c r="BD139" s="303"/>
      <c r="BE139" s="304"/>
      <c r="BF139" s="307"/>
      <c r="BG139" s="301"/>
      <c r="BH139" s="303"/>
      <c r="BI139" s="304"/>
      <c r="BK139" s="29"/>
      <c r="BL139" s="29"/>
      <c r="BQ139" s="308"/>
      <c r="BR139" s="308"/>
    </row>
    <row r="140" ht="12.75" spans="1:70">
      <c r="A140" s="29" t="s">
        <v>1044</v>
      </c>
      <c r="B140" s="29" t="s">
        <v>1249</v>
      </c>
      <c r="C140" s="29" t="s">
        <v>1390</v>
      </c>
      <c r="D140" s="308"/>
      <c r="E140" s="360"/>
      <c r="F140" s="29"/>
      <c r="G140" s="29"/>
      <c r="H140" s="29" t="b">
        <v>0</v>
      </c>
      <c r="I140" s="29"/>
      <c r="J140" s="29" t="b">
        <v>0</v>
      </c>
      <c r="K140" s="29" t="b">
        <v>0</v>
      </c>
      <c r="L140" s="29" t="b">
        <v>0</v>
      </c>
      <c r="M140" s="432" t="b">
        <v>0</v>
      </c>
      <c r="N140" s="432" t="b">
        <v>0</v>
      </c>
      <c r="O140" s="29" t="s">
        <v>1389</v>
      </c>
      <c r="P140" s="29"/>
      <c r="Q140" s="441">
        <f t="shared" si="776"/>
        <v>0</v>
      </c>
      <c r="R140" s="441">
        <f t="shared" si="777"/>
        <v>0</v>
      </c>
      <c r="S140" s="442">
        <f t="shared" si="778"/>
        <v>0</v>
      </c>
      <c r="T140" s="308"/>
      <c r="U140" s="443"/>
      <c r="V140" s="245"/>
      <c r="W140" s="245"/>
      <c r="X140" s="444"/>
      <c r="Y140" s="245"/>
      <c r="Z140" s="245"/>
      <c r="AA140" s="245"/>
      <c r="AB140" s="463">
        <f t="shared" ref="AB140:AC140" si="881">V140-X140</f>
        <v>0</v>
      </c>
      <c r="AC140" s="464">
        <f t="shared" si="881"/>
        <v>0</v>
      </c>
      <c r="AD140" s="474" t="e">
        <f t="shared" ref="AD140:AE140" si="882">1-(V140/Z140)</f>
        <v>#DIV/0!</v>
      </c>
      <c r="AE140" s="474" t="e">
        <f t="shared" si="882"/>
        <v>#DIV/0!</v>
      </c>
      <c r="AF140" s="475"/>
      <c r="AG140" s="475"/>
      <c r="AH140" s="483"/>
      <c r="AI140" s="483"/>
      <c r="AJ140" s="484">
        <f t="shared" si="522"/>
        <v>0</v>
      </c>
      <c r="AK140" s="252">
        <f t="shared" si="528"/>
        <v>0</v>
      </c>
      <c r="AL140" s="485">
        <f t="shared" si="873"/>
        <v>0</v>
      </c>
      <c r="AM140" s="485">
        <f t="shared" si="874"/>
        <v>0</v>
      </c>
      <c r="AN140" s="486">
        <f t="shared" si="8"/>
        <v>0</v>
      </c>
      <c r="AO140" s="487">
        <f t="shared" ref="AO140:AP140" si="883">V140+(V140*$AO$2)</f>
        <v>0</v>
      </c>
      <c r="AP140" s="475">
        <f t="shared" si="883"/>
        <v>0</v>
      </c>
      <c r="AQ140" s="432" t="b">
        <v>0</v>
      </c>
      <c r="AR140" s="485">
        <f t="shared" ref="AR140:AS140" si="884">AO140-Z140</f>
        <v>0</v>
      </c>
      <c r="AS140" s="485">
        <f t="shared" si="884"/>
        <v>0</v>
      </c>
      <c r="AT140" s="486">
        <f t="shared" si="11"/>
        <v>0</v>
      </c>
      <c r="AU140" s="301">
        <f t="shared" si="12"/>
        <v>0</v>
      </c>
      <c r="AV140" s="301">
        <f t="shared" si="785"/>
        <v>0</v>
      </c>
      <c r="AW140" s="29"/>
      <c r="AX140" s="29"/>
      <c r="BB140" s="302"/>
      <c r="BC140" s="301"/>
      <c r="BD140" s="303"/>
      <c r="BE140" s="304"/>
      <c r="BF140" s="307"/>
      <c r="BG140" s="301"/>
      <c r="BH140" s="303"/>
      <c r="BI140" s="304"/>
      <c r="BK140" s="29"/>
      <c r="BL140" s="29"/>
      <c r="BQ140" s="308"/>
      <c r="BR140" s="308"/>
    </row>
    <row r="141" ht="12.75" spans="1:70">
      <c r="A141" s="29" t="s">
        <v>1044</v>
      </c>
      <c r="B141" s="29" t="s">
        <v>1249</v>
      </c>
      <c r="C141" s="29" t="s">
        <v>1391</v>
      </c>
      <c r="D141" s="308"/>
      <c r="E141" s="29" t="s">
        <v>1217</v>
      </c>
      <c r="F141" s="29"/>
      <c r="G141" s="29" t="b">
        <v>1</v>
      </c>
      <c r="H141" s="29" t="b">
        <v>0</v>
      </c>
      <c r="I141" s="29"/>
      <c r="J141" s="29" t="b">
        <v>0</v>
      </c>
      <c r="K141" s="29" t="b">
        <v>0</v>
      </c>
      <c r="L141" s="29" t="b">
        <v>0</v>
      </c>
      <c r="M141" s="432" t="b">
        <v>0</v>
      </c>
      <c r="N141" s="432" t="b">
        <v>0</v>
      </c>
      <c r="O141" s="29" t="s">
        <v>1389</v>
      </c>
      <c r="P141" s="29" t="s">
        <v>142</v>
      </c>
      <c r="Q141" s="441">
        <f t="shared" si="776"/>
        <v>375</v>
      </c>
      <c r="R141" s="441">
        <f t="shared" si="777"/>
        <v>375</v>
      </c>
      <c r="S141" s="442">
        <f t="shared" si="778"/>
        <v>49.9</v>
      </c>
      <c r="T141" s="308"/>
      <c r="U141" s="443"/>
      <c r="V141" s="245">
        <v>24.95</v>
      </c>
      <c r="W141" s="245">
        <v>114.75</v>
      </c>
      <c r="X141" s="444"/>
      <c r="Y141" s="245"/>
      <c r="Z141" s="245">
        <v>86.89</v>
      </c>
      <c r="AA141" s="245">
        <v>429.45</v>
      </c>
      <c r="AB141" s="463">
        <f t="shared" ref="AB141:AC141" si="885">V141-X141</f>
        <v>24.95</v>
      </c>
      <c r="AC141" s="464">
        <f t="shared" si="885"/>
        <v>114.75</v>
      </c>
      <c r="AD141" s="474">
        <f t="shared" ref="AD141:AE141" si="886">1-(V141/Z141)</f>
        <v>0.712855334330763</v>
      </c>
      <c r="AE141" s="474">
        <f t="shared" si="886"/>
        <v>0.732797764582606</v>
      </c>
      <c r="AF141" s="475"/>
      <c r="AG141" s="475"/>
      <c r="AH141" s="483"/>
      <c r="AI141" s="483"/>
      <c r="AJ141" s="484">
        <f t="shared" si="522"/>
        <v>49.9</v>
      </c>
      <c r="AK141" s="252">
        <f t="shared" si="528"/>
        <v>229.5</v>
      </c>
      <c r="AL141" s="485">
        <f t="shared" si="873"/>
        <v>24.95</v>
      </c>
      <c r="AM141" s="485">
        <f t="shared" si="874"/>
        <v>-199.95</v>
      </c>
      <c r="AN141" s="486">
        <f t="shared" si="8"/>
        <v>20</v>
      </c>
      <c r="AO141" s="487">
        <f t="shared" ref="AO141:AP141" si="887">V141+(V141*$AO$2)</f>
        <v>37.425</v>
      </c>
      <c r="AP141" s="475">
        <f t="shared" si="887"/>
        <v>172.125</v>
      </c>
      <c r="AQ141" s="432" t="b">
        <v>0</v>
      </c>
      <c r="AR141" s="485">
        <f t="shared" ref="AR141:AS141" si="888">AO141-Z141</f>
        <v>-49.465</v>
      </c>
      <c r="AS141" s="485">
        <f t="shared" si="888"/>
        <v>-257.325</v>
      </c>
      <c r="AT141" s="486">
        <f t="shared" si="11"/>
        <v>15</v>
      </c>
      <c r="AU141" s="301">
        <f t="shared" si="12"/>
        <v>315</v>
      </c>
      <c r="AV141" s="301">
        <f t="shared" si="785"/>
        <v>375</v>
      </c>
      <c r="AW141" s="29">
        <v>350</v>
      </c>
      <c r="AX141" s="29">
        <v>400</v>
      </c>
      <c r="AY141" s="29">
        <v>2</v>
      </c>
      <c r="AZ141" s="29"/>
      <c r="BA141" s="29"/>
      <c r="BB141" s="302"/>
      <c r="BC141" s="301"/>
      <c r="BD141" s="303"/>
      <c r="BE141" s="304"/>
      <c r="BF141" s="307"/>
      <c r="BG141" s="301"/>
      <c r="BH141" s="303"/>
      <c r="BI141" s="304"/>
      <c r="BJ141" s="29" t="s">
        <v>1249</v>
      </c>
      <c r="BK141" s="29"/>
      <c r="BL141" s="29"/>
      <c r="BP141" s="29" t="s">
        <v>1204</v>
      </c>
      <c r="BQ141" s="308"/>
      <c r="BR141" s="308"/>
    </row>
    <row r="142" ht="12.75" spans="1:72">
      <c r="A142" s="29" t="s">
        <v>1044</v>
      </c>
      <c r="B142" s="29" t="s">
        <v>1249</v>
      </c>
      <c r="C142" s="29" t="s">
        <v>1392</v>
      </c>
      <c r="D142" s="308"/>
      <c r="E142" s="29" t="s">
        <v>1217</v>
      </c>
      <c r="F142" s="29" t="b">
        <v>1</v>
      </c>
      <c r="G142" s="29" t="b">
        <v>0</v>
      </c>
      <c r="H142" s="29" t="b">
        <v>0</v>
      </c>
      <c r="I142" s="29" t="b">
        <v>1</v>
      </c>
      <c r="J142" s="29" t="b">
        <v>0</v>
      </c>
      <c r="K142" s="29" t="b">
        <v>1</v>
      </c>
      <c r="L142" s="29" t="b">
        <v>0</v>
      </c>
      <c r="M142" s="432" t="s">
        <v>119</v>
      </c>
      <c r="N142" s="432" t="b">
        <v>1</v>
      </c>
      <c r="O142" s="29" t="s">
        <v>1393</v>
      </c>
      <c r="P142" s="29" t="s">
        <v>142</v>
      </c>
      <c r="Q142" s="441">
        <f t="shared" si="776"/>
        <v>400</v>
      </c>
      <c r="R142" s="441">
        <f t="shared" si="777"/>
        <v>400</v>
      </c>
      <c r="S142" s="442">
        <f t="shared" si="778"/>
        <v>28.58</v>
      </c>
      <c r="T142" s="29" t="s">
        <v>1203</v>
      </c>
      <c r="U142" s="443"/>
      <c r="V142" s="245">
        <v>14.29</v>
      </c>
      <c r="W142" s="245">
        <v>61.45</v>
      </c>
      <c r="X142" s="444"/>
      <c r="Y142" s="245"/>
      <c r="Z142" s="245">
        <v>22.99</v>
      </c>
      <c r="AA142" s="245">
        <v>109.95</v>
      </c>
      <c r="AB142" s="532"/>
      <c r="AC142" s="533"/>
      <c r="AD142" s="516">
        <f t="shared" ref="AD142:AE142" si="889">1-(V142/Z142)</f>
        <v>0.378425402348847</v>
      </c>
      <c r="AE142" s="516">
        <f t="shared" si="889"/>
        <v>0.441109595270577</v>
      </c>
      <c r="AF142" s="245">
        <f t="shared" ref="AF142:AG142" si="890">(V142+Z142)/2</f>
        <v>18.64</v>
      </c>
      <c r="AG142" s="245">
        <f t="shared" si="890"/>
        <v>85.7</v>
      </c>
      <c r="AH142" s="305">
        <f t="shared" ref="AH142:AI142" si="891">1-(V142/AF142)</f>
        <v>0.233369098712446</v>
      </c>
      <c r="AI142" s="305">
        <f t="shared" si="891"/>
        <v>0.282963827304551</v>
      </c>
      <c r="AJ142" s="484">
        <f t="shared" si="522"/>
        <v>28.58</v>
      </c>
      <c r="AK142" s="245">
        <f t="shared" si="528"/>
        <v>122.9</v>
      </c>
      <c r="AL142" s="329">
        <f t="shared" ref="AL142:AM142" si="892">AJ142-Z142</f>
        <v>5.59</v>
      </c>
      <c r="AM142" s="329">
        <f t="shared" si="892"/>
        <v>12.95</v>
      </c>
      <c r="AN142" s="523">
        <f t="shared" si="8"/>
        <v>20</v>
      </c>
      <c r="AO142" s="487">
        <f t="shared" ref="AO142:AP142" si="893">V142+(V142*$AO$2)</f>
        <v>21.435</v>
      </c>
      <c r="AP142" s="475">
        <f t="shared" si="893"/>
        <v>92.175</v>
      </c>
      <c r="AQ142" s="432" t="s">
        <v>119</v>
      </c>
      <c r="AR142" s="485">
        <f t="shared" ref="AR142:AS142" si="894">AO142-Z142</f>
        <v>-1.555</v>
      </c>
      <c r="AS142" s="485">
        <f t="shared" si="894"/>
        <v>-17.775</v>
      </c>
      <c r="AT142" s="486">
        <f t="shared" si="11"/>
        <v>15</v>
      </c>
      <c r="AU142" s="301">
        <f t="shared" si="12"/>
        <v>360</v>
      </c>
      <c r="AV142" s="296">
        <f t="shared" si="785"/>
        <v>400</v>
      </c>
      <c r="AW142" s="29">
        <v>400</v>
      </c>
      <c r="AX142" s="29">
        <v>400</v>
      </c>
      <c r="AY142" s="29">
        <v>1</v>
      </c>
      <c r="AZ142" s="29"/>
      <c r="BA142" s="29"/>
      <c r="BB142" s="299">
        <f t="shared" ref="BB142:BB148" si="895">AV142</f>
        <v>400</v>
      </c>
      <c r="BC142" s="296"/>
      <c r="BD142" s="297">
        <f t="shared" ref="BD142:BD148" si="896">(BB142+BC142)/2</f>
        <v>200</v>
      </c>
      <c r="BE142" s="298" t="e">
        <f t="shared" ref="BE142:BE148" si="897">BB142/BC142</f>
        <v>#DIV/0!</v>
      </c>
      <c r="BF142" s="308">
        <f t="shared" ref="BF142:BF148" si="898">BB142*$BF$1</f>
        <v>160</v>
      </c>
      <c r="BG142" s="296"/>
      <c r="BH142" s="297">
        <f t="shared" ref="BH142:BH148" si="899">(BF142+BG142)/2</f>
        <v>80</v>
      </c>
      <c r="BI142" s="298" t="e">
        <f t="shared" ref="BI142:BI148" si="900">BF142/BG142</f>
        <v>#DIV/0!</v>
      </c>
      <c r="BK142" s="29"/>
      <c r="BL142" s="29"/>
      <c r="BP142" s="29" t="s">
        <v>1394</v>
      </c>
      <c r="BQ142" s="308"/>
      <c r="BR142" s="308"/>
      <c r="BS142" s="29"/>
      <c r="BT142" s="29" t="s">
        <v>1395</v>
      </c>
    </row>
    <row r="143" ht="12.75" spans="1:72">
      <c r="A143" s="29" t="s">
        <v>1044</v>
      </c>
      <c r="B143" s="29" t="s">
        <v>1249</v>
      </c>
      <c r="C143" s="29" t="s">
        <v>1392</v>
      </c>
      <c r="D143" s="308"/>
      <c r="E143" s="29" t="s">
        <v>1217</v>
      </c>
      <c r="F143" s="29" t="b">
        <v>1</v>
      </c>
      <c r="G143" s="29" t="b">
        <v>0</v>
      </c>
      <c r="H143" s="29" t="b">
        <v>0</v>
      </c>
      <c r="I143" s="29" t="b">
        <v>1</v>
      </c>
      <c r="J143" s="29" t="b">
        <v>0</v>
      </c>
      <c r="K143" s="29" t="b">
        <v>1</v>
      </c>
      <c r="L143" s="29" t="b">
        <v>0</v>
      </c>
      <c r="M143" s="432" t="s">
        <v>119</v>
      </c>
      <c r="N143" s="432" t="b">
        <v>1</v>
      </c>
      <c r="O143" s="29" t="s">
        <v>1396</v>
      </c>
      <c r="P143" s="29" t="s">
        <v>142</v>
      </c>
      <c r="Q143" s="441">
        <f t="shared" si="776"/>
        <v>2000</v>
      </c>
      <c r="R143" s="441">
        <f t="shared" si="777"/>
        <v>2000</v>
      </c>
      <c r="S143" s="442">
        <f>AK143</f>
        <v>0</v>
      </c>
      <c r="T143" s="29" t="s">
        <v>1316</v>
      </c>
      <c r="U143" s="443"/>
      <c r="V143" s="245"/>
      <c r="W143" s="245"/>
      <c r="X143" s="444"/>
      <c r="Y143" s="245"/>
      <c r="Z143" s="245"/>
      <c r="AA143" s="245"/>
      <c r="AB143" s="532"/>
      <c r="AC143" s="533"/>
      <c r="AD143" s="516" t="e">
        <f t="shared" ref="AD143:AE143" si="901">1-(V143/Z143)</f>
        <v>#DIV/0!</v>
      </c>
      <c r="AE143" s="516" t="e">
        <f t="shared" si="901"/>
        <v>#DIV/0!</v>
      </c>
      <c r="AF143" s="245">
        <f t="shared" ref="AF143:AG143" si="902">(V143+Z143)/2</f>
        <v>0</v>
      </c>
      <c r="AG143" s="245">
        <f t="shared" si="902"/>
        <v>0</v>
      </c>
      <c r="AH143" s="305" t="e">
        <f t="shared" ref="AH143:AI143" si="903">1-(V143/AF143)</f>
        <v>#DIV/0!</v>
      </c>
      <c r="AI143" s="305" t="e">
        <f t="shared" si="903"/>
        <v>#DIV/0!</v>
      </c>
      <c r="AJ143" s="484">
        <f t="shared" si="522"/>
        <v>0</v>
      </c>
      <c r="AK143" s="245">
        <f t="shared" si="528"/>
        <v>0</v>
      </c>
      <c r="AL143" s="329">
        <f t="shared" ref="AL143:AM143" si="904">AJ143-Z143</f>
        <v>0</v>
      </c>
      <c r="AM143" s="329">
        <f t="shared" si="904"/>
        <v>0</v>
      </c>
      <c r="AN143" s="523">
        <f t="shared" si="8"/>
        <v>0</v>
      </c>
      <c r="AO143" s="487">
        <f t="shared" ref="AO143:AP143" si="905">V143+(V143*$AO$2)</f>
        <v>0</v>
      </c>
      <c r="AP143" s="475">
        <f t="shared" si="905"/>
        <v>0</v>
      </c>
      <c r="AQ143" s="432" t="s">
        <v>119</v>
      </c>
      <c r="AR143" s="485">
        <f t="shared" ref="AR143:AS143" si="906">AO143-Z143</f>
        <v>0</v>
      </c>
      <c r="AS143" s="485">
        <f t="shared" si="906"/>
        <v>0</v>
      </c>
      <c r="AT143" s="486">
        <f t="shared" si="11"/>
        <v>0</v>
      </c>
      <c r="AU143" s="301">
        <f t="shared" si="12"/>
        <v>1800</v>
      </c>
      <c r="AV143" s="296">
        <f t="shared" si="785"/>
        <v>2000</v>
      </c>
      <c r="AW143" s="29">
        <v>2000</v>
      </c>
      <c r="AX143" s="29">
        <v>2000</v>
      </c>
      <c r="AY143" s="29">
        <v>1</v>
      </c>
      <c r="AZ143" s="29"/>
      <c r="BA143" s="29"/>
      <c r="BB143" s="299">
        <f t="shared" si="895"/>
        <v>2000</v>
      </c>
      <c r="BC143" s="296"/>
      <c r="BD143" s="297">
        <f t="shared" si="896"/>
        <v>1000</v>
      </c>
      <c r="BE143" s="298" t="e">
        <f t="shared" si="897"/>
        <v>#DIV/0!</v>
      </c>
      <c r="BF143" s="308">
        <f t="shared" si="898"/>
        <v>800</v>
      </c>
      <c r="BG143" s="296"/>
      <c r="BH143" s="297">
        <f t="shared" si="899"/>
        <v>400</v>
      </c>
      <c r="BI143" s="298" t="e">
        <f t="shared" si="900"/>
        <v>#DIV/0!</v>
      </c>
      <c r="BK143" s="29"/>
      <c r="BL143" s="29"/>
      <c r="BP143" s="29" t="s">
        <v>1394</v>
      </c>
      <c r="BQ143" s="308"/>
      <c r="BR143" s="308"/>
      <c r="BS143" s="29"/>
      <c r="BT143" s="29" t="s">
        <v>1395</v>
      </c>
    </row>
    <row r="144" ht="12.75" spans="1:72">
      <c r="A144" s="29" t="s">
        <v>1038</v>
      </c>
      <c r="B144" s="29" t="s">
        <v>1195</v>
      </c>
      <c r="C144" s="288" t="s">
        <v>719</v>
      </c>
      <c r="D144" s="29" t="s">
        <v>1200</v>
      </c>
      <c r="E144" s="29" t="s">
        <v>1217</v>
      </c>
      <c r="F144" s="29" t="b">
        <v>1</v>
      </c>
      <c r="G144" s="29" t="b">
        <v>0</v>
      </c>
      <c r="H144" s="29" t="b">
        <v>0</v>
      </c>
      <c r="I144" s="29" t="b">
        <v>0</v>
      </c>
      <c r="J144" s="29" t="b">
        <v>0</v>
      </c>
      <c r="K144" s="29" t="b">
        <v>1</v>
      </c>
      <c r="L144" s="29" t="b">
        <v>0</v>
      </c>
      <c r="M144" s="432" t="b">
        <v>0</v>
      </c>
      <c r="N144" s="432" t="b">
        <v>0</v>
      </c>
      <c r="O144" s="29" t="s">
        <v>1397</v>
      </c>
      <c r="P144" s="29" t="s">
        <v>120</v>
      </c>
      <c r="Q144" s="441">
        <f t="shared" si="776"/>
        <v>350</v>
      </c>
      <c r="R144" s="441">
        <f t="shared" si="777"/>
        <v>350</v>
      </c>
      <c r="S144" s="442">
        <f t="shared" ref="S144:S154" si="907">AJ144</f>
        <v>124</v>
      </c>
      <c r="T144" s="29" t="s">
        <v>1203</v>
      </c>
      <c r="U144" s="443"/>
      <c r="V144" s="245">
        <v>62</v>
      </c>
      <c r="W144" s="245">
        <v>310</v>
      </c>
      <c r="X144" s="444">
        <v>46.41</v>
      </c>
      <c r="Y144" s="245">
        <v>229.94</v>
      </c>
      <c r="Z144" s="360"/>
      <c r="AA144" s="245"/>
      <c r="AB144" s="463">
        <f t="shared" ref="AB144:AC144" si="908">V144-X144</f>
        <v>15.59</v>
      </c>
      <c r="AC144" s="464">
        <f t="shared" si="908"/>
        <v>80.06</v>
      </c>
      <c r="AD144" s="474" t="e">
        <f t="shared" ref="AD144:AE144" si="909">1-(V144/Z144)</f>
        <v>#DIV/0!</v>
      </c>
      <c r="AE144" s="474" t="e">
        <f t="shared" si="909"/>
        <v>#DIV/0!</v>
      </c>
      <c r="AF144" s="475"/>
      <c r="AG144" s="475"/>
      <c r="AH144" s="483"/>
      <c r="AI144" s="483"/>
      <c r="AJ144" s="487">
        <f t="shared" si="522"/>
        <v>124</v>
      </c>
      <c r="AK144" s="475">
        <f t="shared" si="528"/>
        <v>620</v>
      </c>
      <c r="AL144" s="485">
        <f t="shared" ref="AL144:AM144" si="910">AJ144-Z144</f>
        <v>124</v>
      </c>
      <c r="AM144" s="485">
        <f t="shared" si="910"/>
        <v>620</v>
      </c>
      <c r="AN144" s="486">
        <f t="shared" si="8"/>
        <v>0</v>
      </c>
      <c r="AO144" s="487">
        <f t="shared" ref="AO144:AP144" si="911">V144+(V144*$AO$2)</f>
        <v>93</v>
      </c>
      <c r="AP144" s="475">
        <f t="shared" si="911"/>
        <v>465</v>
      </c>
      <c r="AQ144" s="432" t="b">
        <v>1</v>
      </c>
      <c r="AR144" s="485">
        <f t="shared" ref="AR144:AS144" si="912">AO144-Z144</f>
        <v>93</v>
      </c>
      <c r="AS144" s="485">
        <f t="shared" si="912"/>
        <v>465</v>
      </c>
      <c r="AT144" s="486">
        <f t="shared" si="11"/>
        <v>0</v>
      </c>
      <c r="AU144" s="301">
        <f t="shared" si="12"/>
        <v>270</v>
      </c>
      <c r="AV144" s="301">
        <f t="shared" si="785"/>
        <v>350</v>
      </c>
      <c r="AW144" s="29">
        <v>300</v>
      </c>
      <c r="AX144" s="29">
        <v>400</v>
      </c>
      <c r="BB144" s="302">
        <f t="shared" si="895"/>
        <v>350</v>
      </c>
      <c r="BC144" s="301"/>
      <c r="BD144" s="303">
        <f t="shared" si="896"/>
        <v>175</v>
      </c>
      <c r="BE144" s="304" t="e">
        <f t="shared" si="897"/>
        <v>#DIV/0!</v>
      </c>
      <c r="BF144" s="307">
        <f t="shared" si="898"/>
        <v>140</v>
      </c>
      <c r="BG144" s="301"/>
      <c r="BH144" s="303">
        <f t="shared" si="899"/>
        <v>70</v>
      </c>
      <c r="BI144" s="304" t="e">
        <f t="shared" si="900"/>
        <v>#DIV/0!</v>
      </c>
      <c r="BK144" s="29"/>
      <c r="BL144" s="29"/>
      <c r="BP144" s="29" t="s">
        <v>1204</v>
      </c>
      <c r="BQ144" s="29"/>
      <c r="BR144" s="29"/>
      <c r="BS144" s="29"/>
      <c r="BT144" s="29" t="s">
        <v>1398</v>
      </c>
    </row>
    <row r="145" ht="12.75" spans="1:72">
      <c r="A145" s="29" t="s">
        <v>1038</v>
      </c>
      <c r="B145" s="29" t="s">
        <v>1195</v>
      </c>
      <c r="C145" s="29" t="s">
        <v>719</v>
      </c>
      <c r="D145" s="29" t="s">
        <v>1200</v>
      </c>
      <c r="E145" s="29" t="s">
        <v>1231</v>
      </c>
      <c r="F145" s="29" t="b">
        <v>1</v>
      </c>
      <c r="G145" s="29" t="b">
        <v>0</v>
      </c>
      <c r="H145" s="29" t="b">
        <v>0</v>
      </c>
      <c r="I145" s="29" t="b">
        <v>1</v>
      </c>
      <c r="J145" s="29" t="b">
        <v>0</v>
      </c>
      <c r="K145" s="29" t="b">
        <v>1</v>
      </c>
      <c r="L145" s="29" t="b">
        <v>0</v>
      </c>
      <c r="M145" s="432" t="b">
        <v>0</v>
      </c>
      <c r="N145" s="432" t="b">
        <v>1</v>
      </c>
      <c r="O145" s="29" t="s">
        <v>1399</v>
      </c>
      <c r="P145" s="29" t="s">
        <v>142</v>
      </c>
      <c r="Q145" s="441">
        <f t="shared" si="776"/>
        <v>350</v>
      </c>
      <c r="R145" s="441">
        <f t="shared" si="777"/>
        <v>350</v>
      </c>
      <c r="S145" s="442">
        <f t="shared" si="907"/>
        <v>151.8</v>
      </c>
      <c r="T145" s="29" t="s">
        <v>1203</v>
      </c>
      <c r="U145" s="443"/>
      <c r="V145" s="245">
        <v>75.9</v>
      </c>
      <c r="W145" s="454">
        <f>Y145</f>
        <v>259.68</v>
      </c>
      <c r="X145" s="444">
        <v>52.2</v>
      </c>
      <c r="Y145" s="245">
        <v>259.68</v>
      </c>
      <c r="Z145" s="360"/>
      <c r="AA145" s="245"/>
      <c r="AB145" s="463">
        <f t="shared" ref="AB145:AC145" si="913">V145-X145</f>
        <v>23.7</v>
      </c>
      <c r="AC145" s="464">
        <f t="shared" si="913"/>
        <v>0</v>
      </c>
      <c r="AD145" s="474" t="e">
        <f t="shared" ref="AD145:AE145" si="914">1-(V145/Z145)</f>
        <v>#DIV/0!</v>
      </c>
      <c r="AE145" s="474" t="e">
        <f t="shared" si="914"/>
        <v>#DIV/0!</v>
      </c>
      <c r="AF145" s="475"/>
      <c r="AG145" s="475"/>
      <c r="AH145" s="483"/>
      <c r="AI145" s="483"/>
      <c r="AJ145" s="487">
        <f t="shared" si="522"/>
        <v>151.8</v>
      </c>
      <c r="AK145" s="475">
        <f t="shared" si="528"/>
        <v>519.36</v>
      </c>
      <c r="AL145" s="485">
        <f t="shared" ref="AL145:AM145" si="915">AJ145-Z145</f>
        <v>151.8</v>
      </c>
      <c r="AM145" s="485">
        <f t="shared" si="915"/>
        <v>519.36</v>
      </c>
      <c r="AN145" s="486">
        <f t="shared" si="8"/>
        <v>239.64</v>
      </c>
      <c r="AO145" s="487">
        <f t="shared" ref="AO145:AP145" si="916">V145+(V145*$AO$2)</f>
        <v>113.85</v>
      </c>
      <c r="AP145" s="475">
        <f t="shared" si="916"/>
        <v>389.52</v>
      </c>
      <c r="AQ145" s="432" t="b">
        <v>0</v>
      </c>
      <c r="AR145" s="485">
        <f t="shared" ref="AR145:AS145" si="917">AO145-Z145</f>
        <v>113.85</v>
      </c>
      <c r="AS145" s="485">
        <f t="shared" si="917"/>
        <v>389.52</v>
      </c>
      <c r="AT145" s="486">
        <f t="shared" si="11"/>
        <v>179.73</v>
      </c>
      <c r="AU145" s="301">
        <f t="shared" si="12"/>
        <v>270</v>
      </c>
      <c r="AV145" s="301">
        <f t="shared" si="785"/>
        <v>350</v>
      </c>
      <c r="AW145" s="29">
        <v>300</v>
      </c>
      <c r="AX145" s="29">
        <v>400</v>
      </c>
      <c r="BB145" s="302">
        <f t="shared" si="895"/>
        <v>350</v>
      </c>
      <c r="BC145" s="301"/>
      <c r="BD145" s="303">
        <f t="shared" si="896"/>
        <v>175</v>
      </c>
      <c r="BE145" s="304" t="e">
        <f t="shared" si="897"/>
        <v>#DIV/0!</v>
      </c>
      <c r="BF145" s="307">
        <f t="shared" si="898"/>
        <v>140</v>
      </c>
      <c r="BG145" s="301"/>
      <c r="BH145" s="303">
        <f t="shared" si="899"/>
        <v>70</v>
      </c>
      <c r="BI145" s="304" t="e">
        <f t="shared" si="900"/>
        <v>#DIV/0!</v>
      </c>
      <c r="BK145" s="29"/>
      <c r="BL145" s="29"/>
      <c r="BP145" s="29" t="s">
        <v>1204</v>
      </c>
      <c r="BQ145" s="29"/>
      <c r="BR145" s="29"/>
      <c r="BS145" s="29"/>
      <c r="BT145" s="29" t="s">
        <v>1398</v>
      </c>
    </row>
    <row r="146" ht="12.75" spans="1:72">
      <c r="A146" s="29" t="s">
        <v>1038</v>
      </c>
      <c r="B146" s="29" t="s">
        <v>1195</v>
      </c>
      <c r="C146" s="288" t="s">
        <v>720</v>
      </c>
      <c r="D146" s="29" t="s">
        <v>1200</v>
      </c>
      <c r="E146" s="29" t="s">
        <v>1217</v>
      </c>
      <c r="F146" s="29" t="b">
        <v>1</v>
      </c>
      <c r="G146" s="29" t="b">
        <v>0</v>
      </c>
      <c r="H146" s="29" t="b">
        <v>0</v>
      </c>
      <c r="I146" s="29" t="b">
        <v>0</v>
      </c>
      <c r="J146" s="29" t="b">
        <v>0</v>
      </c>
      <c r="K146" s="29" t="b">
        <v>0</v>
      </c>
      <c r="L146" s="29" t="b">
        <v>0</v>
      </c>
      <c r="M146" s="432" t="b">
        <v>0</v>
      </c>
      <c r="N146" s="432" t="b">
        <v>0</v>
      </c>
      <c r="O146" s="29" t="s">
        <v>1400</v>
      </c>
      <c r="P146" s="29" t="s">
        <v>142</v>
      </c>
      <c r="Q146" s="441">
        <f t="shared" si="776"/>
        <v>425</v>
      </c>
      <c r="R146" s="441">
        <f t="shared" si="777"/>
        <v>425</v>
      </c>
      <c r="S146" s="442">
        <f t="shared" si="907"/>
        <v>104</v>
      </c>
      <c r="T146" s="29" t="s">
        <v>1203</v>
      </c>
      <c r="U146" s="443"/>
      <c r="V146" s="245">
        <v>52</v>
      </c>
      <c r="W146" s="245">
        <v>260</v>
      </c>
      <c r="X146" s="444"/>
      <c r="Y146" s="245"/>
      <c r="Z146" s="360"/>
      <c r="AA146" s="245"/>
      <c r="AB146" s="463">
        <f t="shared" ref="AB146:AC146" si="918">V146-X146</f>
        <v>52</v>
      </c>
      <c r="AC146" s="464">
        <f t="shared" si="918"/>
        <v>260</v>
      </c>
      <c r="AD146" s="474" t="e">
        <f t="shared" ref="AD146:AE146" si="919">1-(V146/Z146)</f>
        <v>#DIV/0!</v>
      </c>
      <c r="AE146" s="474" t="e">
        <f t="shared" si="919"/>
        <v>#DIV/0!</v>
      </c>
      <c r="AF146" s="475"/>
      <c r="AG146" s="475"/>
      <c r="AH146" s="483"/>
      <c r="AI146" s="483"/>
      <c r="AJ146" s="487">
        <f t="shared" si="522"/>
        <v>104</v>
      </c>
      <c r="AK146" s="475">
        <f t="shared" si="528"/>
        <v>520</v>
      </c>
      <c r="AL146" s="485">
        <f t="shared" ref="AL146:AM146" si="920">AJ146-Z146</f>
        <v>104</v>
      </c>
      <c r="AM146" s="485">
        <f t="shared" si="920"/>
        <v>520</v>
      </c>
      <c r="AN146" s="486">
        <f t="shared" si="8"/>
        <v>0</v>
      </c>
      <c r="AO146" s="487">
        <f t="shared" ref="AO146:AP146" si="921">V146+(V146*$AO$2)</f>
        <v>78</v>
      </c>
      <c r="AP146" s="475">
        <f t="shared" si="921"/>
        <v>390</v>
      </c>
      <c r="AQ146" s="432" t="b">
        <v>1</v>
      </c>
      <c r="AR146" s="485">
        <f t="shared" ref="AR146:AS146" si="922">AO146-Z146</f>
        <v>78</v>
      </c>
      <c r="AS146" s="485">
        <f t="shared" si="922"/>
        <v>390</v>
      </c>
      <c r="AT146" s="486">
        <f t="shared" si="11"/>
        <v>0</v>
      </c>
      <c r="AU146" s="301">
        <f t="shared" si="12"/>
        <v>360</v>
      </c>
      <c r="AV146" s="301">
        <f t="shared" si="785"/>
        <v>425</v>
      </c>
      <c r="AW146" s="29">
        <v>400</v>
      </c>
      <c r="AX146" s="29">
        <v>450</v>
      </c>
      <c r="BB146" s="302">
        <f t="shared" si="895"/>
        <v>425</v>
      </c>
      <c r="BC146" s="301"/>
      <c r="BD146" s="303">
        <f t="shared" si="896"/>
        <v>212.5</v>
      </c>
      <c r="BE146" s="304" t="e">
        <f t="shared" si="897"/>
        <v>#DIV/0!</v>
      </c>
      <c r="BF146" s="307">
        <f t="shared" si="898"/>
        <v>170</v>
      </c>
      <c r="BG146" s="301"/>
      <c r="BH146" s="303">
        <f t="shared" si="899"/>
        <v>85</v>
      </c>
      <c r="BI146" s="304" t="e">
        <f t="shared" si="900"/>
        <v>#DIV/0!</v>
      </c>
      <c r="BK146" s="29"/>
      <c r="BL146" s="29"/>
      <c r="BP146" s="29" t="s">
        <v>1204</v>
      </c>
      <c r="BQ146" s="29"/>
      <c r="BR146" s="29"/>
      <c r="BS146" s="29"/>
      <c r="BT146" s="29" t="s">
        <v>1401</v>
      </c>
    </row>
    <row r="147" ht="12.75" spans="1:72">
      <c r="A147" s="29" t="s">
        <v>1044</v>
      </c>
      <c r="B147" s="29" t="s">
        <v>1195</v>
      </c>
      <c r="C147" s="29" t="s">
        <v>721</v>
      </c>
      <c r="D147" s="29" t="s">
        <v>1200</v>
      </c>
      <c r="E147" s="29" t="s">
        <v>1237</v>
      </c>
      <c r="F147" s="29" t="b">
        <v>1</v>
      </c>
      <c r="G147" s="29" t="b">
        <v>0</v>
      </c>
      <c r="H147" s="29" t="b">
        <v>0</v>
      </c>
      <c r="I147" s="29" t="b">
        <v>0</v>
      </c>
      <c r="J147" s="29" t="b">
        <v>0</v>
      </c>
      <c r="K147" s="29" t="b">
        <v>0</v>
      </c>
      <c r="L147" s="29" t="b">
        <v>0</v>
      </c>
      <c r="M147" s="432" t="b">
        <v>1</v>
      </c>
      <c r="N147" s="432" t="b">
        <v>1</v>
      </c>
      <c r="O147" s="29" t="s">
        <v>1402</v>
      </c>
      <c r="P147" s="29" t="s">
        <v>142</v>
      </c>
      <c r="Q147" s="441">
        <f t="shared" si="776"/>
        <v>425</v>
      </c>
      <c r="R147" s="441">
        <f t="shared" si="777"/>
        <v>425</v>
      </c>
      <c r="S147" s="442">
        <f t="shared" si="907"/>
        <v>108</v>
      </c>
      <c r="T147" s="29" t="s">
        <v>1203</v>
      </c>
      <c r="U147" s="443"/>
      <c r="V147" s="245">
        <v>54</v>
      </c>
      <c r="W147" s="245">
        <v>270</v>
      </c>
      <c r="X147" s="444">
        <v>52.29</v>
      </c>
      <c r="Y147" s="245">
        <v>259.44</v>
      </c>
      <c r="Z147" s="360"/>
      <c r="AA147" s="245"/>
      <c r="AB147" s="463">
        <f t="shared" ref="AB147:AC147" si="923">V147-X147</f>
        <v>1.71</v>
      </c>
      <c r="AC147" s="464">
        <f t="shared" si="923"/>
        <v>10.56</v>
      </c>
      <c r="AD147" s="474" t="e">
        <f t="shared" ref="AD147:AE147" si="924">1-(V147/Z147)</f>
        <v>#DIV/0!</v>
      </c>
      <c r="AE147" s="474" t="e">
        <f t="shared" si="924"/>
        <v>#DIV/0!</v>
      </c>
      <c r="AF147" s="475"/>
      <c r="AG147" s="475"/>
      <c r="AH147" s="483"/>
      <c r="AI147" s="483"/>
      <c r="AJ147" s="487">
        <f t="shared" si="522"/>
        <v>108</v>
      </c>
      <c r="AK147" s="475">
        <f t="shared" si="528"/>
        <v>540</v>
      </c>
      <c r="AL147" s="485">
        <f t="shared" ref="AL147:AM147" si="925">AJ147-Z147</f>
        <v>108</v>
      </c>
      <c r="AM147" s="485">
        <f t="shared" si="925"/>
        <v>540</v>
      </c>
      <c r="AN147" s="486">
        <f t="shared" si="8"/>
        <v>0</v>
      </c>
      <c r="AO147" s="487">
        <f t="shared" ref="AO147:AP147" si="926">V147+(V147*$AO$2)</f>
        <v>81</v>
      </c>
      <c r="AP147" s="475">
        <f t="shared" si="926"/>
        <v>405</v>
      </c>
      <c r="AQ147" s="432" t="b">
        <v>0</v>
      </c>
      <c r="AR147" s="485">
        <f t="shared" ref="AR147:AS147" si="927">AO147-Z147</f>
        <v>81</v>
      </c>
      <c r="AS147" s="485">
        <f t="shared" si="927"/>
        <v>405</v>
      </c>
      <c r="AT147" s="486">
        <f t="shared" si="11"/>
        <v>0</v>
      </c>
      <c r="AU147" s="301">
        <f t="shared" si="12"/>
        <v>360</v>
      </c>
      <c r="AV147" s="301">
        <f t="shared" si="785"/>
        <v>425</v>
      </c>
      <c r="AW147" s="29">
        <v>400</v>
      </c>
      <c r="AX147" s="29">
        <v>450</v>
      </c>
      <c r="BB147" s="302">
        <f t="shared" si="895"/>
        <v>425</v>
      </c>
      <c r="BC147" s="301"/>
      <c r="BD147" s="303">
        <f t="shared" si="896"/>
        <v>212.5</v>
      </c>
      <c r="BE147" s="304" t="e">
        <f t="shared" si="897"/>
        <v>#DIV/0!</v>
      </c>
      <c r="BF147" s="307">
        <f t="shared" si="898"/>
        <v>170</v>
      </c>
      <c r="BG147" s="301"/>
      <c r="BH147" s="303">
        <f t="shared" si="899"/>
        <v>85</v>
      </c>
      <c r="BI147" s="304" t="e">
        <f t="shared" si="900"/>
        <v>#DIV/0!</v>
      </c>
      <c r="BK147" s="29"/>
      <c r="BL147" s="29"/>
      <c r="BP147" s="29" t="s">
        <v>1204</v>
      </c>
      <c r="BQ147" s="29"/>
      <c r="BR147" s="29"/>
      <c r="BS147" s="29"/>
      <c r="BT147" s="29" t="s">
        <v>1403</v>
      </c>
    </row>
    <row r="148" ht="12.75" spans="1:72">
      <c r="A148" s="29" t="s">
        <v>1044</v>
      </c>
      <c r="B148" s="29" t="s">
        <v>1195</v>
      </c>
      <c r="C148" s="29" t="s">
        <v>721</v>
      </c>
      <c r="D148" s="29" t="s">
        <v>1200</v>
      </c>
      <c r="E148" s="29" t="s">
        <v>1224</v>
      </c>
      <c r="F148" s="29" t="b">
        <v>1</v>
      </c>
      <c r="G148" s="29" t="b">
        <v>0</v>
      </c>
      <c r="H148" s="29" t="b">
        <v>0</v>
      </c>
      <c r="I148" s="29" t="b">
        <v>0</v>
      </c>
      <c r="J148" s="29" t="b">
        <v>0</v>
      </c>
      <c r="K148" s="29" t="b">
        <v>0</v>
      </c>
      <c r="L148" s="29" t="b">
        <v>0</v>
      </c>
      <c r="M148" s="432" t="b">
        <v>1</v>
      </c>
      <c r="N148" s="432" t="b">
        <v>1</v>
      </c>
      <c r="O148" s="29" t="s">
        <v>1404</v>
      </c>
      <c r="P148" s="29" t="s">
        <v>142</v>
      </c>
      <c r="Q148" s="441">
        <f t="shared" si="776"/>
        <v>425</v>
      </c>
      <c r="R148" s="441">
        <f t="shared" si="777"/>
        <v>425</v>
      </c>
      <c r="S148" s="442">
        <f t="shared" si="907"/>
        <v>108</v>
      </c>
      <c r="T148" s="29" t="s">
        <v>1203</v>
      </c>
      <c r="U148" s="443"/>
      <c r="V148" s="454">
        <v>54</v>
      </c>
      <c r="W148" s="454">
        <v>270</v>
      </c>
      <c r="X148" s="446">
        <v>52.29</v>
      </c>
      <c r="Y148" s="454">
        <v>259.44</v>
      </c>
      <c r="Z148" s="360"/>
      <c r="AA148" s="454"/>
      <c r="AB148" s="463">
        <f t="shared" ref="AB148:AC148" si="928">V148-X148</f>
        <v>1.71</v>
      </c>
      <c r="AC148" s="464">
        <f t="shared" si="928"/>
        <v>10.56</v>
      </c>
      <c r="AD148" s="474" t="e">
        <f t="shared" ref="AD148:AE148" si="929">1-(V148/Z148)</f>
        <v>#DIV/0!</v>
      </c>
      <c r="AE148" s="474" t="e">
        <f t="shared" si="929"/>
        <v>#DIV/0!</v>
      </c>
      <c r="AF148" s="475"/>
      <c r="AG148" s="475"/>
      <c r="AH148" s="483"/>
      <c r="AI148" s="483"/>
      <c r="AJ148" s="487">
        <f t="shared" si="522"/>
        <v>108</v>
      </c>
      <c r="AK148" s="475">
        <f t="shared" si="528"/>
        <v>540</v>
      </c>
      <c r="AL148" s="485">
        <f t="shared" ref="AL148:AM148" si="930">AJ148-Z148</f>
        <v>108</v>
      </c>
      <c r="AM148" s="485">
        <f t="shared" si="930"/>
        <v>540</v>
      </c>
      <c r="AN148" s="486">
        <f t="shared" si="8"/>
        <v>0</v>
      </c>
      <c r="AO148" s="487">
        <f t="shared" ref="AO148:AP148" si="931">V148+(V148*$AO$2)</f>
        <v>81</v>
      </c>
      <c r="AP148" s="475">
        <f t="shared" si="931"/>
        <v>405</v>
      </c>
      <c r="AQ148" s="432" t="b">
        <v>0</v>
      </c>
      <c r="AR148" s="485">
        <f t="shared" ref="AR148:AS148" si="932">AO148-Z148</f>
        <v>81</v>
      </c>
      <c r="AS148" s="485">
        <f t="shared" si="932"/>
        <v>405</v>
      </c>
      <c r="AT148" s="486">
        <f t="shared" si="11"/>
        <v>0</v>
      </c>
      <c r="AU148" s="301">
        <f t="shared" si="12"/>
        <v>360</v>
      </c>
      <c r="AV148" s="301">
        <f t="shared" si="785"/>
        <v>425</v>
      </c>
      <c r="AW148" s="29">
        <v>400</v>
      </c>
      <c r="AX148" s="29">
        <v>450</v>
      </c>
      <c r="BB148" s="302">
        <f t="shared" si="895"/>
        <v>425</v>
      </c>
      <c r="BC148" s="301"/>
      <c r="BD148" s="303">
        <f t="shared" si="896"/>
        <v>212.5</v>
      </c>
      <c r="BE148" s="304" t="e">
        <f t="shared" si="897"/>
        <v>#DIV/0!</v>
      </c>
      <c r="BF148" s="307">
        <f t="shared" si="898"/>
        <v>170</v>
      </c>
      <c r="BG148" s="301"/>
      <c r="BH148" s="303">
        <f t="shared" si="899"/>
        <v>85</v>
      </c>
      <c r="BI148" s="304" t="e">
        <f t="shared" si="900"/>
        <v>#DIV/0!</v>
      </c>
      <c r="BK148" s="29"/>
      <c r="BL148" s="29"/>
      <c r="BP148" s="29" t="s">
        <v>1204</v>
      </c>
      <c r="BQ148" s="29"/>
      <c r="BR148" s="29"/>
      <c r="BS148" s="29"/>
      <c r="BT148" s="29" t="s">
        <v>1405</v>
      </c>
    </row>
    <row r="149" ht="12.75" spans="1:72">
      <c r="A149" s="29" t="s">
        <v>1044</v>
      </c>
      <c r="B149" s="29" t="s">
        <v>1195</v>
      </c>
      <c r="C149" s="29" t="s">
        <v>721</v>
      </c>
      <c r="D149" s="29" t="s">
        <v>1200</v>
      </c>
      <c r="E149" s="29" t="s">
        <v>1406</v>
      </c>
      <c r="F149" s="29" t="b">
        <v>1</v>
      </c>
      <c r="G149" s="29" t="b">
        <v>0</v>
      </c>
      <c r="H149" s="29" t="b">
        <v>0</v>
      </c>
      <c r="I149" s="29" t="b">
        <v>0</v>
      </c>
      <c r="J149" s="29" t="b">
        <v>0</v>
      </c>
      <c r="K149" s="29" t="b">
        <v>0</v>
      </c>
      <c r="L149" s="29" t="b">
        <v>0</v>
      </c>
      <c r="M149" s="432" t="b">
        <v>0</v>
      </c>
      <c r="N149" s="432" t="b">
        <v>1</v>
      </c>
      <c r="O149" s="29" t="s">
        <v>1407</v>
      </c>
      <c r="P149" s="29" t="s">
        <v>142</v>
      </c>
      <c r="Q149" s="441">
        <f t="shared" si="776"/>
        <v>425</v>
      </c>
      <c r="R149" s="441">
        <f t="shared" si="777"/>
        <v>425</v>
      </c>
      <c r="S149" s="442">
        <f t="shared" si="907"/>
        <v>108</v>
      </c>
      <c r="T149" s="29" t="s">
        <v>1203</v>
      </c>
      <c r="U149" s="443"/>
      <c r="V149" s="454">
        <v>54</v>
      </c>
      <c r="W149" s="454">
        <v>270</v>
      </c>
      <c r="X149" s="446">
        <v>52.25</v>
      </c>
      <c r="Y149" s="454">
        <v>259.67</v>
      </c>
      <c r="Z149" s="360"/>
      <c r="AA149" s="454"/>
      <c r="AB149" s="463">
        <f t="shared" ref="AB149:AC149" si="933">V149-X149</f>
        <v>1.75</v>
      </c>
      <c r="AC149" s="464">
        <f t="shared" si="933"/>
        <v>10.33</v>
      </c>
      <c r="AD149" s="474" t="e">
        <f t="shared" ref="AD149:AE149" si="934">1-(V149/Z149)</f>
        <v>#DIV/0!</v>
      </c>
      <c r="AE149" s="474" t="e">
        <f t="shared" si="934"/>
        <v>#DIV/0!</v>
      </c>
      <c r="AF149" s="475"/>
      <c r="AG149" s="475"/>
      <c r="AH149" s="483"/>
      <c r="AI149" s="483"/>
      <c r="AJ149" s="487">
        <f t="shared" si="522"/>
        <v>108</v>
      </c>
      <c r="AK149" s="475">
        <f t="shared" si="528"/>
        <v>540</v>
      </c>
      <c r="AL149" s="485">
        <f t="shared" ref="AL149:AM149" si="935">AJ149-Z149</f>
        <v>108</v>
      </c>
      <c r="AM149" s="485">
        <f t="shared" si="935"/>
        <v>540</v>
      </c>
      <c r="AN149" s="486">
        <f t="shared" si="8"/>
        <v>0</v>
      </c>
      <c r="AO149" s="487">
        <f t="shared" ref="AO149:AP149" si="936">V149+(V149*$AO$2)</f>
        <v>81</v>
      </c>
      <c r="AP149" s="475">
        <f t="shared" si="936"/>
        <v>405</v>
      </c>
      <c r="AQ149" s="432" t="b">
        <v>0</v>
      </c>
      <c r="AR149" s="485">
        <f t="shared" ref="AR149:AS149" si="937">AO149-Z149</f>
        <v>81</v>
      </c>
      <c r="AS149" s="485">
        <f t="shared" si="937"/>
        <v>405</v>
      </c>
      <c r="AT149" s="486">
        <f t="shared" si="11"/>
        <v>0</v>
      </c>
      <c r="AU149" s="301">
        <f t="shared" si="12"/>
        <v>360</v>
      </c>
      <c r="AV149" s="301">
        <f t="shared" si="785"/>
        <v>425</v>
      </c>
      <c r="AW149" s="29">
        <v>400</v>
      </c>
      <c r="AX149" s="29">
        <v>450</v>
      </c>
      <c r="BB149" s="302"/>
      <c r="BC149" s="301"/>
      <c r="BD149" s="303"/>
      <c r="BE149" s="304"/>
      <c r="BF149" s="307"/>
      <c r="BG149" s="301"/>
      <c r="BH149" s="303"/>
      <c r="BI149" s="304"/>
      <c r="BK149" s="29"/>
      <c r="BL149" s="29"/>
      <c r="BP149" s="29" t="s">
        <v>1204</v>
      </c>
      <c r="BQ149" s="29"/>
      <c r="BR149" s="29"/>
      <c r="BS149" s="29"/>
      <c r="BT149" s="29"/>
    </row>
    <row r="150" ht="12.75" spans="1:72">
      <c r="A150" s="29" t="s">
        <v>1044</v>
      </c>
      <c r="B150" s="29" t="s">
        <v>1195</v>
      </c>
      <c r="C150" s="29" t="s">
        <v>721</v>
      </c>
      <c r="D150" s="29" t="s">
        <v>1200</v>
      </c>
      <c r="E150" s="29" t="s">
        <v>1217</v>
      </c>
      <c r="F150" s="29" t="b">
        <v>1</v>
      </c>
      <c r="G150" s="29" t="b">
        <v>0</v>
      </c>
      <c r="H150" s="29" t="b">
        <v>0</v>
      </c>
      <c r="I150" s="29" t="b">
        <v>1</v>
      </c>
      <c r="J150" s="29" t="b">
        <v>0</v>
      </c>
      <c r="K150" s="29" t="b">
        <v>0</v>
      </c>
      <c r="L150" s="29" t="b">
        <v>0</v>
      </c>
      <c r="M150" s="432" t="b">
        <v>1</v>
      </c>
      <c r="N150" s="432" t="b">
        <v>1</v>
      </c>
      <c r="O150" s="29" t="s">
        <v>1408</v>
      </c>
      <c r="P150" s="29" t="s">
        <v>142</v>
      </c>
      <c r="Q150" s="441">
        <f t="shared" si="776"/>
        <v>425</v>
      </c>
      <c r="R150" s="441">
        <f t="shared" si="777"/>
        <v>425</v>
      </c>
      <c r="S150" s="442">
        <f t="shared" si="907"/>
        <v>96</v>
      </c>
      <c r="T150" s="29" t="s">
        <v>1203</v>
      </c>
      <c r="U150" s="443"/>
      <c r="V150" s="245">
        <v>48</v>
      </c>
      <c r="W150" s="245">
        <v>240</v>
      </c>
      <c r="X150" s="444">
        <v>50.34</v>
      </c>
      <c r="Y150" s="245">
        <v>250.11</v>
      </c>
      <c r="Z150" s="360"/>
      <c r="AA150" s="245"/>
      <c r="AB150" s="463">
        <f t="shared" ref="AB150:AC150" si="938">V150-X150</f>
        <v>-2.34</v>
      </c>
      <c r="AC150" s="464">
        <f t="shared" si="938"/>
        <v>-10.11</v>
      </c>
      <c r="AD150" s="474" t="e">
        <f t="shared" ref="AD150:AE150" si="939">1-(V150/Z150)</f>
        <v>#DIV/0!</v>
      </c>
      <c r="AE150" s="474" t="e">
        <f t="shared" si="939"/>
        <v>#DIV/0!</v>
      </c>
      <c r="AF150" s="475"/>
      <c r="AG150" s="475"/>
      <c r="AH150" s="483"/>
      <c r="AI150" s="483"/>
      <c r="AJ150" s="487">
        <f t="shared" si="522"/>
        <v>96</v>
      </c>
      <c r="AK150" s="475">
        <f t="shared" si="528"/>
        <v>480</v>
      </c>
      <c r="AL150" s="485">
        <f t="shared" ref="AL150:AM150" si="940">AJ150-Z150</f>
        <v>96</v>
      </c>
      <c r="AM150" s="485">
        <f t="shared" si="940"/>
        <v>480</v>
      </c>
      <c r="AN150" s="486">
        <f t="shared" si="8"/>
        <v>0</v>
      </c>
      <c r="AO150" s="487">
        <f t="shared" ref="AO150:AP150" si="941">V150+(V150*$AO$2)</f>
        <v>72</v>
      </c>
      <c r="AP150" s="475">
        <f t="shared" si="941"/>
        <v>360</v>
      </c>
      <c r="AQ150" s="432" t="b">
        <v>0</v>
      </c>
      <c r="AR150" s="485">
        <f t="shared" ref="AR150:AS150" si="942">AO150-Z150</f>
        <v>72</v>
      </c>
      <c r="AS150" s="485">
        <f t="shared" si="942"/>
        <v>360</v>
      </c>
      <c r="AT150" s="486">
        <f t="shared" si="11"/>
        <v>0</v>
      </c>
      <c r="AU150" s="301">
        <f t="shared" si="12"/>
        <v>360</v>
      </c>
      <c r="AV150" s="301">
        <f t="shared" si="785"/>
        <v>425</v>
      </c>
      <c r="AW150" s="29">
        <v>400</v>
      </c>
      <c r="AX150" s="29">
        <v>450</v>
      </c>
      <c r="BB150" s="302">
        <f>AV150</f>
        <v>425</v>
      </c>
      <c r="BC150" s="301"/>
      <c r="BD150" s="303">
        <f>(BB150+BC150)/2</f>
        <v>212.5</v>
      </c>
      <c r="BE150" s="304" t="e">
        <f>BB150/BC150</f>
        <v>#DIV/0!</v>
      </c>
      <c r="BF150" s="307">
        <f>BB150*$BF$1</f>
        <v>170</v>
      </c>
      <c r="BG150" s="301"/>
      <c r="BH150" s="303">
        <f>(BF150+BG150)/2</f>
        <v>85</v>
      </c>
      <c r="BI150" s="304" t="e">
        <f>BF150/BG150</f>
        <v>#DIV/0!</v>
      </c>
      <c r="BK150" s="29"/>
      <c r="BL150" s="29"/>
      <c r="BP150" s="29" t="s">
        <v>1204</v>
      </c>
      <c r="BQ150" s="29"/>
      <c r="BR150" s="29"/>
      <c r="BS150" s="29"/>
      <c r="BT150" s="29" t="s">
        <v>1409</v>
      </c>
    </row>
    <row r="151" ht="12.75" spans="1:70">
      <c r="A151" s="29" t="s">
        <v>1038</v>
      </c>
      <c r="B151" s="29" t="s">
        <v>1195</v>
      </c>
      <c r="C151" s="288" t="s">
        <v>722</v>
      </c>
      <c r="D151" s="308"/>
      <c r="E151" s="427" t="s">
        <v>1280</v>
      </c>
      <c r="F151" s="29" t="b">
        <v>1</v>
      </c>
      <c r="G151" s="29" t="b">
        <v>0</v>
      </c>
      <c r="H151" s="29" t="b">
        <v>0</v>
      </c>
      <c r="I151" s="29" t="b">
        <v>0</v>
      </c>
      <c r="J151" s="29" t="b">
        <v>0</v>
      </c>
      <c r="K151" s="29" t="b">
        <v>0</v>
      </c>
      <c r="L151" s="29" t="b">
        <v>0</v>
      </c>
      <c r="M151" s="432" t="b">
        <v>0</v>
      </c>
      <c r="N151" s="432" t="b">
        <v>1</v>
      </c>
      <c r="O151" s="29" t="s">
        <v>1410</v>
      </c>
      <c r="P151" s="29"/>
      <c r="Q151" s="441">
        <f t="shared" si="776"/>
        <v>300</v>
      </c>
      <c r="R151" s="441">
        <f t="shared" si="777"/>
        <v>300</v>
      </c>
      <c r="S151" s="442">
        <f t="shared" si="907"/>
        <v>112.34</v>
      </c>
      <c r="T151" s="308"/>
      <c r="U151" s="443"/>
      <c r="V151" s="454">
        <f t="shared" ref="V151:W151" si="943">X151</f>
        <v>56.17</v>
      </c>
      <c r="W151" s="454">
        <f t="shared" si="943"/>
        <v>280.81</v>
      </c>
      <c r="X151" s="444">
        <v>56.17</v>
      </c>
      <c r="Y151" s="245">
        <v>280.81</v>
      </c>
      <c r="Z151" s="245"/>
      <c r="AA151" s="245"/>
      <c r="AB151" s="463">
        <f t="shared" ref="AB151:AC151" si="944">V151-X151</f>
        <v>0</v>
      </c>
      <c r="AC151" s="464">
        <f t="shared" si="944"/>
        <v>0</v>
      </c>
      <c r="AD151" s="474" t="e">
        <f t="shared" ref="AD151:AE151" si="945">1-(V151/Z151)</f>
        <v>#DIV/0!</v>
      </c>
      <c r="AE151" s="474" t="e">
        <f t="shared" si="945"/>
        <v>#DIV/0!</v>
      </c>
      <c r="AF151" s="475"/>
      <c r="AG151" s="475"/>
      <c r="AH151" s="483"/>
      <c r="AI151" s="483"/>
      <c r="AJ151" s="487">
        <f t="shared" si="522"/>
        <v>112.34</v>
      </c>
      <c r="AK151" s="475">
        <f t="shared" si="528"/>
        <v>561.62</v>
      </c>
      <c r="AL151" s="485">
        <f t="shared" ref="AL151:AM151" si="946">AJ151-Z151</f>
        <v>112.34</v>
      </c>
      <c r="AM151" s="485">
        <f t="shared" si="946"/>
        <v>561.62</v>
      </c>
      <c r="AN151" s="486">
        <f t="shared" si="8"/>
        <v>0.0800000000000409</v>
      </c>
      <c r="AO151" s="487">
        <f t="shared" ref="AO151:AP151" si="947">V151+(V151*$AO$2)</f>
        <v>84.255</v>
      </c>
      <c r="AP151" s="475">
        <f t="shared" si="947"/>
        <v>421.215</v>
      </c>
      <c r="AQ151" s="432" t="b">
        <v>1</v>
      </c>
      <c r="AR151" s="485">
        <f t="shared" ref="AR151:AS151" si="948">AO151-Z151</f>
        <v>84.255</v>
      </c>
      <c r="AS151" s="485">
        <f t="shared" si="948"/>
        <v>421.215</v>
      </c>
      <c r="AT151" s="486">
        <f t="shared" si="11"/>
        <v>0.0599999999999454</v>
      </c>
      <c r="AU151" s="301">
        <f t="shared" si="12"/>
        <v>247.5</v>
      </c>
      <c r="AV151" s="301">
        <f t="shared" si="785"/>
        <v>300</v>
      </c>
      <c r="AW151" s="29">
        <v>275</v>
      </c>
      <c r="AX151" s="29">
        <v>325</v>
      </c>
      <c r="BB151" s="302"/>
      <c r="BC151" s="301"/>
      <c r="BD151" s="303"/>
      <c r="BE151" s="304"/>
      <c r="BF151" s="307"/>
      <c r="BG151" s="301"/>
      <c r="BH151" s="303"/>
      <c r="BI151" s="304"/>
      <c r="BK151" s="29"/>
      <c r="BL151" s="29"/>
      <c r="BQ151" s="308"/>
      <c r="BR151" s="308"/>
    </row>
    <row r="152" ht="12.75" spans="1:70">
      <c r="A152" s="29" t="s">
        <v>1038</v>
      </c>
      <c r="B152" s="29" t="s">
        <v>1195</v>
      </c>
      <c r="C152" s="288" t="s">
        <v>725</v>
      </c>
      <c r="D152" s="308"/>
      <c r="E152" s="427" t="s">
        <v>1411</v>
      </c>
      <c r="F152" s="29" t="b">
        <v>1</v>
      </c>
      <c r="G152" s="29" t="b">
        <v>0</v>
      </c>
      <c r="H152" s="29" t="b">
        <v>0</v>
      </c>
      <c r="I152" s="29" t="b">
        <v>0</v>
      </c>
      <c r="J152" s="29" t="b">
        <v>0</v>
      </c>
      <c r="K152" s="29" t="b">
        <v>0</v>
      </c>
      <c r="L152" s="29" t="b">
        <v>0</v>
      </c>
      <c r="M152" s="432" t="b">
        <v>0</v>
      </c>
      <c r="N152" s="432" t="b">
        <v>1</v>
      </c>
      <c r="O152" s="29" t="s">
        <v>1412</v>
      </c>
      <c r="P152" s="29"/>
      <c r="Q152" s="441">
        <f t="shared" si="776"/>
        <v>300</v>
      </c>
      <c r="R152" s="441">
        <f t="shared" si="777"/>
        <v>300</v>
      </c>
      <c r="S152" s="442">
        <f t="shared" si="907"/>
        <v>112.34</v>
      </c>
      <c r="T152" s="308"/>
      <c r="U152" s="443"/>
      <c r="V152" s="454">
        <f t="shared" ref="V152:W152" si="949">X152</f>
        <v>56.17</v>
      </c>
      <c r="W152" s="454">
        <f t="shared" si="949"/>
        <v>280.81</v>
      </c>
      <c r="X152" s="444">
        <v>56.17</v>
      </c>
      <c r="Y152" s="245">
        <v>280.81</v>
      </c>
      <c r="Z152" s="245"/>
      <c r="AA152" s="245"/>
      <c r="AB152" s="463">
        <f t="shared" ref="AB152:AC152" si="950">V152-X152</f>
        <v>0</v>
      </c>
      <c r="AC152" s="464">
        <f t="shared" si="950"/>
        <v>0</v>
      </c>
      <c r="AD152" s="474" t="e">
        <f t="shared" ref="AD152:AE152" si="951">1-(V152/Z152)</f>
        <v>#DIV/0!</v>
      </c>
      <c r="AE152" s="474" t="e">
        <f t="shared" si="951"/>
        <v>#DIV/0!</v>
      </c>
      <c r="AF152" s="475"/>
      <c r="AG152" s="475"/>
      <c r="AH152" s="483"/>
      <c r="AI152" s="483"/>
      <c r="AJ152" s="487">
        <f t="shared" si="522"/>
        <v>112.34</v>
      </c>
      <c r="AK152" s="475">
        <f t="shared" si="528"/>
        <v>561.62</v>
      </c>
      <c r="AL152" s="485">
        <f t="shared" ref="AL152:AM152" si="952">AJ152-Z152</f>
        <v>112.34</v>
      </c>
      <c r="AM152" s="485">
        <f t="shared" si="952"/>
        <v>561.62</v>
      </c>
      <c r="AN152" s="486">
        <f t="shared" si="8"/>
        <v>0.0800000000000409</v>
      </c>
      <c r="AO152" s="487">
        <f t="shared" ref="AO152:AP152" si="953">V152+(V152*$AO$2)</f>
        <v>84.255</v>
      </c>
      <c r="AP152" s="475">
        <f t="shared" si="953"/>
        <v>421.215</v>
      </c>
      <c r="AQ152" s="432" t="b">
        <v>1</v>
      </c>
      <c r="AR152" s="485">
        <f t="shared" ref="AR152:AS152" si="954">AO152-Z152</f>
        <v>84.255</v>
      </c>
      <c r="AS152" s="485">
        <f t="shared" si="954"/>
        <v>421.215</v>
      </c>
      <c r="AT152" s="486">
        <f t="shared" si="11"/>
        <v>0.0599999999999454</v>
      </c>
      <c r="AU152" s="301">
        <f t="shared" si="12"/>
        <v>247.5</v>
      </c>
      <c r="AV152" s="301">
        <f t="shared" si="785"/>
        <v>300</v>
      </c>
      <c r="AW152" s="29">
        <v>275</v>
      </c>
      <c r="AX152" s="29">
        <v>325</v>
      </c>
      <c r="BB152" s="302"/>
      <c r="BC152" s="301"/>
      <c r="BD152" s="303"/>
      <c r="BE152" s="304"/>
      <c r="BF152" s="307"/>
      <c r="BG152" s="301"/>
      <c r="BH152" s="303"/>
      <c r="BI152" s="304"/>
      <c r="BK152" s="29"/>
      <c r="BL152" s="29"/>
      <c r="BQ152" s="308"/>
      <c r="BR152" s="308"/>
    </row>
    <row r="153" ht="16.5" customHeight="1" spans="1:70">
      <c r="A153" s="29" t="s">
        <v>1038</v>
      </c>
      <c r="B153" s="29" t="s">
        <v>1195</v>
      </c>
      <c r="C153" s="288" t="s">
        <v>728</v>
      </c>
      <c r="D153" s="308"/>
      <c r="E153" s="427" t="s">
        <v>1285</v>
      </c>
      <c r="F153" s="29" t="b">
        <v>1</v>
      </c>
      <c r="G153" s="29" t="b">
        <v>0</v>
      </c>
      <c r="H153" s="29" t="b">
        <v>0</v>
      </c>
      <c r="I153" s="29" t="b">
        <v>0</v>
      </c>
      <c r="J153" s="29" t="b">
        <v>0</v>
      </c>
      <c r="K153" s="29" t="b">
        <v>0</v>
      </c>
      <c r="L153" s="29" t="b">
        <v>0</v>
      </c>
      <c r="M153" s="432" t="b">
        <v>0</v>
      </c>
      <c r="N153" s="432" t="b">
        <v>1</v>
      </c>
      <c r="O153" s="29" t="s">
        <v>1413</v>
      </c>
      <c r="P153" s="29"/>
      <c r="Q153" s="441">
        <f t="shared" si="776"/>
        <v>325</v>
      </c>
      <c r="R153" s="441">
        <f t="shared" si="777"/>
        <v>325</v>
      </c>
      <c r="S153" s="442">
        <f t="shared" si="907"/>
        <v>112.34</v>
      </c>
      <c r="T153" s="308"/>
      <c r="U153" s="443"/>
      <c r="V153" s="454">
        <f t="shared" ref="V153:W153" si="955">X153</f>
        <v>56.17</v>
      </c>
      <c r="W153" s="454">
        <f t="shared" si="955"/>
        <v>280.81</v>
      </c>
      <c r="X153" s="444">
        <v>56.17</v>
      </c>
      <c r="Y153" s="245">
        <v>280.81</v>
      </c>
      <c r="Z153" s="245"/>
      <c r="AA153" s="245"/>
      <c r="AB153" s="463">
        <f t="shared" ref="AB153:AC153" si="956">V153-X153</f>
        <v>0</v>
      </c>
      <c r="AC153" s="464">
        <f t="shared" si="956"/>
        <v>0</v>
      </c>
      <c r="AD153" s="474" t="e">
        <f t="shared" ref="AD153:AE153" si="957">1-(V153/Z153)</f>
        <v>#DIV/0!</v>
      </c>
      <c r="AE153" s="474" t="e">
        <f t="shared" si="957"/>
        <v>#DIV/0!</v>
      </c>
      <c r="AF153" s="475"/>
      <c r="AG153" s="475"/>
      <c r="AH153" s="483"/>
      <c r="AI153" s="483"/>
      <c r="AJ153" s="487">
        <f t="shared" si="522"/>
        <v>112.34</v>
      </c>
      <c r="AK153" s="475">
        <f t="shared" si="528"/>
        <v>561.62</v>
      </c>
      <c r="AL153" s="485">
        <f t="shared" ref="AL153:AM153" si="958">AJ153-Z153</f>
        <v>112.34</v>
      </c>
      <c r="AM153" s="485">
        <f t="shared" si="958"/>
        <v>561.62</v>
      </c>
      <c r="AN153" s="486">
        <f t="shared" si="8"/>
        <v>0.0800000000000409</v>
      </c>
      <c r="AO153" s="487">
        <f t="shared" ref="AO153:AP153" si="959">V153+(V153*$AO$2)</f>
        <v>84.255</v>
      </c>
      <c r="AP153" s="475">
        <f t="shared" si="959"/>
        <v>421.215</v>
      </c>
      <c r="AQ153" s="432" t="b">
        <v>1</v>
      </c>
      <c r="AR153" s="485">
        <f t="shared" ref="AR153:AS153" si="960">AO153-Z153</f>
        <v>84.255</v>
      </c>
      <c r="AS153" s="485">
        <f t="shared" si="960"/>
        <v>421.215</v>
      </c>
      <c r="AT153" s="486">
        <f t="shared" si="11"/>
        <v>0.0599999999999454</v>
      </c>
      <c r="AU153" s="301">
        <f t="shared" si="12"/>
        <v>270</v>
      </c>
      <c r="AV153" s="301">
        <f t="shared" si="785"/>
        <v>325</v>
      </c>
      <c r="AW153" s="29">
        <v>300</v>
      </c>
      <c r="AX153" s="29">
        <v>350</v>
      </c>
      <c r="BB153" s="302"/>
      <c r="BC153" s="301"/>
      <c r="BD153" s="303"/>
      <c r="BE153" s="304"/>
      <c r="BF153" s="307"/>
      <c r="BG153" s="301"/>
      <c r="BH153" s="303"/>
      <c r="BI153" s="304"/>
      <c r="BK153" s="29"/>
      <c r="BL153" s="29"/>
      <c r="BQ153" s="308"/>
      <c r="BR153" s="308"/>
    </row>
    <row r="154" ht="12.75" spans="1:72">
      <c r="A154" s="29" t="s">
        <v>1038</v>
      </c>
      <c r="B154" s="29" t="s">
        <v>1195</v>
      </c>
      <c r="C154" s="288" t="s">
        <v>731</v>
      </c>
      <c r="D154" s="29" t="s">
        <v>1200</v>
      </c>
      <c r="E154" s="29" t="s">
        <v>1234</v>
      </c>
      <c r="F154" s="29" t="b">
        <v>1</v>
      </c>
      <c r="G154" s="29" t="b">
        <v>0</v>
      </c>
      <c r="H154" s="29" t="b">
        <v>0</v>
      </c>
      <c r="I154" s="29" t="b">
        <v>0</v>
      </c>
      <c r="J154" s="29" t="b">
        <v>0</v>
      </c>
      <c r="K154" s="29" t="b">
        <v>1</v>
      </c>
      <c r="L154" s="29" t="b">
        <v>0</v>
      </c>
      <c r="M154" s="432" t="b">
        <v>0</v>
      </c>
      <c r="N154" s="432" t="b">
        <v>0</v>
      </c>
      <c r="O154" s="29" t="s">
        <v>1414</v>
      </c>
      <c r="P154" s="29"/>
      <c r="Q154" s="441">
        <f t="shared" si="776"/>
        <v>475</v>
      </c>
      <c r="R154" s="441">
        <f t="shared" si="777"/>
        <v>475</v>
      </c>
      <c r="S154" s="442">
        <f t="shared" si="907"/>
        <v>0</v>
      </c>
      <c r="T154" s="29" t="s">
        <v>1203</v>
      </c>
      <c r="U154" s="443"/>
      <c r="V154" s="245"/>
      <c r="W154" s="245"/>
      <c r="X154" s="444">
        <v>52.2</v>
      </c>
      <c r="Y154" s="245">
        <v>259.67</v>
      </c>
      <c r="Z154" s="360"/>
      <c r="AA154" s="245"/>
      <c r="AB154" s="463">
        <f t="shared" ref="AB154:AC154" si="961">V154-X154</f>
        <v>-52.2</v>
      </c>
      <c r="AC154" s="464">
        <f t="shared" si="961"/>
        <v>-259.67</v>
      </c>
      <c r="AD154" s="474" t="e">
        <f t="shared" ref="AD154:AE154" si="962">1-(V154/Z154)</f>
        <v>#DIV/0!</v>
      </c>
      <c r="AE154" s="474" t="e">
        <f t="shared" si="962"/>
        <v>#DIV/0!</v>
      </c>
      <c r="AF154" s="475"/>
      <c r="AG154" s="475"/>
      <c r="AH154" s="483"/>
      <c r="AI154" s="483"/>
      <c r="AJ154" s="487">
        <f t="shared" si="522"/>
        <v>0</v>
      </c>
      <c r="AK154" s="475">
        <f t="shared" si="528"/>
        <v>0</v>
      </c>
      <c r="AL154" s="485">
        <f t="shared" ref="AL154:AM154" si="963">AJ154-Z154</f>
        <v>0</v>
      </c>
      <c r="AM154" s="485">
        <f t="shared" si="963"/>
        <v>0</v>
      </c>
      <c r="AN154" s="486">
        <f t="shared" si="8"/>
        <v>0</v>
      </c>
      <c r="AO154" s="487">
        <f t="shared" ref="AO154:AP154" si="964">V154+(V154*$AO$2)</f>
        <v>0</v>
      </c>
      <c r="AP154" s="475">
        <f t="shared" si="964"/>
        <v>0</v>
      </c>
      <c r="AQ154" s="432" t="b">
        <v>1</v>
      </c>
      <c r="AR154" s="485">
        <f t="shared" ref="AR154:AS154" si="965">AO154-Z154</f>
        <v>0</v>
      </c>
      <c r="AS154" s="485">
        <f t="shared" si="965"/>
        <v>0</v>
      </c>
      <c r="AT154" s="486">
        <f t="shared" si="11"/>
        <v>0</v>
      </c>
      <c r="AU154" s="301">
        <f t="shared" si="12"/>
        <v>405</v>
      </c>
      <c r="AV154" s="302">
        <v>475</v>
      </c>
      <c r="AW154" s="29">
        <v>450</v>
      </c>
      <c r="AX154" s="29">
        <v>500</v>
      </c>
      <c r="BB154" s="302"/>
      <c r="BC154" s="301"/>
      <c r="BD154" s="303"/>
      <c r="BE154" s="304"/>
      <c r="BF154" s="307"/>
      <c r="BG154" s="301"/>
      <c r="BH154" s="303"/>
      <c r="BI154" s="304"/>
      <c r="BK154" s="29"/>
      <c r="BL154" s="29"/>
      <c r="BP154" s="29" t="s">
        <v>1204</v>
      </c>
      <c r="BQ154" s="29"/>
      <c r="BR154" s="29"/>
      <c r="BS154" s="29"/>
      <c r="BT154" s="29"/>
    </row>
    <row r="155" ht="12.75" spans="1:72">
      <c r="A155" s="29" t="s">
        <v>1044</v>
      </c>
      <c r="B155" s="29" t="s">
        <v>1195</v>
      </c>
      <c r="C155" s="29" t="s">
        <v>734</v>
      </c>
      <c r="D155" s="29" t="s">
        <v>1200</v>
      </c>
      <c r="E155" s="29"/>
      <c r="F155" s="29" t="b">
        <v>1</v>
      </c>
      <c r="G155" s="29" t="b">
        <v>0</v>
      </c>
      <c r="H155" s="29" t="b">
        <v>0</v>
      </c>
      <c r="I155" s="29" t="b">
        <v>0</v>
      </c>
      <c r="J155" s="29" t="b">
        <v>0</v>
      </c>
      <c r="K155" s="29" t="b">
        <v>0</v>
      </c>
      <c r="L155" s="29" t="b">
        <v>0</v>
      </c>
      <c r="M155" s="432" t="b">
        <v>0</v>
      </c>
      <c r="N155" s="432" t="b">
        <v>1</v>
      </c>
      <c r="O155" s="29" t="s">
        <v>1415</v>
      </c>
      <c r="P155" s="29" t="s">
        <v>142</v>
      </c>
      <c r="Q155" s="448">
        <v>425</v>
      </c>
      <c r="R155" s="448">
        <v>425</v>
      </c>
      <c r="S155" s="448"/>
      <c r="T155" s="29" t="s">
        <v>1203</v>
      </c>
      <c r="U155" s="443"/>
      <c r="V155" s="454">
        <v>54</v>
      </c>
      <c r="W155" s="454">
        <v>270</v>
      </c>
      <c r="X155" s="446">
        <v>52.89</v>
      </c>
      <c r="Y155" s="454">
        <v>262.87</v>
      </c>
      <c r="Z155" s="360"/>
      <c r="AA155" s="454"/>
      <c r="AB155" s="463"/>
      <c r="AC155" s="464"/>
      <c r="AD155" s="474"/>
      <c r="AE155" s="474"/>
      <c r="AF155" s="475"/>
      <c r="AG155" s="475"/>
      <c r="AH155" s="483"/>
      <c r="AI155" s="483"/>
      <c r="AJ155" s="487">
        <f t="shared" si="522"/>
        <v>108</v>
      </c>
      <c r="AK155" s="475">
        <f t="shared" si="528"/>
        <v>540</v>
      </c>
      <c r="AL155" s="485">
        <f t="shared" ref="AL155:AM155" si="966">AJ155-Z155</f>
        <v>108</v>
      </c>
      <c r="AM155" s="485">
        <f t="shared" si="966"/>
        <v>540</v>
      </c>
      <c r="AN155" s="486">
        <f t="shared" si="8"/>
        <v>0</v>
      </c>
      <c r="AO155" s="487">
        <f t="shared" ref="AO155:AP155" si="967">V155+(V155*$AO$2)</f>
        <v>81</v>
      </c>
      <c r="AP155" s="475">
        <f t="shared" si="967"/>
        <v>405</v>
      </c>
      <c r="AQ155" s="432" t="b">
        <v>0</v>
      </c>
      <c r="AR155" s="485">
        <f t="shared" ref="AR155:AS155" si="968">AO155-Z155</f>
        <v>81</v>
      </c>
      <c r="AS155" s="485">
        <f t="shared" si="968"/>
        <v>405</v>
      </c>
      <c r="AT155" s="486">
        <f t="shared" si="11"/>
        <v>0</v>
      </c>
      <c r="AU155" s="301">
        <f t="shared" si="12"/>
        <v>360</v>
      </c>
      <c r="AV155" s="301">
        <f t="shared" ref="AV155:AV208" si="969">(AW155+AX155)/2</f>
        <v>425</v>
      </c>
      <c r="AW155" s="29">
        <v>400</v>
      </c>
      <c r="AX155" s="29">
        <v>450</v>
      </c>
      <c r="BB155" s="302"/>
      <c r="BC155" s="301"/>
      <c r="BD155" s="303"/>
      <c r="BE155" s="304"/>
      <c r="BF155" s="307"/>
      <c r="BG155" s="301"/>
      <c r="BH155" s="303"/>
      <c r="BI155" s="304"/>
      <c r="BK155" s="29"/>
      <c r="BL155" s="29"/>
      <c r="BP155" s="29"/>
      <c r="BQ155" s="29"/>
      <c r="BR155" s="29"/>
      <c r="BS155" s="29"/>
      <c r="BT155" s="29"/>
    </row>
    <row r="156" ht="12.75" spans="1:70">
      <c r="A156" s="29" t="s">
        <v>1038</v>
      </c>
      <c r="B156" s="29" t="s">
        <v>1195</v>
      </c>
      <c r="C156" s="426" t="s">
        <v>1416</v>
      </c>
      <c r="D156" s="308"/>
      <c r="E156" s="29" t="s">
        <v>13</v>
      </c>
      <c r="F156" s="29" t="b">
        <v>0</v>
      </c>
      <c r="G156" s="29" t="b">
        <v>1</v>
      </c>
      <c r="H156" s="29" t="b">
        <v>1</v>
      </c>
      <c r="I156" s="29" t="b">
        <v>0</v>
      </c>
      <c r="J156" s="29" t="b">
        <v>0</v>
      </c>
      <c r="K156" s="29" t="b">
        <v>1</v>
      </c>
      <c r="L156" s="29" t="b">
        <v>0</v>
      </c>
      <c r="M156" s="432" t="b">
        <v>0</v>
      </c>
      <c r="N156" s="432" t="b">
        <v>1</v>
      </c>
      <c r="O156" s="29" t="s">
        <v>1197</v>
      </c>
      <c r="P156" s="29" t="s">
        <v>120</v>
      </c>
      <c r="Q156" s="441">
        <f t="shared" ref="Q156:Q229" si="970">AV156</f>
        <v>350</v>
      </c>
      <c r="R156" s="441">
        <f t="shared" ref="R156:R245" si="971">Q156</f>
        <v>350</v>
      </c>
      <c r="S156" s="442" t="e">
        <f t="shared" ref="S156:S198" si="972">AJ156</f>
        <v>#VALUE!</v>
      </c>
      <c r="T156" s="308"/>
      <c r="U156" s="443"/>
      <c r="V156" s="454" t="str">
        <f t="shared" ref="V156:W156" si="973">X156</f>
        <v>-</v>
      </c>
      <c r="W156" s="454" t="str">
        <f t="shared" si="973"/>
        <v>-</v>
      </c>
      <c r="X156" s="444" t="s">
        <v>13</v>
      </c>
      <c r="Y156" s="245" t="s">
        <v>13</v>
      </c>
      <c r="Z156" s="245"/>
      <c r="AA156" s="245"/>
      <c r="AB156" s="463" t="e">
        <f t="shared" ref="AB156:AC156" si="974">V156-X156</f>
        <v>#VALUE!</v>
      </c>
      <c r="AC156" s="464" t="e">
        <f t="shared" si="974"/>
        <v>#VALUE!</v>
      </c>
      <c r="AD156" s="474" t="e">
        <f t="shared" ref="AD156:AE156" si="975">1-(V156/Z156)</f>
        <v>#VALUE!</v>
      </c>
      <c r="AE156" s="474" t="e">
        <f t="shared" si="975"/>
        <v>#VALUE!</v>
      </c>
      <c r="AF156" s="475"/>
      <c r="AG156" s="475"/>
      <c r="AH156" s="483"/>
      <c r="AI156" s="483"/>
      <c r="AJ156" s="487" t="e">
        <f t="shared" si="522"/>
        <v>#VALUE!</v>
      </c>
      <c r="AK156" s="475" t="e">
        <f t="shared" si="528"/>
        <v>#VALUE!</v>
      </c>
      <c r="AL156" s="485" t="e">
        <f t="shared" ref="AL156:AM156" si="976">AJ156-Z156</f>
        <v>#VALUE!</v>
      </c>
      <c r="AM156" s="485" t="e">
        <f t="shared" si="976"/>
        <v>#VALUE!</v>
      </c>
      <c r="AN156" s="486" t="e">
        <f t="shared" si="8"/>
        <v>#VALUE!</v>
      </c>
      <c r="AO156" s="487" t="e">
        <f t="shared" ref="AO156:AP156" si="977">V156+(V156*$AO$2)</f>
        <v>#VALUE!</v>
      </c>
      <c r="AP156" s="475" t="e">
        <f t="shared" si="977"/>
        <v>#VALUE!</v>
      </c>
      <c r="AQ156" s="432" t="b">
        <v>0</v>
      </c>
      <c r="AR156" s="485" t="e">
        <f t="shared" ref="AR156:AS156" si="978">AO156-Z156</f>
        <v>#VALUE!</v>
      </c>
      <c r="AS156" s="485" t="e">
        <f t="shared" si="978"/>
        <v>#VALUE!</v>
      </c>
      <c r="AT156" s="486" t="e">
        <f t="shared" si="11"/>
        <v>#VALUE!</v>
      </c>
      <c r="AU156" s="301">
        <f t="shared" si="12"/>
        <v>270</v>
      </c>
      <c r="AV156" s="301">
        <f t="shared" si="969"/>
        <v>350</v>
      </c>
      <c r="AW156" s="29">
        <v>300</v>
      </c>
      <c r="AX156" s="29">
        <v>400</v>
      </c>
      <c r="BB156" s="302">
        <f t="shared" ref="BB156:BB165" si="979">AV156</f>
        <v>350</v>
      </c>
      <c r="BC156" s="301"/>
      <c r="BD156" s="303">
        <f t="shared" ref="BD156:BD165" si="980">(BB156+BC156)/2</f>
        <v>175</v>
      </c>
      <c r="BE156" s="304" t="e">
        <f t="shared" ref="BE156:BE165" si="981">BB156/BC156</f>
        <v>#DIV/0!</v>
      </c>
      <c r="BF156" s="307">
        <f t="shared" ref="BF156:BF165" si="982">BB156*$BF$1</f>
        <v>140</v>
      </c>
      <c r="BG156" s="301"/>
      <c r="BH156" s="303">
        <f t="shared" ref="BH156:BH165" si="983">(BF156+BG156)/2</f>
        <v>70</v>
      </c>
      <c r="BI156" s="304" t="e">
        <f t="shared" ref="BI156:BI165" si="984">BF156/BG156</f>
        <v>#DIV/0!</v>
      </c>
      <c r="BK156" s="29"/>
      <c r="BL156" s="29"/>
      <c r="BQ156" s="308"/>
      <c r="BR156" s="308"/>
    </row>
    <row r="157" ht="12.75" spans="1:70">
      <c r="A157" s="29" t="s">
        <v>1022</v>
      </c>
      <c r="B157" s="29" t="s">
        <v>1195</v>
      </c>
      <c r="C157" s="29" t="s">
        <v>740</v>
      </c>
      <c r="D157" s="308"/>
      <c r="E157" s="29" t="s">
        <v>1255</v>
      </c>
      <c r="F157" s="29" t="b">
        <v>0</v>
      </c>
      <c r="G157" s="29" t="b">
        <v>1</v>
      </c>
      <c r="H157" s="29" t="b">
        <v>0</v>
      </c>
      <c r="I157" s="29" t="b">
        <v>0</v>
      </c>
      <c r="J157" s="29" t="b">
        <v>0</v>
      </c>
      <c r="K157" s="29" t="b">
        <v>0</v>
      </c>
      <c r="L157" s="29" t="b">
        <v>0</v>
      </c>
      <c r="M157" s="432" t="b">
        <v>0</v>
      </c>
      <c r="N157" s="432" t="b">
        <v>1</v>
      </c>
      <c r="P157" s="29" t="s">
        <v>120</v>
      </c>
      <c r="Q157" s="441">
        <f t="shared" si="970"/>
        <v>400</v>
      </c>
      <c r="R157" s="441">
        <f t="shared" si="971"/>
        <v>400</v>
      </c>
      <c r="S157" s="442">
        <f t="shared" si="972"/>
        <v>0</v>
      </c>
      <c r="T157" s="308"/>
      <c r="U157" s="443"/>
      <c r="V157" s="245"/>
      <c r="W157" s="245"/>
      <c r="X157" s="444">
        <v>66.14</v>
      </c>
      <c r="Y157" s="245">
        <v>330.69</v>
      </c>
      <c r="Z157" s="245"/>
      <c r="AA157" s="245"/>
      <c r="AB157" s="463">
        <f t="shared" ref="AB157:AC157" si="985">V157-X157</f>
        <v>-66.14</v>
      </c>
      <c r="AC157" s="464">
        <f t="shared" si="985"/>
        <v>-330.69</v>
      </c>
      <c r="AD157" s="474" t="e">
        <f t="shared" ref="AD157:AE157" si="986">1-(V157/Z157)</f>
        <v>#DIV/0!</v>
      </c>
      <c r="AE157" s="474" t="e">
        <f t="shared" si="986"/>
        <v>#DIV/0!</v>
      </c>
      <c r="AF157" s="475"/>
      <c r="AG157" s="475"/>
      <c r="AH157" s="483"/>
      <c r="AI157" s="483"/>
      <c r="AJ157" s="487">
        <f t="shared" si="522"/>
        <v>0</v>
      </c>
      <c r="AK157" s="475">
        <f t="shared" si="528"/>
        <v>0</v>
      </c>
      <c r="AL157" s="485">
        <f t="shared" ref="AL157:AM157" si="987">AJ157-Z157</f>
        <v>0</v>
      </c>
      <c r="AM157" s="485">
        <f t="shared" si="987"/>
        <v>0</v>
      </c>
      <c r="AN157" s="486">
        <f t="shared" si="8"/>
        <v>0</v>
      </c>
      <c r="AO157" s="487">
        <f t="shared" ref="AO157:AP157" si="988">V157+(V157*$AO$2)</f>
        <v>0</v>
      </c>
      <c r="AP157" s="475">
        <f t="shared" si="988"/>
        <v>0</v>
      </c>
      <c r="AQ157" s="432" t="b">
        <v>0</v>
      </c>
      <c r="AR157" s="485">
        <f t="shared" ref="AR157:AS157" si="989">AO157-Z157</f>
        <v>0</v>
      </c>
      <c r="AS157" s="485">
        <f t="shared" si="989"/>
        <v>0</v>
      </c>
      <c r="AT157" s="486">
        <f t="shared" si="11"/>
        <v>0</v>
      </c>
      <c r="AU157" s="301">
        <f t="shared" si="12"/>
        <v>337.5</v>
      </c>
      <c r="AV157" s="301">
        <f t="shared" si="969"/>
        <v>400</v>
      </c>
      <c r="AW157" s="29">
        <v>375</v>
      </c>
      <c r="AX157" s="29">
        <v>425</v>
      </c>
      <c r="BB157" s="302">
        <f t="shared" si="979"/>
        <v>400</v>
      </c>
      <c r="BC157" s="301"/>
      <c r="BD157" s="303">
        <f t="shared" si="980"/>
        <v>200</v>
      </c>
      <c r="BE157" s="304" t="e">
        <f t="shared" si="981"/>
        <v>#DIV/0!</v>
      </c>
      <c r="BF157" s="307">
        <f t="shared" si="982"/>
        <v>160</v>
      </c>
      <c r="BG157" s="301"/>
      <c r="BH157" s="303">
        <f t="shared" si="983"/>
        <v>80</v>
      </c>
      <c r="BI157" s="304" t="e">
        <f t="shared" si="984"/>
        <v>#DIV/0!</v>
      </c>
      <c r="BK157" s="29"/>
      <c r="BL157" s="29"/>
      <c r="BQ157" s="308"/>
      <c r="BR157" s="308"/>
    </row>
    <row r="158" ht="12.75" spans="1:70">
      <c r="A158" s="29" t="s">
        <v>1022</v>
      </c>
      <c r="B158" s="29" t="s">
        <v>1195</v>
      </c>
      <c r="C158" s="29" t="s">
        <v>743</v>
      </c>
      <c r="D158" s="308"/>
      <c r="E158" s="29" t="s">
        <v>1256</v>
      </c>
      <c r="F158" s="29" t="b">
        <v>0</v>
      </c>
      <c r="G158" s="29" t="b">
        <v>1</v>
      </c>
      <c r="H158" s="29" t="b">
        <v>0</v>
      </c>
      <c r="I158" s="29" t="b">
        <v>0</v>
      </c>
      <c r="J158" s="29" t="b">
        <v>0</v>
      </c>
      <c r="K158" s="29" t="b">
        <v>0</v>
      </c>
      <c r="L158" s="29" t="b">
        <v>0</v>
      </c>
      <c r="M158" s="432" t="b">
        <v>0</v>
      </c>
      <c r="N158" s="432" t="b">
        <v>1</v>
      </c>
      <c r="P158" s="29" t="s">
        <v>120</v>
      </c>
      <c r="Q158" s="441">
        <f t="shared" si="970"/>
        <v>400</v>
      </c>
      <c r="R158" s="441">
        <f t="shared" si="971"/>
        <v>400</v>
      </c>
      <c r="S158" s="442">
        <f t="shared" si="972"/>
        <v>0</v>
      </c>
      <c r="T158" s="308"/>
      <c r="U158" s="443"/>
      <c r="V158" s="245"/>
      <c r="W158" s="245"/>
      <c r="X158" s="444">
        <v>76.82</v>
      </c>
      <c r="Y158" s="245" t="s">
        <v>117</v>
      </c>
      <c r="Z158" s="245"/>
      <c r="AA158" s="245"/>
      <c r="AB158" s="463">
        <f t="shared" ref="AB158:AC158" si="990">V158-X158</f>
        <v>-76.82</v>
      </c>
      <c r="AC158" s="464" t="e">
        <f t="shared" si="990"/>
        <v>#VALUE!</v>
      </c>
      <c r="AD158" s="474" t="e">
        <f t="shared" ref="AD158:AE158" si="991">1-(V158/Z158)</f>
        <v>#DIV/0!</v>
      </c>
      <c r="AE158" s="474" t="e">
        <f t="shared" si="991"/>
        <v>#DIV/0!</v>
      </c>
      <c r="AF158" s="475"/>
      <c r="AG158" s="475"/>
      <c r="AH158" s="483"/>
      <c r="AI158" s="483"/>
      <c r="AJ158" s="487">
        <f t="shared" si="522"/>
        <v>0</v>
      </c>
      <c r="AK158" s="475">
        <f t="shared" si="528"/>
        <v>0</v>
      </c>
      <c r="AL158" s="485">
        <f t="shared" ref="AL158:AM158" si="992">AJ158-Z158</f>
        <v>0</v>
      </c>
      <c r="AM158" s="485">
        <f t="shared" si="992"/>
        <v>0</v>
      </c>
      <c r="AN158" s="486">
        <f t="shared" si="8"/>
        <v>0</v>
      </c>
      <c r="AO158" s="487">
        <f t="shared" ref="AO158:AP158" si="993">V158+(V158*$AO$2)</f>
        <v>0</v>
      </c>
      <c r="AP158" s="475">
        <f t="shared" si="993"/>
        <v>0</v>
      </c>
      <c r="AQ158" s="432" t="b">
        <v>0</v>
      </c>
      <c r="AR158" s="485">
        <f t="shared" ref="AR158:AS158" si="994">AO158-Z158</f>
        <v>0</v>
      </c>
      <c r="AS158" s="485">
        <f t="shared" si="994"/>
        <v>0</v>
      </c>
      <c r="AT158" s="486">
        <f t="shared" si="11"/>
        <v>0</v>
      </c>
      <c r="AU158" s="301">
        <f t="shared" si="12"/>
        <v>337.5</v>
      </c>
      <c r="AV158" s="301">
        <f t="shared" si="969"/>
        <v>400</v>
      </c>
      <c r="AW158" s="29">
        <v>375</v>
      </c>
      <c r="AX158" s="29">
        <v>425</v>
      </c>
      <c r="BB158" s="302">
        <f t="shared" si="979"/>
        <v>400</v>
      </c>
      <c r="BC158" s="301"/>
      <c r="BD158" s="303">
        <f t="shared" si="980"/>
        <v>200</v>
      </c>
      <c r="BE158" s="304" t="e">
        <f t="shared" si="981"/>
        <v>#DIV/0!</v>
      </c>
      <c r="BF158" s="307">
        <f t="shared" si="982"/>
        <v>160</v>
      </c>
      <c r="BG158" s="301"/>
      <c r="BH158" s="303">
        <f t="shared" si="983"/>
        <v>80</v>
      </c>
      <c r="BI158" s="304" t="e">
        <f t="shared" si="984"/>
        <v>#DIV/0!</v>
      </c>
      <c r="BK158" s="29"/>
      <c r="BL158" s="29"/>
      <c r="BQ158" s="308"/>
      <c r="BR158" s="308"/>
    </row>
    <row r="159" ht="12.75" spans="1:70">
      <c r="A159" s="29" t="s">
        <v>1022</v>
      </c>
      <c r="B159" s="29" t="s">
        <v>1195</v>
      </c>
      <c r="C159" s="29" t="s">
        <v>746</v>
      </c>
      <c r="D159" s="29" t="s">
        <v>1200</v>
      </c>
      <c r="E159" s="29" t="s">
        <v>1261</v>
      </c>
      <c r="F159" s="29" t="b">
        <v>0</v>
      </c>
      <c r="G159" s="29" t="b">
        <v>1</v>
      </c>
      <c r="H159" s="29" t="b">
        <v>0</v>
      </c>
      <c r="I159" s="29" t="b">
        <v>0</v>
      </c>
      <c r="J159" s="29" t="b">
        <v>0</v>
      </c>
      <c r="K159" s="29" t="b">
        <v>0</v>
      </c>
      <c r="L159" s="29" t="b">
        <v>0</v>
      </c>
      <c r="M159" s="432" t="b">
        <v>0</v>
      </c>
      <c r="N159" s="432" t="b">
        <v>1</v>
      </c>
      <c r="P159" s="29" t="s">
        <v>120</v>
      </c>
      <c r="Q159" s="441">
        <f t="shared" si="970"/>
        <v>400</v>
      </c>
      <c r="R159" s="441">
        <f t="shared" si="971"/>
        <v>400</v>
      </c>
      <c r="S159" s="442">
        <f t="shared" si="972"/>
        <v>0</v>
      </c>
      <c r="T159" s="308"/>
      <c r="U159" s="443"/>
      <c r="V159" s="245"/>
      <c r="W159" s="245"/>
      <c r="X159" s="245">
        <v>78.13</v>
      </c>
      <c r="Y159" s="245" t="s">
        <v>117</v>
      </c>
      <c r="Z159" s="245"/>
      <c r="AA159" s="245"/>
      <c r="AB159" s="463">
        <f t="shared" ref="AB159:AC159" si="995">V159-X159</f>
        <v>-78.13</v>
      </c>
      <c r="AC159" s="464" t="e">
        <f t="shared" si="995"/>
        <v>#VALUE!</v>
      </c>
      <c r="AD159" s="474" t="e">
        <f t="shared" ref="AD159:AE159" si="996">1-(V159/Z159)</f>
        <v>#DIV/0!</v>
      </c>
      <c r="AE159" s="474" t="e">
        <f t="shared" si="996"/>
        <v>#DIV/0!</v>
      </c>
      <c r="AF159" s="475"/>
      <c r="AG159" s="475"/>
      <c r="AH159" s="483"/>
      <c r="AI159" s="483"/>
      <c r="AJ159" s="487">
        <f t="shared" si="522"/>
        <v>0</v>
      </c>
      <c r="AK159" s="475">
        <f t="shared" si="528"/>
        <v>0</v>
      </c>
      <c r="AL159" s="485">
        <f t="shared" ref="AL159:AM159" si="997">AJ159-Z159</f>
        <v>0</v>
      </c>
      <c r="AM159" s="485">
        <f t="shared" si="997"/>
        <v>0</v>
      </c>
      <c r="AN159" s="486">
        <f t="shared" si="8"/>
        <v>0</v>
      </c>
      <c r="AO159" s="487">
        <f t="shared" ref="AO159:AP159" si="998">V159+(V159*$AO$2)</f>
        <v>0</v>
      </c>
      <c r="AP159" s="475">
        <f t="shared" si="998"/>
        <v>0</v>
      </c>
      <c r="AQ159" s="432" t="b">
        <v>0</v>
      </c>
      <c r="AR159" s="485">
        <f t="shared" ref="AR159:AS159" si="999">AO159-Z159</f>
        <v>0</v>
      </c>
      <c r="AS159" s="485">
        <f t="shared" si="999"/>
        <v>0</v>
      </c>
      <c r="AT159" s="486">
        <f t="shared" si="11"/>
        <v>0</v>
      </c>
      <c r="AU159" s="301">
        <f t="shared" si="12"/>
        <v>337.5</v>
      </c>
      <c r="AV159" s="301">
        <f t="shared" si="969"/>
        <v>400</v>
      </c>
      <c r="AW159" s="29">
        <v>375</v>
      </c>
      <c r="AX159" s="29">
        <v>425</v>
      </c>
      <c r="BB159" s="302">
        <f t="shared" si="979"/>
        <v>400</v>
      </c>
      <c r="BC159" s="301"/>
      <c r="BD159" s="303">
        <f t="shared" si="980"/>
        <v>200</v>
      </c>
      <c r="BE159" s="304" t="e">
        <f t="shared" si="981"/>
        <v>#DIV/0!</v>
      </c>
      <c r="BF159" s="307">
        <f t="shared" si="982"/>
        <v>160</v>
      </c>
      <c r="BG159" s="301"/>
      <c r="BH159" s="303">
        <f t="shared" si="983"/>
        <v>80</v>
      </c>
      <c r="BI159" s="304" t="e">
        <f t="shared" si="984"/>
        <v>#DIV/0!</v>
      </c>
      <c r="BK159" s="29"/>
      <c r="BL159" s="29"/>
      <c r="BQ159" s="308"/>
      <c r="BR159" s="308"/>
    </row>
    <row r="160" ht="12.75" spans="1:72">
      <c r="A160" s="29" t="s">
        <v>1044</v>
      </c>
      <c r="B160" s="29" t="s">
        <v>1195</v>
      </c>
      <c r="C160" s="426" t="s">
        <v>749</v>
      </c>
      <c r="D160" s="29" t="s">
        <v>1200</v>
      </c>
      <c r="E160" s="29" t="s">
        <v>1237</v>
      </c>
      <c r="F160" s="29" t="b">
        <v>0</v>
      </c>
      <c r="G160" s="29" t="b">
        <v>1</v>
      </c>
      <c r="H160" s="29" t="b">
        <v>0</v>
      </c>
      <c r="I160" s="29" t="b">
        <v>0</v>
      </c>
      <c r="J160" s="29" t="b">
        <v>0</v>
      </c>
      <c r="K160" s="29" t="b">
        <v>1</v>
      </c>
      <c r="L160" s="29" t="b">
        <v>0</v>
      </c>
      <c r="M160" s="432" t="b">
        <v>1</v>
      </c>
      <c r="N160" s="432" t="b">
        <v>1</v>
      </c>
      <c r="O160" s="29" t="s">
        <v>1417</v>
      </c>
      <c r="P160" s="29" t="s">
        <v>120</v>
      </c>
      <c r="Q160" s="441">
        <f t="shared" si="970"/>
        <v>375</v>
      </c>
      <c r="R160" s="441">
        <f t="shared" si="971"/>
        <v>375</v>
      </c>
      <c r="S160" s="442">
        <f t="shared" si="972"/>
        <v>0</v>
      </c>
      <c r="T160" s="308"/>
      <c r="U160" s="443"/>
      <c r="V160" s="468"/>
      <c r="W160" s="454"/>
      <c r="X160" s="468">
        <v>52.95</v>
      </c>
      <c r="Y160" s="454">
        <v>261.48</v>
      </c>
      <c r="Z160" s="454"/>
      <c r="AA160" s="454"/>
      <c r="AB160" s="463">
        <f t="shared" ref="AB160:AC160" si="1000">V160-X160</f>
        <v>-52.95</v>
      </c>
      <c r="AC160" s="464">
        <f t="shared" si="1000"/>
        <v>-261.48</v>
      </c>
      <c r="AD160" s="474" t="e">
        <f t="shared" ref="AD160:AE160" si="1001">1-(V160/Z160)</f>
        <v>#DIV/0!</v>
      </c>
      <c r="AE160" s="474" t="e">
        <f t="shared" si="1001"/>
        <v>#DIV/0!</v>
      </c>
      <c r="AF160" s="475"/>
      <c r="AG160" s="475"/>
      <c r="AH160" s="483"/>
      <c r="AI160" s="483"/>
      <c r="AJ160" s="487">
        <f t="shared" si="522"/>
        <v>0</v>
      </c>
      <c r="AK160" s="475">
        <f t="shared" si="528"/>
        <v>0</v>
      </c>
      <c r="AL160" s="485">
        <f t="shared" ref="AL160:AM160" si="1002">AJ160-Z160</f>
        <v>0</v>
      </c>
      <c r="AM160" s="485">
        <f t="shared" si="1002"/>
        <v>0</v>
      </c>
      <c r="AN160" s="486">
        <f t="shared" si="8"/>
        <v>0</v>
      </c>
      <c r="AO160" s="487">
        <f t="shared" ref="AO160:AP160" si="1003">V160+(V160*$AO$2)</f>
        <v>0</v>
      </c>
      <c r="AP160" s="475">
        <f t="shared" si="1003"/>
        <v>0</v>
      </c>
      <c r="AQ160" s="432" t="b">
        <v>0</v>
      </c>
      <c r="AR160" s="485">
        <f t="shared" ref="AR160:AS160" si="1004">AO160-Z160</f>
        <v>0</v>
      </c>
      <c r="AS160" s="485">
        <f t="shared" si="1004"/>
        <v>0</v>
      </c>
      <c r="AT160" s="486">
        <f t="shared" si="11"/>
        <v>0</v>
      </c>
      <c r="AU160" s="301">
        <f t="shared" si="12"/>
        <v>315</v>
      </c>
      <c r="AV160" s="301">
        <f t="shared" si="969"/>
        <v>375</v>
      </c>
      <c r="AW160" s="29">
        <v>350</v>
      </c>
      <c r="AX160" s="29">
        <v>400</v>
      </c>
      <c r="BB160" s="302">
        <f t="shared" si="979"/>
        <v>375</v>
      </c>
      <c r="BC160" s="301"/>
      <c r="BD160" s="303">
        <f t="shared" si="980"/>
        <v>187.5</v>
      </c>
      <c r="BE160" s="304" t="e">
        <f t="shared" si="981"/>
        <v>#DIV/0!</v>
      </c>
      <c r="BF160" s="307">
        <f t="shared" si="982"/>
        <v>150</v>
      </c>
      <c r="BG160" s="301"/>
      <c r="BH160" s="303">
        <f t="shared" si="983"/>
        <v>75</v>
      </c>
      <c r="BI160" s="304" t="e">
        <f t="shared" si="984"/>
        <v>#DIV/0!</v>
      </c>
      <c r="BK160" s="29"/>
      <c r="BL160" s="29"/>
      <c r="BP160" s="29" t="s">
        <v>1204</v>
      </c>
      <c r="BQ160" s="29"/>
      <c r="BR160" s="29"/>
      <c r="BS160" s="29"/>
      <c r="BT160" s="29" t="s">
        <v>1418</v>
      </c>
    </row>
    <row r="161" ht="12.75" spans="1:72">
      <c r="A161" s="312" t="s">
        <v>1044</v>
      </c>
      <c r="B161" s="312" t="s">
        <v>1195</v>
      </c>
      <c r="C161" s="529" t="s">
        <v>749</v>
      </c>
      <c r="D161" s="29" t="s">
        <v>1200</v>
      </c>
      <c r="E161" s="312" t="s">
        <v>1224</v>
      </c>
      <c r="F161" s="165" t="b">
        <v>0</v>
      </c>
      <c r="G161" s="165" t="b">
        <v>1</v>
      </c>
      <c r="H161" s="165" t="b">
        <v>0</v>
      </c>
      <c r="I161" s="165" t="b">
        <v>0</v>
      </c>
      <c r="J161" s="165" t="b">
        <v>0</v>
      </c>
      <c r="K161" s="165" t="b">
        <v>1</v>
      </c>
      <c r="L161" s="165" t="b">
        <v>0</v>
      </c>
      <c r="M161" s="433" t="b">
        <v>1</v>
      </c>
      <c r="N161" s="433" t="b">
        <v>1</v>
      </c>
      <c r="O161" s="29" t="s">
        <v>1419</v>
      </c>
      <c r="P161" s="312" t="s">
        <v>120</v>
      </c>
      <c r="Q161" s="450">
        <f t="shared" si="970"/>
        <v>375</v>
      </c>
      <c r="R161" s="450">
        <f t="shared" si="971"/>
        <v>375</v>
      </c>
      <c r="S161" s="451">
        <f t="shared" si="972"/>
        <v>0</v>
      </c>
      <c r="T161" s="312"/>
      <c r="U161" s="452"/>
      <c r="V161" s="468"/>
      <c r="W161" s="468"/>
      <c r="X161" s="530">
        <v>54.11</v>
      </c>
      <c r="Y161" s="468">
        <v>267.33</v>
      </c>
      <c r="Z161" s="468"/>
      <c r="AA161" s="468"/>
      <c r="AB161" s="463">
        <f t="shared" ref="AB161:AC161" si="1005">V161-X161</f>
        <v>-54.11</v>
      </c>
      <c r="AC161" s="464">
        <f t="shared" si="1005"/>
        <v>-267.33</v>
      </c>
      <c r="AD161" s="474" t="e">
        <f t="shared" ref="AD161:AE161" si="1006">1-(V161/Z161)</f>
        <v>#DIV/0!</v>
      </c>
      <c r="AE161" s="474" t="e">
        <f t="shared" si="1006"/>
        <v>#DIV/0!</v>
      </c>
      <c r="AF161" s="534"/>
      <c r="AG161" s="534"/>
      <c r="AH161" s="489"/>
      <c r="AI161" s="489"/>
      <c r="AJ161" s="487">
        <f t="shared" si="522"/>
        <v>0</v>
      </c>
      <c r="AK161" s="475">
        <f t="shared" si="528"/>
        <v>0</v>
      </c>
      <c r="AL161" s="485">
        <f t="shared" ref="AL161:AM161" si="1007">AJ161-Z161</f>
        <v>0</v>
      </c>
      <c r="AM161" s="485">
        <f t="shared" si="1007"/>
        <v>0</v>
      </c>
      <c r="AN161" s="486">
        <f t="shared" si="8"/>
        <v>0</v>
      </c>
      <c r="AO161" s="487">
        <f t="shared" ref="AO161:AP161" si="1008">V161+(V161*$AO$2)</f>
        <v>0</v>
      </c>
      <c r="AP161" s="475">
        <f t="shared" si="1008"/>
        <v>0</v>
      </c>
      <c r="AQ161" s="433" t="b">
        <v>0</v>
      </c>
      <c r="AR161" s="485">
        <f t="shared" ref="AR161:AS161" si="1009">AO161-Z161</f>
        <v>0</v>
      </c>
      <c r="AS161" s="485">
        <f t="shared" si="1009"/>
        <v>0</v>
      </c>
      <c r="AT161" s="486">
        <f t="shared" si="11"/>
        <v>0</v>
      </c>
      <c r="AU161" s="301">
        <f t="shared" si="12"/>
        <v>315</v>
      </c>
      <c r="AV161" s="493">
        <f t="shared" si="969"/>
        <v>375</v>
      </c>
      <c r="AW161" s="312">
        <v>350</v>
      </c>
      <c r="AX161" s="312">
        <v>400</v>
      </c>
      <c r="AY161" s="312"/>
      <c r="AZ161" s="312"/>
      <c r="BA161" s="312"/>
      <c r="BB161" s="493">
        <f t="shared" si="979"/>
        <v>375</v>
      </c>
      <c r="BC161" s="495"/>
      <c r="BD161" s="496">
        <f t="shared" si="980"/>
        <v>187.5</v>
      </c>
      <c r="BE161" s="498" t="e">
        <f t="shared" si="981"/>
        <v>#DIV/0!</v>
      </c>
      <c r="BF161" s="499">
        <f t="shared" si="982"/>
        <v>150</v>
      </c>
      <c r="BG161" s="495"/>
      <c r="BH161" s="496">
        <f t="shared" si="983"/>
        <v>75</v>
      </c>
      <c r="BI161" s="498" t="e">
        <f t="shared" si="984"/>
        <v>#DIV/0!</v>
      </c>
      <c r="BJ161" s="312"/>
      <c r="BK161" s="312"/>
      <c r="BL161" s="312"/>
      <c r="BM161" s="312"/>
      <c r="BN161" s="312"/>
      <c r="BO161" s="312"/>
      <c r="BP161" s="312" t="s">
        <v>1204</v>
      </c>
      <c r="BQ161" s="29"/>
      <c r="BR161" s="29"/>
      <c r="BS161" s="312"/>
      <c r="BT161" s="312" t="s">
        <v>1420</v>
      </c>
    </row>
    <row r="162" ht="12.75" spans="1:72">
      <c r="A162" s="312" t="s">
        <v>1044</v>
      </c>
      <c r="B162" s="312" t="s">
        <v>1195</v>
      </c>
      <c r="C162" s="529" t="s">
        <v>749</v>
      </c>
      <c r="D162" s="29" t="s">
        <v>1200</v>
      </c>
      <c r="E162" s="312" t="s">
        <v>1201</v>
      </c>
      <c r="F162" s="165" t="b">
        <v>0</v>
      </c>
      <c r="G162" s="165" t="b">
        <v>1</v>
      </c>
      <c r="H162" s="165" t="b">
        <v>0</v>
      </c>
      <c r="I162" s="165" t="b">
        <v>0</v>
      </c>
      <c r="J162" s="165" t="b">
        <v>0</v>
      </c>
      <c r="K162" s="165" t="b">
        <v>1</v>
      </c>
      <c r="L162" s="165" t="b">
        <v>0</v>
      </c>
      <c r="M162" s="433" t="b">
        <v>1</v>
      </c>
      <c r="N162" s="433" t="b">
        <v>1</v>
      </c>
      <c r="O162" s="29" t="s">
        <v>1421</v>
      </c>
      <c r="P162" s="312" t="s">
        <v>120</v>
      </c>
      <c r="Q162" s="450">
        <f t="shared" si="970"/>
        <v>375</v>
      </c>
      <c r="R162" s="450">
        <f t="shared" si="971"/>
        <v>375</v>
      </c>
      <c r="S162" s="451">
        <f t="shared" si="972"/>
        <v>0</v>
      </c>
      <c r="T162" s="312"/>
      <c r="U162" s="452"/>
      <c r="V162" s="468"/>
      <c r="W162" s="468"/>
      <c r="X162" s="530">
        <v>55.26</v>
      </c>
      <c r="Y162" s="468">
        <v>273.1</v>
      </c>
      <c r="Z162" s="468"/>
      <c r="AA162" s="468"/>
      <c r="AB162" s="463">
        <f t="shared" ref="AB162:AC162" si="1010">V162-X162</f>
        <v>-55.26</v>
      </c>
      <c r="AC162" s="464">
        <f t="shared" si="1010"/>
        <v>-273.1</v>
      </c>
      <c r="AD162" s="474" t="e">
        <f t="shared" ref="AD162:AE162" si="1011">1-(V162/Z162)</f>
        <v>#DIV/0!</v>
      </c>
      <c r="AE162" s="474" t="e">
        <f t="shared" si="1011"/>
        <v>#DIV/0!</v>
      </c>
      <c r="AF162" s="534"/>
      <c r="AG162" s="534"/>
      <c r="AH162" s="489"/>
      <c r="AI162" s="489"/>
      <c r="AJ162" s="487">
        <f t="shared" si="522"/>
        <v>0</v>
      </c>
      <c r="AK162" s="475">
        <f t="shared" si="528"/>
        <v>0</v>
      </c>
      <c r="AL162" s="485">
        <f t="shared" ref="AL162:AM162" si="1012">AJ162-Z162</f>
        <v>0</v>
      </c>
      <c r="AM162" s="485">
        <f t="shared" si="1012"/>
        <v>0</v>
      </c>
      <c r="AN162" s="486">
        <f t="shared" si="8"/>
        <v>0</v>
      </c>
      <c r="AO162" s="487">
        <f t="shared" ref="AO162:AP162" si="1013">V162+(V162*$AO$2)</f>
        <v>0</v>
      </c>
      <c r="AP162" s="475">
        <f t="shared" si="1013"/>
        <v>0</v>
      </c>
      <c r="AQ162" s="433" t="b">
        <v>0</v>
      </c>
      <c r="AR162" s="485">
        <f t="shared" ref="AR162:AS162" si="1014">AO162-Z162</f>
        <v>0</v>
      </c>
      <c r="AS162" s="485">
        <f t="shared" si="1014"/>
        <v>0</v>
      </c>
      <c r="AT162" s="486">
        <f t="shared" si="11"/>
        <v>0</v>
      </c>
      <c r="AU162" s="301">
        <f t="shared" si="12"/>
        <v>315</v>
      </c>
      <c r="AV162" s="493">
        <f t="shared" si="969"/>
        <v>375</v>
      </c>
      <c r="AW162" s="312">
        <v>350</v>
      </c>
      <c r="AX162" s="312">
        <v>400</v>
      </c>
      <c r="AY162" s="312"/>
      <c r="AZ162" s="312"/>
      <c r="BA162" s="312"/>
      <c r="BB162" s="493">
        <f t="shared" si="979"/>
        <v>375</v>
      </c>
      <c r="BC162" s="495"/>
      <c r="BD162" s="496">
        <f t="shared" si="980"/>
        <v>187.5</v>
      </c>
      <c r="BE162" s="498" t="e">
        <f t="shared" si="981"/>
        <v>#DIV/0!</v>
      </c>
      <c r="BF162" s="499">
        <f t="shared" si="982"/>
        <v>150</v>
      </c>
      <c r="BG162" s="495"/>
      <c r="BH162" s="496">
        <f t="shared" si="983"/>
        <v>75</v>
      </c>
      <c r="BI162" s="498" t="e">
        <f t="shared" si="984"/>
        <v>#DIV/0!</v>
      </c>
      <c r="BJ162" s="312"/>
      <c r="BK162" s="312"/>
      <c r="BL162" s="312"/>
      <c r="BM162" s="312"/>
      <c r="BN162" s="312"/>
      <c r="BO162" s="312"/>
      <c r="BP162" s="312" t="s">
        <v>1204</v>
      </c>
      <c r="BQ162" s="29"/>
      <c r="BR162" s="29"/>
      <c r="BS162" s="312"/>
      <c r="BT162" s="312" t="s">
        <v>1422</v>
      </c>
    </row>
    <row r="163" ht="12.75" spans="1:72">
      <c r="A163" s="312" t="s">
        <v>1044</v>
      </c>
      <c r="B163" s="312" t="s">
        <v>1195</v>
      </c>
      <c r="C163" s="529" t="s">
        <v>749</v>
      </c>
      <c r="D163" s="29" t="s">
        <v>1200</v>
      </c>
      <c r="E163" s="312" t="s">
        <v>1245</v>
      </c>
      <c r="F163" s="165" t="b">
        <v>0</v>
      </c>
      <c r="G163" s="165" t="b">
        <v>1</v>
      </c>
      <c r="H163" s="165" t="b">
        <v>0</v>
      </c>
      <c r="I163" s="165" t="b">
        <v>0</v>
      </c>
      <c r="J163" s="165" t="b">
        <v>0</v>
      </c>
      <c r="K163" s="165" t="b">
        <v>1</v>
      </c>
      <c r="L163" s="165" t="b">
        <v>0</v>
      </c>
      <c r="M163" s="433" t="b">
        <v>1</v>
      </c>
      <c r="N163" s="433" t="b">
        <v>1</v>
      </c>
      <c r="O163" s="29" t="s">
        <v>1423</v>
      </c>
      <c r="P163" s="312" t="s">
        <v>120</v>
      </c>
      <c r="Q163" s="450">
        <f t="shared" si="970"/>
        <v>375</v>
      </c>
      <c r="R163" s="450">
        <f t="shared" si="971"/>
        <v>375</v>
      </c>
      <c r="S163" s="451">
        <f t="shared" si="972"/>
        <v>0</v>
      </c>
      <c r="T163" s="312"/>
      <c r="U163" s="452"/>
      <c r="V163" s="468"/>
      <c r="W163" s="468"/>
      <c r="X163" s="530">
        <v>57.01</v>
      </c>
      <c r="Y163" s="468">
        <v>281.86</v>
      </c>
      <c r="Z163" s="468"/>
      <c r="AA163" s="468"/>
      <c r="AB163" s="463">
        <f t="shared" ref="AB163:AC163" si="1015">V163-X163</f>
        <v>-57.01</v>
      </c>
      <c r="AC163" s="464">
        <f t="shared" si="1015"/>
        <v>-281.86</v>
      </c>
      <c r="AD163" s="474" t="e">
        <f t="shared" ref="AD163:AE163" si="1016">1-(V163/Z163)</f>
        <v>#DIV/0!</v>
      </c>
      <c r="AE163" s="474" t="e">
        <f t="shared" si="1016"/>
        <v>#DIV/0!</v>
      </c>
      <c r="AF163" s="534"/>
      <c r="AG163" s="534"/>
      <c r="AH163" s="489"/>
      <c r="AI163" s="489"/>
      <c r="AJ163" s="487">
        <f t="shared" si="522"/>
        <v>0</v>
      </c>
      <c r="AK163" s="475">
        <f t="shared" si="528"/>
        <v>0</v>
      </c>
      <c r="AL163" s="485">
        <f t="shared" ref="AL163:AM163" si="1017">AJ163-Z163</f>
        <v>0</v>
      </c>
      <c r="AM163" s="485">
        <f t="shared" si="1017"/>
        <v>0</v>
      </c>
      <c r="AN163" s="486">
        <f t="shared" si="8"/>
        <v>0</v>
      </c>
      <c r="AO163" s="487">
        <f t="shared" ref="AO163:AP163" si="1018">V163+(V163*$AO$2)</f>
        <v>0</v>
      </c>
      <c r="AP163" s="475">
        <f t="shared" si="1018"/>
        <v>0</v>
      </c>
      <c r="AQ163" s="433" t="b">
        <v>0</v>
      </c>
      <c r="AR163" s="485">
        <f t="shared" ref="AR163:AS163" si="1019">AO163-Z163</f>
        <v>0</v>
      </c>
      <c r="AS163" s="485">
        <f t="shared" si="1019"/>
        <v>0</v>
      </c>
      <c r="AT163" s="486">
        <f t="shared" si="11"/>
        <v>0</v>
      </c>
      <c r="AU163" s="301">
        <f t="shared" si="12"/>
        <v>315</v>
      </c>
      <c r="AV163" s="493">
        <f t="shared" si="969"/>
        <v>375</v>
      </c>
      <c r="AW163" s="312">
        <v>350</v>
      </c>
      <c r="AX163" s="312">
        <v>400</v>
      </c>
      <c r="AY163" s="312"/>
      <c r="AZ163" s="312"/>
      <c r="BA163" s="312"/>
      <c r="BB163" s="493">
        <f t="shared" si="979"/>
        <v>375</v>
      </c>
      <c r="BC163" s="495"/>
      <c r="BD163" s="496">
        <f t="shared" si="980"/>
        <v>187.5</v>
      </c>
      <c r="BE163" s="498" t="e">
        <f t="shared" si="981"/>
        <v>#DIV/0!</v>
      </c>
      <c r="BF163" s="499">
        <f t="shared" si="982"/>
        <v>150</v>
      </c>
      <c r="BG163" s="495"/>
      <c r="BH163" s="496">
        <f t="shared" si="983"/>
        <v>75</v>
      </c>
      <c r="BI163" s="498" t="e">
        <f t="shared" si="984"/>
        <v>#DIV/0!</v>
      </c>
      <c r="BJ163" s="312"/>
      <c r="BK163" s="312"/>
      <c r="BL163" s="312"/>
      <c r="BM163" s="312"/>
      <c r="BN163" s="312"/>
      <c r="BO163" s="312"/>
      <c r="BP163" s="312" t="s">
        <v>1204</v>
      </c>
      <c r="BQ163" s="29"/>
      <c r="BR163" s="29"/>
      <c r="BS163" s="312"/>
      <c r="BT163" s="312" t="s">
        <v>1424</v>
      </c>
    </row>
    <row r="164" ht="12.75" spans="1:70">
      <c r="A164" s="29" t="s">
        <v>1044</v>
      </c>
      <c r="B164" s="29" t="s">
        <v>1195</v>
      </c>
      <c r="C164" s="426" t="s">
        <v>750</v>
      </c>
      <c r="D164" s="29" t="s">
        <v>1200</v>
      </c>
      <c r="E164" s="29" t="s">
        <v>13</v>
      </c>
      <c r="F164" s="29" t="b">
        <v>0</v>
      </c>
      <c r="G164" s="29" t="b">
        <v>1</v>
      </c>
      <c r="H164" s="29" t="b">
        <v>0</v>
      </c>
      <c r="I164" s="29" t="b">
        <v>0</v>
      </c>
      <c r="J164" s="29" t="b">
        <v>0</v>
      </c>
      <c r="K164" s="29" t="b">
        <v>1</v>
      </c>
      <c r="L164" s="29" t="b">
        <v>0</v>
      </c>
      <c r="M164" s="432" t="b">
        <v>0</v>
      </c>
      <c r="N164" s="432" t="b">
        <v>1</v>
      </c>
      <c r="P164" s="29" t="s">
        <v>120</v>
      </c>
      <c r="Q164" s="441">
        <f t="shared" si="970"/>
        <v>375</v>
      </c>
      <c r="R164" s="441">
        <f t="shared" si="971"/>
        <v>375</v>
      </c>
      <c r="S164" s="442">
        <f t="shared" si="972"/>
        <v>0</v>
      </c>
      <c r="T164" s="308"/>
      <c r="U164" s="443"/>
      <c r="V164" s="245"/>
      <c r="W164" s="245"/>
      <c r="X164" s="444">
        <v>55.26</v>
      </c>
      <c r="Y164" s="245">
        <v>273.1</v>
      </c>
      <c r="Z164" s="245"/>
      <c r="AA164" s="245"/>
      <c r="AB164" s="463">
        <f t="shared" ref="AB164:AC164" si="1020">V164-X164</f>
        <v>-55.26</v>
      </c>
      <c r="AC164" s="464">
        <f t="shared" si="1020"/>
        <v>-273.1</v>
      </c>
      <c r="AD164" s="474" t="e">
        <f t="shared" ref="AD164:AE164" si="1021">1-(V164/Z164)</f>
        <v>#DIV/0!</v>
      </c>
      <c r="AE164" s="474" t="e">
        <f t="shared" si="1021"/>
        <v>#DIV/0!</v>
      </c>
      <c r="AF164" s="475"/>
      <c r="AG164" s="475"/>
      <c r="AH164" s="483"/>
      <c r="AI164" s="483"/>
      <c r="AJ164" s="487">
        <f t="shared" si="522"/>
        <v>0</v>
      </c>
      <c r="AK164" s="475">
        <f t="shared" si="528"/>
        <v>0</v>
      </c>
      <c r="AL164" s="485">
        <f t="shared" ref="AL164:AM164" si="1022">AJ164-Z164</f>
        <v>0</v>
      </c>
      <c r="AM164" s="485">
        <f t="shared" si="1022"/>
        <v>0</v>
      </c>
      <c r="AN164" s="486">
        <f t="shared" si="8"/>
        <v>0</v>
      </c>
      <c r="AO164" s="487">
        <f t="shared" ref="AO164:AP164" si="1023">V164+(V164*$AO$2)</f>
        <v>0</v>
      </c>
      <c r="AP164" s="475">
        <f t="shared" si="1023"/>
        <v>0</v>
      </c>
      <c r="AQ164" s="432" t="b">
        <v>0</v>
      </c>
      <c r="AR164" s="485">
        <f t="shared" ref="AR164:AS164" si="1024">AO164-Z164</f>
        <v>0</v>
      </c>
      <c r="AS164" s="485">
        <f t="shared" si="1024"/>
        <v>0</v>
      </c>
      <c r="AT164" s="486">
        <f t="shared" si="11"/>
        <v>0</v>
      </c>
      <c r="AU164" s="301">
        <f t="shared" si="12"/>
        <v>315</v>
      </c>
      <c r="AV164" s="301">
        <f t="shared" si="969"/>
        <v>375</v>
      </c>
      <c r="AW164" s="29">
        <v>350</v>
      </c>
      <c r="AX164" s="29">
        <v>400</v>
      </c>
      <c r="BB164" s="302">
        <f t="shared" si="979"/>
        <v>375</v>
      </c>
      <c r="BC164" s="301"/>
      <c r="BD164" s="303">
        <f t="shared" si="980"/>
        <v>187.5</v>
      </c>
      <c r="BE164" s="304" t="e">
        <f t="shared" si="981"/>
        <v>#DIV/0!</v>
      </c>
      <c r="BF164" s="307">
        <f t="shared" si="982"/>
        <v>150</v>
      </c>
      <c r="BG164" s="301"/>
      <c r="BH164" s="303">
        <f t="shared" si="983"/>
        <v>75</v>
      </c>
      <c r="BI164" s="304" t="e">
        <f t="shared" si="984"/>
        <v>#DIV/0!</v>
      </c>
      <c r="BK164" s="29"/>
      <c r="BL164" s="29"/>
      <c r="BQ164" s="29"/>
      <c r="BR164" s="29"/>
    </row>
    <row r="165" ht="12.75" spans="1:70">
      <c r="A165" s="29" t="s">
        <v>1038</v>
      </c>
      <c r="B165" s="29" t="s">
        <v>1249</v>
      </c>
      <c r="C165" s="426" t="s">
        <v>1425</v>
      </c>
      <c r="D165" s="308"/>
      <c r="E165" s="29" t="s">
        <v>13</v>
      </c>
      <c r="F165" s="29" t="b">
        <v>0</v>
      </c>
      <c r="G165" s="29" t="b">
        <v>1</v>
      </c>
      <c r="H165" s="29" t="b">
        <v>0</v>
      </c>
      <c r="I165" s="29" t="b">
        <v>0</v>
      </c>
      <c r="J165" s="29" t="b">
        <v>0</v>
      </c>
      <c r="K165" s="29" t="b">
        <v>1</v>
      </c>
      <c r="L165" s="29" t="b">
        <v>0</v>
      </c>
      <c r="M165" s="432" t="b">
        <v>0</v>
      </c>
      <c r="N165" s="432" t="b">
        <v>0</v>
      </c>
      <c r="P165" s="29" t="s">
        <v>120</v>
      </c>
      <c r="Q165" s="441">
        <f t="shared" si="970"/>
        <v>0</v>
      </c>
      <c r="R165" s="441">
        <f t="shared" si="971"/>
        <v>0</v>
      </c>
      <c r="S165" s="442">
        <f t="shared" si="972"/>
        <v>0</v>
      </c>
      <c r="T165" s="308"/>
      <c r="U165" s="443"/>
      <c r="V165" s="245"/>
      <c r="W165" s="245"/>
      <c r="X165" s="444"/>
      <c r="Y165" s="245"/>
      <c r="Z165" s="245"/>
      <c r="AA165" s="245"/>
      <c r="AB165" s="463">
        <f t="shared" ref="AB165:AC165" si="1025">V165-X165</f>
        <v>0</v>
      </c>
      <c r="AC165" s="464">
        <f t="shared" si="1025"/>
        <v>0</v>
      </c>
      <c r="AD165" s="474" t="e">
        <f t="shared" ref="AD165:AE165" si="1026">1-(V165/Z165)</f>
        <v>#DIV/0!</v>
      </c>
      <c r="AE165" s="474" t="e">
        <f t="shared" si="1026"/>
        <v>#DIV/0!</v>
      </c>
      <c r="AF165" s="475"/>
      <c r="AG165" s="475"/>
      <c r="AH165" s="483"/>
      <c r="AI165" s="483"/>
      <c r="AJ165" s="484">
        <f t="shared" si="522"/>
        <v>0</v>
      </c>
      <c r="AK165" s="252">
        <f t="shared" si="528"/>
        <v>0</v>
      </c>
      <c r="AL165" s="485">
        <f t="shared" ref="AL165:AL175" si="1027">AJ165-V165</f>
        <v>0</v>
      </c>
      <c r="AM165" s="485">
        <f t="shared" ref="AM165:AM175" si="1028">AK165-AA165</f>
        <v>0</v>
      </c>
      <c r="AN165" s="486">
        <f t="shared" si="8"/>
        <v>0</v>
      </c>
      <c r="AO165" s="487">
        <f t="shared" ref="AO165:AP165" si="1029">V165+(V165*$AO$2)</f>
        <v>0</v>
      </c>
      <c r="AP165" s="475">
        <f t="shared" si="1029"/>
        <v>0</v>
      </c>
      <c r="AQ165" s="432" t="b">
        <v>0</v>
      </c>
      <c r="AR165" s="485">
        <f t="shared" ref="AR165:AS165" si="1030">AO165-Z165</f>
        <v>0</v>
      </c>
      <c r="AS165" s="485">
        <f t="shared" si="1030"/>
        <v>0</v>
      </c>
      <c r="AT165" s="486">
        <f t="shared" si="11"/>
        <v>0</v>
      </c>
      <c r="AU165" s="301">
        <f t="shared" si="12"/>
        <v>0</v>
      </c>
      <c r="AV165" s="301">
        <f t="shared" si="969"/>
        <v>0</v>
      </c>
      <c r="BB165" s="302">
        <f t="shared" si="979"/>
        <v>0</v>
      </c>
      <c r="BC165" s="301"/>
      <c r="BD165" s="303">
        <f t="shared" si="980"/>
        <v>0</v>
      </c>
      <c r="BE165" s="304" t="e">
        <f t="shared" si="981"/>
        <v>#DIV/0!</v>
      </c>
      <c r="BF165" s="307">
        <f t="shared" si="982"/>
        <v>0</v>
      </c>
      <c r="BG165" s="301"/>
      <c r="BH165" s="303">
        <f t="shared" si="983"/>
        <v>0</v>
      </c>
      <c r="BI165" s="304" t="e">
        <f t="shared" si="984"/>
        <v>#DIV/0!</v>
      </c>
      <c r="BK165" s="29"/>
      <c r="BL165" s="29"/>
      <c r="BQ165" s="308"/>
      <c r="BR165" s="308"/>
    </row>
    <row r="166" ht="12.75" spans="1:70">
      <c r="A166" s="29" t="s">
        <v>1038</v>
      </c>
      <c r="B166" s="29" t="s">
        <v>1249</v>
      </c>
      <c r="C166" s="429" t="s">
        <v>1426</v>
      </c>
      <c r="D166" s="29" t="s">
        <v>1200</v>
      </c>
      <c r="F166" s="29" t="b">
        <v>1</v>
      </c>
      <c r="G166" s="29" t="b">
        <v>0</v>
      </c>
      <c r="H166" s="29" t="b">
        <v>0</v>
      </c>
      <c r="I166" s="29" t="b">
        <v>0</v>
      </c>
      <c r="J166" s="29" t="b">
        <v>0</v>
      </c>
      <c r="K166" s="29" t="b">
        <v>0</v>
      </c>
      <c r="L166" s="29" t="b">
        <v>0</v>
      </c>
      <c r="M166" s="432" t="b">
        <v>0</v>
      </c>
      <c r="N166" s="432" t="b">
        <v>0</v>
      </c>
      <c r="P166" s="29"/>
      <c r="Q166" s="441">
        <f t="shared" si="970"/>
        <v>212</v>
      </c>
      <c r="R166" s="441">
        <f t="shared" si="971"/>
        <v>212</v>
      </c>
      <c r="S166" s="442">
        <f t="shared" si="972"/>
        <v>82</v>
      </c>
      <c r="T166" s="29" t="s">
        <v>1203</v>
      </c>
      <c r="U166" s="443"/>
      <c r="V166" s="245">
        <v>41</v>
      </c>
      <c r="W166" s="245">
        <v>263.85</v>
      </c>
      <c r="X166" s="444"/>
      <c r="Y166" s="245"/>
      <c r="Z166" s="245">
        <v>192.29</v>
      </c>
      <c r="AA166" s="245">
        <v>946.45</v>
      </c>
      <c r="AB166" s="463">
        <f t="shared" ref="AB166:AC166" si="1031">V166-X166</f>
        <v>41</v>
      </c>
      <c r="AC166" s="464">
        <f t="shared" si="1031"/>
        <v>263.85</v>
      </c>
      <c r="AD166" s="474">
        <f t="shared" ref="AD166:AE166" si="1032">1-(V166/Z166)</f>
        <v>0.786780383795309</v>
      </c>
      <c r="AE166" s="474">
        <f t="shared" si="1032"/>
        <v>0.721221406307782</v>
      </c>
      <c r="AF166" s="475"/>
      <c r="AG166" s="475"/>
      <c r="AH166" s="483"/>
      <c r="AI166" s="483"/>
      <c r="AJ166" s="484">
        <f t="shared" si="522"/>
        <v>82</v>
      </c>
      <c r="AK166" s="252">
        <f t="shared" si="528"/>
        <v>527.7</v>
      </c>
      <c r="AL166" s="485">
        <f t="shared" si="1027"/>
        <v>41</v>
      </c>
      <c r="AM166" s="485">
        <f t="shared" si="1028"/>
        <v>-418.75</v>
      </c>
      <c r="AN166" s="486">
        <f t="shared" si="8"/>
        <v>-117.7</v>
      </c>
      <c r="AO166" s="487">
        <f t="shared" ref="AO166:AP166" si="1033">V166+(V166*$AO$2)</f>
        <v>61.5</v>
      </c>
      <c r="AP166" s="475">
        <f t="shared" si="1033"/>
        <v>395.775</v>
      </c>
      <c r="AQ166" s="432" t="b">
        <v>1</v>
      </c>
      <c r="AR166" s="485">
        <f t="shared" ref="AR166:AS166" si="1034">AO166-Z166</f>
        <v>-130.79</v>
      </c>
      <c r="AS166" s="485">
        <f t="shared" si="1034"/>
        <v>-550.675</v>
      </c>
      <c r="AT166" s="486">
        <f t="shared" si="11"/>
        <v>-88.275</v>
      </c>
      <c r="AU166" s="301">
        <f t="shared" si="12"/>
        <v>144</v>
      </c>
      <c r="AV166" s="301">
        <f t="shared" si="969"/>
        <v>212</v>
      </c>
      <c r="AW166" s="29">
        <v>160</v>
      </c>
      <c r="AX166" s="29">
        <v>264</v>
      </c>
      <c r="AY166" s="29">
        <v>2</v>
      </c>
      <c r="AZ166" s="494">
        <v>45453</v>
      </c>
      <c r="BA166" s="29" t="s">
        <v>1427</v>
      </c>
      <c r="BB166" s="302"/>
      <c r="BC166" s="301"/>
      <c r="BD166" s="303"/>
      <c r="BE166" s="304"/>
      <c r="BF166" s="307"/>
      <c r="BG166" s="301"/>
      <c r="BH166" s="303"/>
      <c r="BI166" s="304"/>
      <c r="BJ166" s="29" t="s">
        <v>1249</v>
      </c>
      <c r="BK166" s="164" t="s">
        <v>1428</v>
      </c>
      <c r="BL166" s="29"/>
      <c r="BQ166" s="308"/>
      <c r="BR166" s="308"/>
    </row>
    <row r="167" ht="12.75" spans="1:70">
      <c r="A167" s="29" t="s">
        <v>1022</v>
      </c>
      <c r="B167" s="29" t="s">
        <v>1249</v>
      </c>
      <c r="C167" s="29" t="s">
        <v>1429</v>
      </c>
      <c r="D167" s="29" t="s">
        <v>1364</v>
      </c>
      <c r="E167" s="29" t="s">
        <v>119</v>
      </c>
      <c r="F167" s="29" t="b">
        <v>1</v>
      </c>
      <c r="G167" s="29" t="b">
        <v>0</v>
      </c>
      <c r="H167" s="29" t="b">
        <v>0</v>
      </c>
      <c r="I167" s="29" t="b">
        <v>1</v>
      </c>
      <c r="J167" s="29" t="b">
        <v>0</v>
      </c>
      <c r="K167" s="29" t="b">
        <v>0</v>
      </c>
      <c r="L167" s="29" t="b">
        <v>0</v>
      </c>
      <c r="M167" s="432" t="s">
        <v>119</v>
      </c>
      <c r="N167" s="432" t="b">
        <v>1</v>
      </c>
      <c r="O167" s="29" t="s">
        <v>1429</v>
      </c>
      <c r="P167" s="29" t="s">
        <v>142</v>
      </c>
      <c r="Q167" s="441">
        <f t="shared" si="970"/>
        <v>20</v>
      </c>
      <c r="R167" s="441">
        <f t="shared" si="971"/>
        <v>20</v>
      </c>
      <c r="S167" s="442">
        <f t="shared" si="972"/>
        <v>5.76</v>
      </c>
      <c r="T167" s="29" t="s">
        <v>1365</v>
      </c>
      <c r="U167" s="443" t="s">
        <v>119</v>
      </c>
      <c r="V167" s="245">
        <v>2.88</v>
      </c>
      <c r="W167" s="245"/>
      <c r="X167" s="444"/>
      <c r="Y167" s="245"/>
      <c r="Z167" s="245">
        <v>3.39</v>
      </c>
      <c r="AA167" s="245"/>
      <c r="AB167" s="463">
        <f t="shared" ref="AB167:AC167" si="1035">V167-X167</f>
        <v>2.88</v>
      </c>
      <c r="AC167" s="464">
        <f t="shared" si="1035"/>
        <v>0</v>
      </c>
      <c r="AD167" s="474">
        <f t="shared" ref="AD167:AE167" si="1036">1-(V167/Z167)</f>
        <v>0.150442477876106</v>
      </c>
      <c r="AE167" s="474" t="e">
        <f t="shared" si="1036"/>
        <v>#DIV/0!</v>
      </c>
      <c r="AF167" s="475"/>
      <c r="AG167" s="475"/>
      <c r="AH167" s="483"/>
      <c r="AI167" s="483"/>
      <c r="AJ167" s="484">
        <f t="shared" si="522"/>
        <v>5.76</v>
      </c>
      <c r="AK167" s="252">
        <f t="shared" si="528"/>
        <v>0</v>
      </c>
      <c r="AL167" s="485">
        <f t="shared" si="1027"/>
        <v>2.88</v>
      </c>
      <c r="AM167" s="485">
        <f t="shared" si="1028"/>
        <v>0</v>
      </c>
      <c r="AN167" s="486">
        <f t="shared" si="8"/>
        <v>28.8</v>
      </c>
      <c r="AO167" s="487">
        <f t="shared" ref="AO167:AP167" si="1037">V167+(V167*$AO$2)</f>
        <v>4.32</v>
      </c>
      <c r="AP167" s="475">
        <f t="shared" si="1037"/>
        <v>0</v>
      </c>
      <c r="AQ167" s="432" t="b">
        <v>1</v>
      </c>
      <c r="AR167" s="485">
        <f t="shared" ref="AR167:AS167" si="1038">AO167-Z167</f>
        <v>0.93</v>
      </c>
      <c r="AS167" s="485">
        <f t="shared" si="1038"/>
        <v>0</v>
      </c>
      <c r="AT167" s="486">
        <f t="shared" si="11"/>
        <v>21.6</v>
      </c>
      <c r="AU167" s="301">
        <f t="shared" si="12"/>
        <v>18</v>
      </c>
      <c r="AV167" s="301">
        <f t="shared" si="969"/>
        <v>20</v>
      </c>
      <c r="AW167" s="29">
        <v>20</v>
      </c>
      <c r="AX167" s="29">
        <v>20</v>
      </c>
      <c r="AY167" s="29">
        <v>1</v>
      </c>
      <c r="AZ167" s="29"/>
      <c r="BA167" s="29"/>
      <c r="BB167" s="302"/>
      <c r="BC167" s="301"/>
      <c r="BD167" s="303"/>
      <c r="BE167" s="304"/>
      <c r="BF167" s="307"/>
      <c r="BG167" s="301"/>
      <c r="BH167" s="303"/>
      <c r="BI167" s="304"/>
      <c r="BK167" s="29"/>
      <c r="BL167" s="29"/>
      <c r="BQ167" s="29"/>
      <c r="BR167" s="29"/>
    </row>
    <row r="168" ht="12.75" spans="1:70">
      <c r="A168" s="29" t="s">
        <v>1038</v>
      </c>
      <c r="B168" s="29" t="s">
        <v>1249</v>
      </c>
      <c r="C168" s="29" t="s">
        <v>1430</v>
      </c>
      <c r="D168" s="29" t="s">
        <v>1258</v>
      </c>
      <c r="F168" s="29" t="b">
        <v>1</v>
      </c>
      <c r="G168" s="29" t="b">
        <v>0</v>
      </c>
      <c r="H168" s="29" t="b">
        <v>0</v>
      </c>
      <c r="I168" s="29" t="b">
        <v>0</v>
      </c>
      <c r="J168" s="29" t="b">
        <v>0</v>
      </c>
      <c r="K168" s="29" t="b">
        <v>0</v>
      </c>
      <c r="L168" s="29" t="b">
        <v>0</v>
      </c>
      <c r="M168" s="432" t="b">
        <v>0</v>
      </c>
      <c r="N168" s="432" t="b">
        <v>0</v>
      </c>
      <c r="P168" s="29"/>
      <c r="Q168" s="441">
        <f t="shared" si="970"/>
        <v>250</v>
      </c>
      <c r="R168" s="441">
        <f t="shared" si="971"/>
        <v>250</v>
      </c>
      <c r="S168" s="442">
        <f t="shared" si="972"/>
        <v>59.8</v>
      </c>
      <c r="T168" s="29" t="s">
        <v>1203</v>
      </c>
      <c r="U168" s="443"/>
      <c r="V168" s="245">
        <v>29.9</v>
      </c>
      <c r="W168" s="245"/>
      <c r="X168" s="444"/>
      <c r="Y168" s="245"/>
      <c r="Z168" s="245"/>
      <c r="AA168" s="245"/>
      <c r="AB168" s="463">
        <f t="shared" ref="AB168:AC168" si="1039">V168-X168</f>
        <v>29.9</v>
      </c>
      <c r="AC168" s="464">
        <f t="shared" si="1039"/>
        <v>0</v>
      </c>
      <c r="AD168" s="474" t="e">
        <f t="shared" ref="AD168:AE168" si="1040">1-(V168/Z168)</f>
        <v>#DIV/0!</v>
      </c>
      <c r="AE168" s="474" t="e">
        <f t="shared" si="1040"/>
        <v>#DIV/0!</v>
      </c>
      <c r="AF168" s="475"/>
      <c r="AG168" s="475"/>
      <c r="AH168" s="483"/>
      <c r="AI168" s="483"/>
      <c r="AJ168" s="484">
        <f t="shared" si="522"/>
        <v>59.8</v>
      </c>
      <c r="AK168" s="252">
        <f t="shared" si="528"/>
        <v>0</v>
      </c>
      <c r="AL168" s="485">
        <f t="shared" si="1027"/>
        <v>29.9</v>
      </c>
      <c r="AM168" s="485">
        <f t="shared" si="1028"/>
        <v>0</v>
      </c>
      <c r="AN168" s="486">
        <f t="shared" si="8"/>
        <v>299</v>
      </c>
      <c r="AO168" s="487">
        <f t="shared" ref="AO168:AP168" si="1041">V168+(V168*$AO$2)</f>
        <v>44.85</v>
      </c>
      <c r="AP168" s="475">
        <f t="shared" si="1041"/>
        <v>0</v>
      </c>
      <c r="AQ168" s="432" t="b">
        <v>1</v>
      </c>
      <c r="AR168" s="485">
        <f t="shared" ref="AR168:AS168" si="1042">AO168-Z168</f>
        <v>44.85</v>
      </c>
      <c r="AS168" s="485">
        <f t="shared" si="1042"/>
        <v>0</v>
      </c>
      <c r="AT168" s="486">
        <f t="shared" si="11"/>
        <v>224.25</v>
      </c>
      <c r="AU168" s="301">
        <f t="shared" si="12"/>
        <v>225</v>
      </c>
      <c r="AV168" s="301">
        <f t="shared" si="969"/>
        <v>250</v>
      </c>
      <c r="AW168" s="29">
        <v>250</v>
      </c>
      <c r="AX168" s="29">
        <v>250</v>
      </c>
      <c r="AY168" s="29">
        <v>1</v>
      </c>
      <c r="BB168" s="302"/>
      <c r="BC168" s="301"/>
      <c r="BD168" s="303"/>
      <c r="BE168" s="304"/>
      <c r="BF168" s="307"/>
      <c r="BG168" s="301"/>
      <c r="BH168" s="303"/>
      <c r="BI168" s="304"/>
      <c r="BJ168" s="29" t="s">
        <v>1249</v>
      </c>
      <c r="BK168" s="29"/>
      <c r="BL168" s="29"/>
      <c r="BQ168" s="308"/>
      <c r="BR168" s="308"/>
    </row>
    <row r="169" ht="12.75" spans="1:70">
      <c r="A169" s="29" t="s">
        <v>1038</v>
      </c>
      <c r="B169" s="29" t="s">
        <v>1249</v>
      </c>
      <c r="C169" s="430" t="s">
        <v>1431</v>
      </c>
      <c r="D169" s="430" t="s">
        <v>40</v>
      </c>
      <c r="E169" s="430" t="s">
        <v>1201</v>
      </c>
      <c r="F169" s="430" t="b">
        <v>1</v>
      </c>
      <c r="G169" s="430" t="b">
        <v>0</v>
      </c>
      <c r="H169" s="430" t="b">
        <v>0</v>
      </c>
      <c r="I169" s="430" t="b">
        <v>0</v>
      </c>
      <c r="J169" s="430" t="b">
        <v>0</v>
      </c>
      <c r="K169" s="430" t="b">
        <v>1</v>
      </c>
      <c r="L169" s="29" t="b">
        <v>1</v>
      </c>
      <c r="M169" s="432" t="b">
        <v>0</v>
      </c>
      <c r="N169" s="432" t="b">
        <v>0</v>
      </c>
      <c r="O169" s="29" t="s">
        <v>1431</v>
      </c>
      <c r="P169" s="29" t="s">
        <v>120</v>
      </c>
      <c r="Q169" s="441">
        <f t="shared" si="970"/>
        <v>750</v>
      </c>
      <c r="R169" s="441">
        <f t="shared" si="971"/>
        <v>750</v>
      </c>
      <c r="S169" s="442">
        <f t="shared" si="972"/>
        <v>46.98</v>
      </c>
      <c r="T169" s="29" t="s">
        <v>1316</v>
      </c>
      <c r="U169" s="443"/>
      <c r="V169" s="245">
        <v>23.49</v>
      </c>
      <c r="W169" s="245">
        <v>158.1</v>
      </c>
      <c r="X169" s="444"/>
      <c r="Y169" s="245"/>
      <c r="Z169" s="245">
        <v>49.99</v>
      </c>
      <c r="AA169" s="245">
        <v>249.95</v>
      </c>
      <c r="AB169" s="463">
        <f t="shared" ref="AB169:AC169" si="1043">V169-X169</f>
        <v>23.49</v>
      </c>
      <c r="AC169" s="464">
        <f t="shared" si="1043"/>
        <v>158.1</v>
      </c>
      <c r="AD169" s="474">
        <f t="shared" ref="AD169:AE169" si="1044">1-(V169/Z169)</f>
        <v>0.530106021204241</v>
      </c>
      <c r="AE169" s="474">
        <f t="shared" si="1044"/>
        <v>0.36747349469894</v>
      </c>
      <c r="AF169" s="475"/>
      <c r="AG169" s="475"/>
      <c r="AH169" s="483"/>
      <c r="AI169" s="483"/>
      <c r="AJ169" s="484">
        <f t="shared" si="522"/>
        <v>46.98</v>
      </c>
      <c r="AK169" s="252">
        <f t="shared" si="528"/>
        <v>316.2</v>
      </c>
      <c r="AL169" s="485">
        <f t="shared" si="1027"/>
        <v>23.49</v>
      </c>
      <c r="AM169" s="485">
        <f t="shared" si="1028"/>
        <v>66.25</v>
      </c>
      <c r="AN169" s="486">
        <f t="shared" si="8"/>
        <v>-81.3</v>
      </c>
      <c r="AO169" s="487">
        <f t="shared" ref="AO169:AP169" si="1045">V169+(V169*$AO$2)</f>
        <v>35.235</v>
      </c>
      <c r="AP169" s="475">
        <f t="shared" si="1045"/>
        <v>237.15</v>
      </c>
      <c r="AQ169" s="432" t="b">
        <v>1</v>
      </c>
      <c r="AR169" s="485">
        <f t="shared" ref="AR169:AS169" si="1046">AO169-Z169</f>
        <v>-14.755</v>
      </c>
      <c r="AS169" s="485">
        <f t="shared" si="1046"/>
        <v>-12.8</v>
      </c>
      <c r="AT169" s="486">
        <f t="shared" si="11"/>
        <v>-60.975</v>
      </c>
      <c r="AU169" s="301">
        <f t="shared" si="12"/>
        <v>675</v>
      </c>
      <c r="AV169" s="301">
        <f t="shared" si="969"/>
        <v>750</v>
      </c>
      <c r="AW169" s="29">
        <f t="shared" ref="AW169:AX169" si="1047">150*5</f>
        <v>750</v>
      </c>
      <c r="AX169" s="29">
        <f t="shared" si="1047"/>
        <v>750</v>
      </c>
      <c r="AY169" s="29">
        <v>2</v>
      </c>
      <c r="AZ169" s="29"/>
      <c r="BA169" s="29"/>
      <c r="BB169" s="302"/>
      <c r="BC169" s="301"/>
      <c r="BD169" s="303"/>
      <c r="BE169" s="304"/>
      <c r="BF169" s="307"/>
      <c r="BG169" s="301"/>
      <c r="BH169" s="303"/>
      <c r="BI169" s="304"/>
      <c r="BJ169" s="29" t="s">
        <v>1249</v>
      </c>
      <c r="BK169" s="29"/>
      <c r="BL169" s="29"/>
      <c r="BQ169" s="308"/>
      <c r="BR169" s="308"/>
    </row>
    <row r="170" ht="12.75" spans="1:70">
      <c r="A170" s="29" t="s">
        <v>1038</v>
      </c>
      <c r="B170" s="29" t="s">
        <v>1249</v>
      </c>
      <c r="C170" s="430" t="s">
        <v>1432</v>
      </c>
      <c r="D170" s="430" t="s">
        <v>40</v>
      </c>
      <c r="E170" s="430" t="s">
        <v>1201</v>
      </c>
      <c r="F170" s="430" t="b">
        <v>1</v>
      </c>
      <c r="G170" s="430" t="b">
        <v>0</v>
      </c>
      <c r="H170" s="430" t="b">
        <v>0</v>
      </c>
      <c r="I170" s="430" t="b">
        <v>0</v>
      </c>
      <c r="J170" s="430" t="b">
        <v>0</v>
      </c>
      <c r="K170" s="430" t="b">
        <v>1</v>
      </c>
      <c r="L170" s="29" t="b">
        <v>1</v>
      </c>
      <c r="M170" s="432" t="b">
        <v>0</v>
      </c>
      <c r="N170" s="432" t="b">
        <v>0</v>
      </c>
      <c r="O170" s="29" t="s">
        <v>1432</v>
      </c>
      <c r="P170" s="29" t="s">
        <v>120</v>
      </c>
      <c r="Q170" s="441">
        <f t="shared" si="970"/>
        <v>1000</v>
      </c>
      <c r="R170" s="441">
        <f t="shared" si="971"/>
        <v>1000</v>
      </c>
      <c r="S170" s="442">
        <f t="shared" si="972"/>
        <v>46.98</v>
      </c>
      <c r="T170" s="29" t="s">
        <v>1316</v>
      </c>
      <c r="U170" s="443"/>
      <c r="V170" s="245">
        <v>23.49</v>
      </c>
      <c r="W170" s="245">
        <v>158.1</v>
      </c>
      <c r="X170" s="444"/>
      <c r="Y170" s="245"/>
      <c r="Z170" s="245">
        <v>49.99</v>
      </c>
      <c r="AA170" s="245">
        <v>249.95</v>
      </c>
      <c r="AB170" s="463">
        <f t="shared" ref="AB170:AC170" si="1048">V170-X170</f>
        <v>23.49</v>
      </c>
      <c r="AC170" s="464">
        <f t="shared" si="1048"/>
        <v>158.1</v>
      </c>
      <c r="AD170" s="474">
        <f t="shared" ref="AD170:AE170" si="1049">1-(V170/Z170)</f>
        <v>0.530106021204241</v>
      </c>
      <c r="AE170" s="474">
        <f t="shared" si="1049"/>
        <v>0.36747349469894</v>
      </c>
      <c r="AF170" s="475"/>
      <c r="AG170" s="475"/>
      <c r="AH170" s="483"/>
      <c r="AI170" s="483"/>
      <c r="AJ170" s="484">
        <f t="shared" si="522"/>
        <v>46.98</v>
      </c>
      <c r="AK170" s="252">
        <f t="shared" si="528"/>
        <v>316.2</v>
      </c>
      <c r="AL170" s="485">
        <f t="shared" si="1027"/>
        <v>23.49</v>
      </c>
      <c r="AM170" s="485">
        <f t="shared" si="1028"/>
        <v>66.25</v>
      </c>
      <c r="AN170" s="486">
        <f t="shared" si="8"/>
        <v>-81.3</v>
      </c>
      <c r="AO170" s="487">
        <f t="shared" ref="AO170:AP170" si="1050">V170+(V170*$AO$2)</f>
        <v>35.235</v>
      </c>
      <c r="AP170" s="475">
        <f t="shared" si="1050"/>
        <v>237.15</v>
      </c>
      <c r="AQ170" s="432" t="b">
        <v>1</v>
      </c>
      <c r="AR170" s="485">
        <f t="shared" ref="AR170:AS170" si="1051">AO170-Z170</f>
        <v>-14.755</v>
      </c>
      <c r="AS170" s="485">
        <f t="shared" si="1051"/>
        <v>-12.8</v>
      </c>
      <c r="AT170" s="486">
        <f t="shared" si="11"/>
        <v>-60.975</v>
      </c>
      <c r="AU170" s="301">
        <f t="shared" si="12"/>
        <v>900</v>
      </c>
      <c r="AV170" s="301">
        <f t="shared" si="969"/>
        <v>1000</v>
      </c>
      <c r="AW170" s="29">
        <f t="shared" ref="AW170:AX170" si="1052">200*5</f>
        <v>1000</v>
      </c>
      <c r="AX170" s="29">
        <f t="shared" si="1052"/>
        <v>1000</v>
      </c>
      <c r="AY170" s="29">
        <v>2</v>
      </c>
      <c r="AZ170" s="29"/>
      <c r="BA170" s="29"/>
      <c r="BB170" s="302"/>
      <c r="BC170" s="301"/>
      <c r="BD170" s="303"/>
      <c r="BE170" s="304"/>
      <c r="BF170" s="307"/>
      <c r="BG170" s="301"/>
      <c r="BH170" s="303"/>
      <c r="BI170" s="304"/>
      <c r="BJ170" s="29" t="s">
        <v>1249</v>
      </c>
      <c r="BK170" s="29"/>
      <c r="BL170" s="29"/>
      <c r="BQ170" s="29" t="s">
        <v>40</v>
      </c>
      <c r="BR170" s="308"/>
    </row>
    <row r="171" ht="12.75" spans="1:70">
      <c r="A171" s="29" t="s">
        <v>1038</v>
      </c>
      <c r="B171" s="29" t="s">
        <v>1249</v>
      </c>
      <c r="C171" s="430" t="s">
        <v>1433</v>
      </c>
      <c r="D171" s="430" t="s">
        <v>40</v>
      </c>
      <c r="E171" s="430" t="s">
        <v>1201</v>
      </c>
      <c r="F171" s="430" t="b">
        <v>1</v>
      </c>
      <c r="G171" s="430" t="b">
        <v>0</v>
      </c>
      <c r="H171" s="430" t="b">
        <v>0</v>
      </c>
      <c r="I171" s="430" t="b">
        <v>0</v>
      </c>
      <c r="J171" s="430" t="b">
        <v>0</v>
      </c>
      <c r="K171" s="430" t="b">
        <v>1</v>
      </c>
      <c r="L171" s="29" t="b">
        <v>1</v>
      </c>
      <c r="M171" s="432" t="b">
        <v>0</v>
      </c>
      <c r="N171" s="432" t="b">
        <v>0</v>
      </c>
      <c r="O171" s="29" t="s">
        <v>1433</v>
      </c>
      <c r="P171" s="29" t="s">
        <v>120</v>
      </c>
      <c r="Q171" s="441">
        <f t="shared" si="970"/>
        <v>1000</v>
      </c>
      <c r="R171" s="441">
        <f t="shared" si="971"/>
        <v>1000</v>
      </c>
      <c r="S171" s="442">
        <f t="shared" si="972"/>
        <v>46.98</v>
      </c>
      <c r="T171" s="29" t="s">
        <v>1316</v>
      </c>
      <c r="U171" s="443"/>
      <c r="V171" s="245">
        <v>23.49</v>
      </c>
      <c r="W171" s="245">
        <v>158.1</v>
      </c>
      <c r="X171" s="444"/>
      <c r="Y171" s="245"/>
      <c r="Z171" s="245">
        <v>49.99</v>
      </c>
      <c r="AA171" s="245">
        <v>249.95</v>
      </c>
      <c r="AB171" s="463">
        <f t="shared" ref="AB171:AC171" si="1053">V171-X171</f>
        <v>23.49</v>
      </c>
      <c r="AC171" s="464">
        <f t="shared" si="1053"/>
        <v>158.1</v>
      </c>
      <c r="AD171" s="474">
        <f t="shared" ref="AD171:AE171" si="1054">1-(V171/Z171)</f>
        <v>0.530106021204241</v>
      </c>
      <c r="AE171" s="474">
        <f t="shared" si="1054"/>
        <v>0.36747349469894</v>
      </c>
      <c r="AF171" s="475"/>
      <c r="AG171" s="475"/>
      <c r="AH171" s="483"/>
      <c r="AI171" s="483"/>
      <c r="AJ171" s="484">
        <f t="shared" si="522"/>
        <v>46.98</v>
      </c>
      <c r="AK171" s="252">
        <f t="shared" si="528"/>
        <v>316.2</v>
      </c>
      <c r="AL171" s="485">
        <f t="shared" si="1027"/>
        <v>23.49</v>
      </c>
      <c r="AM171" s="485">
        <f t="shared" si="1028"/>
        <v>66.25</v>
      </c>
      <c r="AN171" s="486">
        <f t="shared" si="8"/>
        <v>-81.3</v>
      </c>
      <c r="AO171" s="487">
        <f t="shared" ref="AO171:AP171" si="1055">V171+(V171*$AO$2)</f>
        <v>35.235</v>
      </c>
      <c r="AP171" s="475">
        <f t="shared" si="1055"/>
        <v>237.15</v>
      </c>
      <c r="AQ171" s="432" t="b">
        <v>1</v>
      </c>
      <c r="AR171" s="485">
        <f t="shared" ref="AR171:AS171" si="1056">AO171-Z171</f>
        <v>-14.755</v>
      </c>
      <c r="AS171" s="485">
        <f t="shared" si="1056"/>
        <v>-12.8</v>
      </c>
      <c r="AT171" s="486">
        <f t="shared" si="11"/>
        <v>-60.975</v>
      </c>
      <c r="AU171" s="301">
        <f t="shared" si="12"/>
        <v>900</v>
      </c>
      <c r="AV171" s="301">
        <f t="shared" si="969"/>
        <v>1000</v>
      </c>
      <c r="AW171" s="29">
        <f t="shared" ref="AW171:AX171" si="1057">200*5</f>
        <v>1000</v>
      </c>
      <c r="AX171" s="29">
        <f t="shared" si="1057"/>
        <v>1000</v>
      </c>
      <c r="AY171" s="29">
        <v>2</v>
      </c>
      <c r="AZ171" s="29"/>
      <c r="BA171" s="29"/>
      <c r="BB171" s="302"/>
      <c r="BC171" s="301"/>
      <c r="BD171" s="303"/>
      <c r="BE171" s="304"/>
      <c r="BF171" s="307"/>
      <c r="BG171" s="301"/>
      <c r="BH171" s="303"/>
      <c r="BI171" s="304"/>
      <c r="BJ171" s="29" t="s">
        <v>1249</v>
      </c>
      <c r="BK171" s="29" t="s">
        <v>1387</v>
      </c>
      <c r="BL171" s="29"/>
      <c r="BQ171" s="308"/>
      <c r="BR171" s="308"/>
    </row>
    <row r="172" ht="12.75" spans="1:70">
      <c r="A172" s="29"/>
      <c r="B172" s="29" t="s">
        <v>1249</v>
      </c>
      <c r="C172" s="312" t="s">
        <v>1434</v>
      </c>
      <c r="D172" s="29" t="s">
        <v>1364</v>
      </c>
      <c r="F172" s="29" t="b">
        <v>1</v>
      </c>
      <c r="G172" s="29" t="b">
        <v>0</v>
      </c>
      <c r="H172" s="29" t="b">
        <v>0</v>
      </c>
      <c r="I172" s="29" t="b">
        <v>0</v>
      </c>
      <c r="J172" s="29" t="b">
        <v>0</v>
      </c>
      <c r="K172" s="29" t="b">
        <v>0</v>
      </c>
      <c r="L172" s="29" t="b">
        <v>0</v>
      </c>
      <c r="M172" s="432" t="b">
        <v>0</v>
      </c>
      <c r="N172" s="432" t="b">
        <v>0</v>
      </c>
      <c r="P172" s="29"/>
      <c r="Q172" s="441">
        <f t="shared" si="970"/>
        <v>20</v>
      </c>
      <c r="R172" s="441">
        <f t="shared" si="971"/>
        <v>20</v>
      </c>
      <c r="S172" s="442">
        <f t="shared" si="972"/>
        <v>17.5</v>
      </c>
      <c r="T172" s="29" t="s">
        <v>1365</v>
      </c>
      <c r="U172" s="443"/>
      <c r="V172" s="245">
        <v>8.75</v>
      </c>
      <c r="W172" s="245"/>
      <c r="X172" s="444"/>
      <c r="Y172" s="245"/>
      <c r="Z172" s="245"/>
      <c r="AA172" s="245"/>
      <c r="AB172" s="463">
        <f t="shared" ref="AB172:AC172" si="1058">V172-X172</f>
        <v>8.75</v>
      </c>
      <c r="AC172" s="464">
        <f t="shared" si="1058"/>
        <v>0</v>
      </c>
      <c r="AD172" s="474" t="e">
        <f t="shared" ref="AD172:AE172" si="1059">1-(V172/Z172)</f>
        <v>#DIV/0!</v>
      </c>
      <c r="AE172" s="474" t="e">
        <f t="shared" si="1059"/>
        <v>#DIV/0!</v>
      </c>
      <c r="AF172" s="475"/>
      <c r="AG172" s="475"/>
      <c r="AH172" s="483"/>
      <c r="AI172" s="483"/>
      <c r="AJ172" s="484">
        <f t="shared" si="522"/>
        <v>17.5</v>
      </c>
      <c r="AK172" s="252">
        <f t="shared" si="528"/>
        <v>0</v>
      </c>
      <c r="AL172" s="485">
        <f t="shared" si="1027"/>
        <v>8.75</v>
      </c>
      <c r="AM172" s="485">
        <f t="shared" si="1028"/>
        <v>0</v>
      </c>
      <c r="AN172" s="486">
        <f t="shared" si="8"/>
        <v>87.5</v>
      </c>
      <c r="AO172" s="487">
        <f t="shared" ref="AO172:AP172" si="1060">V172+(V172*$AO$2)</f>
        <v>13.125</v>
      </c>
      <c r="AP172" s="475">
        <f t="shared" si="1060"/>
        <v>0</v>
      </c>
      <c r="AQ172" s="432" t="b">
        <v>1</v>
      </c>
      <c r="AR172" s="485">
        <f t="shared" ref="AR172:AS172" si="1061">AO172-Z172</f>
        <v>13.125</v>
      </c>
      <c r="AS172" s="485">
        <f t="shared" si="1061"/>
        <v>0</v>
      </c>
      <c r="AT172" s="486">
        <f t="shared" si="11"/>
        <v>65.625</v>
      </c>
      <c r="AU172" s="301">
        <f t="shared" si="12"/>
        <v>18</v>
      </c>
      <c r="AV172" s="301">
        <f t="shared" si="969"/>
        <v>20</v>
      </c>
      <c r="AW172" s="29">
        <v>20</v>
      </c>
      <c r="AX172" s="29">
        <v>20</v>
      </c>
      <c r="BB172" s="302"/>
      <c r="BC172" s="301"/>
      <c r="BD172" s="303"/>
      <c r="BE172" s="304"/>
      <c r="BF172" s="307"/>
      <c r="BG172" s="301"/>
      <c r="BH172" s="303"/>
      <c r="BI172" s="304"/>
      <c r="BK172" s="29"/>
      <c r="BL172" s="29"/>
      <c r="BQ172" s="308"/>
      <c r="BR172" s="308"/>
    </row>
    <row r="173" ht="15" spans="1:72">
      <c r="A173" s="29" t="s">
        <v>1038</v>
      </c>
      <c r="B173" s="29" t="s">
        <v>1249</v>
      </c>
      <c r="C173" s="29" t="s">
        <v>1435</v>
      </c>
      <c r="D173" s="29" t="s">
        <v>1364</v>
      </c>
      <c r="F173" s="29" t="b">
        <v>0</v>
      </c>
      <c r="G173" s="29" t="b">
        <v>1</v>
      </c>
      <c r="H173" s="29" t="b">
        <v>0</v>
      </c>
      <c r="I173" s="29" t="b">
        <v>0</v>
      </c>
      <c r="J173" s="29" t="b">
        <v>0</v>
      </c>
      <c r="K173" s="29" t="b">
        <v>0</v>
      </c>
      <c r="L173" s="29" t="b">
        <v>0</v>
      </c>
      <c r="M173" s="432" t="b">
        <v>0</v>
      </c>
      <c r="N173" s="432" t="b">
        <v>0</v>
      </c>
      <c r="O173" s="29" t="s">
        <v>1436</v>
      </c>
      <c r="P173" s="29" t="s">
        <v>142</v>
      </c>
      <c r="Q173" s="441">
        <f t="shared" si="970"/>
        <v>10</v>
      </c>
      <c r="R173" s="441">
        <f t="shared" si="971"/>
        <v>10</v>
      </c>
      <c r="S173" s="442">
        <f t="shared" si="972"/>
        <v>13.42</v>
      </c>
      <c r="T173" s="29" t="s">
        <v>1365</v>
      </c>
      <c r="U173" s="443"/>
      <c r="V173" s="531">
        <v>6.71</v>
      </c>
      <c r="W173" s="245"/>
      <c r="X173" s="444"/>
      <c r="Y173" s="245"/>
      <c r="Z173" s="515">
        <v>7.89</v>
      </c>
      <c r="AA173" s="245" t="s">
        <v>13</v>
      </c>
      <c r="AB173" s="463">
        <f t="shared" ref="AB173:AC173" si="1062">V173-X173</f>
        <v>6.71</v>
      </c>
      <c r="AC173" s="464">
        <f t="shared" si="1062"/>
        <v>0</v>
      </c>
      <c r="AD173" s="474">
        <f t="shared" ref="AD173:AE173" si="1063">1-(V173/Z173)</f>
        <v>0.149556400506971</v>
      </c>
      <c r="AE173" s="474" t="e">
        <f t="shared" si="1063"/>
        <v>#VALUE!</v>
      </c>
      <c r="AF173" s="475"/>
      <c r="AG173" s="475"/>
      <c r="AH173" s="483"/>
      <c r="AI173" s="483"/>
      <c r="AJ173" s="484">
        <f t="shared" si="522"/>
        <v>13.42</v>
      </c>
      <c r="AK173" s="252">
        <f t="shared" si="528"/>
        <v>0</v>
      </c>
      <c r="AL173" s="485">
        <f t="shared" si="1027"/>
        <v>6.71</v>
      </c>
      <c r="AM173" s="485" t="e">
        <f t="shared" si="1028"/>
        <v>#VALUE!</v>
      </c>
      <c r="AN173" s="486">
        <f t="shared" si="8"/>
        <v>67.1</v>
      </c>
      <c r="AO173" s="487">
        <f t="shared" ref="AO173:AP173" si="1064">V173+(V173*$AO$2)</f>
        <v>10.065</v>
      </c>
      <c r="AP173" s="475">
        <f t="shared" si="1064"/>
        <v>0</v>
      </c>
      <c r="AQ173" s="432" t="b">
        <v>0</v>
      </c>
      <c r="AR173" s="485">
        <f t="shared" ref="AR173:AS173" si="1065">AO173-Z173</f>
        <v>2.175</v>
      </c>
      <c r="AS173" s="485" t="e">
        <f t="shared" si="1065"/>
        <v>#VALUE!</v>
      </c>
      <c r="AT173" s="486">
        <f t="shared" si="11"/>
        <v>50.325</v>
      </c>
      <c r="AU173" s="301">
        <f t="shared" si="12"/>
        <v>7.2</v>
      </c>
      <c r="AV173" s="301">
        <f t="shared" si="969"/>
        <v>10</v>
      </c>
      <c r="AW173" s="29">
        <v>8</v>
      </c>
      <c r="AX173" s="29">
        <v>12</v>
      </c>
      <c r="AY173" s="29">
        <v>1</v>
      </c>
      <c r="BB173" s="302"/>
      <c r="BC173" s="301"/>
      <c r="BD173" s="303"/>
      <c r="BE173" s="304"/>
      <c r="BF173" s="307"/>
      <c r="BG173" s="301"/>
      <c r="BH173" s="303"/>
      <c r="BI173" s="304"/>
      <c r="BJ173" s="29" t="s">
        <v>1249</v>
      </c>
      <c r="BK173" s="164" t="s">
        <v>1437</v>
      </c>
      <c r="BL173" s="29"/>
      <c r="BQ173" s="308"/>
      <c r="BR173" s="308"/>
      <c r="BT173" s="536" t="s">
        <v>1438</v>
      </c>
    </row>
    <row r="174" ht="12.75" spans="1:70">
      <c r="A174" s="29"/>
      <c r="B174" s="29" t="s">
        <v>1249</v>
      </c>
      <c r="C174" s="312" t="s">
        <v>1439</v>
      </c>
      <c r="D174" s="29" t="s">
        <v>1364</v>
      </c>
      <c r="F174" s="29" t="b">
        <v>0</v>
      </c>
      <c r="G174" s="29" t="b">
        <v>1</v>
      </c>
      <c r="H174" s="29" t="b">
        <v>0</v>
      </c>
      <c r="I174" s="29" t="b">
        <v>0</v>
      </c>
      <c r="J174" s="29" t="b">
        <v>0</v>
      </c>
      <c r="K174" s="29" t="b">
        <v>0</v>
      </c>
      <c r="L174" s="29" t="b">
        <v>0</v>
      </c>
      <c r="M174" s="432" t="b">
        <v>0</v>
      </c>
      <c r="N174" s="432" t="b">
        <v>0</v>
      </c>
      <c r="P174" s="29"/>
      <c r="Q174" s="441">
        <f t="shared" si="970"/>
        <v>0</v>
      </c>
      <c r="R174" s="441">
        <f t="shared" si="971"/>
        <v>0</v>
      </c>
      <c r="S174" s="442">
        <f t="shared" si="972"/>
        <v>26.5</v>
      </c>
      <c r="T174" s="308"/>
      <c r="U174" s="443"/>
      <c r="V174" s="245">
        <v>13.25</v>
      </c>
      <c r="W174" s="245"/>
      <c r="X174" s="444"/>
      <c r="Y174" s="245"/>
      <c r="Z174" s="245"/>
      <c r="AA174" s="245"/>
      <c r="AB174" s="463">
        <f t="shared" ref="AB174:AC174" si="1066">V174-X174</f>
        <v>13.25</v>
      </c>
      <c r="AC174" s="464">
        <f t="shared" si="1066"/>
        <v>0</v>
      </c>
      <c r="AD174" s="474" t="e">
        <f t="shared" ref="AD174:AE174" si="1067">1-(V174/Z174)</f>
        <v>#DIV/0!</v>
      </c>
      <c r="AE174" s="474" t="e">
        <f t="shared" si="1067"/>
        <v>#DIV/0!</v>
      </c>
      <c r="AF174" s="475"/>
      <c r="AG174" s="475"/>
      <c r="AH174" s="483"/>
      <c r="AI174" s="483"/>
      <c r="AJ174" s="484">
        <f t="shared" si="522"/>
        <v>26.5</v>
      </c>
      <c r="AK174" s="252">
        <f t="shared" si="528"/>
        <v>0</v>
      </c>
      <c r="AL174" s="485">
        <f t="shared" si="1027"/>
        <v>13.25</v>
      </c>
      <c r="AM174" s="485">
        <f t="shared" si="1028"/>
        <v>0</v>
      </c>
      <c r="AN174" s="486">
        <f t="shared" si="8"/>
        <v>132.5</v>
      </c>
      <c r="AO174" s="487">
        <f t="shared" ref="AO174:AP174" si="1068">V174+(V174*$AO$2)</f>
        <v>19.875</v>
      </c>
      <c r="AP174" s="475">
        <f t="shared" si="1068"/>
        <v>0</v>
      </c>
      <c r="AQ174" s="432" t="b">
        <v>0</v>
      </c>
      <c r="AR174" s="485">
        <f t="shared" ref="AR174:AS174" si="1069">AO174-Z174</f>
        <v>19.875</v>
      </c>
      <c r="AS174" s="485">
        <f t="shared" si="1069"/>
        <v>0</v>
      </c>
      <c r="AT174" s="486">
        <f t="shared" si="11"/>
        <v>99.375</v>
      </c>
      <c r="AU174" s="301">
        <f t="shared" si="12"/>
        <v>0</v>
      </c>
      <c r="AV174" s="301">
        <f t="shared" si="969"/>
        <v>0</v>
      </c>
      <c r="AW174" s="29"/>
      <c r="AX174" s="29"/>
      <c r="BB174" s="302"/>
      <c r="BC174" s="301"/>
      <c r="BD174" s="303"/>
      <c r="BE174" s="304"/>
      <c r="BF174" s="307"/>
      <c r="BG174" s="301"/>
      <c r="BH174" s="303"/>
      <c r="BI174" s="304"/>
      <c r="BK174" s="29"/>
      <c r="BL174" s="29"/>
      <c r="BQ174" s="308"/>
      <c r="BR174" s="308"/>
    </row>
    <row r="175" ht="12.75" spans="1:70">
      <c r="A175" s="29"/>
      <c r="B175" s="29" t="s">
        <v>1249</v>
      </c>
      <c r="C175" s="245" t="s">
        <v>1440</v>
      </c>
      <c r="D175" s="29" t="s">
        <v>1364</v>
      </c>
      <c r="F175" s="29" t="b">
        <v>0</v>
      </c>
      <c r="G175" s="29" t="b">
        <v>1</v>
      </c>
      <c r="H175" s="29" t="b">
        <v>0</v>
      </c>
      <c r="I175" s="29" t="b">
        <v>0</v>
      </c>
      <c r="J175" s="29" t="b">
        <v>0</v>
      </c>
      <c r="K175" s="29" t="b">
        <v>0</v>
      </c>
      <c r="L175" s="29" t="b">
        <v>0</v>
      </c>
      <c r="M175" s="432" t="b">
        <v>0</v>
      </c>
      <c r="N175" s="432" t="b">
        <v>0</v>
      </c>
      <c r="P175" s="29"/>
      <c r="Q175" s="441">
        <f t="shared" si="970"/>
        <v>0</v>
      </c>
      <c r="R175" s="441">
        <f t="shared" si="971"/>
        <v>0</v>
      </c>
      <c r="S175" s="442">
        <f t="shared" si="972"/>
        <v>18.18</v>
      </c>
      <c r="T175" s="308"/>
      <c r="U175" s="443"/>
      <c r="V175" s="245">
        <v>9.09</v>
      </c>
      <c r="W175" s="245"/>
      <c r="X175" s="444"/>
      <c r="Y175" s="245"/>
      <c r="Z175" s="245"/>
      <c r="AA175" s="245"/>
      <c r="AB175" s="463">
        <f t="shared" ref="AB175:AC175" si="1070">V175-X175</f>
        <v>9.09</v>
      </c>
      <c r="AC175" s="464">
        <f t="shared" si="1070"/>
        <v>0</v>
      </c>
      <c r="AD175" s="474" t="e">
        <f t="shared" ref="AD175:AE175" si="1071">1-(V175/Z175)</f>
        <v>#DIV/0!</v>
      </c>
      <c r="AE175" s="474" t="e">
        <f t="shared" si="1071"/>
        <v>#DIV/0!</v>
      </c>
      <c r="AF175" s="475"/>
      <c r="AG175" s="475"/>
      <c r="AH175" s="483"/>
      <c r="AI175" s="483"/>
      <c r="AJ175" s="484">
        <f t="shared" si="522"/>
        <v>18.18</v>
      </c>
      <c r="AK175" s="252">
        <f t="shared" si="528"/>
        <v>0</v>
      </c>
      <c r="AL175" s="485">
        <f t="shared" si="1027"/>
        <v>9.09</v>
      </c>
      <c r="AM175" s="485">
        <f t="shared" si="1028"/>
        <v>0</v>
      </c>
      <c r="AN175" s="486">
        <f t="shared" si="8"/>
        <v>90.9</v>
      </c>
      <c r="AO175" s="487">
        <f t="shared" ref="AO175:AP175" si="1072">V175+(V175*$AO$2)</f>
        <v>13.635</v>
      </c>
      <c r="AP175" s="475">
        <f t="shared" si="1072"/>
        <v>0</v>
      </c>
      <c r="AQ175" s="432" t="b">
        <v>0</v>
      </c>
      <c r="AR175" s="485">
        <f t="shared" ref="AR175:AS175" si="1073">AO175-Z175</f>
        <v>13.635</v>
      </c>
      <c r="AS175" s="485">
        <f t="shared" si="1073"/>
        <v>0</v>
      </c>
      <c r="AT175" s="486">
        <f t="shared" si="11"/>
        <v>68.175</v>
      </c>
      <c r="AU175" s="301">
        <f t="shared" si="12"/>
        <v>0</v>
      </c>
      <c r="AV175" s="301">
        <f t="shared" si="969"/>
        <v>0</v>
      </c>
      <c r="AW175" s="29"/>
      <c r="AX175" s="29"/>
      <c r="BB175" s="302"/>
      <c r="BC175" s="301"/>
      <c r="BD175" s="303"/>
      <c r="BE175" s="304"/>
      <c r="BF175" s="307"/>
      <c r="BG175" s="301"/>
      <c r="BH175" s="303"/>
      <c r="BI175" s="304"/>
      <c r="BK175" s="29"/>
      <c r="BL175" s="29"/>
      <c r="BQ175" s="308"/>
      <c r="BR175" s="308"/>
    </row>
    <row r="176" ht="12.75" spans="1:70">
      <c r="A176" s="29" t="s">
        <v>1038</v>
      </c>
      <c r="B176" s="29" t="s">
        <v>1195</v>
      </c>
      <c r="C176" s="426" t="s">
        <v>1441</v>
      </c>
      <c r="D176" s="29" t="s">
        <v>1441</v>
      </c>
      <c r="E176" s="29" t="s">
        <v>13</v>
      </c>
      <c r="F176" s="29" t="b">
        <v>0</v>
      </c>
      <c r="G176" s="29" t="b">
        <v>1</v>
      </c>
      <c r="H176" s="29" t="b">
        <v>1</v>
      </c>
      <c r="I176" s="29" t="b">
        <v>0</v>
      </c>
      <c r="J176" s="29" t="b">
        <v>0</v>
      </c>
      <c r="K176" s="29" t="b">
        <v>1</v>
      </c>
      <c r="L176" s="29" t="b">
        <v>0</v>
      </c>
      <c r="M176" s="432" t="b">
        <v>0</v>
      </c>
      <c r="N176" s="432" t="b">
        <v>0</v>
      </c>
      <c r="P176" s="29" t="s">
        <v>120</v>
      </c>
      <c r="Q176" s="441">
        <f t="shared" si="970"/>
        <v>0</v>
      </c>
      <c r="R176" s="441">
        <f t="shared" si="971"/>
        <v>0</v>
      </c>
      <c r="S176" s="442">
        <f t="shared" si="972"/>
        <v>0</v>
      </c>
      <c r="T176" s="308"/>
      <c r="U176" s="443"/>
      <c r="V176" s="454">
        <f t="shared" ref="V176:W176" si="1074">X176</f>
        <v>0</v>
      </c>
      <c r="W176" s="454">
        <f t="shared" si="1074"/>
        <v>0</v>
      </c>
      <c r="X176" s="446"/>
      <c r="Y176" s="454"/>
      <c r="Z176" s="454"/>
      <c r="AA176" s="454"/>
      <c r="AB176" s="463">
        <f t="shared" ref="AB176:AC176" si="1075">V176-X176</f>
        <v>0</v>
      </c>
      <c r="AC176" s="464">
        <f t="shared" si="1075"/>
        <v>0</v>
      </c>
      <c r="AD176" s="474" t="e">
        <f t="shared" ref="AD176:AE176" si="1076">1-(V176/Z176)</f>
        <v>#DIV/0!</v>
      </c>
      <c r="AE176" s="474" t="e">
        <f t="shared" si="1076"/>
        <v>#DIV/0!</v>
      </c>
      <c r="AF176" s="475"/>
      <c r="AG176" s="475"/>
      <c r="AH176" s="483"/>
      <c r="AI176" s="483"/>
      <c r="AJ176" s="487">
        <f t="shared" si="522"/>
        <v>0</v>
      </c>
      <c r="AK176" s="475">
        <f t="shared" si="528"/>
        <v>0</v>
      </c>
      <c r="AL176" s="485">
        <f t="shared" ref="AL176:AM176" si="1077">AJ176-Z176</f>
        <v>0</v>
      </c>
      <c r="AM176" s="485">
        <f t="shared" si="1077"/>
        <v>0</v>
      </c>
      <c r="AN176" s="486">
        <f t="shared" si="8"/>
        <v>0</v>
      </c>
      <c r="AO176" s="487">
        <f t="shared" ref="AO176:AP176" si="1078">V176+(V176*$AO$2)</f>
        <v>0</v>
      </c>
      <c r="AP176" s="475">
        <f t="shared" si="1078"/>
        <v>0</v>
      </c>
      <c r="AQ176" s="432" t="b">
        <v>0</v>
      </c>
      <c r="AR176" s="485">
        <f t="shared" ref="AR176:AS176" si="1079">AO176-Z176</f>
        <v>0</v>
      </c>
      <c r="AS176" s="485">
        <f t="shared" si="1079"/>
        <v>0</v>
      </c>
      <c r="AT176" s="486">
        <f t="shared" si="11"/>
        <v>0</v>
      </c>
      <c r="AU176" s="301">
        <f t="shared" si="12"/>
        <v>0</v>
      </c>
      <c r="AV176" s="301">
        <f t="shared" si="969"/>
        <v>0</v>
      </c>
      <c r="BB176" s="302">
        <f t="shared" ref="BB176:BB187" si="1080">AV176</f>
        <v>0</v>
      </c>
      <c r="BC176" s="301"/>
      <c r="BD176" s="303">
        <f t="shared" ref="BD176:BD187" si="1081">(BB176+BC176)/2</f>
        <v>0</v>
      </c>
      <c r="BE176" s="304" t="e">
        <f t="shared" ref="BE176:BE187" si="1082">BB176/BC176</f>
        <v>#DIV/0!</v>
      </c>
      <c r="BF176" s="307">
        <f t="shared" ref="BF176:BF187" si="1083">BB176*$BF$1</f>
        <v>0</v>
      </c>
      <c r="BG176" s="301"/>
      <c r="BH176" s="303">
        <f t="shared" ref="BH176:BH187" si="1084">(BF176+BG176)/2</f>
        <v>0</v>
      </c>
      <c r="BI176" s="304" t="e">
        <f t="shared" ref="BI176:BI187" si="1085">BF176/BG176</f>
        <v>#DIV/0!</v>
      </c>
      <c r="BK176" s="29"/>
      <c r="BL176" s="29"/>
      <c r="BQ176" s="29"/>
      <c r="BR176" s="29"/>
    </row>
    <row r="177" ht="12.75" spans="1:72">
      <c r="A177" s="29" t="s">
        <v>1044</v>
      </c>
      <c r="B177" s="29" t="s">
        <v>1195</v>
      </c>
      <c r="C177" s="29" t="s">
        <v>1442</v>
      </c>
      <c r="D177" s="29" t="s">
        <v>1198</v>
      </c>
      <c r="E177" s="29" t="s">
        <v>1217</v>
      </c>
      <c r="F177" s="29" t="b">
        <v>1</v>
      </c>
      <c r="G177" s="29" t="b">
        <v>0</v>
      </c>
      <c r="H177" s="29" t="b">
        <v>0</v>
      </c>
      <c r="I177" s="29" t="b">
        <v>1</v>
      </c>
      <c r="J177" s="29" t="b">
        <v>0</v>
      </c>
      <c r="K177" s="29" t="b">
        <v>0</v>
      </c>
      <c r="L177" s="29" t="b">
        <v>0</v>
      </c>
      <c r="M177" s="432" t="b">
        <v>0</v>
      </c>
      <c r="N177" s="432" t="b">
        <v>0</v>
      </c>
      <c r="O177" s="29" t="s">
        <v>1443</v>
      </c>
      <c r="P177" s="29" t="s">
        <v>120</v>
      </c>
      <c r="Q177" s="441">
        <f t="shared" si="970"/>
        <v>350</v>
      </c>
      <c r="R177" s="441">
        <f t="shared" si="971"/>
        <v>350</v>
      </c>
      <c r="S177" s="442">
        <f t="shared" si="972"/>
        <v>119.9</v>
      </c>
      <c r="T177" s="29" t="s">
        <v>1203</v>
      </c>
      <c r="U177" s="443"/>
      <c r="V177" s="245">
        <v>59.95</v>
      </c>
      <c r="W177" s="245">
        <v>59.95</v>
      </c>
      <c r="X177" s="444">
        <v>56.2</v>
      </c>
      <c r="Y177" s="245">
        <v>267.73</v>
      </c>
      <c r="Z177" s="360"/>
      <c r="AA177" s="245"/>
      <c r="AB177" s="463">
        <f t="shared" ref="AB177:AC177" si="1086">V177-X177</f>
        <v>3.75</v>
      </c>
      <c r="AC177" s="464">
        <f t="shared" si="1086"/>
        <v>-207.78</v>
      </c>
      <c r="AD177" s="474" t="e">
        <f t="shared" ref="AD177:AE177" si="1087">1-(V177/Z177)</f>
        <v>#DIV/0!</v>
      </c>
      <c r="AE177" s="474" t="e">
        <f t="shared" si="1087"/>
        <v>#DIV/0!</v>
      </c>
      <c r="AF177" s="475"/>
      <c r="AG177" s="475"/>
      <c r="AH177" s="483"/>
      <c r="AI177" s="483"/>
      <c r="AJ177" s="487">
        <f t="shared" si="522"/>
        <v>119.9</v>
      </c>
      <c r="AK177" s="475">
        <f t="shared" si="528"/>
        <v>119.9</v>
      </c>
      <c r="AL177" s="485">
        <f t="shared" ref="AL177:AM177" si="1088">AJ177-Z177</f>
        <v>119.9</v>
      </c>
      <c r="AM177" s="485">
        <f t="shared" si="1088"/>
        <v>119.9</v>
      </c>
      <c r="AN177" s="486">
        <f t="shared" si="8"/>
        <v>479.6</v>
      </c>
      <c r="AO177" s="487">
        <f t="shared" ref="AO177:AP177" si="1089">V177+(V177*$AO$2)</f>
        <v>89.925</v>
      </c>
      <c r="AP177" s="475">
        <f t="shared" si="1089"/>
        <v>89.925</v>
      </c>
      <c r="AQ177" s="432" t="b">
        <v>0</v>
      </c>
      <c r="AR177" s="485">
        <f t="shared" ref="AR177:AS177" si="1090">AO177-Z177</f>
        <v>89.925</v>
      </c>
      <c r="AS177" s="485">
        <f t="shared" si="1090"/>
        <v>89.925</v>
      </c>
      <c r="AT177" s="486">
        <f t="shared" si="11"/>
        <v>359.7</v>
      </c>
      <c r="AU177" s="301">
        <f t="shared" si="12"/>
        <v>270</v>
      </c>
      <c r="AV177" s="301">
        <f t="shared" si="969"/>
        <v>350</v>
      </c>
      <c r="AW177" s="29">
        <v>300</v>
      </c>
      <c r="AX177" s="29">
        <v>400</v>
      </c>
      <c r="BB177" s="302">
        <f t="shared" si="1080"/>
        <v>350</v>
      </c>
      <c r="BC177" s="301"/>
      <c r="BD177" s="303">
        <f t="shared" si="1081"/>
        <v>175</v>
      </c>
      <c r="BE177" s="304" t="e">
        <f t="shared" si="1082"/>
        <v>#DIV/0!</v>
      </c>
      <c r="BF177" s="307">
        <f t="shared" si="1083"/>
        <v>140</v>
      </c>
      <c r="BG177" s="301"/>
      <c r="BH177" s="303">
        <f t="shared" si="1084"/>
        <v>70</v>
      </c>
      <c r="BI177" s="304" t="e">
        <f t="shared" si="1085"/>
        <v>#DIV/0!</v>
      </c>
      <c r="BK177" s="29"/>
      <c r="BL177" s="29"/>
      <c r="BP177" s="29" t="s">
        <v>1198</v>
      </c>
      <c r="BQ177" s="29"/>
      <c r="BR177" s="29"/>
      <c r="BS177" s="29"/>
      <c r="BT177" s="29" t="s">
        <v>1444</v>
      </c>
    </row>
    <row r="178" ht="12.75" spans="1:70">
      <c r="A178" s="29" t="s">
        <v>1022</v>
      </c>
      <c r="B178" s="29" t="s">
        <v>1195</v>
      </c>
      <c r="C178" s="29" t="s">
        <v>1445</v>
      </c>
      <c r="D178" s="29" t="s">
        <v>1198</v>
      </c>
      <c r="E178" s="29" t="s">
        <v>13</v>
      </c>
      <c r="F178" s="29" t="b">
        <v>0</v>
      </c>
      <c r="G178" s="29" t="b">
        <v>1</v>
      </c>
      <c r="H178" s="29" t="b">
        <v>0</v>
      </c>
      <c r="I178" s="29" t="b">
        <v>0</v>
      </c>
      <c r="J178" s="29" t="b">
        <v>0</v>
      </c>
      <c r="K178" s="29" t="b">
        <v>0</v>
      </c>
      <c r="L178" s="29" t="b">
        <v>0</v>
      </c>
      <c r="M178" s="432" t="b">
        <v>0</v>
      </c>
      <c r="N178" s="432" t="b">
        <v>1</v>
      </c>
      <c r="P178" s="29" t="s">
        <v>120</v>
      </c>
      <c r="Q178" s="441">
        <f t="shared" si="970"/>
        <v>350</v>
      </c>
      <c r="R178" s="441">
        <f t="shared" si="971"/>
        <v>350</v>
      </c>
      <c r="S178" s="442">
        <f t="shared" si="972"/>
        <v>0</v>
      </c>
      <c r="T178" s="308"/>
      <c r="U178" s="443"/>
      <c r="V178" s="245"/>
      <c r="W178" s="245"/>
      <c r="X178" s="444">
        <v>56.2</v>
      </c>
      <c r="Y178" s="245">
        <v>267.73</v>
      </c>
      <c r="Z178" s="245"/>
      <c r="AA178" s="245"/>
      <c r="AB178" s="463">
        <f t="shared" ref="AB178:AC178" si="1091">V178-X178</f>
        <v>-56.2</v>
      </c>
      <c r="AC178" s="464">
        <f t="shared" si="1091"/>
        <v>-267.73</v>
      </c>
      <c r="AD178" s="474" t="e">
        <f t="shared" ref="AD178:AE178" si="1092">1-(V178/Z178)</f>
        <v>#DIV/0!</v>
      </c>
      <c r="AE178" s="474" t="e">
        <f t="shared" si="1092"/>
        <v>#DIV/0!</v>
      </c>
      <c r="AF178" s="475"/>
      <c r="AG178" s="475"/>
      <c r="AH178" s="483"/>
      <c r="AI178" s="483"/>
      <c r="AJ178" s="487">
        <f t="shared" si="522"/>
        <v>0</v>
      </c>
      <c r="AK178" s="475">
        <f t="shared" si="528"/>
        <v>0</v>
      </c>
      <c r="AL178" s="485">
        <f t="shared" ref="AL178:AM178" si="1093">AJ178-Z178</f>
        <v>0</v>
      </c>
      <c r="AM178" s="485">
        <f t="shared" si="1093"/>
        <v>0</v>
      </c>
      <c r="AN178" s="486">
        <f t="shared" si="8"/>
        <v>0</v>
      </c>
      <c r="AO178" s="487">
        <f t="shared" ref="AO178:AP178" si="1094">V178+(V178*$AO$2)</f>
        <v>0</v>
      </c>
      <c r="AP178" s="475">
        <f t="shared" si="1094"/>
        <v>0</v>
      </c>
      <c r="AQ178" s="432" t="b">
        <v>0</v>
      </c>
      <c r="AR178" s="485">
        <f t="shared" ref="AR178:AS178" si="1095">AO178-Z178</f>
        <v>0</v>
      </c>
      <c r="AS178" s="485">
        <f t="shared" si="1095"/>
        <v>0</v>
      </c>
      <c r="AT178" s="486">
        <f t="shared" si="11"/>
        <v>0</v>
      </c>
      <c r="AU178" s="301">
        <f t="shared" si="12"/>
        <v>292.5</v>
      </c>
      <c r="AV178" s="301">
        <f t="shared" si="969"/>
        <v>350</v>
      </c>
      <c r="AW178" s="29">
        <v>325</v>
      </c>
      <c r="AX178" s="29">
        <v>375</v>
      </c>
      <c r="BB178" s="302">
        <f t="shared" si="1080"/>
        <v>350</v>
      </c>
      <c r="BC178" s="301"/>
      <c r="BD178" s="303">
        <f t="shared" si="1081"/>
        <v>175</v>
      </c>
      <c r="BE178" s="304" t="e">
        <f t="shared" si="1082"/>
        <v>#DIV/0!</v>
      </c>
      <c r="BF178" s="307">
        <f t="shared" si="1083"/>
        <v>140</v>
      </c>
      <c r="BG178" s="301"/>
      <c r="BH178" s="303">
        <f t="shared" si="1084"/>
        <v>70</v>
      </c>
      <c r="BI178" s="304" t="e">
        <f t="shared" si="1085"/>
        <v>#DIV/0!</v>
      </c>
      <c r="BK178" s="29"/>
      <c r="BL178" s="29"/>
      <c r="BQ178" s="308"/>
      <c r="BR178" s="308"/>
    </row>
    <row r="179" ht="12.75" spans="1:70">
      <c r="A179" s="29" t="s">
        <v>1022</v>
      </c>
      <c r="B179" s="29" t="s">
        <v>1195</v>
      </c>
      <c r="C179" s="29" t="s">
        <v>1446</v>
      </c>
      <c r="D179" s="308"/>
      <c r="E179" s="29" t="s">
        <v>1246</v>
      </c>
      <c r="F179" s="29" t="b">
        <v>0</v>
      </c>
      <c r="G179" s="29" t="b">
        <v>1</v>
      </c>
      <c r="H179" s="29" t="b">
        <v>0</v>
      </c>
      <c r="I179" s="29" t="b">
        <v>0</v>
      </c>
      <c r="J179" s="29" t="b">
        <v>0</v>
      </c>
      <c r="K179" s="29" t="b">
        <v>0</v>
      </c>
      <c r="L179" s="29" t="b">
        <v>0</v>
      </c>
      <c r="M179" s="432" t="b">
        <v>0</v>
      </c>
      <c r="N179" s="432" t="b">
        <v>1</v>
      </c>
      <c r="P179" s="29" t="s">
        <v>120</v>
      </c>
      <c r="Q179" s="441">
        <f t="shared" si="970"/>
        <v>425</v>
      </c>
      <c r="R179" s="441">
        <f t="shared" si="971"/>
        <v>425</v>
      </c>
      <c r="S179" s="442">
        <f t="shared" si="972"/>
        <v>151.8</v>
      </c>
      <c r="T179" s="308"/>
      <c r="U179" s="443"/>
      <c r="V179" s="245">
        <v>75.9</v>
      </c>
      <c r="W179" s="454">
        <f t="shared" ref="W179:W181" si="1096">Y179</f>
        <v>145.35</v>
      </c>
      <c r="X179" s="444">
        <v>29.7</v>
      </c>
      <c r="Y179" s="245">
        <v>145.35</v>
      </c>
      <c r="Z179" s="245"/>
      <c r="AA179" s="245"/>
      <c r="AB179" s="463">
        <f t="shared" ref="AB179:AC179" si="1097">V179-X179</f>
        <v>46.2</v>
      </c>
      <c r="AC179" s="464">
        <f t="shared" si="1097"/>
        <v>0</v>
      </c>
      <c r="AD179" s="474" t="e">
        <f t="shared" ref="AD179:AE179" si="1098">1-(V179/Z179)</f>
        <v>#DIV/0!</v>
      </c>
      <c r="AE179" s="474" t="e">
        <f t="shared" si="1098"/>
        <v>#DIV/0!</v>
      </c>
      <c r="AF179" s="475"/>
      <c r="AG179" s="475"/>
      <c r="AH179" s="483"/>
      <c r="AI179" s="483"/>
      <c r="AJ179" s="487">
        <f t="shared" si="522"/>
        <v>151.8</v>
      </c>
      <c r="AK179" s="475">
        <f t="shared" si="528"/>
        <v>290.7</v>
      </c>
      <c r="AL179" s="485">
        <f t="shared" ref="AL179:AM179" si="1099">AJ179-Z179</f>
        <v>151.8</v>
      </c>
      <c r="AM179" s="485">
        <f t="shared" si="1099"/>
        <v>290.7</v>
      </c>
      <c r="AN179" s="486">
        <f t="shared" si="8"/>
        <v>468.3</v>
      </c>
      <c r="AO179" s="487">
        <f t="shared" ref="AO179:AP179" si="1100">V179+(V179*$AO$2)</f>
        <v>113.85</v>
      </c>
      <c r="AP179" s="475">
        <f t="shared" si="1100"/>
        <v>218.025</v>
      </c>
      <c r="AQ179" s="432" t="b">
        <v>0</v>
      </c>
      <c r="AR179" s="485">
        <f t="shared" ref="AR179:AS179" si="1101">AO179-Z179</f>
        <v>113.85</v>
      </c>
      <c r="AS179" s="485">
        <f t="shared" si="1101"/>
        <v>218.025</v>
      </c>
      <c r="AT179" s="486">
        <f t="shared" si="11"/>
        <v>351.225</v>
      </c>
      <c r="AU179" s="301">
        <f t="shared" si="12"/>
        <v>360</v>
      </c>
      <c r="AV179" s="301">
        <f t="shared" si="969"/>
        <v>425</v>
      </c>
      <c r="AW179" s="29">
        <v>400</v>
      </c>
      <c r="AX179" s="29">
        <v>450</v>
      </c>
      <c r="BB179" s="302">
        <f t="shared" si="1080"/>
        <v>425</v>
      </c>
      <c r="BC179" s="301"/>
      <c r="BD179" s="303">
        <f t="shared" si="1081"/>
        <v>212.5</v>
      </c>
      <c r="BE179" s="304" t="e">
        <f t="shared" si="1082"/>
        <v>#DIV/0!</v>
      </c>
      <c r="BF179" s="307">
        <f t="shared" si="1083"/>
        <v>170</v>
      </c>
      <c r="BG179" s="301"/>
      <c r="BH179" s="303">
        <f t="shared" si="1084"/>
        <v>85</v>
      </c>
      <c r="BI179" s="304" t="e">
        <f t="shared" si="1085"/>
        <v>#DIV/0!</v>
      </c>
      <c r="BK179" s="29"/>
      <c r="BL179" s="29"/>
      <c r="BQ179" s="308"/>
      <c r="BR179" s="308"/>
    </row>
    <row r="180" ht="12.75" spans="1:70">
      <c r="A180" s="29" t="s">
        <v>1022</v>
      </c>
      <c r="B180" s="29" t="s">
        <v>1195</v>
      </c>
      <c r="C180" s="29" t="s">
        <v>1447</v>
      </c>
      <c r="D180" s="308"/>
      <c r="E180" s="29" t="s">
        <v>1280</v>
      </c>
      <c r="F180" s="29" t="b">
        <v>0</v>
      </c>
      <c r="G180" s="29" t="b">
        <v>1</v>
      </c>
      <c r="H180" s="29" t="b">
        <v>0</v>
      </c>
      <c r="I180" s="29" t="b">
        <v>0</v>
      </c>
      <c r="J180" s="29" t="b">
        <v>0</v>
      </c>
      <c r="K180" s="29" t="b">
        <v>0</v>
      </c>
      <c r="L180" s="29" t="b">
        <v>0</v>
      </c>
      <c r="M180" s="432" t="b">
        <v>0</v>
      </c>
      <c r="N180" s="432" t="b">
        <v>1</v>
      </c>
      <c r="P180" s="29" t="s">
        <v>120</v>
      </c>
      <c r="Q180" s="441">
        <f t="shared" si="970"/>
        <v>425</v>
      </c>
      <c r="R180" s="441">
        <f t="shared" si="971"/>
        <v>425</v>
      </c>
      <c r="S180" s="442">
        <f t="shared" si="972"/>
        <v>151.8</v>
      </c>
      <c r="T180" s="308"/>
      <c r="U180" s="443"/>
      <c r="V180" s="245">
        <v>75.9</v>
      </c>
      <c r="W180" s="454">
        <f t="shared" si="1096"/>
        <v>90.67</v>
      </c>
      <c r="X180" s="444">
        <v>200.92</v>
      </c>
      <c r="Y180" s="245">
        <v>90.67</v>
      </c>
      <c r="Z180" s="245"/>
      <c r="AA180" s="245"/>
      <c r="AB180" s="463">
        <f t="shared" ref="AB180:AC180" si="1102">V180-X180</f>
        <v>-125.02</v>
      </c>
      <c r="AC180" s="464">
        <f t="shared" si="1102"/>
        <v>0</v>
      </c>
      <c r="AD180" s="474" t="e">
        <f t="shared" ref="AD180:AE180" si="1103">1-(V180/Z180)</f>
        <v>#DIV/0!</v>
      </c>
      <c r="AE180" s="474" t="e">
        <f t="shared" si="1103"/>
        <v>#DIV/0!</v>
      </c>
      <c r="AF180" s="475"/>
      <c r="AG180" s="475"/>
      <c r="AH180" s="483"/>
      <c r="AI180" s="483"/>
      <c r="AJ180" s="487">
        <f t="shared" si="522"/>
        <v>151.8</v>
      </c>
      <c r="AK180" s="475">
        <f t="shared" si="528"/>
        <v>181.34</v>
      </c>
      <c r="AL180" s="485">
        <f t="shared" ref="AL180:AM180" si="1104">AJ180-Z180</f>
        <v>151.8</v>
      </c>
      <c r="AM180" s="485">
        <f t="shared" si="1104"/>
        <v>181.34</v>
      </c>
      <c r="AN180" s="486">
        <f t="shared" si="8"/>
        <v>577.66</v>
      </c>
      <c r="AO180" s="487">
        <f t="shared" ref="AO180:AP180" si="1105">V180+(V180*$AO$2)</f>
        <v>113.85</v>
      </c>
      <c r="AP180" s="475">
        <f t="shared" si="1105"/>
        <v>136.005</v>
      </c>
      <c r="AQ180" s="432" t="b">
        <v>0</v>
      </c>
      <c r="AR180" s="485">
        <f t="shared" ref="AR180:AS180" si="1106">AO180-Z180</f>
        <v>113.85</v>
      </c>
      <c r="AS180" s="485">
        <f t="shared" si="1106"/>
        <v>136.005</v>
      </c>
      <c r="AT180" s="486">
        <f t="shared" si="11"/>
        <v>433.245</v>
      </c>
      <c r="AU180" s="301">
        <f t="shared" si="12"/>
        <v>360</v>
      </c>
      <c r="AV180" s="301">
        <f t="shared" si="969"/>
        <v>425</v>
      </c>
      <c r="AW180" s="29">
        <v>400</v>
      </c>
      <c r="AX180" s="29">
        <v>450</v>
      </c>
      <c r="BB180" s="302">
        <f t="shared" si="1080"/>
        <v>425</v>
      </c>
      <c r="BC180" s="301"/>
      <c r="BD180" s="303">
        <f t="shared" si="1081"/>
        <v>212.5</v>
      </c>
      <c r="BE180" s="304" t="e">
        <f t="shared" si="1082"/>
        <v>#DIV/0!</v>
      </c>
      <c r="BF180" s="307">
        <f t="shared" si="1083"/>
        <v>170</v>
      </c>
      <c r="BG180" s="301"/>
      <c r="BH180" s="303">
        <f t="shared" si="1084"/>
        <v>85</v>
      </c>
      <c r="BI180" s="304" t="e">
        <f t="shared" si="1085"/>
        <v>#DIV/0!</v>
      </c>
      <c r="BK180" s="29"/>
      <c r="BL180" s="29"/>
      <c r="BQ180" s="308"/>
      <c r="BR180" s="308"/>
    </row>
    <row r="181" ht="12.75" spans="1:70">
      <c r="A181" s="29" t="s">
        <v>1022</v>
      </c>
      <c r="B181" s="29" t="s">
        <v>1195</v>
      </c>
      <c r="C181" s="29" t="s">
        <v>1448</v>
      </c>
      <c r="D181" s="308"/>
      <c r="E181" s="29" t="s">
        <v>1261</v>
      </c>
      <c r="F181" s="29" t="b">
        <v>0</v>
      </c>
      <c r="G181" s="29" t="b">
        <v>1</v>
      </c>
      <c r="H181" s="29" t="b">
        <v>0</v>
      </c>
      <c r="I181" s="29" t="b">
        <v>0</v>
      </c>
      <c r="J181" s="29" t="b">
        <v>0</v>
      </c>
      <c r="K181" s="29" t="b">
        <v>0</v>
      </c>
      <c r="L181" s="29" t="b">
        <v>0</v>
      </c>
      <c r="M181" s="432" t="b">
        <v>0</v>
      </c>
      <c r="N181" s="432" t="b">
        <v>1</v>
      </c>
      <c r="P181" s="29" t="s">
        <v>120</v>
      </c>
      <c r="Q181" s="441">
        <f t="shared" si="970"/>
        <v>425</v>
      </c>
      <c r="R181" s="441">
        <f t="shared" si="971"/>
        <v>425</v>
      </c>
      <c r="S181" s="442">
        <f t="shared" si="972"/>
        <v>151.8</v>
      </c>
      <c r="T181" s="308"/>
      <c r="U181" s="443"/>
      <c r="V181" s="245">
        <v>75.9</v>
      </c>
      <c r="W181" s="454">
        <f t="shared" si="1096"/>
        <v>120.28</v>
      </c>
      <c r="X181" s="444">
        <v>28.11</v>
      </c>
      <c r="Y181" s="245">
        <v>120.28</v>
      </c>
      <c r="Z181" s="245"/>
      <c r="AA181" s="245"/>
      <c r="AB181" s="463">
        <f t="shared" ref="AB181:AC181" si="1107">V181-X181</f>
        <v>47.79</v>
      </c>
      <c r="AC181" s="464">
        <f t="shared" si="1107"/>
        <v>0</v>
      </c>
      <c r="AD181" s="474" t="e">
        <f t="shared" ref="AD181:AE181" si="1108">1-(V181/Z181)</f>
        <v>#DIV/0!</v>
      </c>
      <c r="AE181" s="474" t="e">
        <f t="shared" si="1108"/>
        <v>#DIV/0!</v>
      </c>
      <c r="AF181" s="475"/>
      <c r="AG181" s="475"/>
      <c r="AH181" s="483"/>
      <c r="AI181" s="483"/>
      <c r="AJ181" s="487">
        <f t="shared" si="522"/>
        <v>151.8</v>
      </c>
      <c r="AK181" s="475">
        <f t="shared" si="528"/>
        <v>240.56</v>
      </c>
      <c r="AL181" s="485">
        <f t="shared" ref="AL181:AM181" si="1109">AJ181-Z181</f>
        <v>151.8</v>
      </c>
      <c r="AM181" s="485">
        <f t="shared" si="1109"/>
        <v>240.56</v>
      </c>
      <c r="AN181" s="486">
        <f t="shared" si="8"/>
        <v>518.44</v>
      </c>
      <c r="AO181" s="487">
        <f t="shared" ref="AO181:AP181" si="1110">V181+(V181*$AO$2)</f>
        <v>113.85</v>
      </c>
      <c r="AP181" s="475">
        <f t="shared" si="1110"/>
        <v>180.42</v>
      </c>
      <c r="AQ181" s="432" t="b">
        <v>0</v>
      </c>
      <c r="AR181" s="485">
        <f t="shared" ref="AR181:AS181" si="1111">AO181-Z181</f>
        <v>113.85</v>
      </c>
      <c r="AS181" s="485">
        <f t="shared" si="1111"/>
        <v>180.42</v>
      </c>
      <c r="AT181" s="486">
        <f t="shared" si="11"/>
        <v>388.83</v>
      </c>
      <c r="AU181" s="301">
        <f t="shared" si="12"/>
        <v>360</v>
      </c>
      <c r="AV181" s="301">
        <f t="shared" si="969"/>
        <v>425</v>
      </c>
      <c r="AW181" s="29">
        <v>400</v>
      </c>
      <c r="AX181" s="29">
        <v>450</v>
      </c>
      <c r="BB181" s="302">
        <f t="shared" si="1080"/>
        <v>425</v>
      </c>
      <c r="BC181" s="301"/>
      <c r="BD181" s="303">
        <f t="shared" si="1081"/>
        <v>212.5</v>
      </c>
      <c r="BE181" s="304" t="e">
        <f t="shared" si="1082"/>
        <v>#DIV/0!</v>
      </c>
      <c r="BF181" s="307">
        <f t="shared" si="1083"/>
        <v>170</v>
      </c>
      <c r="BG181" s="301"/>
      <c r="BH181" s="303">
        <f t="shared" si="1084"/>
        <v>85</v>
      </c>
      <c r="BI181" s="304" t="e">
        <f t="shared" si="1085"/>
        <v>#DIV/0!</v>
      </c>
      <c r="BK181" s="29"/>
      <c r="BL181" s="29"/>
      <c r="BQ181" s="308"/>
      <c r="BR181" s="308"/>
    </row>
    <row r="182" ht="12.75" spans="1:70">
      <c r="A182" s="29" t="s">
        <v>1044</v>
      </c>
      <c r="B182" s="29" t="s">
        <v>1195</v>
      </c>
      <c r="C182" s="29" t="s">
        <v>1449</v>
      </c>
      <c r="D182" s="308"/>
      <c r="E182" s="29" t="s">
        <v>1246</v>
      </c>
      <c r="F182" s="29" t="b">
        <v>0</v>
      </c>
      <c r="G182" s="29" t="b">
        <v>1</v>
      </c>
      <c r="H182" s="29" t="b">
        <v>0</v>
      </c>
      <c r="I182" s="29" t="b">
        <v>0</v>
      </c>
      <c r="J182" s="29" t="b">
        <v>0</v>
      </c>
      <c r="K182" s="29" t="b">
        <v>0</v>
      </c>
      <c r="L182" s="29" t="b">
        <v>0</v>
      </c>
      <c r="M182" s="432" t="b">
        <v>0</v>
      </c>
      <c r="N182" s="432" t="b">
        <v>1</v>
      </c>
      <c r="P182" s="29" t="s">
        <v>120</v>
      </c>
      <c r="Q182" s="441">
        <f t="shared" si="970"/>
        <v>425</v>
      </c>
      <c r="R182" s="441">
        <f t="shared" si="971"/>
        <v>425</v>
      </c>
      <c r="S182" s="442">
        <f t="shared" si="972"/>
        <v>0</v>
      </c>
      <c r="T182" s="308"/>
      <c r="U182" s="443"/>
      <c r="V182" s="245"/>
      <c r="W182" s="245"/>
      <c r="X182" s="444">
        <v>20.34</v>
      </c>
      <c r="Y182" s="245">
        <v>98.52</v>
      </c>
      <c r="Z182" s="245"/>
      <c r="AA182" s="245"/>
      <c r="AB182" s="463">
        <f t="shared" ref="AB182:AC182" si="1112">V182-X182</f>
        <v>-20.34</v>
      </c>
      <c r="AC182" s="464">
        <f t="shared" si="1112"/>
        <v>-98.52</v>
      </c>
      <c r="AD182" s="474" t="e">
        <f t="shared" ref="AD182:AE182" si="1113">1-(V182/Z182)</f>
        <v>#DIV/0!</v>
      </c>
      <c r="AE182" s="474" t="e">
        <f t="shared" si="1113"/>
        <v>#DIV/0!</v>
      </c>
      <c r="AF182" s="475"/>
      <c r="AG182" s="475"/>
      <c r="AH182" s="483"/>
      <c r="AI182" s="483"/>
      <c r="AJ182" s="487">
        <f t="shared" si="522"/>
        <v>0</v>
      </c>
      <c r="AK182" s="475">
        <f t="shared" si="528"/>
        <v>0</v>
      </c>
      <c r="AL182" s="485">
        <f t="shared" ref="AL182:AM182" si="1114">AJ182-Z182</f>
        <v>0</v>
      </c>
      <c r="AM182" s="485">
        <f t="shared" si="1114"/>
        <v>0</v>
      </c>
      <c r="AN182" s="486">
        <f t="shared" si="8"/>
        <v>0</v>
      </c>
      <c r="AO182" s="487">
        <f t="shared" ref="AO182:AP182" si="1115">V182+(V182*$AO$2)</f>
        <v>0</v>
      </c>
      <c r="AP182" s="475">
        <f t="shared" si="1115"/>
        <v>0</v>
      </c>
      <c r="AQ182" s="432" t="b">
        <v>0</v>
      </c>
      <c r="AR182" s="485">
        <f t="shared" ref="AR182:AS182" si="1116">AO182-Z182</f>
        <v>0</v>
      </c>
      <c r="AS182" s="485">
        <f t="shared" si="1116"/>
        <v>0</v>
      </c>
      <c r="AT182" s="486">
        <f t="shared" si="11"/>
        <v>0</v>
      </c>
      <c r="AU182" s="301">
        <f t="shared" si="12"/>
        <v>360</v>
      </c>
      <c r="AV182" s="301">
        <f t="shared" si="969"/>
        <v>425</v>
      </c>
      <c r="AW182" s="29">
        <v>400</v>
      </c>
      <c r="AX182" s="29">
        <v>450</v>
      </c>
      <c r="BB182" s="302">
        <f t="shared" si="1080"/>
        <v>425</v>
      </c>
      <c r="BC182" s="301"/>
      <c r="BD182" s="303">
        <f t="shared" si="1081"/>
        <v>212.5</v>
      </c>
      <c r="BE182" s="304" t="e">
        <f t="shared" si="1082"/>
        <v>#DIV/0!</v>
      </c>
      <c r="BF182" s="307">
        <f t="shared" si="1083"/>
        <v>170</v>
      </c>
      <c r="BG182" s="301"/>
      <c r="BH182" s="303">
        <f t="shared" si="1084"/>
        <v>85</v>
      </c>
      <c r="BI182" s="304" t="e">
        <f t="shared" si="1085"/>
        <v>#DIV/0!</v>
      </c>
      <c r="BK182" s="29"/>
      <c r="BL182" s="29"/>
      <c r="BQ182" s="308"/>
      <c r="BR182" s="308"/>
    </row>
    <row r="183" ht="12.75" spans="1:70">
      <c r="A183" s="29" t="s">
        <v>1044</v>
      </c>
      <c r="B183" s="29" t="s">
        <v>1195</v>
      </c>
      <c r="C183" s="29" t="s">
        <v>1450</v>
      </c>
      <c r="D183" s="308"/>
      <c r="E183" s="29" t="s">
        <v>1280</v>
      </c>
      <c r="F183" s="29" t="b">
        <v>0</v>
      </c>
      <c r="G183" s="29" t="b">
        <v>1</v>
      </c>
      <c r="H183" s="29" t="b">
        <v>0</v>
      </c>
      <c r="I183" s="29" t="b">
        <v>0</v>
      </c>
      <c r="J183" s="29" t="b">
        <v>0</v>
      </c>
      <c r="K183" s="29" t="b">
        <v>0</v>
      </c>
      <c r="L183" s="29" t="b">
        <v>0</v>
      </c>
      <c r="M183" s="432" t="b">
        <v>0</v>
      </c>
      <c r="N183" s="432" t="b">
        <v>1</v>
      </c>
      <c r="P183" s="29" t="s">
        <v>120</v>
      </c>
      <c r="Q183" s="441">
        <f t="shared" si="970"/>
        <v>425</v>
      </c>
      <c r="R183" s="441">
        <f t="shared" si="971"/>
        <v>425</v>
      </c>
      <c r="S183" s="442">
        <f t="shared" si="972"/>
        <v>0</v>
      </c>
      <c r="T183" s="308"/>
      <c r="U183" s="443"/>
      <c r="V183" s="245"/>
      <c r="W183" s="245"/>
      <c r="X183" s="444">
        <v>19.06</v>
      </c>
      <c r="Y183" s="245">
        <v>92.15</v>
      </c>
      <c r="Z183" s="245"/>
      <c r="AA183" s="245"/>
      <c r="AB183" s="463">
        <f t="shared" ref="AB183:AC183" si="1117">V183-X183</f>
        <v>-19.06</v>
      </c>
      <c r="AC183" s="464">
        <f t="shared" si="1117"/>
        <v>-92.15</v>
      </c>
      <c r="AD183" s="474" t="e">
        <f t="shared" ref="AD183:AE183" si="1118">1-(V183/Z183)</f>
        <v>#DIV/0!</v>
      </c>
      <c r="AE183" s="474" t="e">
        <f t="shared" si="1118"/>
        <v>#DIV/0!</v>
      </c>
      <c r="AF183" s="475"/>
      <c r="AG183" s="475"/>
      <c r="AH183" s="483"/>
      <c r="AI183" s="483"/>
      <c r="AJ183" s="487">
        <f t="shared" si="522"/>
        <v>0</v>
      </c>
      <c r="AK183" s="475">
        <f t="shared" si="528"/>
        <v>0</v>
      </c>
      <c r="AL183" s="485">
        <f t="shared" ref="AL183:AM183" si="1119">AJ183-Z183</f>
        <v>0</v>
      </c>
      <c r="AM183" s="485">
        <f t="shared" si="1119"/>
        <v>0</v>
      </c>
      <c r="AN183" s="486">
        <f t="shared" si="8"/>
        <v>0</v>
      </c>
      <c r="AO183" s="487">
        <f t="shared" ref="AO183:AP183" si="1120">V183+(V183*$AO$2)</f>
        <v>0</v>
      </c>
      <c r="AP183" s="475">
        <f t="shared" si="1120"/>
        <v>0</v>
      </c>
      <c r="AQ183" s="432" t="b">
        <v>0</v>
      </c>
      <c r="AR183" s="485">
        <f t="shared" ref="AR183:AS183" si="1121">AO183-Z183</f>
        <v>0</v>
      </c>
      <c r="AS183" s="485">
        <f t="shared" si="1121"/>
        <v>0</v>
      </c>
      <c r="AT183" s="486">
        <f t="shared" si="11"/>
        <v>0</v>
      </c>
      <c r="AU183" s="301">
        <f t="shared" si="12"/>
        <v>360</v>
      </c>
      <c r="AV183" s="301">
        <f t="shared" si="969"/>
        <v>425</v>
      </c>
      <c r="AW183" s="29">
        <v>400</v>
      </c>
      <c r="AX183" s="29">
        <v>450</v>
      </c>
      <c r="BB183" s="302">
        <f t="shared" si="1080"/>
        <v>425</v>
      </c>
      <c r="BC183" s="301"/>
      <c r="BD183" s="303">
        <f t="shared" si="1081"/>
        <v>212.5</v>
      </c>
      <c r="BE183" s="304" t="e">
        <f t="shared" si="1082"/>
        <v>#DIV/0!</v>
      </c>
      <c r="BF183" s="307">
        <f t="shared" si="1083"/>
        <v>170</v>
      </c>
      <c r="BG183" s="301"/>
      <c r="BH183" s="303">
        <f t="shared" si="1084"/>
        <v>85</v>
      </c>
      <c r="BI183" s="304" t="e">
        <f t="shared" si="1085"/>
        <v>#DIV/0!</v>
      </c>
      <c r="BK183" s="29"/>
      <c r="BL183" s="29"/>
      <c r="BQ183" s="308"/>
      <c r="BR183" s="308"/>
    </row>
    <row r="184" ht="12.75" spans="1:70">
      <c r="A184" s="29" t="s">
        <v>1044</v>
      </c>
      <c r="B184" s="29" t="s">
        <v>1195</v>
      </c>
      <c r="C184" s="29" t="s">
        <v>1451</v>
      </c>
      <c r="D184" s="308"/>
      <c r="E184" s="29" t="s">
        <v>13</v>
      </c>
      <c r="F184" s="29" t="b">
        <v>0</v>
      </c>
      <c r="G184" s="29" t="b">
        <v>1</v>
      </c>
      <c r="H184" s="29" t="b">
        <v>0</v>
      </c>
      <c r="I184" s="29" t="b">
        <v>0</v>
      </c>
      <c r="J184" s="29" t="b">
        <v>0</v>
      </c>
      <c r="L184" s="29" t="b">
        <v>0</v>
      </c>
      <c r="M184" s="432" t="b">
        <v>0</v>
      </c>
      <c r="N184" s="432" t="b">
        <v>1</v>
      </c>
      <c r="P184" s="29" t="s">
        <v>120</v>
      </c>
      <c r="Q184" s="441">
        <f t="shared" si="970"/>
        <v>425</v>
      </c>
      <c r="R184" s="441">
        <f t="shared" si="971"/>
        <v>425</v>
      </c>
      <c r="S184" s="442">
        <f t="shared" si="972"/>
        <v>0</v>
      </c>
      <c r="T184" s="308"/>
      <c r="U184" s="443"/>
      <c r="V184" s="245"/>
      <c r="W184" s="245"/>
      <c r="X184" s="444">
        <v>22.92</v>
      </c>
      <c r="Y184" s="245">
        <v>111.35</v>
      </c>
      <c r="Z184" s="245"/>
      <c r="AA184" s="245"/>
      <c r="AB184" s="463">
        <f t="shared" ref="AB184:AC184" si="1122">V184-X184</f>
        <v>-22.92</v>
      </c>
      <c r="AC184" s="464">
        <f t="shared" si="1122"/>
        <v>-111.35</v>
      </c>
      <c r="AD184" s="474" t="e">
        <f t="shared" ref="AD184:AE184" si="1123">1-(V184/Z184)</f>
        <v>#DIV/0!</v>
      </c>
      <c r="AE184" s="474" t="e">
        <f t="shared" si="1123"/>
        <v>#DIV/0!</v>
      </c>
      <c r="AF184" s="475"/>
      <c r="AG184" s="475"/>
      <c r="AH184" s="483"/>
      <c r="AI184" s="483"/>
      <c r="AJ184" s="487">
        <f t="shared" si="522"/>
        <v>0</v>
      </c>
      <c r="AK184" s="475">
        <f t="shared" si="528"/>
        <v>0</v>
      </c>
      <c r="AL184" s="485">
        <f t="shared" ref="AL184:AM184" si="1124">AJ184-Z184</f>
        <v>0</v>
      </c>
      <c r="AM184" s="485">
        <f t="shared" si="1124"/>
        <v>0</v>
      </c>
      <c r="AN184" s="486">
        <f t="shared" si="8"/>
        <v>0</v>
      </c>
      <c r="AO184" s="487">
        <f t="shared" ref="AO184:AP184" si="1125">V184+(V184*$AO$2)</f>
        <v>0</v>
      </c>
      <c r="AP184" s="475">
        <f t="shared" si="1125"/>
        <v>0</v>
      </c>
      <c r="AQ184" s="432" t="b">
        <v>0</v>
      </c>
      <c r="AR184" s="485">
        <f t="shared" ref="AR184:AS184" si="1126">AO184-Z184</f>
        <v>0</v>
      </c>
      <c r="AS184" s="485">
        <f t="shared" si="1126"/>
        <v>0</v>
      </c>
      <c r="AT184" s="486">
        <f t="shared" si="11"/>
        <v>0</v>
      </c>
      <c r="AU184" s="301">
        <f t="shared" si="12"/>
        <v>360</v>
      </c>
      <c r="AV184" s="301">
        <f t="shared" si="969"/>
        <v>425</v>
      </c>
      <c r="AW184" s="29">
        <v>400</v>
      </c>
      <c r="AX184" s="29">
        <v>450</v>
      </c>
      <c r="BB184" s="302">
        <f t="shared" si="1080"/>
        <v>425</v>
      </c>
      <c r="BC184" s="301"/>
      <c r="BD184" s="303">
        <f t="shared" si="1081"/>
        <v>212.5</v>
      </c>
      <c r="BE184" s="304" t="e">
        <f t="shared" si="1082"/>
        <v>#DIV/0!</v>
      </c>
      <c r="BF184" s="307">
        <f t="shared" si="1083"/>
        <v>170</v>
      </c>
      <c r="BG184" s="301"/>
      <c r="BH184" s="303">
        <f t="shared" si="1084"/>
        <v>85</v>
      </c>
      <c r="BI184" s="304" t="e">
        <f t="shared" si="1085"/>
        <v>#DIV/0!</v>
      </c>
      <c r="BK184" s="29"/>
      <c r="BL184" s="29"/>
      <c r="BQ184" s="308"/>
      <c r="BR184" s="308"/>
    </row>
    <row r="185" ht="12.75" spans="1:70">
      <c r="A185" s="29" t="s">
        <v>1044</v>
      </c>
      <c r="B185" s="29" t="s">
        <v>1195</v>
      </c>
      <c r="C185" s="29" t="s">
        <v>1452</v>
      </c>
      <c r="D185" s="308"/>
      <c r="E185" s="29" t="s">
        <v>1453</v>
      </c>
      <c r="F185" s="29" t="b">
        <v>0</v>
      </c>
      <c r="G185" s="29" t="b">
        <v>1</v>
      </c>
      <c r="H185" s="29" t="b">
        <v>0</v>
      </c>
      <c r="I185" s="29" t="b">
        <v>0</v>
      </c>
      <c r="J185" s="29" t="b">
        <v>0</v>
      </c>
      <c r="K185" s="29" t="b">
        <v>0</v>
      </c>
      <c r="L185" s="29" t="b">
        <v>0</v>
      </c>
      <c r="M185" s="432" t="b">
        <v>0</v>
      </c>
      <c r="N185" s="432" t="b">
        <v>1</v>
      </c>
      <c r="P185" s="29" t="s">
        <v>120</v>
      </c>
      <c r="Q185" s="441">
        <f t="shared" si="970"/>
        <v>425</v>
      </c>
      <c r="R185" s="441">
        <f t="shared" si="971"/>
        <v>425</v>
      </c>
      <c r="S185" s="442">
        <f t="shared" si="972"/>
        <v>0</v>
      </c>
      <c r="T185" s="308"/>
      <c r="U185" s="443"/>
      <c r="V185" s="245"/>
      <c r="W185" s="245"/>
      <c r="X185" s="444">
        <v>20.34</v>
      </c>
      <c r="Y185" s="245">
        <v>98.52</v>
      </c>
      <c r="Z185" s="245"/>
      <c r="AA185" s="245"/>
      <c r="AB185" s="463">
        <f t="shared" ref="AB185:AC185" si="1127">V185-X185</f>
        <v>-20.34</v>
      </c>
      <c r="AC185" s="464">
        <f t="shared" si="1127"/>
        <v>-98.52</v>
      </c>
      <c r="AD185" s="474" t="e">
        <f t="shared" ref="AD185:AE185" si="1128">1-(V185/Z185)</f>
        <v>#DIV/0!</v>
      </c>
      <c r="AE185" s="474" t="e">
        <f t="shared" si="1128"/>
        <v>#DIV/0!</v>
      </c>
      <c r="AF185" s="475"/>
      <c r="AG185" s="475"/>
      <c r="AH185" s="483"/>
      <c r="AI185" s="483"/>
      <c r="AJ185" s="487">
        <f t="shared" si="522"/>
        <v>0</v>
      </c>
      <c r="AK185" s="475">
        <f t="shared" si="528"/>
        <v>0</v>
      </c>
      <c r="AL185" s="485">
        <f t="shared" ref="AL185:AM185" si="1129">AJ185-Z185</f>
        <v>0</v>
      </c>
      <c r="AM185" s="485">
        <f t="shared" si="1129"/>
        <v>0</v>
      </c>
      <c r="AN185" s="486">
        <f t="shared" si="8"/>
        <v>0</v>
      </c>
      <c r="AO185" s="487">
        <f t="shared" ref="AO185:AP185" si="1130">V185+(V185*$AO$2)</f>
        <v>0</v>
      </c>
      <c r="AP185" s="475">
        <f t="shared" si="1130"/>
        <v>0</v>
      </c>
      <c r="AQ185" s="432" t="b">
        <v>0</v>
      </c>
      <c r="AR185" s="485">
        <f t="shared" ref="AR185:AS185" si="1131">AO185-Z185</f>
        <v>0</v>
      </c>
      <c r="AS185" s="485">
        <f t="shared" si="1131"/>
        <v>0</v>
      </c>
      <c r="AT185" s="486">
        <f t="shared" si="11"/>
        <v>0</v>
      </c>
      <c r="AU185" s="301">
        <f t="shared" si="12"/>
        <v>360</v>
      </c>
      <c r="AV185" s="301">
        <f t="shared" si="969"/>
        <v>425</v>
      </c>
      <c r="AW185" s="29">
        <v>400</v>
      </c>
      <c r="AX185" s="29">
        <v>450</v>
      </c>
      <c r="BB185" s="302">
        <f t="shared" si="1080"/>
        <v>425</v>
      </c>
      <c r="BC185" s="301"/>
      <c r="BD185" s="303">
        <f t="shared" si="1081"/>
        <v>212.5</v>
      </c>
      <c r="BE185" s="304" t="e">
        <f t="shared" si="1082"/>
        <v>#DIV/0!</v>
      </c>
      <c r="BF185" s="307">
        <f t="shared" si="1083"/>
        <v>170</v>
      </c>
      <c r="BG185" s="301"/>
      <c r="BH185" s="303">
        <f t="shared" si="1084"/>
        <v>85</v>
      </c>
      <c r="BI185" s="304" t="e">
        <f t="shared" si="1085"/>
        <v>#DIV/0!</v>
      </c>
      <c r="BK185" s="29"/>
      <c r="BL185" s="29"/>
      <c r="BQ185" s="308"/>
      <c r="BR185" s="308"/>
    </row>
    <row r="186" ht="12.75" spans="1:70">
      <c r="A186" s="29" t="s">
        <v>1044</v>
      </c>
      <c r="B186" s="29" t="s">
        <v>1195</v>
      </c>
      <c r="C186" s="29" t="s">
        <v>1454</v>
      </c>
      <c r="D186" s="308"/>
      <c r="E186" s="29" t="s">
        <v>1261</v>
      </c>
      <c r="F186" s="29" t="b">
        <v>0</v>
      </c>
      <c r="G186" s="29" t="b">
        <v>1</v>
      </c>
      <c r="H186" s="29" t="b">
        <v>0</v>
      </c>
      <c r="I186" s="29" t="b">
        <v>0</v>
      </c>
      <c r="J186" s="29" t="b">
        <v>0</v>
      </c>
      <c r="K186" s="29" t="b">
        <v>0</v>
      </c>
      <c r="L186" s="29" t="b">
        <v>0</v>
      </c>
      <c r="M186" s="432" t="b">
        <v>0</v>
      </c>
      <c r="N186" s="432" t="b">
        <v>1</v>
      </c>
      <c r="P186" s="29" t="s">
        <v>120</v>
      </c>
      <c r="Q186" s="441">
        <f t="shared" si="970"/>
        <v>425</v>
      </c>
      <c r="R186" s="441">
        <f t="shared" si="971"/>
        <v>425</v>
      </c>
      <c r="S186" s="442">
        <f t="shared" si="972"/>
        <v>0</v>
      </c>
      <c r="T186" s="308"/>
      <c r="U186" s="443"/>
      <c r="V186" s="245"/>
      <c r="W186" s="245"/>
      <c r="X186" s="444">
        <v>22.25</v>
      </c>
      <c r="Y186" s="245">
        <v>109.29</v>
      </c>
      <c r="Z186" s="245"/>
      <c r="AA186" s="245"/>
      <c r="AB186" s="463">
        <f t="shared" ref="AB186:AC186" si="1132">V186-X186</f>
        <v>-22.25</v>
      </c>
      <c r="AC186" s="464">
        <f t="shared" si="1132"/>
        <v>-109.29</v>
      </c>
      <c r="AD186" s="474" t="e">
        <f t="shared" ref="AD186:AE186" si="1133">1-(V186/Z186)</f>
        <v>#DIV/0!</v>
      </c>
      <c r="AE186" s="474" t="e">
        <f t="shared" si="1133"/>
        <v>#DIV/0!</v>
      </c>
      <c r="AF186" s="475"/>
      <c r="AG186" s="475"/>
      <c r="AH186" s="483"/>
      <c r="AI186" s="483"/>
      <c r="AJ186" s="487">
        <f t="shared" si="522"/>
        <v>0</v>
      </c>
      <c r="AK186" s="475">
        <f t="shared" si="528"/>
        <v>0</v>
      </c>
      <c r="AL186" s="485">
        <f t="shared" ref="AL186:AM186" si="1134">AJ186-Z186</f>
        <v>0</v>
      </c>
      <c r="AM186" s="485">
        <f t="shared" si="1134"/>
        <v>0</v>
      </c>
      <c r="AN186" s="486">
        <f t="shared" si="8"/>
        <v>0</v>
      </c>
      <c r="AO186" s="487">
        <f t="shared" ref="AO186:AP186" si="1135">V186+(V186*$AO$2)</f>
        <v>0</v>
      </c>
      <c r="AP186" s="475">
        <f t="shared" si="1135"/>
        <v>0</v>
      </c>
      <c r="AQ186" s="432" t="b">
        <v>0</v>
      </c>
      <c r="AR186" s="485">
        <f t="shared" ref="AR186:AS186" si="1136">AO186-Z186</f>
        <v>0</v>
      </c>
      <c r="AS186" s="485">
        <f t="shared" si="1136"/>
        <v>0</v>
      </c>
      <c r="AT186" s="486">
        <f t="shared" si="11"/>
        <v>0</v>
      </c>
      <c r="AU186" s="301">
        <f t="shared" si="12"/>
        <v>360</v>
      </c>
      <c r="AV186" s="301">
        <f t="shared" si="969"/>
        <v>425</v>
      </c>
      <c r="AW186" s="29">
        <v>400</v>
      </c>
      <c r="AX186" s="29">
        <v>450</v>
      </c>
      <c r="BB186" s="302">
        <f t="shared" si="1080"/>
        <v>425</v>
      </c>
      <c r="BC186" s="301"/>
      <c r="BD186" s="303">
        <f t="shared" si="1081"/>
        <v>212.5</v>
      </c>
      <c r="BE186" s="304" t="e">
        <f t="shared" si="1082"/>
        <v>#DIV/0!</v>
      </c>
      <c r="BF186" s="307">
        <f t="shared" si="1083"/>
        <v>170</v>
      </c>
      <c r="BG186" s="301"/>
      <c r="BH186" s="303">
        <f t="shared" si="1084"/>
        <v>85</v>
      </c>
      <c r="BI186" s="304" t="e">
        <f t="shared" si="1085"/>
        <v>#DIV/0!</v>
      </c>
      <c r="BK186" s="29"/>
      <c r="BL186" s="29"/>
      <c r="BQ186" s="308"/>
      <c r="BR186" s="308"/>
    </row>
    <row r="187" ht="12.75" spans="1:70">
      <c r="A187" s="29" t="s">
        <v>1455</v>
      </c>
      <c r="B187" s="29" t="s">
        <v>1195</v>
      </c>
      <c r="C187" s="29" t="s">
        <v>1456</v>
      </c>
      <c r="D187" s="308"/>
      <c r="E187" s="29" t="s">
        <v>1280</v>
      </c>
      <c r="F187" s="29" t="b">
        <v>0</v>
      </c>
      <c r="G187" s="29" t="b">
        <v>1</v>
      </c>
      <c r="H187" s="29" t="b">
        <v>0</v>
      </c>
      <c r="I187" s="29" t="b">
        <v>0</v>
      </c>
      <c r="J187" s="29" t="b">
        <v>0</v>
      </c>
      <c r="K187" s="29" t="b">
        <v>0</v>
      </c>
      <c r="L187" s="29" t="b">
        <v>0</v>
      </c>
      <c r="M187" s="432" t="b">
        <v>0</v>
      </c>
      <c r="N187" s="432" t="b">
        <v>1</v>
      </c>
      <c r="P187" s="29" t="s">
        <v>120</v>
      </c>
      <c r="Q187" s="441">
        <f t="shared" si="970"/>
        <v>337.5</v>
      </c>
      <c r="R187" s="441">
        <f t="shared" si="971"/>
        <v>337.5</v>
      </c>
      <c r="S187" s="442">
        <f t="shared" si="972"/>
        <v>0</v>
      </c>
      <c r="T187" s="308"/>
      <c r="U187" s="443"/>
      <c r="V187" s="245"/>
      <c r="W187" s="245"/>
      <c r="X187" s="444" t="s">
        <v>117</v>
      </c>
      <c r="Y187" s="245">
        <v>83.67</v>
      </c>
      <c r="Z187" s="245"/>
      <c r="AA187" s="245"/>
      <c r="AB187" s="463" t="e">
        <f t="shared" ref="AB187:AC187" si="1137">V187-X187</f>
        <v>#VALUE!</v>
      </c>
      <c r="AC187" s="464">
        <f t="shared" si="1137"/>
        <v>-83.67</v>
      </c>
      <c r="AD187" s="474" t="e">
        <f t="shared" ref="AD187:AE187" si="1138">1-(V187/Z187)</f>
        <v>#DIV/0!</v>
      </c>
      <c r="AE187" s="474" t="e">
        <f t="shared" si="1138"/>
        <v>#DIV/0!</v>
      </c>
      <c r="AF187" s="475"/>
      <c r="AG187" s="475"/>
      <c r="AH187" s="483"/>
      <c r="AI187" s="483"/>
      <c r="AJ187" s="487">
        <f t="shared" si="522"/>
        <v>0</v>
      </c>
      <c r="AK187" s="475">
        <f t="shared" si="528"/>
        <v>0</v>
      </c>
      <c r="AL187" s="485">
        <f t="shared" ref="AL187:AM187" si="1139">AJ187-Z187</f>
        <v>0</v>
      </c>
      <c r="AM187" s="485">
        <f t="shared" si="1139"/>
        <v>0</v>
      </c>
      <c r="AN187" s="486">
        <f t="shared" si="8"/>
        <v>0</v>
      </c>
      <c r="AO187" s="487">
        <f t="shared" ref="AO187:AP187" si="1140">V187+(V187*$AO$2)</f>
        <v>0</v>
      </c>
      <c r="AP187" s="475">
        <f t="shared" si="1140"/>
        <v>0</v>
      </c>
      <c r="AQ187" s="432" t="b">
        <v>0</v>
      </c>
      <c r="AR187" s="485">
        <f t="shared" ref="AR187:AS187" si="1141">AO187-Z187</f>
        <v>0</v>
      </c>
      <c r="AS187" s="485">
        <f t="shared" si="1141"/>
        <v>0</v>
      </c>
      <c r="AT187" s="486">
        <f t="shared" si="11"/>
        <v>0</v>
      </c>
      <c r="AU187" s="301">
        <f t="shared" si="12"/>
        <v>279</v>
      </c>
      <c r="AV187" s="301">
        <f t="shared" si="969"/>
        <v>337.5</v>
      </c>
      <c r="AW187" s="29">
        <v>310</v>
      </c>
      <c r="AX187" s="29">
        <v>365</v>
      </c>
      <c r="BB187" s="302">
        <f t="shared" si="1080"/>
        <v>337.5</v>
      </c>
      <c r="BC187" s="301"/>
      <c r="BD187" s="303">
        <f t="shared" si="1081"/>
        <v>168.75</v>
      </c>
      <c r="BE187" s="304" t="e">
        <f t="shared" si="1082"/>
        <v>#DIV/0!</v>
      </c>
      <c r="BF187" s="307">
        <f t="shared" si="1083"/>
        <v>135</v>
      </c>
      <c r="BG187" s="301"/>
      <c r="BH187" s="303">
        <f t="shared" si="1084"/>
        <v>67.5</v>
      </c>
      <c r="BI187" s="304" t="e">
        <f t="shared" si="1085"/>
        <v>#DIV/0!</v>
      </c>
      <c r="BK187" s="29"/>
      <c r="BL187" s="29"/>
      <c r="BQ187" s="308"/>
      <c r="BR187" s="308"/>
    </row>
    <row r="188" ht="12.75" spans="1:70">
      <c r="A188" s="29" t="s">
        <v>1022</v>
      </c>
      <c r="B188" s="29" t="s">
        <v>1195</v>
      </c>
      <c r="C188" s="29" t="s">
        <v>1457</v>
      </c>
      <c r="D188" s="29" t="s">
        <v>1198</v>
      </c>
      <c r="E188" s="29" t="s">
        <v>1458</v>
      </c>
      <c r="F188" s="29" t="b">
        <v>0</v>
      </c>
      <c r="G188" s="29" t="b">
        <v>1</v>
      </c>
      <c r="H188" s="29" t="b">
        <v>0</v>
      </c>
      <c r="I188" s="29" t="b">
        <v>0</v>
      </c>
      <c r="J188" s="29" t="b">
        <v>0</v>
      </c>
      <c r="K188" s="29" t="b">
        <v>0</v>
      </c>
      <c r="L188" s="29" t="b">
        <v>0</v>
      </c>
      <c r="M188" s="432" t="b">
        <v>0</v>
      </c>
      <c r="N188" s="432" t="b">
        <v>1</v>
      </c>
      <c r="P188" s="29"/>
      <c r="Q188" s="441">
        <f t="shared" si="970"/>
        <v>500</v>
      </c>
      <c r="R188" s="441">
        <f t="shared" si="971"/>
        <v>500</v>
      </c>
      <c r="S188" s="442">
        <f t="shared" si="972"/>
        <v>0</v>
      </c>
      <c r="T188" s="308"/>
      <c r="U188" s="443"/>
      <c r="V188" s="245"/>
      <c r="W188" s="245"/>
      <c r="X188" s="444">
        <v>59.92</v>
      </c>
      <c r="Y188" s="245">
        <v>296.37</v>
      </c>
      <c r="Z188" s="245"/>
      <c r="AA188" s="245"/>
      <c r="AB188" s="463">
        <f t="shared" ref="AB188:AC188" si="1142">V188-X188</f>
        <v>-59.92</v>
      </c>
      <c r="AC188" s="464">
        <f t="shared" si="1142"/>
        <v>-296.37</v>
      </c>
      <c r="AD188" s="474" t="e">
        <f t="shared" ref="AD188:AE188" si="1143">1-(V188/Z188)</f>
        <v>#DIV/0!</v>
      </c>
      <c r="AE188" s="474" t="e">
        <f t="shared" si="1143"/>
        <v>#DIV/0!</v>
      </c>
      <c r="AF188" s="475"/>
      <c r="AG188" s="475"/>
      <c r="AH188" s="483"/>
      <c r="AI188" s="483"/>
      <c r="AJ188" s="487">
        <f t="shared" si="522"/>
        <v>0</v>
      </c>
      <c r="AK188" s="475">
        <f t="shared" si="528"/>
        <v>0</v>
      </c>
      <c r="AL188" s="485">
        <f t="shared" ref="AL188:AM188" si="1144">AJ188-Z188</f>
        <v>0</v>
      </c>
      <c r="AM188" s="485">
        <f t="shared" si="1144"/>
        <v>0</v>
      </c>
      <c r="AN188" s="486">
        <f t="shared" si="8"/>
        <v>0</v>
      </c>
      <c r="AO188" s="487">
        <f t="shared" ref="AO188:AP188" si="1145">V188+(V188*$AO$2)</f>
        <v>0</v>
      </c>
      <c r="AP188" s="475">
        <f t="shared" si="1145"/>
        <v>0</v>
      </c>
      <c r="AQ188" s="432" t="b">
        <v>0</v>
      </c>
      <c r="AR188" s="485">
        <f t="shared" ref="AR188:AS188" si="1146">AO188-Z188</f>
        <v>0</v>
      </c>
      <c r="AS188" s="485">
        <f t="shared" si="1146"/>
        <v>0</v>
      </c>
      <c r="AT188" s="486">
        <f t="shared" si="11"/>
        <v>0</v>
      </c>
      <c r="AU188" s="301">
        <f t="shared" si="12"/>
        <v>427.5</v>
      </c>
      <c r="AV188" s="301">
        <f t="shared" si="969"/>
        <v>500</v>
      </c>
      <c r="AW188" s="29">
        <v>475</v>
      </c>
      <c r="AX188" s="29">
        <v>525</v>
      </c>
      <c r="BB188" s="302"/>
      <c r="BC188" s="301"/>
      <c r="BD188" s="303"/>
      <c r="BE188" s="304"/>
      <c r="BF188" s="307"/>
      <c r="BG188" s="301"/>
      <c r="BH188" s="303"/>
      <c r="BI188" s="304"/>
      <c r="BK188" s="29"/>
      <c r="BL188" s="29"/>
      <c r="BQ188" s="29"/>
      <c r="BR188" s="29"/>
    </row>
    <row r="189" ht="12.75" spans="1:72">
      <c r="A189" s="29" t="s">
        <v>1038</v>
      </c>
      <c r="B189" s="29" t="s">
        <v>1249</v>
      </c>
      <c r="C189" s="288" t="s">
        <v>350</v>
      </c>
      <c r="D189" s="308"/>
      <c r="E189" s="29" t="s">
        <v>1271</v>
      </c>
      <c r="F189" s="29" t="b">
        <v>1</v>
      </c>
      <c r="G189" s="29" t="b">
        <v>0</v>
      </c>
      <c r="H189" s="29" t="b">
        <v>0</v>
      </c>
      <c r="I189" s="29" t="b">
        <v>0</v>
      </c>
      <c r="J189" s="29" t="b">
        <v>0</v>
      </c>
      <c r="K189" s="29" t="b">
        <v>0</v>
      </c>
      <c r="L189" s="29" t="b">
        <v>0</v>
      </c>
      <c r="M189" s="432" t="b">
        <v>1</v>
      </c>
      <c r="N189" s="432" t="b">
        <v>1</v>
      </c>
      <c r="O189" s="29"/>
      <c r="P189" s="29" t="s">
        <v>120</v>
      </c>
      <c r="Q189" s="441">
        <f t="shared" si="970"/>
        <v>375</v>
      </c>
      <c r="R189" s="441">
        <f t="shared" si="971"/>
        <v>375</v>
      </c>
      <c r="S189" s="442">
        <f t="shared" si="972"/>
        <v>73.9</v>
      </c>
      <c r="T189" s="308"/>
      <c r="U189" s="443"/>
      <c r="V189" s="245">
        <v>36.95</v>
      </c>
      <c r="W189" s="245">
        <v>174.75</v>
      </c>
      <c r="X189" s="444"/>
      <c r="Y189" s="245"/>
      <c r="Z189" s="245">
        <v>78.99</v>
      </c>
      <c r="AA189" s="245">
        <v>389.95</v>
      </c>
      <c r="AB189" s="463"/>
      <c r="AC189" s="464"/>
      <c r="AD189" s="476">
        <f t="shared" ref="AD189:AE189" si="1147">1-(V189/Z189)</f>
        <v>0.532219268261805</v>
      </c>
      <c r="AE189" s="476">
        <f t="shared" si="1147"/>
        <v>0.551865623797923</v>
      </c>
      <c r="AF189" s="475">
        <f t="shared" ref="AF189:AG189" si="1148">(V189+Z189)/2</f>
        <v>57.97</v>
      </c>
      <c r="AG189" s="475">
        <f t="shared" si="1148"/>
        <v>282.35</v>
      </c>
      <c r="AH189" s="483">
        <f t="shared" ref="AH189:AI189" si="1149">1-(V189/AF189)</f>
        <v>0.362601345523547</v>
      </c>
      <c r="AI189" s="483">
        <f t="shared" si="1149"/>
        <v>0.38108730299274</v>
      </c>
      <c r="AJ189" s="487">
        <f t="shared" si="522"/>
        <v>73.9</v>
      </c>
      <c r="AK189" s="475">
        <f t="shared" si="528"/>
        <v>349.5</v>
      </c>
      <c r="AL189" s="485">
        <f t="shared" ref="AL189:AM189" si="1150">AJ189-Z189</f>
        <v>-5.08999999999999</v>
      </c>
      <c r="AM189" s="485">
        <f t="shared" si="1150"/>
        <v>-40.45</v>
      </c>
      <c r="AN189" s="486">
        <f t="shared" si="8"/>
        <v>20</v>
      </c>
      <c r="AO189" s="487">
        <f t="shared" ref="AO189:AP189" si="1151">V189+(V189*$AO$2)</f>
        <v>55.425</v>
      </c>
      <c r="AP189" s="475">
        <f t="shared" si="1151"/>
        <v>262.125</v>
      </c>
      <c r="AQ189" s="432" t="b">
        <v>1</v>
      </c>
      <c r="AR189" s="485">
        <f t="shared" ref="AR189:AS189" si="1152">AO189-Z189</f>
        <v>-23.565</v>
      </c>
      <c r="AS189" s="485">
        <f t="shared" si="1152"/>
        <v>-127.825</v>
      </c>
      <c r="AT189" s="486">
        <f t="shared" si="11"/>
        <v>15</v>
      </c>
      <c r="AU189" s="301">
        <f t="shared" si="12"/>
        <v>315</v>
      </c>
      <c r="AV189" s="301">
        <f t="shared" si="969"/>
        <v>375</v>
      </c>
      <c r="AW189" s="29">
        <v>350</v>
      </c>
      <c r="AX189" s="29">
        <v>400</v>
      </c>
      <c r="AY189" s="29">
        <v>2</v>
      </c>
      <c r="AZ189" s="29"/>
      <c r="BA189" s="29"/>
      <c r="BB189" s="302"/>
      <c r="BC189" s="301"/>
      <c r="BD189" s="303"/>
      <c r="BE189" s="304"/>
      <c r="BF189" s="307"/>
      <c r="BG189" s="301"/>
      <c r="BH189" s="303"/>
      <c r="BI189" s="304"/>
      <c r="BK189" s="29"/>
      <c r="BL189" s="29"/>
      <c r="BP189" s="29" t="s">
        <v>1204</v>
      </c>
      <c r="BQ189" s="308"/>
      <c r="BR189" s="308"/>
      <c r="BS189" s="29"/>
      <c r="BT189" s="29"/>
    </row>
    <row r="190" ht="12.75" spans="1:72">
      <c r="A190" s="29" t="s">
        <v>1038</v>
      </c>
      <c r="B190" s="29" t="s">
        <v>1249</v>
      </c>
      <c r="C190" s="288" t="s">
        <v>350</v>
      </c>
      <c r="D190" s="308"/>
      <c r="E190" s="29" t="s">
        <v>1383</v>
      </c>
      <c r="F190" s="29" t="b">
        <v>1</v>
      </c>
      <c r="G190" s="29" t="b">
        <v>0</v>
      </c>
      <c r="H190" s="29" t="b">
        <v>0</v>
      </c>
      <c r="I190" s="29" t="b">
        <v>0</v>
      </c>
      <c r="J190" s="29" t="b">
        <v>0</v>
      </c>
      <c r="K190" s="29" t="b">
        <v>0</v>
      </c>
      <c r="L190" s="29" t="b">
        <v>0</v>
      </c>
      <c r="M190" s="432" t="b">
        <v>1</v>
      </c>
      <c r="N190" s="432" t="b">
        <v>1</v>
      </c>
      <c r="O190" s="29"/>
      <c r="P190" s="29" t="s">
        <v>120</v>
      </c>
      <c r="Q190" s="441">
        <f t="shared" si="970"/>
        <v>375</v>
      </c>
      <c r="R190" s="441">
        <f t="shared" si="971"/>
        <v>375</v>
      </c>
      <c r="S190" s="442">
        <f t="shared" si="972"/>
        <v>77.9</v>
      </c>
      <c r="T190" s="308"/>
      <c r="U190" s="443"/>
      <c r="V190" s="245">
        <v>38.95</v>
      </c>
      <c r="W190" s="245">
        <v>184.75</v>
      </c>
      <c r="X190" s="444"/>
      <c r="Y190" s="245"/>
      <c r="Z190" s="245">
        <v>80.99</v>
      </c>
      <c r="AA190" s="245">
        <v>399.95</v>
      </c>
      <c r="AB190" s="463"/>
      <c r="AC190" s="464"/>
      <c r="AD190" s="476">
        <f t="shared" ref="AD190:AE190" si="1153">1-(V190/Z190)</f>
        <v>0.519076429188789</v>
      </c>
      <c r="AE190" s="476">
        <f t="shared" si="1153"/>
        <v>0.538067258407301</v>
      </c>
      <c r="AF190" s="475">
        <f t="shared" ref="AF190:AG190" si="1154">(V190+Z190)/2</f>
        <v>59.97</v>
      </c>
      <c r="AG190" s="475">
        <f t="shared" si="1154"/>
        <v>292.35</v>
      </c>
      <c r="AH190" s="483">
        <f t="shared" ref="AH190:AI190" si="1155">1-(V190/AF190)</f>
        <v>0.350508587627147</v>
      </c>
      <c r="AI190" s="483">
        <f t="shared" si="1155"/>
        <v>0.368051992474773</v>
      </c>
      <c r="AJ190" s="487">
        <f t="shared" si="522"/>
        <v>77.9</v>
      </c>
      <c r="AK190" s="475">
        <f t="shared" si="528"/>
        <v>369.5</v>
      </c>
      <c r="AL190" s="485">
        <f t="shared" ref="AL190:AM190" si="1156">AJ190-Z190</f>
        <v>-3.08999999999999</v>
      </c>
      <c r="AM190" s="485">
        <f t="shared" si="1156"/>
        <v>-30.45</v>
      </c>
      <c r="AN190" s="486">
        <f t="shared" si="8"/>
        <v>20</v>
      </c>
      <c r="AO190" s="487">
        <f t="shared" ref="AO190:AP190" si="1157">V190+(V190*$AO$2)</f>
        <v>58.425</v>
      </c>
      <c r="AP190" s="475">
        <f t="shared" si="1157"/>
        <v>277.125</v>
      </c>
      <c r="AQ190" s="432" t="b">
        <v>1</v>
      </c>
      <c r="AR190" s="485">
        <f t="shared" ref="AR190:AS190" si="1158">AO190-Z190</f>
        <v>-22.565</v>
      </c>
      <c r="AS190" s="485">
        <f t="shared" si="1158"/>
        <v>-122.825</v>
      </c>
      <c r="AT190" s="486">
        <f t="shared" si="11"/>
        <v>15</v>
      </c>
      <c r="AU190" s="301">
        <f t="shared" si="12"/>
        <v>315</v>
      </c>
      <c r="AV190" s="301">
        <f t="shared" si="969"/>
        <v>375</v>
      </c>
      <c r="AW190" s="29">
        <v>350</v>
      </c>
      <c r="AX190" s="29">
        <v>400</v>
      </c>
      <c r="AY190" s="29">
        <v>2</v>
      </c>
      <c r="AZ190" s="29"/>
      <c r="BA190" s="29"/>
      <c r="BB190" s="302"/>
      <c r="BC190" s="301"/>
      <c r="BD190" s="303"/>
      <c r="BE190" s="304"/>
      <c r="BF190" s="307"/>
      <c r="BG190" s="301"/>
      <c r="BH190" s="303"/>
      <c r="BI190" s="304"/>
      <c r="BK190" s="29"/>
      <c r="BL190" s="29"/>
      <c r="BP190" s="29" t="s">
        <v>1204</v>
      </c>
      <c r="BQ190" s="308"/>
      <c r="BR190" s="308"/>
      <c r="BS190" s="29"/>
      <c r="BT190" s="29"/>
    </row>
    <row r="191" ht="12.75" spans="1:72">
      <c r="A191" s="29" t="s">
        <v>1038</v>
      </c>
      <c r="B191" s="29" t="s">
        <v>1249</v>
      </c>
      <c r="C191" s="29" t="s">
        <v>350</v>
      </c>
      <c r="D191" s="308"/>
      <c r="E191" s="29" t="s">
        <v>1217</v>
      </c>
      <c r="F191" s="29" t="b">
        <v>1</v>
      </c>
      <c r="G191" s="29" t="b">
        <v>0</v>
      </c>
      <c r="H191" s="29" t="b">
        <v>0</v>
      </c>
      <c r="I191" s="29" t="b">
        <v>1</v>
      </c>
      <c r="J191" s="29" t="b">
        <v>0</v>
      </c>
      <c r="K191" s="29" t="b">
        <v>0</v>
      </c>
      <c r="L191" s="29" t="b">
        <v>0</v>
      </c>
      <c r="M191" s="432" t="b">
        <v>1</v>
      </c>
      <c r="N191" s="432" t="b">
        <v>1</v>
      </c>
      <c r="O191" s="29" t="s">
        <v>1459</v>
      </c>
      <c r="P191" s="29" t="s">
        <v>142</v>
      </c>
      <c r="Q191" s="441">
        <f t="shared" si="970"/>
        <v>375</v>
      </c>
      <c r="R191" s="441">
        <f t="shared" si="971"/>
        <v>375</v>
      </c>
      <c r="S191" s="442">
        <f t="shared" si="972"/>
        <v>65.9</v>
      </c>
      <c r="T191" s="29" t="s">
        <v>1203</v>
      </c>
      <c r="U191" s="443">
        <v>0.05</v>
      </c>
      <c r="V191" s="245">
        <v>32.95</v>
      </c>
      <c r="W191" s="245">
        <v>154.75</v>
      </c>
      <c r="X191" s="444"/>
      <c r="Y191" s="245"/>
      <c r="Z191" s="245">
        <v>72.99</v>
      </c>
      <c r="AA191" s="245">
        <v>359.95</v>
      </c>
      <c r="AB191" s="463"/>
      <c r="AC191" s="464"/>
      <c r="AD191" s="476">
        <f t="shared" ref="AD191:AE191" si="1159">1-(V191/Z191)</f>
        <v>0.54856829702699</v>
      </c>
      <c r="AE191" s="476">
        <f t="shared" si="1159"/>
        <v>0.570079177663564</v>
      </c>
      <c r="AF191" s="475">
        <f t="shared" ref="AF191:AG191" si="1160">(V191+Z191)/2</f>
        <v>52.97</v>
      </c>
      <c r="AG191" s="475">
        <f t="shared" si="1160"/>
        <v>257.35</v>
      </c>
      <c r="AH191" s="483">
        <f t="shared" ref="AH191:AI191" si="1161">1-(V191/AF191)</f>
        <v>0.377949782895979</v>
      </c>
      <c r="AI191" s="483">
        <f t="shared" si="1161"/>
        <v>0.398678842043909</v>
      </c>
      <c r="AJ191" s="487">
        <f t="shared" si="522"/>
        <v>65.9</v>
      </c>
      <c r="AK191" s="475">
        <f t="shared" si="528"/>
        <v>309.5</v>
      </c>
      <c r="AL191" s="485">
        <f t="shared" ref="AL191:AM191" si="1162">AJ191-Z191</f>
        <v>-7.08999999999999</v>
      </c>
      <c r="AM191" s="485">
        <f t="shared" si="1162"/>
        <v>-50.45</v>
      </c>
      <c r="AN191" s="486">
        <f t="shared" si="8"/>
        <v>20</v>
      </c>
      <c r="AO191" s="487">
        <f t="shared" ref="AO191:AP191" si="1163">V191+(V191*$AO$2)</f>
        <v>49.425</v>
      </c>
      <c r="AP191" s="475">
        <f t="shared" si="1163"/>
        <v>232.125</v>
      </c>
      <c r="AQ191" s="432" t="b">
        <v>0</v>
      </c>
      <c r="AR191" s="485">
        <f t="shared" ref="AR191:AS191" si="1164">AO191-Z191</f>
        <v>-23.565</v>
      </c>
      <c r="AS191" s="485">
        <f t="shared" si="1164"/>
        <v>-127.825</v>
      </c>
      <c r="AT191" s="486">
        <f t="shared" si="11"/>
        <v>15</v>
      </c>
      <c r="AU191" s="301">
        <f t="shared" si="12"/>
        <v>315</v>
      </c>
      <c r="AV191" s="301">
        <f t="shared" si="969"/>
        <v>375</v>
      </c>
      <c r="AW191" s="29">
        <v>350</v>
      </c>
      <c r="AX191" s="29">
        <v>400</v>
      </c>
      <c r="AY191" s="29">
        <v>2</v>
      </c>
      <c r="AZ191" s="29"/>
      <c r="BA191" s="29"/>
      <c r="BB191" s="302">
        <f>AV191</f>
        <v>375</v>
      </c>
      <c r="BC191" s="302">
        <v>467</v>
      </c>
      <c r="BD191" s="303">
        <f>(BB191+BC191)/2</f>
        <v>421</v>
      </c>
      <c r="BE191" s="304">
        <f>BB191/BC191</f>
        <v>0.802997858672377</v>
      </c>
      <c r="BF191" s="535">
        <v>125</v>
      </c>
      <c r="BG191" s="302">
        <v>167</v>
      </c>
      <c r="BH191" s="303">
        <f>(BF191+BG191)/2</f>
        <v>146</v>
      </c>
      <c r="BI191" s="304">
        <f>BF191/BG191</f>
        <v>0.748502994011976</v>
      </c>
      <c r="BK191" s="29"/>
      <c r="BL191" s="29"/>
      <c r="BP191" s="29" t="s">
        <v>1204</v>
      </c>
      <c r="BQ191" s="308"/>
      <c r="BR191" s="308"/>
      <c r="BS191" s="29"/>
      <c r="BT191" s="29" t="s">
        <v>1459</v>
      </c>
    </row>
    <row r="192" ht="12.75" spans="1:72">
      <c r="A192" s="29" t="s">
        <v>1038</v>
      </c>
      <c r="B192" s="29" t="s">
        <v>1249</v>
      </c>
      <c r="C192" s="29" t="s">
        <v>350</v>
      </c>
      <c r="D192" s="308"/>
      <c r="E192" s="29" t="s">
        <v>1231</v>
      </c>
      <c r="F192" s="29" t="b">
        <v>1</v>
      </c>
      <c r="G192" s="29" t="b">
        <v>0</v>
      </c>
      <c r="H192" s="29" t="b">
        <v>0</v>
      </c>
      <c r="I192" s="29" t="b">
        <v>1</v>
      </c>
      <c r="J192" s="29" t="b">
        <v>0</v>
      </c>
      <c r="K192" s="29" t="b">
        <v>0</v>
      </c>
      <c r="L192" s="29" t="b">
        <v>0</v>
      </c>
      <c r="M192" s="432" t="b">
        <v>1</v>
      </c>
      <c r="N192" s="432" t="b">
        <v>1</v>
      </c>
      <c r="O192" s="29" t="s">
        <v>1460</v>
      </c>
      <c r="P192" s="29" t="s">
        <v>142</v>
      </c>
      <c r="Q192" s="441">
        <f t="shared" si="970"/>
        <v>375</v>
      </c>
      <c r="R192" s="441">
        <f t="shared" si="971"/>
        <v>375</v>
      </c>
      <c r="S192" s="442">
        <f t="shared" si="972"/>
        <v>69.9</v>
      </c>
      <c r="T192" s="29" t="s">
        <v>1203</v>
      </c>
      <c r="U192" s="443">
        <v>0.05</v>
      </c>
      <c r="V192" s="245">
        <v>34.95</v>
      </c>
      <c r="W192" s="245">
        <v>164.75</v>
      </c>
      <c r="X192" s="444"/>
      <c r="Y192" s="245"/>
      <c r="Z192" s="245">
        <v>75.99</v>
      </c>
      <c r="AA192" s="245">
        <v>374.95</v>
      </c>
      <c r="AB192" s="463"/>
      <c r="AC192" s="464"/>
      <c r="AD192" s="476">
        <f t="shared" ref="AD192:AE192" si="1165">1-(V192/Z192)</f>
        <v>0.54007106198184</v>
      </c>
      <c r="AE192" s="476">
        <f t="shared" si="1165"/>
        <v>0.560608081077477</v>
      </c>
      <c r="AF192" s="475">
        <f t="shared" ref="AF192:AG192" si="1166">(V192+Z192)/2</f>
        <v>55.47</v>
      </c>
      <c r="AG192" s="475">
        <f t="shared" si="1166"/>
        <v>269.85</v>
      </c>
      <c r="AH192" s="483">
        <f t="shared" ref="AH192:AI192" si="1167">1-(V192/AF192)</f>
        <v>0.369929691725257</v>
      </c>
      <c r="AI192" s="483">
        <f t="shared" si="1167"/>
        <v>0.389475634611821</v>
      </c>
      <c r="AJ192" s="487">
        <f t="shared" si="522"/>
        <v>69.9</v>
      </c>
      <c r="AK192" s="475">
        <f t="shared" si="528"/>
        <v>329.5</v>
      </c>
      <c r="AL192" s="485">
        <f t="shared" ref="AL192:AM192" si="1168">AJ192-Z192</f>
        <v>-6.08999999999999</v>
      </c>
      <c r="AM192" s="485">
        <f t="shared" si="1168"/>
        <v>-45.45</v>
      </c>
      <c r="AN192" s="486">
        <f t="shared" si="8"/>
        <v>20</v>
      </c>
      <c r="AO192" s="487">
        <f t="shared" ref="AO192:AP192" si="1169">V192+(V192*$AO$2)</f>
        <v>52.425</v>
      </c>
      <c r="AP192" s="475">
        <f t="shared" si="1169"/>
        <v>247.125</v>
      </c>
      <c r="AQ192" s="432" t="b">
        <v>0</v>
      </c>
      <c r="AR192" s="485">
        <f t="shared" ref="AR192:AS192" si="1170">AO192-Z192</f>
        <v>-23.565</v>
      </c>
      <c r="AS192" s="485">
        <f t="shared" si="1170"/>
        <v>-127.825</v>
      </c>
      <c r="AT192" s="486">
        <f t="shared" si="11"/>
        <v>15</v>
      </c>
      <c r="AU192" s="301">
        <f t="shared" si="12"/>
        <v>315</v>
      </c>
      <c r="AV192" s="301">
        <f t="shared" si="969"/>
        <v>375</v>
      </c>
      <c r="AW192" s="29">
        <v>350</v>
      </c>
      <c r="AX192" s="29">
        <v>400</v>
      </c>
      <c r="AY192" s="29">
        <v>2</v>
      </c>
      <c r="AZ192" s="29"/>
      <c r="BA192" s="29"/>
      <c r="BB192" s="302"/>
      <c r="BC192" s="301"/>
      <c r="BD192" s="303"/>
      <c r="BE192" s="304"/>
      <c r="BF192" s="307"/>
      <c r="BG192" s="301"/>
      <c r="BH192" s="303"/>
      <c r="BI192" s="304"/>
      <c r="BK192" s="29"/>
      <c r="BL192" s="29"/>
      <c r="BP192" s="29" t="s">
        <v>1204</v>
      </c>
      <c r="BQ192" s="308"/>
      <c r="BR192" s="308"/>
      <c r="BS192" s="29"/>
      <c r="BT192" s="29"/>
    </row>
    <row r="193" ht="12.75" spans="1:72">
      <c r="A193" s="29" t="s">
        <v>1038</v>
      </c>
      <c r="B193" s="29" t="s">
        <v>1249</v>
      </c>
      <c r="C193" s="29" t="s">
        <v>350</v>
      </c>
      <c r="D193" s="308"/>
      <c r="E193" s="29" t="s">
        <v>1201</v>
      </c>
      <c r="F193" s="29" t="b">
        <v>1</v>
      </c>
      <c r="G193" s="29" t="b">
        <v>0</v>
      </c>
      <c r="H193" s="29" t="b">
        <v>0</v>
      </c>
      <c r="I193" s="29" t="b">
        <v>1</v>
      </c>
      <c r="J193" s="29" t="b">
        <v>0</v>
      </c>
      <c r="K193" s="29" t="b">
        <v>0</v>
      </c>
      <c r="L193" s="29" t="b">
        <v>0</v>
      </c>
      <c r="M193" s="432" t="b">
        <v>1</v>
      </c>
      <c r="N193" s="432" t="b">
        <v>1</v>
      </c>
      <c r="O193" s="29" t="s">
        <v>1461</v>
      </c>
      <c r="P193" s="29" t="s">
        <v>142</v>
      </c>
      <c r="Q193" s="441">
        <f t="shared" si="970"/>
        <v>375</v>
      </c>
      <c r="R193" s="441">
        <f t="shared" si="971"/>
        <v>375</v>
      </c>
      <c r="S193" s="442">
        <f t="shared" si="972"/>
        <v>69.9</v>
      </c>
      <c r="T193" s="29" t="s">
        <v>1203</v>
      </c>
      <c r="U193" s="443">
        <v>0.05</v>
      </c>
      <c r="V193" s="245">
        <v>34.95</v>
      </c>
      <c r="W193" s="245">
        <v>164.75</v>
      </c>
      <c r="X193" s="444"/>
      <c r="Y193" s="245"/>
      <c r="Z193" s="245">
        <v>75.99</v>
      </c>
      <c r="AA193" s="245">
        <v>374.95</v>
      </c>
      <c r="AB193" s="463"/>
      <c r="AC193" s="464"/>
      <c r="AD193" s="476">
        <f t="shared" ref="AD193:AE193" si="1171">1-(V193/Z193)</f>
        <v>0.54007106198184</v>
      </c>
      <c r="AE193" s="476">
        <f t="shared" si="1171"/>
        <v>0.560608081077477</v>
      </c>
      <c r="AF193" s="475">
        <f t="shared" ref="AF193:AG193" si="1172">(V193+Z193)/2</f>
        <v>55.47</v>
      </c>
      <c r="AG193" s="475">
        <f t="shared" si="1172"/>
        <v>269.85</v>
      </c>
      <c r="AH193" s="483">
        <f t="shared" ref="AH193:AI193" si="1173">1-(V193/AF193)</f>
        <v>0.369929691725257</v>
      </c>
      <c r="AI193" s="483">
        <f t="shared" si="1173"/>
        <v>0.389475634611821</v>
      </c>
      <c r="AJ193" s="487">
        <f t="shared" si="522"/>
        <v>69.9</v>
      </c>
      <c r="AK193" s="475">
        <f t="shared" si="528"/>
        <v>329.5</v>
      </c>
      <c r="AL193" s="485">
        <f t="shared" ref="AL193:AM193" si="1174">AJ193-Z193</f>
        <v>-6.08999999999999</v>
      </c>
      <c r="AM193" s="485">
        <f t="shared" si="1174"/>
        <v>-45.45</v>
      </c>
      <c r="AN193" s="486">
        <f t="shared" si="8"/>
        <v>20</v>
      </c>
      <c r="AO193" s="487">
        <f t="shared" ref="AO193:AP193" si="1175">V193+(V193*$AO$2)</f>
        <v>52.425</v>
      </c>
      <c r="AP193" s="475">
        <f t="shared" si="1175"/>
        <v>247.125</v>
      </c>
      <c r="AQ193" s="432" t="b">
        <v>0</v>
      </c>
      <c r="AR193" s="485">
        <f t="shared" ref="AR193:AS193" si="1176">AO193-Z193</f>
        <v>-23.565</v>
      </c>
      <c r="AS193" s="485">
        <f t="shared" si="1176"/>
        <v>-127.825</v>
      </c>
      <c r="AT193" s="486">
        <f t="shared" si="11"/>
        <v>15</v>
      </c>
      <c r="AU193" s="301">
        <f t="shared" si="12"/>
        <v>315</v>
      </c>
      <c r="AV193" s="301">
        <f t="shared" si="969"/>
        <v>375</v>
      </c>
      <c r="AW193" s="29">
        <v>350</v>
      </c>
      <c r="AX193" s="29">
        <v>400</v>
      </c>
      <c r="AY193" s="29">
        <v>2</v>
      </c>
      <c r="AZ193" s="29"/>
      <c r="BA193" s="29"/>
      <c r="BB193" s="302"/>
      <c r="BC193" s="301"/>
      <c r="BD193" s="303"/>
      <c r="BE193" s="304"/>
      <c r="BF193" s="307"/>
      <c r="BG193" s="301"/>
      <c r="BH193" s="303"/>
      <c r="BI193" s="304"/>
      <c r="BK193" s="29"/>
      <c r="BL193" s="29"/>
      <c r="BP193" s="29" t="s">
        <v>1204</v>
      </c>
      <c r="BQ193" s="308"/>
      <c r="BR193" s="308"/>
      <c r="BS193" s="29"/>
      <c r="BT193" s="29"/>
    </row>
    <row r="194" ht="12.75" spans="1:72">
      <c r="A194" s="29" t="s">
        <v>1044</v>
      </c>
      <c r="B194" s="29" t="s">
        <v>1249</v>
      </c>
      <c r="C194" s="29" t="s">
        <v>350</v>
      </c>
      <c r="D194" s="308"/>
      <c r="E194" s="29" t="s">
        <v>1462</v>
      </c>
      <c r="F194" s="29" t="b">
        <v>0</v>
      </c>
      <c r="G194" s="29" t="b">
        <v>1</v>
      </c>
      <c r="H194" s="29" t="b">
        <v>0</v>
      </c>
      <c r="I194" s="29" t="b">
        <v>0</v>
      </c>
      <c r="J194" s="29" t="b">
        <v>0</v>
      </c>
      <c r="K194" s="29" t="b">
        <v>0</v>
      </c>
      <c r="L194" s="29" t="b">
        <v>0</v>
      </c>
      <c r="M194" s="432" t="b">
        <v>1</v>
      </c>
      <c r="N194" s="432" t="b">
        <v>1</v>
      </c>
      <c r="O194" s="29" t="s">
        <v>1463</v>
      </c>
      <c r="P194" s="29" t="s">
        <v>119</v>
      </c>
      <c r="Q194" s="441">
        <f t="shared" si="970"/>
        <v>375</v>
      </c>
      <c r="R194" s="441">
        <f t="shared" si="971"/>
        <v>375</v>
      </c>
      <c r="S194" s="442">
        <f t="shared" si="972"/>
        <v>61.6</v>
      </c>
      <c r="T194" s="29" t="s">
        <v>1203</v>
      </c>
      <c r="U194" s="443"/>
      <c r="V194" s="245">
        <v>30.8</v>
      </c>
      <c r="W194" s="245">
        <v>149</v>
      </c>
      <c r="X194" s="444"/>
      <c r="Y194" s="245"/>
      <c r="Z194" s="245">
        <v>71.99</v>
      </c>
      <c r="AA194" s="245">
        <v>354.95</v>
      </c>
      <c r="AB194" s="463"/>
      <c r="AC194" s="464"/>
      <c r="AD194" s="476">
        <f t="shared" ref="AD194:AE194" si="1177">1-(V194/Z194)</f>
        <v>0.572162800388943</v>
      </c>
      <c r="AE194" s="476">
        <f t="shared" si="1177"/>
        <v>0.58022256655867</v>
      </c>
      <c r="AF194" s="475">
        <f t="shared" ref="AF194:AG194" si="1178">(V194+Z194)/2</f>
        <v>51.395</v>
      </c>
      <c r="AG194" s="475">
        <f t="shared" si="1178"/>
        <v>251.975</v>
      </c>
      <c r="AH194" s="483">
        <f t="shared" ref="AH194:AI194" si="1179">1-(V194/AF194)</f>
        <v>0.400719914388559</v>
      </c>
      <c r="AI194" s="483">
        <f t="shared" si="1179"/>
        <v>0.408671495188015</v>
      </c>
      <c r="AJ194" s="487">
        <f t="shared" si="522"/>
        <v>61.6</v>
      </c>
      <c r="AK194" s="475">
        <f t="shared" si="528"/>
        <v>298</v>
      </c>
      <c r="AL194" s="485">
        <f t="shared" ref="AL194:AM194" si="1180">AJ194-Z194</f>
        <v>-10.39</v>
      </c>
      <c r="AM194" s="485">
        <f t="shared" si="1180"/>
        <v>-56.95</v>
      </c>
      <c r="AN194" s="486">
        <f t="shared" si="8"/>
        <v>10</v>
      </c>
      <c r="AO194" s="487">
        <f t="shared" ref="AO194:AP194" si="1181">V194+(V194*$AO$2)</f>
        <v>46.2</v>
      </c>
      <c r="AP194" s="475">
        <f t="shared" si="1181"/>
        <v>223.5</v>
      </c>
      <c r="AQ194" s="432" t="b">
        <v>0</v>
      </c>
      <c r="AR194" s="485">
        <f t="shared" ref="AR194:AS194" si="1182">AO194-Z194</f>
        <v>-25.79</v>
      </c>
      <c r="AS194" s="485">
        <f t="shared" si="1182"/>
        <v>-131.45</v>
      </c>
      <c r="AT194" s="486">
        <f t="shared" si="11"/>
        <v>7.5</v>
      </c>
      <c r="AU194" s="301">
        <f t="shared" si="12"/>
        <v>315</v>
      </c>
      <c r="AV194" s="301">
        <f t="shared" si="969"/>
        <v>375</v>
      </c>
      <c r="AW194" s="29">
        <v>350</v>
      </c>
      <c r="AX194" s="29">
        <v>400</v>
      </c>
      <c r="AY194" s="29">
        <v>2</v>
      </c>
      <c r="AZ194" s="29"/>
      <c r="BA194" s="29"/>
      <c r="BB194" s="302"/>
      <c r="BC194" s="301"/>
      <c r="BD194" s="303"/>
      <c r="BE194" s="304"/>
      <c r="BF194" s="307"/>
      <c r="BG194" s="301"/>
      <c r="BH194" s="303"/>
      <c r="BI194" s="304"/>
      <c r="BK194" s="29"/>
      <c r="BL194" s="29"/>
      <c r="BP194" s="29" t="s">
        <v>1204</v>
      </c>
      <c r="BQ194" s="308"/>
      <c r="BR194" s="308"/>
      <c r="BS194" s="29"/>
      <c r="BT194" s="29"/>
    </row>
    <row r="195" ht="12.75" spans="1:72">
      <c r="A195" s="29" t="s">
        <v>1044</v>
      </c>
      <c r="B195" s="29" t="s">
        <v>1249</v>
      </c>
      <c r="C195" s="29" t="s">
        <v>350</v>
      </c>
      <c r="D195" s="308"/>
      <c r="E195" s="29" t="s">
        <v>1217</v>
      </c>
      <c r="F195" s="29" t="b">
        <v>1</v>
      </c>
      <c r="G195" s="29" t="b">
        <v>0</v>
      </c>
      <c r="H195" s="29" t="b">
        <v>0</v>
      </c>
      <c r="I195" s="29" t="b">
        <v>1</v>
      </c>
      <c r="J195" s="29" t="b">
        <v>1</v>
      </c>
      <c r="K195" s="29" t="b">
        <v>0</v>
      </c>
      <c r="L195" s="29" t="b">
        <v>0</v>
      </c>
      <c r="M195" s="432" t="b">
        <v>1</v>
      </c>
      <c r="N195" s="432" t="b">
        <v>1</v>
      </c>
      <c r="O195" s="29" t="s">
        <v>1464</v>
      </c>
      <c r="P195" s="29" t="s">
        <v>142</v>
      </c>
      <c r="Q195" s="441">
        <f t="shared" si="970"/>
        <v>375</v>
      </c>
      <c r="R195" s="441">
        <f t="shared" si="971"/>
        <v>375</v>
      </c>
      <c r="S195" s="442">
        <f t="shared" si="972"/>
        <v>57.6</v>
      </c>
      <c r="T195" s="29" t="s">
        <v>1203</v>
      </c>
      <c r="U195" s="443">
        <v>0.05</v>
      </c>
      <c r="V195" s="245">
        <v>28.8</v>
      </c>
      <c r="W195" s="245">
        <v>139</v>
      </c>
      <c r="X195" s="444"/>
      <c r="Y195" s="245"/>
      <c r="Z195" s="245">
        <v>69.99</v>
      </c>
      <c r="AA195" s="245">
        <v>344.95</v>
      </c>
      <c r="AB195" s="463"/>
      <c r="AC195" s="464"/>
      <c r="AD195" s="476">
        <f t="shared" ref="AD195:AE195" si="1183">1-(V195/Z195)</f>
        <v>0.588512644663523</v>
      </c>
      <c r="AE195" s="476">
        <f t="shared" si="1183"/>
        <v>0.59704304971735</v>
      </c>
      <c r="AF195" s="475">
        <f t="shared" ref="AF195:AG195" si="1184">(V195+Z195)/2</f>
        <v>49.395</v>
      </c>
      <c r="AG195" s="475">
        <f t="shared" si="1184"/>
        <v>241.975</v>
      </c>
      <c r="AH195" s="483">
        <f t="shared" ref="AH195:AI195" si="1185">1-(V195/AF195)</f>
        <v>0.416945034922563</v>
      </c>
      <c r="AI195" s="483">
        <f t="shared" si="1185"/>
        <v>0.425560491786342</v>
      </c>
      <c r="AJ195" s="487">
        <f t="shared" si="522"/>
        <v>57.6</v>
      </c>
      <c r="AK195" s="475">
        <f t="shared" si="528"/>
        <v>278</v>
      </c>
      <c r="AL195" s="485">
        <f t="shared" ref="AL195:AM195" si="1186">AJ195-Z195</f>
        <v>-12.39</v>
      </c>
      <c r="AM195" s="485">
        <f t="shared" si="1186"/>
        <v>-66.95</v>
      </c>
      <c r="AN195" s="486">
        <f t="shared" si="8"/>
        <v>10</v>
      </c>
      <c r="AO195" s="487">
        <f t="shared" ref="AO195:AP195" si="1187">V195+(V195*$AO$2)</f>
        <v>43.2</v>
      </c>
      <c r="AP195" s="475">
        <f t="shared" si="1187"/>
        <v>208.5</v>
      </c>
      <c r="AQ195" s="432" t="b">
        <v>0</v>
      </c>
      <c r="AR195" s="485">
        <f t="shared" ref="AR195:AS195" si="1188">AO195-Z195</f>
        <v>-26.79</v>
      </c>
      <c r="AS195" s="485">
        <f t="shared" si="1188"/>
        <v>-136.45</v>
      </c>
      <c r="AT195" s="486">
        <f t="shared" si="11"/>
        <v>7.5</v>
      </c>
      <c r="AU195" s="301">
        <f t="shared" si="12"/>
        <v>315</v>
      </c>
      <c r="AV195" s="301">
        <f t="shared" si="969"/>
        <v>375</v>
      </c>
      <c r="AW195" s="29">
        <v>350</v>
      </c>
      <c r="AX195" s="29">
        <v>400</v>
      </c>
      <c r="AY195" s="29">
        <v>2</v>
      </c>
      <c r="AZ195" s="29"/>
      <c r="BA195" s="29"/>
      <c r="BB195" s="302">
        <f>AV195</f>
        <v>375</v>
      </c>
      <c r="BC195" s="302">
        <v>467</v>
      </c>
      <c r="BD195" s="303">
        <f>(BB195+BC195)/2</f>
        <v>421</v>
      </c>
      <c r="BE195" s="304">
        <f>BB195/BC195</f>
        <v>0.802997858672377</v>
      </c>
      <c r="BF195" s="535">
        <v>125</v>
      </c>
      <c r="BG195" s="302">
        <v>167</v>
      </c>
      <c r="BH195" s="303">
        <f>(BF195+BG195)/2</f>
        <v>146</v>
      </c>
      <c r="BI195" s="304">
        <f>BF195/BG195</f>
        <v>0.748502994011976</v>
      </c>
      <c r="BK195" s="29"/>
      <c r="BL195" s="29"/>
      <c r="BP195" s="29" t="s">
        <v>1204</v>
      </c>
      <c r="BQ195" s="308"/>
      <c r="BR195" s="308"/>
      <c r="BS195" s="29"/>
      <c r="BT195" s="29" t="s">
        <v>1465</v>
      </c>
    </row>
    <row r="196" ht="12.75" spans="1:72">
      <c r="A196" s="29" t="s">
        <v>1044</v>
      </c>
      <c r="B196" s="29" t="s">
        <v>1249</v>
      </c>
      <c r="C196" s="29" t="s">
        <v>350</v>
      </c>
      <c r="D196" s="308"/>
      <c r="E196" s="29" t="s">
        <v>1201</v>
      </c>
      <c r="F196" s="29" t="b">
        <v>1</v>
      </c>
      <c r="G196" s="29" t="b">
        <v>0</v>
      </c>
      <c r="H196" s="29" t="b">
        <v>0</v>
      </c>
      <c r="I196" s="29" t="b">
        <v>1</v>
      </c>
      <c r="J196" s="29" t="b">
        <v>1</v>
      </c>
      <c r="K196" s="29" t="b">
        <v>0</v>
      </c>
      <c r="L196" s="29" t="b">
        <v>0</v>
      </c>
      <c r="M196" s="432" t="b">
        <v>1</v>
      </c>
      <c r="N196" s="432" t="b">
        <v>1</v>
      </c>
      <c r="O196" s="29" t="s">
        <v>1466</v>
      </c>
      <c r="P196" s="29" t="s">
        <v>142</v>
      </c>
      <c r="Q196" s="441">
        <f t="shared" si="970"/>
        <v>375</v>
      </c>
      <c r="R196" s="441">
        <f t="shared" si="971"/>
        <v>375</v>
      </c>
      <c r="S196" s="442">
        <f t="shared" si="972"/>
        <v>61.6</v>
      </c>
      <c r="T196" s="29" t="s">
        <v>1203</v>
      </c>
      <c r="U196" s="443">
        <v>0.05</v>
      </c>
      <c r="V196" s="245">
        <v>30.8</v>
      </c>
      <c r="W196" s="245">
        <v>149</v>
      </c>
      <c r="X196" s="444"/>
      <c r="Y196" s="245"/>
      <c r="Z196" s="245">
        <v>71.99</v>
      </c>
      <c r="AA196" s="245">
        <v>354.95</v>
      </c>
      <c r="AB196" s="463"/>
      <c r="AC196" s="464"/>
      <c r="AD196" s="476">
        <f t="shared" ref="AD196:AE196" si="1189">1-(V196/Z196)</f>
        <v>0.572162800388943</v>
      </c>
      <c r="AE196" s="476">
        <f t="shared" si="1189"/>
        <v>0.58022256655867</v>
      </c>
      <c r="AF196" s="475">
        <f t="shared" ref="AF196:AG196" si="1190">(V196+Z196)/2</f>
        <v>51.395</v>
      </c>
      <c r="AG196" s="475">
        <f t="shared" si="1190"/>
        <v>251.975</v>
      </c>
      <c r="AH196" s="483">
        <f t="shared" ref="AH196:AI196" si="1191">1-(V196/AF196)</f>
        <v>0.400719914388559</v>
      </c>
      <c r="AI196" s="483">
        <f t="shared" si="1191"/>
        <v>0.408671495188015</v>
      </c>
      <c r="AJ196" s="487">
        <f t="shared" si="522"/>
        <v>61.6</v>
      </c>
      <c r="AK196" s="475">
        <f t="shared" si="528"/>
        <v>298</v>
      </c>
      <c r="AL196" s="485">
        <f t="shared" ref="AL196:AM196" si="1192">AJ196-Z196</f>
        <v>-10.39</v>
      </c>
      <c r="AM196" s="485">
        <f t="shared" si="1192"/>
        <v>-56.95</v>
      </c>
      <c r="AN196" s="486">
        <f t="shared" si="8"/>
        <v>10</v>
      </c>
      <c r="AO196" s="487">
        <f t="shared" ref="AO196:AP196" si="1193">V196+(V196*$AO$2)</f>
        <v>46.2</v>
      </c>
      <c r="AP196" s="475">
        <f t="shared" si="1193"/>
        <v>223.5</v>
      </c>
      <c r="AQ196" s="432" t="b">
        <v>0</v>
      </c>
      <c r="AR196" s="485">
        <f t="shared" ref="AR196:AS196" si="1194">AO196-Z196</f>
        <v>-25.79</v>
      </c>
      <c r="AS196" s="485">
        <f t="shared" si="1194"/>
        <v>-131.45</v>
      </c>
      <c r="AT196" s="486">
        <f t="shared" si="11"/>
        <v>7.5</v>
      </c>
      <c r="AU196" s="301">
        <f t="shared" si="12"/>
        <v>315</v>
      </c>
      <c r="AV196" s="301">
        <f t="shared" si="969"/>
        <v>375</v>
      </c>
      <c r="AW196" s="29">
        <v>350</v>
      </c>
      <c r="AX196" s="29">
        <v>400</v>
      </c>
      <c r="AY196" s="29">
        <v>2</v>
      </c>
      <c r="AZ196" s="29"/>
      <c r="BA196" s="29"/>
      <c r="BB196" s="302"/>
      <c r="BC196" s="301"/>
      <c r="BD196" s="303"/>
      <c r="BE196" s="304"/>
      <c r="BF196" s="307"/>
      <c r="BG196" s="301"/>
      <c r="BH196" s="303"/>
      <c r="BI196" s="304"/>
      <c r="BK196" s="29"/>
      <c r="BL196" s="29"/>
      <c r="BP196" s="29" t="s">
        <v>1204</v>
      </c>
      <c r="BQ196" s="308"/>
      <c r="BR196" s="308"/>
      <c r="BS196" s="29"/>
      <c r="BT196" s="29"/>
    </row>
    <row r="197" ht="12.75" spans="1:72">
      <c r="A197" s="29" t="s">
        <v>1044</v>
      </c>
      <c r="B197" s="29" t="s">
        <v>1249</v>
      </c>
      <c r="C197" s="29" t="s">
        <v>350</v>
      </c>
      <c r="D197" s="308"/>
      <c r="E197" s="29" t="s">
        <v>1245</v>
      </c>
      <c r="F197" s="29" t="b">
        <v>1</v>
      </c>
      <c r="G197" s="29" t="b">
        <v>0</v>
      </c>
      <c r="H197" s="29" t="b">
        <v>0</v>
      </c>
      <c r="I197" s="29" t="b">
        <v>1</v>
      </c>
      <c r="J197" s="29" t="b">
        <v>1</v>
      </c>
      <c r="K197" s="29" t="b">
        <v>0</v>
      </c>
      <c r="L197" s="29" t="b">
        <v>0</v>
      </c>
      <c r="M197" s="432" t="b">
        <v>1</v>
      </c>
      <c r="N197" s="432" t="b">
        <v>1</v>
      </c>
      <c r="O197" s="29" t="s">
        <v>1467</v>
      </c>
      <c r="P197" s="29" t="s">
        <v>142</v>
      </c>
      <c r="Q197" s="441">
        <f t="shared" si="970"/>
        <v>375</v>
      </c>
      <c r="R197" s="441">
        <f t="shared" si="971"/>
        <v>375</v>
      </c>
      <c r="S197" s="442">
        <f t="shared" si="972"/>
        <v>65.6</v>
      </c>
      <c r="T197" s="29" t="s">
        <v>1203</v>
      </c>
      <c r="U197" s="443">
        <v>0.05</v>
      </c>
      <c r="V197" s="245">
        <v>32.8</v>
      </c>
      <c r="W197" s="245">
        <v>159</v>
      </c>
      <c r="X197" s="444"/>
      <c r="Y197" s="245"/>
      <c r="Z197" s="245">
        <v>74.99</v>
      </c>
      <c r="AA197" s="245">
        <v>369.95</v>
      </c>
      <c r="AB197" s="463"/>
      <c r="AC197" s="464"/>
      <c r="AD197" s="476">
        <f t="shared" ref="AD197:AE197" si="1195">1-(V197/Z197)</f>
        <v>0.562608347779704</v>
      </c>
      <c r="AE197" s="476">
        <f t="shared" si="1195"/>
        <v>0.5702121908366</v>
      </c>
      <c r="AF197" s="475">
        <f t="shared" ref="AF197:AG197" si="1196">(V197+Z197)/2</f>
        <v>53.895</v>
      </c>
      <c r="AG197" s="475">
        <f t="shared" si="1196"/>
        <v>264.475</v>
      </c>
      <c r="AH197" s="483">
        <f t="shared" ref="AH197:AI197" si="1197">1-(V197/AF197)</f>
        <v>0.39140922163466</v>
      </c>
      <c r="AI197" s="483">
        <f t="shared" si="1197"/>
        <v>0.398808961149447</v>
      </c>
      <c r="AJ197" s="487">
        <f t="shared" si="522"/>
        <v>65.6</v>
      </c>
      <c r="AK197" s="475">
        <f t="shared" si="528"/>
        <v>318</v>
      </c>
      <c r="AL197" s="485">
        <f t="shared" ref="AL197:AM197" si="1198">AJ197-Z197</f>
        <v>-9.39</v>
      </c>
      <c r="AM197" s="485">
        <f t="shared" si="1198"/>
        <v>-51.95</v>
      </c>
      <c r="AN197" s="486">
        <f t="shared" si="8"/>
        <v>10</v>
      </c>
      <c r="AO197" s="487">
        <f t="shared" ref="AO197:AP197" si="1199">V197+(V197*$AO$2)</f>
        <v>49.2</v>
      </c>
      <c r="AP197" s="475">
        <f t="shared" si="1199"/>
        <v>238.5</v>
      </c>
      <c r="AQ197" s="432" t="b">
        <v>0</v>
      </c>
      <c r="AR197" s="485">
        <f t="shared" ref="AR197:AS197" si="1200">AO197-Z197</f>
        <v>-25.79</v>
      </c>
      <c r="AS197" s="485">
        <f t="shared" si="1200"/>
        <v>-131.45</v>
      </c>
      <c r="AT197" s="486">
        <f t="shared" si="11"/>
        <v>7.49999999999997</v>
      </c>
      <c r="AU197" s="301">
        <f t="shared" si="12"/>
        <v>315</v>
      </c>
      <c r="AV197" s="301">
        <f t="shared" si="969"/>
        <v>375</v>
      </c>
      <c r="AW197" s="29">
        <v>350</v>
      </c>
      <c r="AX197" s="29">
        <v>400</v>
      </c>
      <c r="AY197" s="29">
        <v>2</v>
      </c>
      <c r="AZ197" s="29"/>
      <c r="BA197" s="29"/>
      <c r="BB197" s="302"/>
      <c r="BC197" s="301"/>
      <c r="BD197" s="303"/>
      <c r="BE197" s="304"/>
      <c r="BF197" s="307"/>
      <c r="BG197" s="301"/>
      <c r="BH197" s="303"/>
      <c r="BI197" s="304"/>
      <c r="BK197" s="29"/>
      <c r="BL197" s="29"/>
      <c r="BP197" s="29" t="s">
        <v>1204</v>
      </c>
      <c r="BQ197" s="308"/>
      <c r="BR197" s="308"/>
      <c r="BS197" s="29"/>
      <c r="BT197" s="29"/>
    </row>
    <row r="198" ht="12.75" spans="1:70">
      <c r="A198" s="29" t="s">
        <v>1038</v>
      </c>
      <c r="B198" s="29" t="s">
        <v>1195</v>
      </c>
      <c r="C198" s="426" t="s">
        <v>1468</v>
      </c>
      <c r="D198" s="308"/>
      <c r="E198" s="29" t="s">
        <v>13</v>
      </c>
      <c r="F198" s="29" t="b">
        <v>0</v>
      </c>
      <c r="G198" s="29" t="b">
        <v>1</v>
      </c>
      <c r="H198" s="29" t="b">
        <v>1</v>
      </c>
      <c r="I198" s="29" t="b">
        <v>0</v>
      </c>
      <c r="J198" s="29" t="b">
        <v>0</v>
      </c>
      <c r="K198" s="29" t="b">
        <v>1</v>
      </c>
      <c r="L198" s="29" t="b">
        <v>0</v>
      </c>
      <c r="M198" s="432" t="b">
        <v>0</v>
      </c>
      <c r="N198" s="432" t="b">
        <v>1</v>
      </c>
      <c r="O198" s="29" t="s">
        <v>1197</v>
      </c>
      <c r="P198" s="29" t="s">
        <v>120</v>
      </c>
      <c r="Q198" s="441">
        <f t="shared" si="970"/>
        <v>225</v>
      </c>
      <c r="R198" s="441">
        <f t="shared" si="971"/>
        <v>225</v>
      </c>
      <c r="S198" s="442" t="e">
        <f t="shared" si="972"/>
        <v>#VALUE!</v>
      </c>
      <c r="T198" s="308"/>
      <c r="U198" s="443"/>
      <c r="V198" s="454" t="str">
        <f t="shared" ref="V198:W198" si="1201">X198</f>
        <v>-</v>
      </c>
      <c r="W198" s="454" t="str">
        <f t="shared" si="1201"/>
        <v>-</v>
      </c>
      <c r="X198" s="444" t="s">
        <v>13</v>
      </c>
      <c r="Y198" s="245" t="s">
        <v>13</v>
      </c>
      <c r="Z198" s="245"/>
      <c r="AA198" s="245"/>
      <c r="AB198" s="463" t="e">
        <f t="shared" ref="AB198:AC198" si="1202">V198-X198</f>
        <v>#VALUE!</v>
      </c>
      <c r="AC198" s="464" t="e">
        <f t="shared" si="1202"/>
        <v>#VALUE!</v>
      </c>
      <c r="AD198" s="474" t="e">
        <f t="shared" ref="AD198:AE198" si="1203">1-(V198/Z198)</f>
        <v>#VALUE!</v>
      </c>
      <c r="AE198" s="474" t="e">
        <f t="shared" si="1203"/>
        <v>#VALUE!</v>
      </c>
      <c r="AF198" s="475"/>
      <c r="AG198" s="475"/>
      <c r="AH198" s="483"/>
      <c r="AI198" s="483"/>
      <c r="AJ198" s="487" t="e">
        <f t="shared" si="522"/>
        <v>#VALUE!</v>
      </c>
      <c r="AK198" s="475" t="e">
        <f t="shared" si="528"/>
        <v>#VALUE!</v>
      </c>
      <c r="AL198" s="485" t="e">
        <f t="shared" ref="AL198:AM198" si="1204">AJ198-Z198</f>
        <v>#VALUE!</v>
      </c>
      <c r="AM198" s="485" t="e">
        <f t="shared" si="1204"/>
        <v>#VALUE!</v>
      </c>
      <c r="AN198" s="486" t="e">
        <f t="shared" si="8"/>
        <v>#VALUE!</v>
      </c>
      <c r="AO198" s="487" t="e">
        <f t="shared" ref="AO198:AP198" si="1205">V198+(V198*$AO$2)</f>
        <v>#VALUE!</v>
      </c>
      <c r="AP198" s="475" t="e">
        <f t="shared" si="1205"/>
        <v>#VALUE!</v>
      </c>
      <c r="AQ198" s="432" t="b">
        <v>0</v>
      </c>
      <c r="AR198" s="485" t="e">
        <f t="shared" ref="AR198:AS198" si="1206">AO198-Z198</f>
        <v>#VALUE!</v>
      </c>
      <c r="AS198" s="485" t="e">
        <f t="shared" si="1206"/>
        <v>#VALUE!</v>
      </c>
      <c r="AT198" s="486" t="e">
        <f t="shared" si="11"/>
        <v>#VALUE!</v>
      </c>
      <c r="AU198" s="301">
        <f t="shared" si="12"/>
        <v>157.5</v>
      </c>
      <c r="AV198" s="301">
        <f t="shared" si="969"/>
        <v>225</v>
      </c>
      <c r="AW198" s="29">
        <v>175</v>
      </c>
      <c r="AX198" s="29">
        <v>275</v>
      </c>
      <c r="BB198" s="302">
        <f>AV198</f>
        <v>225</v>
      </c>
      <c r="BC198" s="301"/>
      <c r="BD198" s="303">
        <f>(BB198+BC198)/2</f>
        <v>112.5</v>
      </c>
      <c r="BE198" s="304" t="e">
        <f>BB198/BC198</f>
        <v>#DIV/0!</v>
      </c>
      <c r="BF198" s="307">
        <f>BB198*$BF$1</f>
        <v>90</v>
      </c>
      <c r="BG198" s="301"/>
      <c r="BH198" s="303">
        <f>(BF198+BG198)/2</f>
        <v>45</v>
      </c>
      <c r="BI198" s="304" t="e">
        <f>BF198/BG198</f>
        <v>#DIV/0!</v>
      </c>
      <c r="BK198" s="29"/>
      <c r="BL198" s="29"/>
      <c r="BQ198" s="308"/>
      <c r="BR198" s="308"/>
    </row>
    <row r="199" ht="12.75" spans="1:70">
      <c r="A199" s="29" t="s">
        <v>1038</v>
      </c>
      <c r="B199" s="429" t="s">
        <v>1469</v>
      </c>
      <c r="C199" s="429" t="s">
        <v>1470</v>
      </c>
      <c r="D199" s="29" t="s">
        <v>1471</v>
      </c>
      <c r="F199" s="29" t="b">
        <v>1</v>
      </c>
      <c r="G199" s="29" t="b">
        <v>0</v>
      </c>
      <c r="H199" s="29" t="b">
        <v>0</v>
      </c>
      <c r="I199" s="29" t="b">
        <v>0</v>
      </c>
      <c r="J199" s="29" t="b">
        <v>0</v>
      </c>
      <c r="K199" s="29" t="b">
        <v>0</v>
      </c>
      <c r="L199" s="29" t="b">
        <v>0</v>
      </c>
      <c r="M199" s="432" t="b">
        <v>0</v>
      </c>
      <c r="N199" s="432" t="b">
        <v>0</v>
      </c>
      <c r="P199" s="29"/>
      <c r="Q199" s="441">
        <f t="shared" si="970"/>
        <v>437.5</v>
      </c>
      <c r="R199" s="441">
        <f t="shared" si="971"/>
        <v>437.5</v>
      </c>
      <c r="S199" s="442">
        <f>AK199</f>
        <v>580</v>
      </c>
      <c r="T199" s="29" t="s">
        <v>1316</v>
      </c>
      <c r="U199" s="443"/>
      <c r="V199" s="245"/>
      <c r="W199" s="245">
        <v>290</v>
      </c>
      <c r="X199" s="444"/>
      <c r="Y199" s="245"/>
      <c r="Z199" s="245"/>
      <c r="AA199" s="245"/>
      <c r="AB199" s="463">
        <f t="shared" ref="AB199:AC199" si="1207">V199-X199</f>
        <v>0</v>
      </c>
      <c r="AC199" s="464">
        <f t="shared" si="1207"/>
        <v>290</v>
      </c>
      <c r="AD199" s="474" t="e">
        <f t="shared" ref="AD199:AE199" si="1208">1-(V199/Z199)</f>
        <v>#DIV/0!</v>
      </c>
      <c r="AE199" s="474" t="e">
        <f t="shared" si="1208"/>
        <v>#DIV/0!</v>
      </c>
      <c r="AF199" s="475"/>
      <c r="AG199" s="475"/>
      <c r="AH199" s="483"/>
      <c r="AI199" s="483"/>
      <c r="AJ199" s="484">
        <f t="shared" si="522"/>
        <v>0</v>
      </c>
      <c r="AK199" s="252">
        <f t="shared" si="528"/>
        <v>580</v>
      </c>
      <c r="AL199" s="485">
        <f t="shared" ref="AL199:AL201" si="1209">AJ199-V199</f>
        <v>0</v>
      </c>
      <c r="AM199" s="485">
        <f t="shared" ref="AM199:AM201" si="1210">AK199-AA199</f>
        <v>580</v>
      </c>
      <c r="AN199" s="486">
        <f t="shared" si="8"/>
        <v>-580</v>
      </c>
      <c r="AO199" s="487">
        <f t="shared" ref="AO199:AP199" si="1211">V199+(V199*$AO$2)</f>
        <v>0</v>
      </c>
      <c r="AP199" s="475">
        <f t="shared" si="1211"/>
        <v>435</v>
      </c>
      <c r="AQ199" s="432" t="b">
        <v>0</v>
      </c>
      <c r="AR199" s="485">
        <f t="shared" ref="AR199:AS199" si="1212">AO199-Z199</f>
        <v>0</v>
      </c>
      <c r="AS199" s="485">
        <f t="shared" si="1212"/>
        <v>435</v>
      </c>
      <c r="AT199" s="486">
        <f t="shared" si="11"/>
        <v>-435</v>
      </c>
      <c r="AU199" s="301">
        <f t="shared" si="12"/>
        <v>337.5</v>
      </c>
      <c r="AV199" s="301">
        <f t="shared" si="969"/>
        <v>437.5</v>
      </c>
      <c r="AW199" s="29">
        <f>75*5</f>
        <v>375</v>
      </c>
      <c r="AX199" s="29">
        <f>100*5</f>
        <v>500</v>
      </c>
      <c r="AY199" s="29">
        <v>1</v>
      </c>
      <c r="BB199" s="302"/>
      <c r="BC199" s="301"/>
      <c r="BD199" s="303"/>
      <c r="BE199" s="304"/>
      <c r="BF199" s="307"/>
      <c r="BG199" s="301"/>
      <c r="BH199" s="303"/>
      <c r="BI199" s="304"/>
      <c r="BK199" s="29"/>
      <c r="BL199" s="29"/>
      <c r="BQ199" s="308"/>
      <c r="BR199" s="308"/>
    </row>
    <row r="200" ht="12.75" spans="1:70">
      <c r="A200" s="29" t="s">
        <v>1044</v>
      </c>
      <c r="B200" s="29" t="s">
        <v>1472</v>
      </c>
      <c r="C200" s="29" t="s">
        <v>1473</v>
      </c>
      <c r="D200" s="308"/>
      <c r="E200" s="360"/>
      <c r="F200" s="29" t="b">
        <v>1</v>
      </c>
      <c r="G200" s="29"/>
      <c r="H200" s="29" t="b">
        <v>0</v>
      </c>
      <c r="I200" s="29" t="b">
        <v>1</v>
      </c>
      <c r="J200" s="29" t="b">
        <v>0</v>
      </c>
      <c r="K200" s="29" t="b">
        <v>0</v>
      </c>
      <c r="L200" s="29" t="b">
        <v>0</v>
      </c>
      <c r="M200" s="432" t="b">
        <v>0</v>
      </c>
      <c r="N200" s="432" t="b">
        <v>1</v>
      </c>
      <c r="P200" s="29" t="s">
        <v>142</v>
      </c>
      <c r="Q200" s="441">
        <f t="shared" si="970"/>
        <v>500</v>
      </c>
      <c r="R200" s="441">
        <f t="shared" si="971"/>
        <v>500</v>
      </c>
      <c r="S200" s="538">
        <f>V200+(V200*0.35)</f>
        <v>472.5</v>
      </c>
      <c r="T200" s="29" t="s">
        <v>1474</v>
      </c>
      <c r="U200" s="443"/>
      <c r="V200" s="245">
        <v>350</v>
      </c>
      <c r="W200" s="245"/>
      <c r="X200" s="444"/>
      <c r="Y200" s="245"/>
      <c r="Z200" s="245"/>
      <c r="AA200" s="245"/>
      <c r="AB200" s="463">
        <f t="shared" ref="AB200:AC200" si="1213">V200-X200</f>
        <v>350</v>
      </c>
      <c r="AC200" s="464">
        <f t="shared" si="1213"/>
        <v>0</v>
      </c>
      <c r="AD200" s="474" t="e">
        <f t="shared" ref="AD200:AE200" si="1214">1-(V200/Z200)</f>
        <v>#DIV/0!</v>
      </c>
      <c r="AE200" s="474" t="e">
        <f t="shared" si="1214"/>
        <v>#DIV/0!</v>
      </c>
      <c r="AF200" s="475"/>
      <c r="AG200" s="475"/>
      <c r="AH200" s="483"/>
      <c r="AI200" s="483"/>
      <c r="AJ200" s="484">
        <f t="shared" si="522"/>
        <v>700</v>
      </c>
      <c r="AK200" s="252">
        <f t="shared" si="528"/>
        <v>0</v>
      </c>
      <c r="AL200" s="485">
        <f t="shared" si="1209"/>
        <v>350</v>
      </c>
      <c r="AM200" s="485">
        <f t="shared" si="1210"/>
        <v>0</v>
      </c>
      <c r="AN200" s="486">
        <f t="shared" si="8"/>
        <v>3500</v>
      </c>
      <c r="AO200" s="487">
        <f t="shared" ref="AO200:AP200" si="1215">V200+(V200*$AO$2)</f>
        <v>525</v>
      </c>
      <c r="AP200" s="475">
        <f t="shared" si="1215"/>
        <v>0</v>
      </c>
      <c r="AQ200" s="432" t="b">
        <v>0</v>
      </c>
      <c r="AR200" s="485">
        <f t="shared" ref="AR200:AS200" si="1216">AO200-Z200</f>
        <v>525</v>
      </c>
      <c r="AS200" s="485">
        <f t="shared" si="1216"/>
        <v>0</v>
      </c>
      <c r="AT200" s="486">
        <f t="shared" si="11"/>
        <v>2625</v>
      </c>
      <c r="AU200" s="301">
        <f t="shared" si="12"/>
        <v>450</v>
      </c>
      <c r="AV200" s="301">
        <f t="shared" si="969"/>
        <v>500</v>
      </c>
      <c r="AW200" s="29">
        <v>500</v>
      </c>
      <c r="AX200" s="29">
        <v>500</v>
      </c>
      <c r="AY200" s="29">
        <v>1</v>
      </c>
      <c r="AZ200" s="29"/>
      <c r="BA200" s="29"/>
      <c r="BB200" s="302"/>
      <c r="BC200" s="301"/>
      <c r="BD200" s="303"/>
      <c r="BE200" s="304"/>
      <c r="BF200" s="307"/>
      <c r="BG200" s="301"/>
      <c r="BH200" s="303"/>
      <c r="BI200" s="304"/>
      <c r="BJ200" s="29" t="s">
        <v>1475</v>
      </c>
      <c r="BK200" s="29"/>
      <c r="BL200" s="29"/>
      <c r="BQ200" s="308"/>
      <c r="BR200" s="308"/>
    </row>
    <row r="201" ht="12.75" spans="1:70">
      <c r="A201" s="29" t="s">
        <v>1044</v>
      </c>
      <c r="B201" s="29" t="s">
        <v>1472</v>
      </c>
      <c r="C201" s="29" t="s">
        <v>1476</v>
      </c>
      <c r="D201" s="308"/>
      <c r="E201" s="360"/>
      <c r="F201" s="29" t="b">
        <v>1</v>
      </c>
      <c r="G201" s="29"/>
      <c r="H201" s="29" t="b">
        <v>0</v>
      </c>
      <c r="I201" s="29" t="b">
        <v>1</v>
      </c>
      <c r="J201" s="29" t="b">
        <v>0</v>
      </c>
      <c r="K201" s="29" t="b">
        <v>0</v>
      </c>
      <c r="L201" s="29" t="b">
        <v>0</v>
      </c>
      <c r="M201" s="432" t="b">
        <v>0</v>
      </c>
      <c r="N201" s="432" t="b">
        <v>1</v>
      </c>
      <c r="P201" s="29" t="s">
        <v>142</v>
      </c>
      <c r="Q201" s="441">
        <f t="shared" si="970"/>
        <v>500</v>
      </c>
      <c r="R201" s="441">
        <f t="shared" si="971"/>
        <v>500</v>
      </c>
      <c r="S201" s="538">
        <f>V201+(V201*0.5)</f>
        <v>525</v>
      </c>
      <c r="T201" s="29" t="s">
        <v>1474</v>
      </c>
      <c r="U201" s="443"/>
      <c r="V201" s="245">
        <v>350</v>
      </c>
      <c r="W201" s="245"/>
      <c r="X201" s="444"/>
      <c r="Y201" s="245"/>
      <c r="Z201" s="245"/>
      <c r="AA201" s="245"/>
      <c r="AB201" s="463">
        <f t="shared" ref="AB201:AC201" si="1217">V201-X201</f>
        <v>350</v>
      </c>
      <c r="AC201" s="464">
        <f t="shared" si="1217"/>
        <v>0</v>
      </c>
      <c r="AD201" s="474" t="e">
        <f t="shared" ref="AD201:AE201" si="1218">1-(V201/Z201)</f>
        <v>#DIV/0!</v>
      </c>
      <c r="AE201" s="474" t="e">
        <f t="shared" si="1218"/>
        <v>#DIV/0!</v>
      </c>
      <c r="AF201" s="475"/>
      <c r="AG201" s="475"/>
      <c r="AH201" s="483"/>
      <c r="AI201" s="483"/>
      <c r="AJ201" s="484">
        <f t="shared" si="522"/>
        <v>700</v>
      </c>
      <c r="AK201" s="252">
        <f t="shared" si="528"/>
        <v>0</v>
      </c>
      <c r="AL201" s="485">
        <f t="shared" si="1209"/>
        <v>350</v>
      </c>
      <c r="AM201" s="485">
        <f t="shared" si="1210"/>
        <v>0</v>
      </c>
      <c r="AN201" s="486">
        <f t="shared" si="8"/>
        <v>3500</v>
      </c>
      <c r="AO201" s="487">
        <f t="shared" ref="AO201:AP201" si="1219">V201+(V201*$AO$2)</f>
        <v>525</v>
      </c>
      <c r="AP201" s="475">
        <f t="shared" si="1219"/>
        <v>0</v>
      </c>
      <c r="AQ201" s="432" t="b">
        <v>0</v>
      </c>
      <c r="AR201" s="485">
        <f t="shared" ref="AR201:AS201" si="1220">AO201-Z201</f>
        <v>525</v>
      </c>
      <c r="AS201" s="485">
        <f t="shared" si="1220"/>
        <v>0</v>
      </c>
      <c r="AT201" s="486">
        <f t="shared" si="11"/>
        <v>2625</v>
      </c>
      <c r="AU201" s="301">
        <f t="shared" si="12"/>
        <v>450</v>
      </c>
      <c r="AV201" s="301">
        <f t="shared" si="969"/>
        <v>500</v>
      </c>
      <c r="AW201" s="29">
        <v>500</v>
      </c>
      <c r="AX201" s="29">
        <v>500</v>
      </c>
      <c r="AY201" s="29">
        <v>1</v>
      </c>
      <c r="AZ201" s="29"/>
      <c r="BA201" s="29"/>
      <c r="BB201" s="302"/>
      <c r="BC201" s="301"/>
      <c r="BD201" s="303"/>
      <c r="BE201" s="304"/>
      <c r="BF201" s="307"/>
      <c r="BG201" s="301"/>
      <c r="BH201" s="303"/>
      <c r="BI201" s="304"/>
      <c r="BJ201" s="29" t="s">
        <v>1475</v>
      </c>
      <c r="BK201" s="29"/>
      <c r="BL201" s="29"/>
      <c r="BQ201" s="308"/>
      <c r="BR201" s="308"/>
    </row>
    <row r="202" ht="12.75" spans="1:70">
      <c r="A202" s="29" t="s">
        <v>1038</v>
      </c>
      <c r="B202" s="29" t="s">
        <v>1195</v>
      </c>
      <c r="C202" s="426" t="s">
        <v>1477</v>
      </c>
      <c r="D202" s="308"/>
      <c r="E202" s="29" t="s">
        <v>13</v>
      </c>
      <c r="F202" s="29" t="b">
        <v>0</v>
      </c>
      <c r="G202" s="29" t="b">
        <v>1</v>
      </c>
      <c r="H202" s="29" t="b">
        <v>1</v>
      </c>
      <c r="I202" s="29" t="b">
        <v>0</v>
      </c>
      <c r="J202" s="29" t="b">
        <v>0</v>
      </c>
      <c r="K202" s="29" t="b">
        <v>1</v>
      </c>
      <c r="L202" s="29" t="b">
        <v>0</v>
      </c>
      <c r="M202" s="432" t="b">
        <v>0</v>
      </c>
      <c r="N202" s="432" t="b">
        <v>0</v>
      </c>
      <c r="P202" s="29" t="s">
        <v>120</v>
      </c>
      <c r="Q202" s="441">
        <f t="shared" si="970"/>
        <v>0</v>
      </c>
      <c r="R202" s="441">
        <f t="shared" si="971"/>
        <v>0</v>
      </c>
      <c r="S202" s="442">
        <f t="shared" ref="S202:S205" si="1221">AJ202</f>
        <v>0</v>
      </c>
      <c r="T202" s="308"/>
      <c r="U202" s="443"/>
      <c r="V202" s="454">
        <f t="shared" ref="V202:W202" si="1222">X202</f>
        <v>0</v>
      </c>
      <c r="W202" s="454">
        <f t="shared" si="1222"/>
        <v>0</v>
      </c>
      <c r="X202" s="446"/>
      <c r="Y202" s="454"/>
      <c r="Z202" s="454"/>
      <c r="AA202" s="454"/>
      <c r="AB202" s="463">
        <f t="shared" ref="AB202:AC202" si="1223">V202-X202</f>
        <v>0</v>
      </c>
      <c r="AC202" s="464">
        <f t="shared" si="1223"/>
        <v>0</v>
      </c>
      <c r="AD202" s="474" t="e">
        <f t="shared" ref="AD202:AE202" si="1224">1-(V202/Z202)</f>
        <v>#DIV/0!</v>
      </c>
      <c r="AE202" s="474" t="e">
        <f t="shared" si="1224"/>
        <v>#DIV/0!</v>
      </c>
      <c r="AF202" s="475"/>
      <c r="AG202" s="475"/>
      <c r="AH202" s="483"/>
      <c r="AI202" s="483"/>
      <c r="AJ202" s="487">
        <f t="shared" si="522"/>
        <v>0</v>
      </c>
      <c r="AK202" s="475">
        <f t="shared" si="528"/>
        <v>0</v>
      </c>
      <c r="AL202" s="485">
        <f t="shared" ref="AL202:AM202" si="1225">AJ202-Z202</f>
        <v>0</v>
      </c>
      <c r="AM202" s="485">
        <f t="shared" si="1225"/>
        <v>0</v>
      </c>
      <c r="AN202" s="486">
        <f t="shared" si="8"/>
        <v>0</v>
      </c>
      <c r="AO202" s="487">
        <f t="shared" ref="AO202:AP202" si="1226">V202+(V202*$AO$2)</f>
        <v>0</v>
      </c>
      <c r="AP202" s="475">
        <f t="shared" si="1226"/>
        <v>0</v>
      </c>
      <c r="AQ202" s="432" t="b">
        <v>0</v>
      </c>
      <c r="AR202" s="485">
        <f t="shared" ref="AR202:AS202" si="1227">AO202-Z202</f>
        <v>0</v>
      </c>
      <c r="AS202" s="485">
        <f t="shared" si="1227"/>
        <v>0</v>
      </c>
      <c r="AT202" s="486">
        <f t="shared" si="11"/>
        <v>0</v>
      </c>
      <c r="AU202" s="301">
        <f t="shared" si="12"/>
        <v>0</v>
      </c>
      <c r="AV202" s="301">
        <f t="shared" si="969"/>
        <v>0</v>
      </c>
      <c r="BB202" s="302">
        <f>AV202</f>
        <v>0</v>
      </c>
      <c r="BC202" s="301"/>
      <c r="BD202" s="303">
        <f>(BB202+BC202)/2</f>
        <v>0</v>
      </c>
      <c r="BE202" s="304" t="e">
        <f>BB202/BC202</f>
        <v>#DIV/0!</v>
      </c>
      <c r="BF202" s="307">
        <f>BB202*$BF$1</f>
        <v>0</v>
      </c>
      <c r="BG202" s="301"/>
      <c r="BH202" s="303">
        <f>(BF202+BG202)/2</f>
        <v>0</v>
      </c>
      <c r="BI202" s="304" t="e">
        <f>BF202/BG202</f>
        <v>#DIV/0!</v>
      </c>
      <c r="BK202" s="29"/>
      <c r="BL202" s="29"/>
      <c r="BQ202" s="308"/>
      <c r="BR202" s="308"/>
    </row>
    <row r="203" ht="12.75" spans="1:70">
      <c r="A203" s="29" t="s">
        <v>1038</v>
      </c>
      <c r="B203" s="29" t="s">
        <v>241</v>
      </c>
      <c r="C203" s="29" t="s">
        <v>1478</v>
      </c>
      <c r="D203" s="308"/>
      <c r="F203" s="29" t="b">
        <v>0</v>
      </c>
      <c r="G203" s="29" t="b">
        <v>0</v>
      </c>
      <c r="H203" s="29" t="b">
        <v>0</v>
      </c>
      <c r="I203" s="29" t="b">
        <v>0</v>
      </c>
      <c r="J203" s="29" t="b">
        <v>0</v>
      </c>
      <c r="K203" s="29" t="b">
        <v>0</v>
      </c>
      <c r="L203" s="29" t="b">
        <v>0</v>
      </c>
      <c r="M203" s="432" t="b">
        <v>0</v>
      </c>
      <c r="N203" s="432" t="b">
        <v>0</v>
      </c>
      <c r="P203" s="29"/>
      <c r="Q203" s="441">
        <f t="shared" si="970"/>
        <v>0</v>
      </c>
      <c r="R203" s="441">
        <f t="shared" si="971"/>
        <v>0</v>
      </c>
      <c r="S203" s="442">
        <f t="shared" si="1221"/>
        <v>0</v>
      </c>
      <c r="T203" s="308"/>
      <c r="U203" s="443"/>
      <c r="V203" s="245"/>
      <c r="W203" s="245"/>
      <c r="X203" s="444"/>
      <c r="Y203" s="245"/>
      <c r="Z203" s="245"/>
      <c r="AA203" s="245"/>
      <c r="AB203" s="463">
        <f t="shared" ref="AB203:AC203" si="1228">V203-X203</f>
        <v>0</v>
      </c>
      <c r="AC203" s="464">
        <f t="shared" si="1228"/>
        <v>0</v>
      </c>
      <c r="AD203" s="474" t="e">
        <f t="shared" ref="AD203:AE203" si="1229">1-(V203/Z203)</f>
        <v>#DIV/0!</v>
      </c>
      <c r="AE203" s="474" t="e">
        <f t="shared" si="1229"/>
        <v>#DIV/0!</v>
      </c>
      <c r="AF203" s="475"/>
      <c r="AG203" s="475"/>
      <c r="AH203" s="483"/>
      <c r="AI203" s="483"/>
      <c r="AJ203" s="487">
        <f t="shared" si="522"/>
        <v>0</v>
      </c>
      <c r="AK203" s="475">
        <f t="shared" si="528"/>
        <v>0</v>
      </c>
      <c r="AL203" s="485">
        <f t="shared" ref="AL203:AM203" si="1230">AJ203-Z203</f>
        <v>0</v>
      </c>
      <c r="AM203" s="485">
        <f t="shared" si="1230"/>
        <v>0</v>
      </c>
      <c r="AN203" s="486">
        <f t="shared" si="8"/>
        <v>0</v>
      </c>
      <c r="AO203" s="487">
        <f t="shared" ref="AO203:AP203" si="1231">V203+(V203*$AO$2)</f>
        <v>0</v>
      </c>
      <c r="AP203" s="475">
        <f t="shared" si="1231"/>
        <v>0</v>
      </c>
      <c r="AQ203" s="432" t="b">
        <v>0</v>
      </c>
      <c r="AR203" s="485">
        <f t="shared" ref="AR203:AS203" si="1232">AO203-Z203</f>
        <v>0</v>
      </c>
      <c r="AS203" s="485">
        <f t="shared" si="1232"/>
        <v>0</v>
      </c>
      <c r="AT203" s="486">
        <f t="shared" si="11"/>
        <v>0</v>
      </c>
      <c r="AU203" s="301">
        <f t="shared" si="12"/>
        <v>0</v>
      </c>
      <c r="AV203" s="301">
        <f t="shared" si="969"/>
        <v>0</v>
      </c>
      <c r="AW203" s="29"/>
      <c r="AX203" s="29"/>
      <c r="BB203" s="302"/>
      <c r="BC203" s="301"/>
      <c r="BD203" s="303"/>
      <c r="BE203" s="304"/>
      <c r="BF203" s="307"/>
      <c r="BG203" s="301"/>
      <c r="BH203" s="303"/>
      <c r="BI203" s="304"/>
      <c r="BK203" s="29"/>
      <c r="BL203" s="29"/>
      <c r="BQ203" s="308"/>
      <c r="BR203" s="308"/>
    </row>
    <row r="204" ht="12.75" spans="1:70">
      <c r="A204" s="29" t="s">
        <v>1038</v>
      </c>
      <c r="B204" s="29" t="s">
        <v>241</v>
      </c>
      <c r="C204" s="29" t="s">
        <v>1478</v>
      </c>
      <c r="D204" s="308"/>
      <c r="F204" s="29" t="b">
        <v>0</v>
      </c>
      <c r="G204" s="29" t="b">
        <v>0</v>
      </c>
      <c r="H204" s="29" t="b">
        <v>0</v>
      </c>
      <c r="I204" s="29" t="b">
        <v>0</v>
      </c>
      <c r="J204" s="29" t="b">
        <v>0</v>
      </c>
      <c r="K204" s="29" t="b">
        <v>0</v>
      </c>
      <c r="L204" s="29" t="b">
        <v>0</v>
      </c>
      <c r="M204" s="432" t="b">
        <v>0</v>
      </c>
      <c r="N204" s="432" t="b">
        <v>0</v>
      </c>
      <c r="P204" s="29"/>
      <c r="Q204" s="441">
        <f t="shared" si="970"/>
        <v>0</v>
      </c>
      <c r="R204" s="441">
        <f t="shared" si="971"/>
        <v>0</v>
      </c>
      <c r="S204" s="442">
        <f t="shared" si="1221"/>
        <v>0</v>
      </c>
      <c r="T204" s="308"/>
      <c r="U204" s="443"/>
      <c r="V204" s="245"/>
      <c r="W204" s="245"/>
      <c r="X204" s="444"/>
      <c r="Y204" s="245"/>
      <c r="Z204" s="245"/>
      <c r="AA204" s="245"/>
      <c r="AB204" s="463">
        <f t="shared" ref="AB204:AC204" si="1233">V204-X204</f>
        <v>0</v>
      </c>
      <c r="AC204" s="464">
        <f t="shared" si="1233"/>
        <v>0</v>
      </c>
      <c r="AD204" s="474" t="e">
        <f t="shared" ref="AD204:AE204" si="1234">1-(V204/Z204)</f>
        <v>#DIV/0!</v>
      </c>
      <c r="AE204" s="474" t="e">
        <f t="shared" si="1234"/>
        <v>#DIV/0!</v>
      </c>
      <c r="AF204" s="475"/>
      <c r="AG204" s="475"/>
      <c r="AH204" s="483"/>
      <c r="AI204" s="483"/>
      <c r="AJ204" s="487">
        <f t="shared" si="522"/>
        <v>0</v>
      </c>
      <c r="AK204" s="475">
        <f t="shared" si="528"/>
        <v>0</v>
      </c>
      <c r="AL204" s="485">
        <f t="shared" ref="AL204:AM204" si="1235">AJ204-Z204</f>
        <v>0</v>
      </c>
      <c r="AM204" s="485">
        <f t="shared" si="1235"/>
        <v>0</v>
      </c>
      <c r="AN204" s="486">
        <f t="shared" si="8"/>
        <v>0</v>
      </c>
      <c r="AO204" s="487">
        <f t="shared" ref="AO204:AP204" si="1236">V204+(V204*$AO$2)</f>
        <v>0</v>
      </c>
      <c r="AP204" s="475">
        <f t="shared" si="1236"/>
        <v>0</v>
      </c>
      <c r="AQ204" s="432" t="b">
        <v>0</v>
      </c>
      <c r="AR204" s="485">
        <f t="shared" ref="AR204:AS204" si="1237">AO204-Z204</f>
        <v>0</v>
      </c>
      <c r="AS204" s="485">
        <f t="shared" si="1237"/>
        <v>0</v>
      </c>
      <c r="AT204" s="486">
        <f t="shared" si="11"/>
        <v>0</v>
      </c>
      <c r="AU204" s="301">
        <f t="shared" si="12"/>
        <v>0</v>
      </c>
      <c r="AV204" s="301">
        <f t="shared" si="969"/>
        <v>0</v>
      </c>
      <c r="AW204" s="29"/>
      <c r="AX204" s="29"/>
      <c r="BB204" s="302"/>
      <c r="BC204" s="301"/>
      <c r="BD204" s="303"/>
      <c r="BE204" s="304"/>
      <c r="BF204" s="307"/>
      <c r="BG204" s="301"/>
      <c r="BH204" s="303"/>
      <c r="BI204" s="304"/>
      <c r="BK204" s="29"/>
      <c r="BL204" s="29"/>
      <c r="BQ204" s="308"/>
      <c r="BR204" s="308"/>
    </row>
    <row r="205" ht="12.75" spans="1:70">
      <c r="A205" s="29" t="s">
        <v>1038</v>
      </c>
      <c r="B205" s="29" t="s">
        <v>1195</v>
      </c>
      <c r="C205" s="426" t="s">
        <v>1479</v>
      </c>
      <c r="D205" s="29" t="s">
        <v>1313</v>
      </c>
      <c r="E205" s="29" t="s">
        <v>13</v>
      </c>
      <c r="F205" s="29" t="b">
        <v>0</v>
      </c>
      <c r="G205" s="29" t="b">
        <v>1</v>
      </c>
      <c r="H205" s="29" t="b">
        <v>0</v>
      </c>
      <c r="I205" s="29" t="b">
        <v>0</v>
      </c>
      <c r="J205" s="29" t="b">
        <v>0</v>
      </c>
      <c r="K205" s="29" t="b">
        <v>1</v>
      </c>
      <c r="L205" s="29" t="b">
        <v>0</v>
      </c>
      <c r="M205" s="432" t="b">
        <v>0</v>
      </c>
      <c r="N205" s="432" t="b">
        <v>1</v>
      </c>
      <c r="O205" s="29" t="s">
        <v>1248</v>
      </c>
      <c r="P205" s="29" t="s">
        <v>120</v>
      </c>
      <c r="Q205" s="441">
        <f t="shared" si="970"/>
        <v>450</v>
      </c>
      <c r="R205" s="441">
        <f t="shared" si="971"/>
        <v>450</v>
      </c>
      <c r="S205" s="442" t="e">
        <f t="shared" si="1221"/>
        <v>#VALUE!</v>
      </c>
      <c r="T205" s="308"/>
      <c r="U205" s="443"/>
      <c r="V205" s="454" t="str">
        <f t="shared" ref="V205:W205" si="1238">X205</f>
        <v>-</v>
      </c>
      <c r="W205" s="454" t="str">
        <f t="shared" si="1238"/>
        <v>-</v>
      </c>
      <c r="X205" s="444" t="s">
        <v>13</v>
      </c>
      <c r="Y205" s="245" t="s">
        <v>13</v>
      </c>
      <c r="Z205" s="245"/>
      <c r="AA205" s="245"/>
      <c r="AB205" s="463" t="e">
        <f t="shared" ref="AB205:AC205" si="1239">V205-X205</f>
        <v>#VALUE!</v>
      </c>
      <c r="AC205" s="464" t="e">
        <f t="shared" si="1239"/>
        <v>#VALUE!</v>
      </c>
      <c r="AD205" s="474" t="e">
        <f t="shared" ref="AD205:AE205" si="1240">1-(V205/Z205)</f>
        <v>#VALUE!</v>
      </c>
      <c r="AE205" s="474" t="e">
        <f t="shared" si="1240"/>
        <v>#VALUE!</v>
      </c>
      <c r="AF205" s="475"/>
      <c r="AG205" s="475"/>
      <c r="AH205" s="483"/>
      <c r="AI205" s="483"/>
      <c r="AJ205" s="487" t="e">
        <f t="shared" si="522"/>
        <v>#VALUE!</v>
      </c>
      <c r="AK205" s="475" t="e">
        <f t="shared" si="528"/>
        <v>#VALUE!</v>
      </c>
      <c r="AL205" s="485" t="e">
        <f t="shared" ref="AL205:AM205" si="1241">AJ205-Z205</f>
        <v>#VALUE!</v>
      </c>
      <c r="AM205" s="485" t="e">
        <f t="shared" si="1241"/>
        <v>#VALUE!</v>
      </c>
      <c r="AN205" s="486" t="e">
        <f t="shared" si="8"/>
        <v>#VALUE!</v>
      </c>
      <c r="AO205" s="487" t="e">
        <f t="shared" ref="AO205:AP205" si="1242">V205+(V205*$AO$2)</f>
        <v>#VALUE!</v>
      </c>
      <c r="AP205" s="475" t="e">
        <f t="shared" si="1242"/>
        <v>#VALUE!</v>
      </c>
      <c r="AQ205" s="432" t="b">
        <v>0</v>
      </c>
      <c r="AR205" s="485" t="e">
        <f t="shared" ref="AR205:AS205" si="1243">AO205-Z205</f>
        <v>#VALUE!</v>
      </c>
      <c r="AS205" s="485" t="e">
        <f t="shared" si="1243"/>
        <v>#VALUE!</v>
      </c>
      <c r="AT205" s="486" t="e">
        <f t="shared" si="11"/>
        <v>#VALUE!</v>
      </c>
      <c r="AU205" s="301">
        <f t="shared" si="12"/>
        <v>360</v>
      </c>
      <c r="AV205" s="301">
        <f t="shared" si="969"/>
        <v>450</v>
      </c>
      <c r="AW205" s="29">
        <v>400</v>
      </c>
      <c r="AX205" s="29">
        <v>500</v>
      </c>
      <c r="BB205" s="302">
        <f>AV205</f>
        <v>450</v>
      </c>
      <c r="BC205" s="301"/>
      <c r="BD205" s="303">
        <f>(BB205+BC205)/2</f>
        <v>225</v>
      </c>
      <c r="BE205" s="304" t="e">
        <f>BB205/BC205</f>
        <v>#DIV/0!</v>
      </c>
      <c r="BF205" s="307">
        <f>BB205*$BF$1</f>
        <v>180</v>
      </c>
      <c r="BG205" s="301"/>
      <c r="BH205" s="303">
        <f>(BF205+BG205)/2</f>
        <v>90</v>
      </c>
      <c r="BI205" s="304" t="e">
        <f>BF205/BG205</f>
        <v>#DIV/0!</v>
      </c>
      <c r="BK205" s="29"/>
      <c r="BL205" s="29"/>
      <c r="BQ205" s="29"/>
      <c r="BR205" s="29"/>
    </row>
    <row r="206" ht="12.75" spans="1:71">
      <c r="A206" s="29" t="s">
        <v>1038</v>
      </c>
      <c r="B206" s="29" t="s">
        <v>1195</v>
      </c>
      <c r="C206" s="288" t="s">
        <v>1480</v>
      </c>
      <c r="D206" s="29" t="s">
        <v>1313</v>
      </c>
      <c r="F206" s="29" t="b">
        <v>1</v>
      </c>
      <c r="G206" s="29" t="b">
        <v>0</v>
      </c>
      <c r="H206" s="29" t="b">
        <v>0</v>
      </c>
      <c r="I206" s="29" t="b">
        <v>0</v>
      </c>
      <c r="J206" s="29" t="b">
        <v>0</v>
      </c>
      <c r="K206" s="29" t="b">
        <v>0</v>
      </c>
      <c r="L206" s="29" t="b">
        <v>0</v>
      </c>
      <c r="M206" s="432" t="b">
        <v>0</v>
      </c>
      <c r="N206" s="432" t="b">
        <v>0</v>
      </c>
      <c r="O206" s="29" t="s">
        <v>1481</v>
      </c>
      <c r="P206" s="29"/>
      <c r="Q206" s="441">
        <f t="shared" si="970"/>
        <v>325</v>
      </c>
      <c r="R206" s="441">
        <f t="shared" si="971"/>
        <v>325</v>
      </c>
      <c r="S206" s="539">
        <v>75.9</v>
      </c>
      <c r="T206" s="29" t="s">
        <v>1203</v>
      </c>
      <c r="U206" s="443"/>
      <c r="V206" s="245">
        <v>75.9</v>
      </c>
      <c r="W206" s="454">
        <f>Y206</f>
        <v>0</v>
      </c>
      <c r="X206" s="444"/>
      <c r="Y206" s="245"/>
      <c r="Z206" s="245"/>
      <c r="AA206" s="245"/>
      <c r="AB206" s="463">
        <f t="shared" ref="AB206:AC206" si="1244">V206-X206</f>
        <v>75.9</v>
      </c>
      <c r="AC206" s="464">
        <f t="shared" si="1244"/>
        <v>0</v>
      </c>
      <c r="AD206" s="474" t="e">
        <f t="shared" ref="AD206:AE206" si="1245">1-(V206/Z206)</f>
        <v>#DIV/0!</v>
      </c>
      <c r="AE206" s="474" t="e">
        <f t="shared" si="1245"/>
        <v>#DIV/0!</v>
      </c>
      <c r="AF206" s="475"/>
      <c r="AG206" s="475"/>
      <c r="AH206" s="483"/>
      <c r="AI206" s="483"/>
      <c r="AJ206" s="484">
        <f t="shared" si="522"/>
        <v>151.8</v>
      </c>
      <c r="AK206" s="252">
        <f t="shared" si="528"/>
        <v>0</v>
      </c>
      <c r="AL206" s="485">
        <f>AJ206-V206</f>
        <v>75.9</v>
      </c>
      <c r="AM206" s="485">
        <f>AK206-AA206</f>
        <v>0</v>
      </c>
      <c r="AN206" s="486">
        <f t="shared" si="8"/>
        <v>759</v>
      </c>
      <c r="AO206" s="487">
        <f t="shared" ref="AO206:AP206" si="1246">V206+(V206*$AO$2)</f>
        <v>113.85</v>
      </c>
      <c r="AP206" s="475">
        <f t="shared" si="1246"/>
        <v>0</v>
      </c>
      <c r="AQ206" s="432" t="b">
        <v>1</v>
      </c>
      <c r="AR206" s="485">
        <f t="shared" ref="AR206:AS206" si="1247">AO206-Z206</f>
        <v>113.85</v>
      </c>
      <c r="AS206" s="485">
        <f t="shared" si="1247"/>
        <v>0</v>
      </c>
      <c r="AT206" s="486">
        <f t="shared" si="11"/>
        <v>569.25</v>
      </c>
      <c r="AU206" s="301">
        <f t="shared" si="12"/>
        <v>270</v>
      </c>
      <c r="AV206" s="301">
        <f t="shared" si="969"/>
        <v>325</v>
      </c>
      <c r="AW206" s="29">
        <v>300</v>
      </c>
      <c r="AX206" s="29">
        <v>350</v>
      </c>
      <c r="AY206" s="29">
        <v>2</v>
      </c>
      <c r="AZ206" s="29"/>
      <c r="BA206" s="29"/>
      <c r="BB206" s="302"/>
      <c r="BC206" s="301"/>
      <c r="BD206" s="303"/>
      <c r="BE206" s="304"/>
      <c r="BF206" s="307"/>
      <c r="BG206" s="301"/>
      <c r="BH206" s="303"/>
      <c r="BI206" s="304"/>
      <c r="BK206" s="29"/>
      <c r="BL206" s="29"/>
      <c r="BQ206" s="308"/>
      <c r="BR206" s="308"/>
      <c r="BS206" s="29" t="s">
        <v>1482</v>
      </c>
    </row>
    <row r="207" ht="12.75" spans="1:70">
      <c r="A207" s="29" t="s">
        <v>1038</v>
      </c>
      <c r="B207" s="29" t="s">
        <v>1195</v>
      </c>
      <c r="C207" s="426" t="s">
        <v>1483</v>
      </c>
      <c r="D207" s="29" t="s">
        <v>1313</v>
      </c>
      <c r="E207" s="29" t="s">
        <v>13</v>
      </c>
      <c r="F207" s="29" t="b">
        <v>0</v>
      </c>
      <c r="G207" s="29" t="b">
        <v>1</v>
      </c>
      <c r="H207" s="29" t="b">
        <v>0</v>
      </c>
      <c r="I207" s="29" t="b">
        <v>0</v>
      </c>
      <c r="J207" s="29" t="b">
        <v>0</v>
      </c>
      <c r="K207" s="29" t="b">
        <v>1</v>
      </c>
      <c r="L207" s="29" t="b">
        <v>0</v>
      </c>
      <c r="M207" s="432" t="b">
        <v>0</v>
      </c>
      <c r="N207" s="432" t="b">
        <v>1</v>
      </c>
      <c r="O207" s="29" t="s">
        <v>1248</v>
      </c>
      <c r="P207" s="29" t="s">
        <v>120</v>
      </c>
      <c r="Q207" s="441">
        <f t="shared" si="970"/>
        <v>350</v>
      </c>
      <c r="R207" s="441">
        <f t="shared" si="971"/>
        <v>350</v>
      </c>
      <c r="S207" s="442" t="e">
        <f t="shared" ref="S207:S245" si="1248">AJ207</f>
        <v>#VALUE!</v>
      </c>
      <c r="T207" s="308"/>
      <c r="U207" s="443"/>
      <c r="V207" s="454" t="str">
        <f t="shared" ref="V207:W207" si="1249">X207</f>
        <v>-</v>
      </c>
      <c r="W207" s="454" t="str">
        <f t="shared" si="1249"/>
        <v>-</v>
      </c>
      <c r="X207" s="444" t="s">
        <v>13</v>
      </c>
      <c r="Y207" s="245" t="s">
        <v>13</v>
      </c>
      <c r="Z207" s="245"/>
      <c r="AA207" s="245"/>
      <c r="AB207" s="463" t="e">
        <f t="shared" ref="AB207:AC207" si="1250">V207-X207</f>
        <v>#VALUE!</v>
      </c>
      <c r="AC207" s="464" t="e">
        <f t="shared" si="1250"/>
        <v>#VALUE!</v>
      </c>
      <c r="AD207" s="474" t="e">
        <f t="shared" ref="AD207:AE207" si="1251">1-(V207/Z207)</f>
        <v>#VALUE!</v>
      </c>
      <c r="AE207" s="474" t="e">
        <f t="shared" si="1251"/>
        <v>#VALUE!</v>
      </c>
      <c r="AF207" s="475"/>
      <c r="AG207" s="475"/>
      <c r="AH207" s="483"/>
      <c r="AI207" s="483"/>
      <c r="AJ207" s="487" t="e">
        <f t="shared" si="522"/>
        <v>#VALUE!</v>
      </c>
      <c r="AK207" s="475" t="e">
        <f t="shared" si="528"/>
        <v>#VALUE!</v>
      </c>
      <c r="AL207" s="485" t="e">
        <f t="shared" ref="AL207:AM207" si="1252">AJ207-Z207</f>
        <v>#VALUE!</v>
      </c>
      <c r="AM207" s="485" t="e">
        <f t="shared" si="1252"/>
        <v>#VALUE!</v>
      </c>
      <c r="AN207" s="486" t="e">
        <f t="shared" si="8"/>
        <v>#VALUE!</v>
      </c>
      <c r="AO207" s="487" t="e">
        <f t="shared" ref="AO207:AP207" si="1253">V207+(V207*$AO$2)</f>
        <v>#VALUE!</v>
      </c>
      <c r="AP207" s="475" t="e">
        <f t="shared" si="1253"/>
        <v>#VALUE!</v>
      </c>
      <c r="AQ207" s="432" t="b">
        <v>0</v>
      </c>
      <c r="AR207" s="485" t="e">
        <f t="shared" ref="AR207:AS207" si="1254">AO207-Z207</f>
        <v>#VALUE!</v>
      </c>
      <c r="AS207" s="485" t="e">
        <f t="shared" si="1254"/>
        <v>#VALUE!</v>
      </c>
      <c r="AT207" s="486" t="e">
        <f t="shared" si="11"/>
        <v>#VALUE!</v>
      </c>
      <c r="AU207" s="301">
        <f t="shared" si="12"/>
        <v>270</v>
      </c>
      <c r="AV207" s="301">
        <f t="shared" si="969"/>
        <v>350</v>
      </c>
      <c r="AW207" s="29">
        <v>300</v>
      </c>
      <c r="AX207" s="29">
        <v>400</v>
      </c>
      <c r="BB207" s="302">
        <f t="shared" ref="BB207:BB216" si="1255">AV207</f>
        <v>350</v>
      </c>
      <c r="BC207" s="301"/>
      <c r="BD207" s="303">
        <f t="shared" ref="BD207:BD216" si="1256">(BB207+BC207)/2</f>
        <v>175</v>
      </c>
      <c r="BE207" s="304" t="e">
        <f t="shared" ref="BE207:BE216" si="1257">BB207/BC207</f>
        <v>#DIV/0!</v>
      </c>
      <c r="BF207" s="307">
        <f t="shared" ref="BF207:BF216" si="1258">BB207*$BF$1</f>
        <v>140</v>
      </c>
      <c r="BG207" s="301"/>
      <c r="BH207" s="303">
        <f t="shared" ref="BH207:BH216" si="1259">(BF207+BG207)/2</f>
        <v>70</v>
      </c>
      <c r="BI207" s="304" t="e">
        <f t="shared" ref="BI207:BI216" si="1260">BF207/BG207</f>
        <v>#DIV/0!</v>
      </c>
      <c r="BK207" s="29"/>
      <c r="BL207" s="29"/>
      <c r="BQ207" s="29"/>
      <c r="BR207" s="29"/>
    </row>
    <row r="208" ht="12.75" spans="1:72">
      <c r="A208" s="29" t="s">
        <v>1038</v>
      </c>
      <c r="B208" s="29" t="s">
        <v>1195</v>
      </c>
      <c r="C208" s="288" t="s">
        <v>1484</v>
      </c>
      <c r="D208" s="29" t="s">
        <v>1200</v>
      </c>
      <c r="E208" s="29" t="s">
        <v>1231</v>
      </c>
      <c r="F208" s="29" t="b">
        <v>1</v>
      </c>
      <c r="G208" s="29" t="b">
        <v>0</v>
      </c>
      <c r="H208" s="29" t="b">
        <v>0</v>
      </c>
      <c r="I208" s="29" t="b">
        <v>0</v>
      </c>
      <c r="J208" s="29" t="b">
        <v>0</v>
      </c>
      <c r="K208" s="29" t="b">
        <v>0</v>
      </c>
      <c r="L208" s="29" t="b">
        <v>0</v>
      </c>
      <c r="M208" s="432" t="b">
        <v>0</v>
      </c>
      <c r="N208" s="432" t="s">
        <v>1485</v>
      </c>
      <c r="O208" s="29" t="s">
        <v>1486</v>
      </c>
      <c r="P208" s="29" t="s">
        <v>120</v>
      </c>
      <c r="Q208" s="441">
        <f t="shared" si="970"/>
        <v>0</v>
      </c>
      <c r="R208" s="441">
        <f t="shared" si="971"/>
        <v>0</v>
      </c>
      <c r="S208" s="442">
        <f t="shared" si="1248"/>
        <v>60</v>
      </c>
      <c r="T208" s="29" t="s">
        <v>1203</v>
      </c>
      <c r="U208" s="443"/>
      <c r="V208" s="454">
        <v>30</v>
      </c>
      <c r="W208" s="454">
        <v>150</v>
      </c>
      <c r="X208" s="446"/>
      <c r="Y208" s="454"/>
      <c r="Z208" s="360"/>
      <c r="AA208" s="454"/>
      <c r="AB208" s="463">
        <f t="shared" ref="AB208:AC208" si="1261">V208-X208</f>
        <v>30</v>
      </c>
      <c r="AC208" s="464">
        <f t="shared" si="1261"/>
        <v>150</v>
      </c>
      <c r="AD208" s="474" t="e">
        <f t="shared" ref="AD208:AE208" si="1262">1-(V208/Z208)</f>
        <v>#DIV/0!</v>
      </c>
      <c r="AE208" s="474" t="e">
        <f t="shared" si="1262"/>
        <v>#DIV/0!</v>
      </c>
      <c r="AF208" s="475"/>
      <c r="AG208" s="475"/>
      <c r="AH208" s="483"/>
      <c r="AI208" s="483"/>
      <c r="AJ208" s="487">
        <f t="shared" si="522"/>
        <v>60</v>
      </c>
      <c r="AK208" s="475">
        <f t="shared" si="528"/>
        <v>300</v>
      </c>
      <c r="AL208" s="485">
        <f t="shared" ref="AL208:AM208" si="1263">AJ208-Z208</f>
        <v>60</v>
      </c>
      <c r="AM208" s="485">
        <f t="shared" si="1263"/>
        <v>300</v>
      </c>
      <c r="AN208" s="486">
        <f t="shared" si="8"/>
        <v>0</v>
      </c>
      <c r="AO208" s="487">
        <f t="shared" ref="AO208:AP208" si="1264">V208+(V208*$AO$2)</f>
        <v>45</v>
      </c>
      <c r="AP208" s="475">
        <f t="shared" si="1264"/>
        <v>225</v>
      </c>
      <c r="AQ208" s="432" t="b">
        <v>1</v>
      </c>
      <c r="AR208" s="485">
        <f t="shared" ref="AR208:AS208" si="1265">AO208-Z208</f>
        <v>45</v>
      </c>
      <c r="AS208" s="485">
        <f t="shared" si="1265"/>
        <v>225</v>
      </c>
      <c r="AT208" s="486">
        <f t="shared" si="11"/>
        <v>0</v>
      </c>
      <c r="AU208" s="301">
        <f t="shared" si="12"/>
        <v>0</v>
      </c>
      <c r="AV208" s="301">
        <f t="shared" si="969"/>
        <v>0</v>
      </c>
      <c r="BB208" s="302">
        <f t="shared" si="1255"/>
        <v>0</v>
      </c>
      <c r="BC208" s="301"/>
      <c r="BD208" s="303">
        <f t="shared" si="1256"/>
        <v>0</v>
      </c>
      <c r="BE208" s="304" t="e">
        <f t="shared" si="1257"/>
        <v>#DIV/0!</v>
      </c>
      <c r="BF208" s="307">
        <f t="shared" si="1258"/>
        <v>0</v>
      </c>
      <c r="BG208" s="301"/>
      <c r="BH208" s="303">
        <f t="shared" si="1259"/>
        <v>0</v>
      </c>
      <c r="BI208" s="304" t="e">
        <f t="shared" si="1260"/>
        <v>#DIV/0!</v>
      </c>
      <c r="BK208" s="29"/>
      <c r="BL208" s="29"/>
      <c r="BP208" s="29" t="s">
        <v>1204</v>
      </c>
      <c r="BQ208" s="29"/>
      <c r="BR208" s="29"/>
      <c r="BS208" s="29"/>
      <c r="BT208" s="29" t="s">
        <v>1487</v>
      </c>
    </row>
    <row r="209" ht="12.75" spans="1:72">
      <c r="A209" s="29" t="s">
        <v>1044</v>
      </c>
      <c r="B209" s="29" t="s">
        <v>1195</v>
      </c>
      <c r="C209" s="29" t="s">
        <v>1488</v>
      </c>
      <c r="D209" s="29" t="s">
        <v>1200</v>
      </c>
      <c r="E209" s="29" t="s">
        <v>1217</v>
      </c>
      <c r="F209" s="29" t="b">
        <v>1</v>
      </c>
      <c r="G209" s="29" t="b">
        <v>0</v>
      </c>
      <c r="H209" s="29" t="b">
        <v>0</v>
      </c>
      <c r="I209" s="29" t="b">
        <v>0</v>
      </c>
      <c r="J209" s="29" t="b">
        <v>0</v>
      </c>
      <c r="K209" s="29" t="b">
        <v>0</v>
      </c>
      <c r="L209" s="29" t="b">
        <v>0</v>
      </c>
      <c r="M209" s="432" t="b">
        <v>1</v>
      </c>
      <c r="N209" s="432" t="b">
        <v>1</v>
      </c>
      <c r="O209" s="29" t="s">
        <v>1489</v>
      </c>
      <c r="P209" s="29" t="s">
        <v>120</v>
      </c>
      <c r="Q209" s="441">
        <f t="shared" si="970"/>
        <v>375</v>
      </c>
      <c r="R209" s="441">
        <f t="shared" si="971"/>
        <v>375</v>
      </c>
      <c r="S209" s="442">
        <f t="shared" si="1248"/>
        <v>50</v>
      </c>
      <c r="T209" s="29" t="s">
        <v>1203</v>
      </c>
      <c r="U209" s="443"/>
      <c r="V209" s="454">
        <v>25</v>
      </c>
      <c r="W209" s="454">
        <v>125</v>
      </c>
      <c r="X209" s="446">
        <v>27.04</v>
      </c>
      <c r="Y209" s="454">
        <v>124.54</v>
      </c>
      <c r="Z209" s="360"/>
      <c r="AA209" s="454"/>
      <c r="AB209" s="463">
        <f t="shared" ref="AB209:AC209" si="1266">V209-X209</f>
        <v>-2.04</v>
      </c>
      <c r="AC209" s="464">
        <f t="shared" si="1266"/>
        <v>0.459999999999994</v>
      </c>
      <c r="AD209" s="474" t="e">
        <f t="shared" ref="AD209:AE209" si="1267">1-(V209/Z209)</f>
        <v>#DIV/0!</v>
      </c>
      <c r="AE209" s="474" t="e">
        <f t="shared" si="1267"/>
        <v>#DIV/0!</v>
      </c>
      <c r="AF209" s="475"/>
      <c r="AG209" s="475"/>
      <c r="AH209" s="483"/>
      <c r="AI209" s="483"/>
      <c r="AJ209" s="487">
        <f t="shared" si="522"/>
        <v>50</v>
      </c>
      <c r="AK209" s="475">
        <f t="shared" si="528"/>
        <v>250</v>
      </c>
      <c r="AL209" s="485">
        <f t="shared" ref="AL209:AM209" si="1268">AJ209-Z209</f>
        <v>50</v>
      </c>
      <c r="AM209" s="485">
        <f t="shared" si="1268"/>
        <v>250</v>
      </c>
      <c r="AN209" s="486">
        <f t="shared" si="8"/>
        <v>0</v>
      </c>
      <c r="AO209" s="487">
        <f t="shared" ref="AO209:AP209" si="1269">V209+(V209*$AO$2)</f>
        <v>37.5</v>
      </c>
      <c r="AP209" s="475">
        <f t="shared" si="1269"/>
        <v>187.5</v>
      </c>
      <c r="AQ209" s="432" t="b">
        <v>0</v>
      </c>
      <c r="AR209" s="485">
        <f t="shared" ref="AR209:AS209" si="1270">AO209-Z209</f>
        <v>37.5</v>
      </c>
      <c r="AS209" s="485">
        <f t="shared" si="1270"/>
        <v>187.5</v>
      </c>
      <c r="AT209" s="486">
        <f t="shared" si="11"/>
        <v>0</v>
      </c>
      <c r="AU209" s="301">
        <f t="shared" si="12"/>
        <v>315</v>
      </c>
      <c r="AV209" s="302">
        <v>375</v>
      </c>
      <c r="AW209" s="29">
        <v>350</v>
      </c>
      <c r="AX209" s="29">
        <v>400</v>
      </c>
      <c r="BB209" s="302">
        <f t="shared" si="1255"/>
        <v>375</v>
      </c>
      <c r="BC209" s="301"/>
      <c r="BD209" s="303">
        <f t="shared" si="1256"/>
        <v>187.5</v>
      </c>
      <c r="BE209" s="304" t="e">
        <f t="shared" si="1257"/>
        <v>#DIV/0!</v>
      </c>
      <c r="BF209" s="307">
        <f t="shared" si="1258"/>
        <v>150</v>
      </c>
      <c r="BG209" s="301"/>
      <c r="BH209" s="303">
        <f t="shared" si="1259"/>
        <v>75</v>
      </c>
      <c r="BI209" s="304" t="e">
        <f t="shared" si="1260"/>
        <v>#DIV/0!</v>
      </c>
      <c r="BK209" s="29"/>
      <c r="BL209" s="29"/>
      <c r="BP209" s="29" t="s">
        <v>1204</v>
      </c>
      <c r="BQ209" s="29"/>
      <c r="BR209" s="29"/>
      <c r="BS209" s="29"/>
      <c r="BT209" s="29" t="s">
        <v>1490</v>
      </c>
    </row>
    <row r="210" ht="12.75" spans="1:72">
      <c r="A210" s="29" t="s">
        <v>1044</v>
      </c>
      <c r="B210" s="29" t="s">
        <v>1195</v>
      </c>
      <c r="C210" s="29" t="s">
        <v>1488</v>
      </c>
      <c r="D210" s="29" t="s">
        <v>1200</v>
      </c>
      <c r="E210" s="29" t="s">
        <v>1491</v>
      </c>
      <c r="F210" s="29" t="b">
        <v>1</v>
      </c>
      <c r="G210" s="29" t="b">
        <v>0</v>
      </c>
      <c r="H210" s="29" t="b">
        <v>0</v>
      </c>
      <c r="I210" s="29" t="b">
        <v>0</v>
      </c>
      <c r="J210" s="29" t="b">
        <v>0</v>
      </c>
      <c r="K210" s="29" t="b">
        <v>0</v>
      </c>
      <c r="L210" s="29" t="b">
        <v>0</v>
      </c>
      <c r="M210" s="432" t="b">
        <v>1</v>
      </c>
      <c r="N210" s="432" t="b">
        <v>1</v>
      </c>
      <c r="O210" s="29" t="s">
        <v>1492</v>
      </c>
      <c r="P210" s="29" t="s">
        <v>120</v>
      </c>
      <c r="Q210" s="441">
        <f t="shared" si="970"/>
        <v>375</v>
      </c>
      <c r="R210" s="441">
        <f t="shared" si="971"/>
        <v>375</v>
      </c>
      <c r="S210" s="442">
        <f t="shared" si="1248"/>
        <v>60</v>
      </c>
      <c r="T210" s="29" t="s">
        <v>1203</v>
      </c>
      <c r="U210" s="443"/>
      <c r="V210" s="454">
        <v>30</v>
      </c>
      <c r="W210" s="454">
        <v>150</v>
      </c>
      <c r="X210" s="446">
        <v>32.33</v>
      </c>
      <c r="Y210" s="454">
        <v>144.81</v>
      </c>
      <c r="Z210" s="360"/>
      <c r="AA210" s="454"/>
      <c r="AB210" s="463">
        <f t="shared" ref="AB210:AC210" si="1271">V210-X210</f>
        <v>-2.33</v>
      </c>
      <c r="AC210" s="464">
        <f t="shared" si="1271"/>
        <v>5.19</v>
      </c>
      <c r="AD210" s="474" t="e">
        <f t="shared" ref="AD210:AE210" si="1272">1-(V210/Z210)</f>
        <v>#DIV/0!</v>
      </c>
      <c r="AE210" s="474" t="e">
        <f t="shared" si="1272"/>
        <v>#DIV/0!</v>
      </c>
      <c r="AF210" s="475"/>
      <c r="AG210" s="475"/>
      <c r="AH210" s="483"/>
      <c r="AI210" s="483"/>
      <c r="AJ210" s="487">
        <f t="shared" si="522"/>
        <v>60</v>
      </c>
      <c r="AK210" s="475">
        <f t="shared" si="528"/>
        <v>300</v>
      </c>
      <c r="AL210" s="485">
        <f t="shared" ref="AL210:AM210" si="1273">AJ210-Z210</f>
        <v>60</v>
      </c>
      <c r="AM210" s="485">
        <f t="shared" si="1273"/>
        <v>300</v>
      </c>
      <c r="AN210" s="486">
        <f t="shared" si="8"/>
        <v>0</v>
      </c>
      <c r="AO210" s="487">
        <f t="shared" ref="AO210:AP210" si="1274">V210+(V210*$AO$2)</f>
        <v>45</v>
      </c>
      <c r="AP210" s="475">
        <f t="shared" si="1274"/>
        <v>225</v>
      </c>
      <c r="AQ210" s="432" t="b">
        <v>0</v>
      </c>
      <c r="AR210" s="485">
        <f t="shared" ref="AR210:AS210" si="1275">AO210-Z210</f>
        <v>45</v>
      </c>
      <c r="AS210" s="485">
        <f t="shared" si="1275"/>
        <v>225</v>
      </c>
      <c r="AT210" s="486">
        <f t="shared" si="11"/>
        <v>0</v>
      </c>
      <c r="AU210" s="301">
        <f t="shared" si="12"/>
        <v>315</v>
      </c>
      <c r="AV210" s="301">
        <f t="shared" ref="AV210:AV245" si="1276">(AW210+AX210)/2</f>
        <v>375</v>
      </c>
      <c r="AW210" s="29">
        <v>350</v>
      </c>
      <c r="AX210" s="29">
        <v>400</v>
      </c>
      <c r="BB210" s="302">
        <f t="shared" si="1255"/>
        <v>375</v>
      </c>
      <c r="BC210" s="301"/>
      <c r="BD210" s="303">
        <f t="shared" si="1256"/>
        <v>187.5</v>
      </c>
      <c r="BE210" s="304" t="e">
        <f t="shared" si="1257"/>
        <v>#DIV/0!</v>
      </c>
      <c r="BF210" s="307">
        <f t="shared" si="1258"/>
        <v>150</v>
      </c>
      <c r="BG210" s="301"/>
      <c r="BH210" s="303">
        <f t="shared" si="1259"/>
        <v>75</v>
      </c>
      <c r="BI210" s="304" t="e">
        <f t="shared" si="1260"/>
        <v>#DIV/0!</v>
      </c>
      <c r="BK210" s="29"/>
      <c r="BL210" s="29"/>
      <c r="BP210" s="29" t="s">
        <v>1204</v>
      </c>
      <c r="BQ210" s="29"/>
      <c r="BR210" s="29"/>
      <c r="BS210" s="29"/>
      <c r="BT210" s="29" t="s">
        <v>1493</v>
      </c>
    </row>
    <row r="211" ht="12.75" spans="1:72">
      <c r="A211" s="29" t="s">
        <v>1044</v>
      </c>
      <c r="B211" s="29" t="s">
        <v>1195</v>
      </c>
      <c r="C211" s="29" t="s">
        <v>1488</v>
      </c>
      <c r="D211" s="29" t="s">
        <v>1200</v>
      </c>
      <c r="E211" s="29" t="s">
        <v>1224</v>
      </c>
      <c r="F211" s="29" t="b">
        <v>1</v>
      </c>
      <c r="G211" s="29" t="b">
        <v>0</v>
      </c>
      <c r="H211" s="29" t="b">
        <v>0</v>
      </c>
      <c r="I211" s="29" t="b">
        <v>0</v>
      </c>
      <c r="J211" s="29" t="b">
        <v>0</v>
      </c>
      <c r="K211" s="29" t="b">
        <v>0</v>
      </c>
      <c r="L211" s="29" t="b">
        <v>0</v>
      </c>
      <c r="M211" s="432" t="b">
        <v>1</v>
      </c>
      <c r="N211" s="432" t="b">
        <v>1</v>
      </c>
      <c r="O211" s="29" t="s">
        <v>1494</v>
      </c>
      <c r="P211" s="29" t="s">
        <v>120</v>
      </c>
      <c r="Q211" s="441">
        <f t="shared" si="970"/>
        <v>375</v>
      </c>
      <c r="R211" s="441">
        <f t="shared" si="971"/>
        <v>375</v>
      </c>
      <c r="S211" s="442">
        <f t="shared" si="1248"/>
        <v>60</v>
      </c>
      <c r="T211" s="29" t="s">
        <v>1203</v>
      </c>
      <c r="U211" s="443"/>
      <c r="V211" s="454">
        <v>30</v>
      </c>
      <c r="W211" s="454">
        <v>150</v>
      </c>
      <c r="X211" s="446">
        <v>32.33</v>
      </c>
      <c r="Y211" s="454">
        <v>144.81</v>
      </c>
      <c r="Z211" s="360"/>
      <c r="AA211" s="454"/>
      <c r="AB211" s="463">
        <f t="shared" ref="AB211:AC211" si="1277">V211-X211</f>
        <v>-2.33</v>
      </c>
      <c r="AC211" s="464">
        <f t="shared" si="1277"/>
        <v>5.19</v>
      </c>
      <c r="AD211" s="474" t="e">
        <f t="shared" ref="AD211:AE211" si="1278">1-(V211/Z211)</f>
        <v>#DIV/0!</v>
      </c>
      <c r="AE211" s="474" t="e">
        <f t="shared" si="1278"/>
        <v>#DIV/0!</v>
      </c>
      <c r="AF211" s="475"/>
      <c r="AG211" s="475"/>
      <c r="AH211" s="483"/>
      <c r="AI211" s="483"/>
      <c r="AJ211" s="487">
        <f t="shared" si="522"/>
        <v>60</v>
      </c>
      <c r="AK211" s="475">
        <f t="shared" si="528"/>
        <v>300</v>
      </c>
      <c r="AL211" s="485">
        <f t="shared" ref="AL211:AM211" si="1279">AJ211-Z211</f>
        <v>60</v>
      </c>
      <c r="AM211" s="485">
        <f t="shared" si="1279"/>
        <v>300</v>
      </c>
      <c r="AN211" s="486">
        <f t="shared" si="8"/>
        <v>0</v>
      </c>
      <c r="AO211" s="487">
        <f t="shared" ref="AO211:AP211" si="1280">V211+(V211*$AO$2)</f>
        <v>45</v>
      </c>
      <c r="AP211" s="475">
        <f t="shared" si="1280"/>
        <v>225</v>
      </c>
      <c r="AQ211" s="432" t="b">
        <v>0</v>
      </c>
      <c r="AR211" s="485">
        <f t="shared" ref="AR211:AS211" si="1281">AO211-Z211</f>
        <v>45</v>
      </c>
      <c r="AS211" s="485">
        <f t="shared" si="1281"/>
        <v>225</v>
      </c>
      <c r="AT211" s="486">
        <f t="shared" si="11"/>
        <v>0</v>
      </c>
      <c r="AU211" s="301">
        <f t="shared" si="12"/>
        <v>315</v>
      </c>
      <c r="AV211" s="301">
        <f t="shared" si="1276"/>
        <v>375</v>
      </c>
      <c r="AW211" s="29">
        <v>350</v>
      </c>
      <c r="AX211" s="29">
        <v>400</v>
      </c>
      <c r="BB211" s="302">
        <f t="shared" si="1255"/>
        <v>375</v>
      </c>
      <c r="BC211" s="301"/>
      <c r="BD211" s="303">
        <f t="shared" si="1256"/>
        <v>187.5</v>
      </c>
      <c r="BE211" s="304" t="e">
        <f t="shared" si="1257"/>
        <v>#DIV/0!</v>
      </c>
      <c r="BF211" s="307">
        <f t="shared" si="1258"/>
        <v>150</v>
      </c>
      <c r="BG211" s="301"/>
      <c r="BH211" s="303">
        <f t="shared" si="1259"/>
        <v>75</v>
      </c>
      <c r="BI211" s="304" t="e">
        <f t="shared" si="1260"/>
        <v>#DIV/0!</v>
      </c>
      <c r="BK211" s="29"/>
      <c r="BL211" s="29"/>
      <c r="BP211" s="29" t="s">
        <v>1204</v>
      </c>
      <c r="BQ211" s="29"/>
      <c r="BR211" s="29"/>
      <c r="BS211" s="29"/>
      <c r="BT211" s="29" t="s">
        <v>1495</v>
      </c>
    </row>
    <row r="212" ht="12.75" spans="1:72">
      <c r="A212" s="29" t="s">
        <v>1044</v>
      </c>
      <c r="B212" s="29" t="s">
        <v>1195</v>
      </c>
      <c r="C212" s="29" t="s">
        <v>1488</v>
      </c>
      <c r="D212" s="29" t="s">
        <v>1200</v>
      </c>
      <c r="E212" s="29" t="s">
        <v>1243</v>
      </c>
      <c r="F212" s="29" t="b">
        <v>1</v>
      </c>
      <c r="G212" s="29" t="b">
        <v>0</v>
      </c>
      <c r="H212" s="29" t="b">
        <v>0</v>
      </c>
      <c r="I212" s="29" t="b">
        <v>0</v>
      </c>
      <c r="J212" s="29" t="b">
        <v>0</v>
      </c>
      <c r="K212" s="29" t="b">
        <v>0</v>
      </c>
      <c r="L212" s="29" t="b">
        <v>0</v>
      </c>
      <c r="M212" s="432" t="b">
        <v>1</v>
      </c>
      <c r="N212" s="432" t="b">
        <v>1</v>
      </c>
      <c r="O212" s="29" t="s">
        <v>1496</v>
      </c>
      <c r="P212" s="29" t="s">
        <v>120</v>
      </c>
      <c r="Q212" s="441">
        <f t="shared" si="970"/>
        <v>375</v>
      </c>
      <c r="R212" s="441">
        <f t="shared" si="971"/>
        <v>375</v>
      </c>
      <c r="S212" s="442">
        <f t="shared" si="1248"/>
        <v>60</v>
      </c>
      <c r="T212" s="29" t="s">
        <v>1203</v>
      </c>
      <c r="U212" s="443"/>
      <c r="V212" s="454">
        <v>30</v>
      </c>
      <c r="W212" s="454">
        <v>150</v>
      </c>
      <c r="X212" s="446">
        <v>33.58</v>
      </c>
      <c r="Y212" s="454">
        <v>154.46</v>
      </c>
      <c r="Z212" s="360"/>
      <c r="AA212" s="454"/>
      <c r="AB212" s="463">
        <f t="shared" ref="AB212:AC212" si="1282">V212-X212</f>
        <v>-3.58</v>
      </c>
      <c r="AC212" s="464">
        <f t="shared" si="1282"/>
        <v>-4.46000000000001</v>
      </c>
      <c r="AD212" s="474" t="e">
        <f t="shared" ref="AD212:AE212" si="1283">1-(V212/Z212)</f>
        <v>#DIV/0!</v>
      </c>
      <c r="AE212" s="474" t="e">
        <f t="shared" si="1283"/>
        <v>#DIV/0!</v>
      </c>
      <c r="AF212" s="475"/>
      <c r="AG212" s="475"/>
      <c r="AH212" s="483"/>
      <c r="AI212" s="483"/>
      <c r="AJ212" s="487">
        <f t="shared" si="522"/>
        <v>60</v>
      </c>
      <c r="AK212" s="475">
        <f t="shared" si="528"/>
        <v>300</v>
      </c>
      <c r="AL212" s="485">
        <f t="shared" ref="AL212:AM212" si="1284">AJ212-Z212</f>
        <v>60</v>
      </c>
      <c r="AM212" s="485">
        <f t="shared" si="1284"/>
        <v>300</v>
      </c>
      <c r="AN212" s="486">
        <f t="shared" si="8"/>
        <v>0</v>
      </c>
      <c r="AO212" s="487">
        <f t="shared" ref="AO212:AP212" si="1285">V212+(V212*$AO$2)</f>
        <v>45</v>
      </c>
      <c r="AP212" s="475">
        <f t="shared" si="1285"/>
        <v>225</v>
      </c>
      <c r="AQ212" s="432" t="b">
        <v>0</v>
      </c>
      <c r="AR212" s="485">
        <f t="shared" ref="AR212:AS212" si="1286">AO212-Z212</f>
        <v>45</v>
      </c>
      <c r="AS212" s="485">
        <f t="shared" si="1286"/>
        <v>225</v>
      </c>
      <c r="AT212" s="486">
        <f t="shared" si="11"/>
        <v>0</v>
      </c>
      <c r="AU212" s="301">
        <f t="shared" si="12"/>
        <v>315</v>
      </c>
      <c r="AV212" s="301">
        <f t="shared" si="1276"/>
        <v>375</v>
      </c>
      <c r="AW212" s="29">
        <v>350</v>
      </c>
      <c r="AX212" s="29">
        <v>400</v>
      </c>
      <c r="BB212" s="302">
        <f t="shared" si="1255"/>
        <v>375</v>
      </c>
      <c r="BC212" s="301"/>
      <c r="BD212" s="303">
        <f t="shared" si="1256"/>
        <v>187.5</v>
      </c>
      <c r="BE212" s="304" t="e">
        <f t="shared" si="1257"/>
        <v>#DIV/0!</v>
      </c>
      <c r="BF212" s="307">
        <f t="shared" si="1258"/>
        <v>150</v>
      </c>
      <c r="BG212" s="301"/>
      <c r="BH212" s="303">
        <f t="shared" si="1259"/>
        <v>75</v>
      </c>
      <c r="BI212" s="304" t="e">
        <f t="shared" si="1260"/>
        <v>#DIV/0!</v>
      </c>
      <c r="BK212" s="29"/>
      <c r="BL212" s="29"/>
      <c r="BP212" s="29" t="s">
        <v>1204</v>
      </c>
      <c r="BQ212" s="29"/>
      <c r="BR212" s="29"/>
      <c r="BS212" s="29"/>
      <c r="BT212" s="29" t="s">
        <v>1497</v>
      </c>
    </row>
    <row r="213" ht="12.75" spans="1:72">
      <c r="A213" s="29" t="s">
        <v>1044</v>
      </c>
      <c r="B213" s="29" t="s">
        <v>1195</v>
      </c>
      <c r="C213" s="29" t="s">
        <v>1488</v>
      </c>
      <c r="D213" s="29" t="s">
        <v>1200</v>
      </c>
      <c r="E213" s="29" t="s">
        <v>1245</v>
      </c>
      <c r="F213" s="29" t="b">
        <v>1</v>
      </c>
      <c r="G213" s="29" t="b">
        <v>0</v>
      </c>
      <c r="H213" s="29" t="b">
        <v>0</v>
      </c>
      <c r="I213" s="29" t="b">
        <v>0</v>
      </c>
      <c r="J213" s="29" t="b">
        <v>0</v>
      </c>
      <c r="K213" s="29" t="b">
        <v>0</v>
      </c>
      <c r="L213" s="29" t="b">
        <v>0</v>
      </c>
      <c r="M213" s="432" t="b">
        <v>1</v>
      </c>
      <c r="N213" s="432" t="b">
        <v>1</v>
      </c>
      <c r="O213" s="29" t="s">
        <v>1498</v>
      </c>
      <c r="P213" s="29" t="s">
        <v>120</v>
      </c>
      <c r="Q213" s="441">
        <f t="shared" si="970"/>
        <v>375</v>
      </c>
      <c r="R213" s="441">
        <f t="shared" si="971"/>
        <v>375</v>
      </c>
      <c r="S213" s="442">
        <f t="shared" si="1248"/>
        <v>64</v>
      </c>
      <c r="T213" s="29" t="s">
        <v>1203</v>
      </c>
      <c r="U213" s="443"/>
      <c r="V213" s="454">
        <v>32</v>
      </c>
      <c r="W213" s="454">
        <v>160</v>
      </c>
      <c r="X213" s="446">
        <v>33.14</v>
      </c>
      <c r="Y213" s="454">
        <v>162.5</v>
      </c>
      <c r="Z213" s="360"/>
      <c r="AA213" s="454"/>
      <c r="AB213" s="463">
        <f t="shared" ref="AB213:AC213" si="1287">V213-X213</f>
        <v>-1.14</v>
      </c>
      <c r="AC213" s="464">
        <f t="shared" si="1287"/>
        <v>-2.5</v>
      </c>
      <c r="AD213" s="474" t="e">
        <f t="shared" ref="AD213:AE213" si="1288">1-(V213/Z213)</f>
        <v>#DIV/0!</v>
      </c>
      <c r="AE213" s="474" t="e">
        <f t="shared" si="1288"/>
        <v>#DIV/0!</v>
      </c>
      <c r="AF213" s="475"/>
      <c r="AG213" s="475"/>
      <c r="AH213" s="483"/>
      <c r="AI213" s="483"/>
      <c r="AJ213" s="487">
        <f t="shared" si="522"/>
        <v>64</v>
      </c>
      <c r="AK213" s="475">
        <f t="shared" si="528"/>
        <v>320</v>
      </c>
      <c r="AL213" s="485">
        <f t="shared" ref="AL213:AM213" si="1289">AJ213-Z213</f>
        <v>64</v>
      </c>
      <c r="AM213" s="485">
        <f t="shared" si="1289"/>
        <v>320</v>
      </c>
      <c r="AN213" s="486">
        <f t="shared" si="8"/>
        <v>0</v>
      </c>
      <c r="AO213" s="487">
        <f t="shared" ref="AO213:AP213" si="1290">V213+(V213*$AO$2)</f>
        <v>48</v>
      </c>
      <c r="AP213" s="475">
        <f t="shared" si="1290"/>
        <v>240</v>
      </c>
      <c r="AQ213" s="432" t="b">
        <v>0</v>
      </c>
      <c r="AR213" s="485">
        <f t="shared" ref="AR213:AS213" si="1291">AO213-Z213</f>
        <v>48</v>
      </c>
      <c r="AS213" s="485">
        <f t="shared" si="1291"/>
        <v>240</v>
      </c>
      <c r="AT213" s="486">
        <f t="shared" si="11"/>
        <v>0</v>
      </c>
      <c r="AU213" s="301">
        <f t="shared" si="12"/>
        <v>315</v>
      </c>
      <c r="AV213" s="301">
        <f t="shared" si="1276"/>
        <v>375</v>
      </c>
      <c r="AW213" s="29">
        <v>350</v>
      </c>
      <c r="AX213" s="29">
        <v>400</v>
      </c>
      <c r="BB213" s="302">
        <f t="shared" si="1255"/>
        <v>375</v>
      </c>
      <c r="BC213" s="301"/>
      <c r="BD213" s="303">
        <f t="shared" si="1256"/>
        <v>187.5</v>
      </c>
      <c r="BE213" s="304" t="e">
        <f t="shared" si="1257"/>
        <v>#DIV/0!</v>
      </c>
      <c r="BF213" s="307">
        <f t="shared" si="1258"/>
        <v>150</v>
      </c>
      <c r="BG213" s="301"/>
      <c r="BH213" s="303">
        <f t="shared" si="1259"/>
        <v>75</v>
      </c>
      <c r="BI213" s="304" t="e">
        <f t="shared" si="1260"/>
        <v>#DIV/0!</v>
      </c>
      <c r="BK213" s="29"/>
      <c r="BL213" s="29"/>
      <c r="BP213" s="29" t="s">
        <v>1204</v>
      </c>
      <c r="BQ213" s="29"/>
      <c r="BR213" s="29"/>
      <c r="BS213" s="29"/>
      <c r="BT213" s="29" t="s">
        <v>1499</v>
      </c>
    </row>
    <row r="214" ht="12.75" spans="1:72">
      <c r="A214" s="29" t="s">
        <v>1044</v>
      </c>
      <c r="B214" s="29" t="s">
        <v>1195</v>
      </c>
      <c r="C214" s="29" t="s">
        <v>1500</v>
      </c>
      <c r="D214" s="29" t="s">
        <v>1258</v>
      </c>
      <c r="E214" s="29" t="s">
        <v>1217</v>
      </c>
      <c r="F214" s="29" t="b">
        <v>1</v>
      </c>
      <c r="G214" s="29" t="b">
        <v>0</v>
      </c>
      <c r="H214" s="29" t="b">
        <v>0</v>
      </c>
      <c r="I214" s="29" t="b">
        <v>0</v>
      </c>
      <c r="J214" s="29" t="b">
        <v>0</v>
      </c>
      <c r="K214" s="29" t="b">
        <v>0</v>
      </c>
      <c r="L214" s="29" t="b">
        <v>0</v>
      </c>
      <c r="M214" s="432" t="b">
        <v>0</v>
      </c>
      <c r="N214" s="432" t="b">
        <v>0</v>
      </c>
      <c r="O214" s="29" t="s">
        <v>1501</v>
      </c>
      <c r="P214" s="29" t="s">
        <v>120</v>
      </c>
      <c r="Q214" s="441">
        <f t="shared" si="970"/>
        <v>90</v>
      </c>
      <c r="R214" s="441">
        <f t="shared" si="971"/>
        <v>90</v>
      </c>
      <c r="S214" s="442">
        <f t="shared" si="1248"/>
        <v>60</v>
      </c>
      <c r="T214" s="29" t="s">
        <v>1203</v>
      </c>
      <c r="U214" s="443"/>
      <c r="V214" s="245">
        <v>30</v>
      </c>
      <c r="W214" s="245">
        <v>150</v>
      </c>
      <c r="X214" s="444"/>
      <c r="Y214" s="245"/>
      <c r="Z214" s="360"/>
      <c r="AA214" s="245"/>
      <c r="AB214" s="463">
        <f t="shared" ref="AB214:AC214" si="1292">V214-X214</f>
        <v>30</v>
      </c>
      <c r="AC214" s="464">
        <f t="shared" si="1292"/>
        <v>150</v>
      </c>
      <c r="AD214" s="474" t="e">
        <f t="shared" ref="AD214:AE214" si="1293">1-(V214/Z214)</f>
        <v>#DIV/0!</v>
      </c>
      <c r="AE214" s="474" t="e">
        <f t="shared" si="1293"/>
        <v>#DIV/0!</v>
      </c>
      <c r="AF214" s="475"/>
      <c r="AG214" s="475"/>
      <c r="AH214" s="483"/>
      <c r="AI214" s="483"/>
      <c r="AJ214" s="487">
        <f t="shared" si="522"/>
        <v>60</v>
      </c>
      <c r="AK214" s="475">
        <f t="shared" si="528"/>
        <v>300</v>
      </c>
      <c r="AL214" s="485">
        <f t="shared" ref="AL214:AM214" si="1294">AJ214-Z214</f>
        <v>60</v>
      </c>
      <c r="AM214" s="485">
        <f t="shared" si="1294"/>
        <v>300</v>
      </c>
      <c r="AN214" s="486">
        <f t="shared" si="8"/>
        <v>0</v>
      </c>
      <c r="AO214" s="487">
        <f t="shared" ref="AO214:AP214" si="1295">V214+(V214*$AO$2)</f>
        <v>45</v>
      </c>
      <c r="AP214" s="475">
        <f t="shared" si="1295"/>
        <v>225</v>
      </c>
      <c r="AQ214" s="432" t="b">
        <v>0</v>
      </c>
      <c r="AR214" s="485">
        <f t="shared" ref="AR214:AS214" si="1296">AO214-Z214</f>
        <v>45</v>
      </c>
      <c r="AS214" s="485">
        <f t="shared" si="1296"/>
        <v>225</v>
      </c>
      <c r="AT214" s="486">
        <f t="shared" si="11"/>
        <v>0</v>
      </c>
      <c r="AU214" s="301">
        <f t="shared" si="12"/>
        <v>72</v>
      </c>
      <c r="AV214" s="301">
        <f t="shared" si="1276"/>
        <v>90</v>
      </c>
      <c r="AW214" s="29">
        <v>80</v>
      </c>
      <c r="AX214" s="29">
        <v>100</v>
      </c>
      <c r="BB214" s="302">
        <f t="shared" si="1255"/>
        <v>90</v>
      </c>
      <c r="BC214" s="301"/>
      <c r="BD214" s="303">
        <f t="shared" si="1256"/>
        <v>45</v>
      </c>
      <c r="BE214" s="304" t="e">
        <f t="shared" si="1257"/>
        <v>#DIV/0!</v>
      </c>
      <c r="BF214" s="307">
        <f t="shared" si="1258"/>
        <v>36</v>
      </c>
      <c r="BG214" s="301"/>
      <c r="BH214" s="303">
        <f t="shared" si="1259"/>
        <v>18</v>
      </c>
      <c r="BI214" s="304" t="e">
        <f t="shared" si="1260"/>
        <v>#DIV/0!</v>
      </c>
      <c r="BK214" s="29"/>
      <c r="BL214" s="29"/>
      <c r="BP214" s="29" t="s">
        <v>1258</v>
      </c>
      <c r="BQ214" s="29"/>
      <c r="BR214" s="29"/>
      <c r="BS214" s="29"/>
      <c r="BT214" s="29" t="s">
        <v>1502</v>
      </c>
    </row>
    <row r="215" ht="12.75" spans="1:72">
      <c r="A215" s="29" t="s">
        <v>1044</v>
      </c>
      <c r="B215" s="29" t="s">
        <v>1195</v>
      </c>
      <c r="C215" s="29" t="s">
        <v>1503</v>
      </c>
      <c r="D215" s="29" t="s">
        <v>1200</v>
      </c>
      <c r="F215" s="29" t="b">
        <v>0</v>
      </c>
      <c r="G215" s="29" t="b">
        <v>1</v>
      </c>
      <c r="H215" s="29" t="b">
        <v>0</v>
      </c>
      <c r="I215" s="29" t="b">
        <v>0</v>
      </c>
      <c r="J215" s="29" t="b">
        <v>0</v>
      </c>
      <c r="K215" s="29" t="b">
        <v>0</v>
      </c>
      <c r="L215" s="29" t="b">
        <v>0</v>
      </c>
      <c r="M215" s="432" t="b">
        <v>0</v>
      </c>
      <c r="N215" s="432" t="b">
        <v>1</v>
      </c>
      <c r="O215" s="29" t="s">
        <v>1504</v>
      </c>
      <c r="P215" s="29" t="s">
        <v>120</v>
      </c>
      <c r="Q215" s="441">
        <f t="shared" si="970"/>
        <v>375</v>
      </c>
      <c r="R215" s="441">
        <f t="shared" si="971"/>
        <v>375</v>
      </c>
      <c r="S215" s="442">
        <f t="shared" si="1248"/>
        <v>0</v>
      </c>
      <c r="T215" s="29" t="s">
        <v>1203</v>
      </c>
      <c r="U215" s="443"/>
      <c r="V215" s="454"/>
      <c r="W215" s="454"/>
      <c r="X215" s="446">
        <v>23.17</v>
      </c>
      <c r="Y215" s="454">
        <v>112.62</v>
      </c>
      <c r="Z215" s="360"/>
      <c r="AA215" s="454"/>
      <c r="AB215" s="463">
        <f t="shared" ref="AB215:AC215" si="1297">V215-X215</f>
        <v>-23.17</v>
      </c>
      <c r="AC215" s="464">
        <f t="shared" si="1297"/>
        <v>-112.62</v>
      </c>
      <c r="AD215" s="474" t="e">
        <f t="shared" ref="AD215:AE215" si="1298">1-(V215/Z215)</f>
        <v>#DIV/0!</v>
      </c>
      <c r="AE215" s="474" t="e">
        <f t="shared" si="1298"/>
        <v>#DIV/0!</v>
      </c>
      <c r="AF215" s="475"/>
      <c r="AG215" s="475"/>
      <c r="AH215" s="483"/>
      <c r="AI215" s="483"/>
      <c r="AJ215" s="487">
        <f t="shared" si="522"/>
        <v>0</v>
      </c>
      <c r="AK215" s="475">
        <f t="shared" si="528"/>
        <v>0</v>
      </c>
      <c r="AL215" s="485">
        <f t="shared" ref="AL215:AM215" si="1299">AJ215-Z215</f>
        <v>0</v>
      </c>
      <c r="AM215" s="485">
        <f t="shared" si="1299"/>
        <v>0</v>
      </c>
      <c r="AN215" s="486">
        <f t="shared" si="8"/>
        <v>0</v>
      </c>
      <c r="AO215" s="487">
        <f t="shared" ref="AO215:AP215" si="1300">V215+(V215*$AO$2)</f>
        <v>0</v>
      </c>
      <c r="AP215" s="475">
        <f t="shared" si="1300"/>
        <v>0</v>
      </c>
      <c r="AQ215" s="432" t="b">
        <v>0</v>
      </c>
      <c r="AR215" s="485">
        <f t="shared" ref="AR215:AS215" si="1301">AO215-Z215</f>
        <v>0</v>
      </c>
      <c r="AS215" s="485">
        <f t="shared" si="1301"/>
        <v>0</v>
      </c>
      <c r="AT215" s="486">
        <f t="shared" si="11"/>
        <v>0</v>
      </c>
      <c r="AU215" s="301">
        <f t="shared" si="12"/>
        <v>315</v>
      </c>
      <c r="AV215" s="301">
        <f t="shared" si="1276"/>
        <v>375</v>
      </c>
      <c r="AW215" s="29">
        <v>350</v>
      </c>
      <c r="AX215" s="29">
        <v>400</v>
      </c>
      <c r="BB215" s="302">
        <f t="shared" si="1255"/>
        <v>375</v>
      </c>
      <c r="BC215" s="301"/>
      <c r="BD215" s="303">
        <f t="shared" si="1256"/>
        <v>187.5</v>
      </c>
      <c r="BE215" s="304" t="e">
        <f t="shared" si="1257"/>
        <v>#DIV/0!</v>
      </c>
      <c r="BF215" s="307">
        <f t="shared" si="1258"/>
        <v>150</v>
      </c>
      <c r="BG215" s="301"/>
      <c r="BH215" s="303">
        <f t="shared" si="1259"/>
        <v>75</v>
      </c>
      <c r="BI215" s="304" t="e">
        <f t="shared" si="1260"/>
        <v>#DIV/0!</v>
      </c>
      <c r="BK215" s="29"/>
      <c r="BL215" s="29"/>
      <c r="BP215" s="29" t="s">
        <v>1204</v>
      </c>
      <c r="BQ215" s="29"/>
      <c r="BR215" s="29"/>
      <c r="BS215" s="29"/>
      <c r="BT215" s="29" t="s">
        <v>1490</v>
      </c>
    </row>
    <row r="216" ht="12.75" spans="1:70">
      <c r="A216" s="29" t="s">
        <v>1038</v>
      </c>
      <c r="B216" s="29" t="s">
        <v>1195</v>
      </c>
      <c r="C216" s="288" t="s">
        <v>1505</v>
      </c>
      <c r="D216" s="29" t="s">
        <v>1200</v>
      </c>
      <c r="E216" s="29" t="s">
        <v>13</v>
      </c>
      <c r="F216" s="29" t="b">
        <v>1</v>
      </c>
      <c r="G216" s="29" t="b">
        <v>0</v>
      </c>
      <c r="H216" s="29" t="b">
        <v>0</v>
      </c>
      <c r="I216" s="29" t="b">
        <v>0</v>
      </c>
      <c r="J216" s="29" t="b">
        <v>0</v>
      </c>
      <c r="K216" s="29" t="b">
        <v>1</v>
      </c>
      <c r="L216" s="29" t="b">
        <v>0</v>
      </c>
      <c r="M216" s="432" t="b">
        <v>0</v>
      </c>
      <c r="N216" s="432" t="b">
        <v>1</v>
      </c>
      <c r="O216" s="29" t="s">
        <v>1506</v>
      </c>
      <c r="P216" s="29" t="s">
        <v>120</v>
      </c>
      <c r="Q216" s="441">
        <f t="shared" si="970"/>
        <v>400</v>
      </c>
      <c r="R216" s="441">
        <f t="shared" si="971"/>
        <v>400</v>
      </c>
      <c r="S216" s="442">
        <f t="shared" si="1248"/>
        <v>66.28</v>
      </c>
      <c r="T216" s="308"/>
      <c r="U216" s="443"/>
      <c r="V216" s="454">
        <f t="shared" ref="V216:W216" si="1302">X216</f>
        <v>33.14</v>
      </c>
      <c r="W216" s="454">
        <f t="shared" si="1302"/>
        <v>162.51</v>
      </c>
      <c r="X216" s="444">
        <v>33.14</v>
      </c>
      <c r="Y216" s="245">
        <v>162.51</v>
      </c>
      <c r="Z216" s="245"/>
      <c r="AA216" s="245"/>
      <c r="AB216" s="463">
        <f t="shared" ref="AB216:AC216" si="1303">V216-X216</f>
        <v>0</v>
      </c>
      <c r="AC216" s="464">
        <f t="shared" si="1303"/>
        <v>0</v>
      </c>
      <c r="AD216" s="474" t="e">
        <f t="shared" ref="AD216:AE216" si="1304">1-(V216/Z216)</f>
        <v>#DIV/0!</v>
      </c>
      <c r="AE216" s="474" t="e">
        <f t="shared" si="1304"/>
        <v>#DIV/0!</v>
      </c>
      <c r="AF216" s="475"/>
      <c r="AG216" s="475"/>
      <c r="AH216" s="483"/>
      <c r="AI216" s="483"/>
      <c r="AJ216" s="487">
        <f t="shared" si="522"/>
        <v>66.28</v>
      </c>
      <c r="AK216" s="475">
        <f t="shared" si="528"/>
        <v>325.02</v>
      </c>
      <c r="AL216" s="485">
        <f t="shared" ref="AL216:AM216" si="1305">AJ216-Z216</f>
        <v>66.28</v>
      </c>
      <c r="AM216" s="485">
        <f t="shared" si="1305"/>
        <v>325.02</v>
      </c>
      <c r="AN216" s="486">
        <f t="shared" si="8"/>
        <v>6.38</v>
      </c>
      <c r="AO216" s="487">
        <f t="shared" ref="AO216:AP216" si="1306">V216+(V216*$AO$2)</f>
        <v>49.71</v>
      </c>
      <c r="AP216" s="475">
        <f t="shared" si="1306"/>
        <v>243.765</v>
      </c>
      <c r="AQ216" s="432" t="b">
        <v>1</v>
      </c>
      <c r="AR216" s="485">
        <f t="shared" ref="AR216:AS216" si="1307">AO216-Z216</f>
        <v>49.71</v>
      </c>
      <c r="AS216" s="485">
        <f t="shared" si="1307"/>
        <v>243.765</v>
      </c>
      <c r="AT216" s="486">
        <f t="shared" si="11"/>
        <v>4.78500000000003</v>
      </c>
      <c r="AU216" s="301">
        <f t="shared" si="12"/>
        <v>315</v>
      </c>
      <c r="AV216" s="301">
        <f t="shared" si="1276"/>
        <v>400</v>
      </c>
      <c r="AW216" s="29">
        <v>350</v>
      </c>
      <c r="AX216" s="29">
        <v>450</v>
      </c>
      <c r="BB216" s="302">
        <f t="shared" si="1255"/>
        <v>400</v>
      </c>
      <c r="BC216" s="301"/>
      <c r="BD216" s="303">
        <f t="shared" si="1256"/>
        <v>200</v>
      </c>
      <c r="BE216" s="304" t="e">
        <f t="shared" si="1257"/>
        <v>#DIV/0!</v>
      </c>
      <c r="BF216" s="307">
        <f t="shared" si="1258"/>
        <v>160</v>
      </c>
      <c r="BG216" s="301"/>
      <c r="BH216" s="303">
        <f t="shared" si="1259"/>
        <v>80</v>
      </c>
      <c r="BI216" s="304" t="e">
        <f t="shared" si="1260"/>
        <v>#DIV/0!</v>
      </c>
      <c r="BK216" s="29"/>
      <c r="BL216" s="29"/>
      <c r="BQ216" s="29"/>
      <c r="BR216" s="29"/>
    </row>
    <row r="217" ht="12.75" spans="1:70">
      <c r="A217" s="29" t="s">
        <v>1038</v>
      </c>
      <c r="B217" s="29" t="s">
        <v>1195</v>
      </c>
      <c r="C217" s="288" t="s">
        <v>1507</v>
      </c>
      <c r="D217" s="29" t="s">
        <v>1200</v>
      </c>
      <c r="E217" s="29" t="s">
        <v>1255</v>
      </c>
      <c r="F217" s="29" t="b">
        <v>1</v>
      </c>
      <c r="G217" s="29" t="b">
        <v>0</v>
      </c>
      <c r="H217" s="29" t="b">
        <v>0</v>
      </c>
      <c r="I217" s="29" t="b">
        <v>0</v>
      </c>
      <c r="J217" s="29" t="b">
        <v>0</v>
      </c>
      <c r="K217" s="29" t="b">
        <v>0</v>
      </c>
      <c r="L217" s="29" t="b">
        <v>0</v>
      </c>
      <c r="M217" s="432" t="b">
        <v>0</v>
      </c>
      <c r="N217" s="432" t="b">
        <v>1</v>
      </c>
      <c r="O217" s="29" t="s">
        <v>1508</v>
      </c>
      <c r="P217" s="29"/>
      <c r="Q217" s="441">
        <f t="shared" si="970"/>
        <v>400</v>
      </c>
      <c r="R217" s="441">
        <f t="shared" si="971"/>
        <v>400</v>
      </c>
      <c r="S217" s="442">
        <f t="shared" si="1248"/>
        <v>80.08</v>
      </c>
      <c r="T217" s="308"/>
      <c r="U217" s="443"/>
      <c r="V217" s="454">
        <f t="shared" ref="V217:W217" si="1308">X217</f>
        <v>40.04</v>
      </c>
      <c r="W217" s="454">
        <f t="shared" si="1308"/>
        <v>185.86</v>
      </c>
      <c r="X217" s="444">
        <v>40.04</v>
      </c>
      <c r="Y217" s="245">
        <v>185.86</v>
      </c>
      <c r="Z217" s="245"/>
      <c r="AA217" s="245"/>
      <c r="AB217" s="463">
        <f t="shared" ref="AB217:AC217" si="1309">V217-X217</f>
        <v>0</v>
      </c>
      <c r="AC217" s="464">
        <f t="shared" si="1309"/>
        <v>0</v>
      </c>
      <c r="AD217" s="474" t="e">
        <f t="shared" ref="AD217:AE217" si="1310">1-(V217/Z217)</f>
        <v>#DIV/0!</v>
      </c>
      <c r="AE217" s="474" t="e">
        <f t="shared" si="1310"/>
        <v>#DIV/0!</v>
      </c>
      <c r="AF217" s="475"/>
      <c r="AG217" s="475"/>
      <c r="AH217" s="483"/>
      <c r="AI217" s="483"/>
      <c r="AJ217" s="487">
        <f t="shared" si="522"/>
        <v>80.08</v>
      </c>
      <c r="AK217" s="475">
        <f t="shared" si="528"/>
        <v>371.72</v>
      </c>
      <c r="AL217" s="485">
        <f t="shared" ref="AL217:AM217" si="1311">AJ217-Z217</f>
        <v>80.08</v>
      </c>
      <c r="AM217" s="485">
        <f t="shared" si="1311"/>
        <v>371.72</v>
      </c>
      <c r="AN217" s="486">
        <f t="shared" si="8"/>
        <v>28.6799999999999</v>
      </c>
      <c r="AO217" s="487">
        <f t="shared" ref="AO217:AP217" si="1312">V217+(V217*$AO$2)</f>
        <v>60.06</v>
      </c>
      <c r="AP217" s="475">
        <f t="shared" si="1312"/>
        <v>278.79</v>
      </c>
      <c r="AQ217" s="432" t="b">
        <v>1</v>
      </c>
      <c r="AR217" s="485">
        <f t="shared" ref="AR217:AS217" si="1313">AO217-Z217</f>
        <v>60.06</v>
      </c>
      <c r="AS217" s="485">
        <f t="shared" si="1313"/>
        <v>278.79</v>
      </c>
      <c r="AT217" s="486">
        <f t="shared" si="11"/>
        <v>21.51</v>
      </c>
      <c r="AU217" s="301">
        <f t="shared" si="12"/>
        <v>337.5</v>
      </c>
      <c r="AV217" s="301">
        <f t="shared" si="1276"/>
        <v>400</v>
      </c>
      <c r="AW217" s="29">
        <v>375</v>
      </c>
      <c r="AX217" s="29">
        <v>425</v>
      </c>
      <c r="BB217" s="302"/>
      <c r="BC217" s="301"/>
      <c r="BD217" s="303"/>
      <c r="BE217" s="304"/>
      <c r="BF217" s="307"/>
      <c r="BG217" s="301"/>
      <c r="BH217" s="303"/>
      <c r="BI217" s="304"/>
      <c r="BK217" s="29"/>
      <c r="BL217" s="29"/>
      <c r="BQ217" s="29"/>
      <c r="BR217" s="29"/>
    </row>
    <row r="218" ht="12.75" spans="1:70">
      <c r="A218" s="29" t="s">
        <v>1038</v>
      </c>
      <c r="B218" s="29" t="s">
        <v>1195</v>
      </c>
      <c r="C218" s="426" t="s">
        <v>1509</v>
      </c>
      <c r="D218" s="29" t="s">
        <v>1200</v>
      </c>
      <c r="E218" s="29" t="s">
        <v>1283</v>
      </c>
      <c r="F218" s="29" t="b">
        <v>0</v>
      </c>
      <c r="G218" s="29" t="b">
        <v>1</v>
      </c>
      <c r="H218" s="29" t="b">
        <v>0</v>
      </c>
      <c r="I218" s="29" t="b">
        <v>0</v>
      </c>
      <c r="J218" s="29" t="b">
        <v>0</v>
      </c>
      <c r="K218" s="29" t="b">
        <v>0</v>
      </c>
      <c r="L218" s="29" t="b">
        <v>0</v>
      </c>
      <c r="M218" s="432" t="b">
        <v>0</v>
      </c>
      <c r="N218" s="432" t="b">
        <v>1</v>
      </c>
      <c r="P218" s="29"/>
      <c r="Q218" s="441">
        <f t="shared" si="970"/>
        <v>0</v>
      </c>
      <c r="R218" s="441">
        <f t="shared" si="971"/>
        <v>0</v>
      </c>
      <c r="S218" s="442">
        <f t="shared" si="1248"/>
        <v>67.56</v>
      </c>
      <c r="T218" s="308"/>
      <c r="U218" s="443"/>
      <c r="V218" s="454">
        <f t="shared" ref="V218:W218" si="1314">X218</f>
        <v>33.78</v>
      </c>
      <c r="W218" s="454">
        <f t="shared" si="1314"/>
        <v>165.72</v>
      </c>
      <c r="X218" s="444">
        <v>33.78</v>
      </c>
      <c r="Y218" s="245">
        <v>165.72</v>
      </c>
      <c r="Z218" s="245"/>
      <c r="AA218" s="245"/>
      <c r="AB218" s="463">
        <f t="shared" ref="AB218:AC218" si="1315">V218-X218</f>
        <v>0</v>
      </c>
      <c r="AC218" s="464">
        <f t="shared" si="1315"/>
        <v>0</v>
      </c>
      <c r="AD218" s="474" t="e">
        <f t="shared" ref="AD218:AE218" si="1316">1-(V218/Z218)</f>
        <v>#DIV/0!</v>
      </c>
      <c r="AE218" s="474" t="e">
        <f t="shared" si="1316"/>
        <v>#DIV/0!</v>
      </c>
      <c r="AF218" s="475"/>
      <c r="AG218" s="475"/>
      <c r="AH218" s="483"/>
      <c r="AI218" s="483"/>
      <c r="AJ218" s="487">
        <f t="shared" si="522"/>
        <v>67.56</v>
      </c>
      <c r="AK218" s="475">
        <f t="shared" si="528"/>
        <v>331.44</v>
      </c>
      <c r="AL218" s="485">
        <f t="shared" ref="AL218:AM218" si="1317">AJ218-Z218</f>
        <v>67.56</v>
      </c>
      <c r="AM218" s="485">
        <f t="shared" si="1317"/>
        <v>331.44</v>
      </c>
      <c r="AN218" s="486">
        <f t="shared" si="8"/>
        <v>6.36000000000001</v>
      </c>
      <c r="AO218" s="487">
        <f t="shared" ref="AO218:AP218" si="1318">V218+(V218*$AO$2)</f>
        <v>50.67</v>
      </c>
      <c r="AP218" s="475">
        <f t="shared" si="1318"/>
        <v>248.58</v>
      </c>
      <c r="AQ218" s="432" t="b">
        <v>0</v>
      </c>
      <c r="AR218" s="485">
        <f t="shared" ref="AR218:AS218" si="1319">AO218-Z218</f>
        <v>50.67</v>
      </c>
      <c r="AS218" s="485">
        <f t="shared" si="1319"/>
        <v>248.58</v>
      </c>
      <c r="AT218" s="486">
        <f t="shared" si="11"/>
        <v>4.77000000000004</v>
      </c>
      <c r="AU218" s="301">
        <f t="shared" si="12"/>
        <v>0</v>
      </c>
      <c r="AV218" s="301">
        <f t="shared" si="1276"/>
        <v>0</v>
      </c>
      <c r="AW218" s="29"/>
      <c r="AX218" s="29"/>
      <c r="BB218" s="302"/>
      <c r="BC218" s="301"/>
      <c r="BD218" s="303"/>
      <c r="BE218" s="304"/>
      <c r="BF218" s="307"/>
      <c r="BG218" s="301"/>
      <c r="BH218" s="303"/>
      <c r="BI218" s="304"/>
      <c r="BK218" s="29"/>
      <c r="BL218" s="29"/>
      <c r="BQ218" s="29"/>
      <c r="BR218" s="29"/>
    </row>
    <row r="219" ht="12.75" spans="1:70">
      <c r="A219" s="29" t="s">
        <v>1038</v>
      </c>
      <c r="B219" s="29" t="s">
        <v>1195</v>
      </c>
      <c r="C219" s="288" t="s">
        <v>1510</v>
      </c>
      <c r="D219" s="29" t="s">
        <v>1200</v>
      </c>
      <c r="E219" s="29" t="s">
        <v>1256</v>
      </c>
      <c r="F219" s="29" t="b">
        <v>1</v>
      </c>
      <c r="G219" s="29" t="b">
        <v>0</v>
      </c>
      <c r="H219" s="29" t="b">
        <v>0</v>
      </c>
      <c r="I219" s="29" t="b">
        <v>0</v>
      </c>
      <c r="J219" s="29" t="b">
        <v>0</v>
      </c>
      <c r="K219" s="29" t="b">
        <v>0</v>
      </c>
      <c r="L219" s="29" t="b">
        <v>0</v>
      </c>
      <c r="M219" s="432" t="b">
        <v>0</v>
      </c>
      <c r="N219" s="432" t="b">
        <v>1</v>
      </c>
      <c r="O219" s="29" t="s">
        <v>1511</v>
      </c>
      <c r="P219" s="29"/>
      <c r="Q219" s="441">
        <f t="shared" si="970"/>
        <v>400</v>
      </c>
      <c r="R219" s="441">
        <f t="shared" si="971"/>
        <v>400</v>
      </c>
      <c r="S219" s="442">
        <f t="shared" si="1248"/>
        <v>70.8</v>
      </c>
      <c r="T219" s="308"/>
      <c r="U219" s="443"/>
      <c r="V219" s="454">
        <f t="shared" ref="V219:W219" si="1320">X219</f>
        <v>35.4</v>
      </c>
      <c r="W219" s="454">
        <f t="shared" si="1320"/>
        <v>170.55</v>
      </c>
      <c r="X219" s="444">
        <v>35.4</v>
      </c>
      <c r="Y219" s="245">
        <v>170.55</v>
      </c>
      <c r="Z219" s="245"/>
      <c r="AA219" s="245"/>
      <c r="AB219" s="463">
        <f t="shared" ref="AB219:AC219" si="1321">V219-X219</f>
        <v>0</v>
      </c>
      <c r="AC219" s="464">
        <f t="shared" si="1321"/>
        <v>0</v>
      </c>
      <c r="AD219" s="474" t="e">
        <f t="shared" ref="AD219:AE219" si="1322">1-(V219/Z219)</f>
        <v>#DIV/0!</v>
      </c>
      <c r="AE219" s="474" t="e">
        <f t="shared" si="1322"/>
        <v>#DIV/0!</v>
      </c>
      <c r="AF219" s="475"/>
      <c r="AG219" s="475"/>
      <c r="AH219" s="483"/>
      <c r="AI219" s="483"/>
      <c r="AJ219" s="487">
        <f t="shared" si="522"/>
        <v>70.8</v>
      </c>
      <c r="AK219" s="475">
        <f t="shared" si="528"/>
        <v>341.1</v>
      </c>
      <c r="AL219" s="485">
        <f t="shared" ref="AL219:AM219" si="1323">AJ219-Z219</f>
        <v>70.8</v>
      </c>
      <c r="AM219" s="485">
        <f t="shared" si="1323"/>
        <v>341.1</v>
      </c>
      <c r="AN219" s="486">
        <f t="shared" si="8"/>
        <v>12.9</v>
      </c>
      <c r="AO219" s="487">
        <f t="shared" ref="AO219:AP219" si="1324">V219+(V219*$AO$2)</f>
        <v>53.1</v>
      </c>
      <c r="AP219" s="475">
        <f t="shared" si="1324"/>
        <v>255.825</v>
      </c>
      <c r="AQ219" s="432" t="b">
        <v>1</v>
      </c>
      <c r="AR219" s="485">
        <f t="shared" ref="AR219:AS219" si="1325">AO219-Z219</f>
        <v>53.1</v>
      </c>
      <c r="AS219" s="485">
        <f t="shared" si="1325"/>
        <v>255.825</v>
      </c>
      <c r="AT219" s="486">
        <f t="shared" si="11"/>
        <v>9.67499999999998</v>
      </c>
      <c r="AU219" s="301">
        <f t="shared" si="12"/>
        <v>337.5</v>
      </c>
      <c r="AV219" s="301">
        <f t="shared" si="1276"/>
        <v>400</v>
      </c>
      <c r="AW219" s="29">
        <v>375</v>
      </c>
      <c r="AX219" s="29">
        <v>425</v>
      </c>
      <c r="BB219" s="302"/>
      <c r="BC219" s="301"/>
      <c r="BD219" s="303"/>
      <c r="BE219" s="304"/>
      <c r="BF219" s="307"/>
      <c r="BG219" s="301"/>
      <c r="BH219" s="303"/>
      <c r="BI219" s="304"/>
      <c r="BK219" s="29"/>
      <c r="BL219" s="29"/>
      <c r="BQ219" s="29"/>
      <c r="BR219" s="29"/>
    </row>
    <row r="220" ht="12.75" spans="1:70">
      <c r="A220" s="29" t="s">
        <v>1022</v>
      </c>
      <c r="B220" s="29" t="s">
        <v>1195</v>
      </c>
      <c r="C220" s="29" t="s">
        <v>1512</v>
      </c>
      <c r="D220" s="29" t="s">
        <v>1198</v>
      </c>
      <c r="F220" s="29" t="b">
        <v>0</v>
      </c>
      <c r="G220" s="29" t="b">
        <v>1</v>
      </c>
      <c r="H220" s="29" t="b">
        <v>0</v>
      </c>
      <c r="I220" s="29" t="b">
        <v>0</v>
      </c>
      <c r="J220" s="29" t="b">
        <v>0</v>
      </c>
      <c r="K220" s="29" t="b">
        <v>0</v>
      </c>
      <c r="L220" s="29" t="b">
        <v>0</v>
      </c>
      <c r="M220" s="432" t="b">
        <v>0</v>
      </c>
      <c r="N220" s="432" t="b">
        <v>1</v>
      </c>
      <c r="P220" s="29"/>
      <c r="Q220" s="441">
        <f t="shared" si="970"/>
        <v>275</v>
      </c>
      <c r="R220" s="441">
        <f t="shared" si="971"/>
        <v>275</v>
      </c>
      <c r="S220" s="442">
        <f t="shared" si="1248"/>
        <v>0</v>
      </c>
      <c r="T220" s="308"/>
      <c r="U220" s="443"/>
      <c r="V220" s="245"/>
      <c r="W220" s="245"/>
      <c r="X220" s="444">
        <v>25.63</v>
      </c>
      <c r="Y220" s="245">
        <v>125.42</v>
      </c>
      <c r="Z220" s="245"/>
      <c r="AA220" s="245"/>
      <c r="AB220" s="463">
        <f t="shared" ref="AB220:AC220" si="1326">V220-X220</f>
        <v>-25.63</v>
      </c>
      <c r="AC220" s="464">
        <f t="shared" si="1326"/>
        <v>-125.42</v>
      </c>
      <c r="AD220" s="474" t="e">
        <f t="shared" ref="AD220:AE220" si="1327">1-(V220/Z220)</f>
        <v>#DIV/0!</v>
      </c>
      <c r="AE220" s="474" t="e">
        <f t="shared" si="1327"/>
        <v>#DIV/0!</v>
      </c>
      <c r="AF220" s="475"/>
      <c r="AG220" s="475"/>
      <c r="AH220" s="483"/>
      <c r="AI220" s="483"/>
      <c r="AJ220" s="487">
        <f t="shared" si="522"/>
        <v>0</v>
      </c>
      <c r="AK220" s="475">
        <f t="shared" si="528"/>
        <v>0</v>
      </c>
      <c r="AL220" s="485">
        <f t="shared" ref="AL220:AM220" si="1328">AJ220-Z220</f>
        <v>0</v>
      </c>
      <c r="AM220" s="485">
        <f t="shared" si="1328"/>
        <v>0</v>
      </c>
      <c r="AN220" s="486">
        <f t="shared" si="8"/>
        <v>0</v>
      </c>
      <c r="AO220" s="487">
        <f t="shared" ref="AO220:AP220" si="1329">V220+(V220*$AO$2)</f>
        <v>0</v>
      </c>
      <c r="AP220" s="475">
        <f t="shared" si="1329"/>
        <v>0</v>
      </c>
      <c r="AQ220" s="432" t="b">
        <v>0</v>
      </c>
      <c r="AR220" s="485">
        <f t="shared" ref="AR220:AS220" si="1330">AO220-Z220</f>
        <v>0</v>
      </c>
      <c r="AS220" s="485">
        <f t="shared" si="1330"/>
        <v>0</v>
      </c>
      <c r="AT220" s="486">
        <f t="shared" si="11"/>
        <v>0</v>
      </c>
      <c r="AU220" s="301">
        <f t="shared" si="12"/>
        <v>225</v>
      </c>
      <c r="AV220" s="301">
        <f t="shared" si="1276"/>
        <v>275</v>
      </c>
      <c r="AW220" s="29">
        <v>250</v>
      </c>
      <c r="AX220" s="29">
        <v>300</v>
      </c>
      <c r="BB220" s="302"/>
      <c r="BC220" s="301"/>
      <c r="BD220" s="303"/>
      <c r="BE220" s="304"/>
      <c r="BF220" s="307"/>
      <c r="BG220" s="301"/>
      <c r="BH220" s="303"/>
      <c r="BI220" s="304"/>
      <c r="BK220" s="29"/>
      <c r="BL220" s="29"/>
      <c r="BQ220" s="29"/>
      <c r="BR220" s="29"/>
    </row>
    <row r="221" ht="12.75" spans="1:70">
      <c r="A221" s="29" t="s">
        <v>1022</v>
      </c>
      <c r="B221" s="29" t="s">
        <v>1195</v>
      </c>
      <c r="C221" s="29" t="s">
        <v>1513</v>
      </c>
      <c r="D221" s="29" t="s">
        <v>1198</v>
      </c>
      <c r="E221" s="29" t="s">
        <v>13</v>
      </c>
      <c r="F221" s="29" t="b">
        <v>0</v>
      </c>
      <c r="G221" s="29" t="b">
        <v>1</v>
      </c>
      <c r="H221" s="29" t="b">
        <v>0</v>
      </c>
      <c r="I221" s="29" t="b">
        <v>0</v>
      </c>
      <c r="J221" s="29" t="b">
        <v>0</v>
      </c>
      <c r="K221" s="29" t="b">
        <v>0</v>
      </c>
      <c r="L221" s="29" t="b">
        <v>0</v>
      </c>
      <c r="M221" s="432" t="b">
        <v>0</v>
      </c>
      <c r="N221" s="432" t="b">
        <v>1</v>
      </c>
      <c r="O221" s="29" t="s">
        <v>1514</v>
      </c>
      <c r="P221" s="29" t="s">
        <v>120</v>
      </c>
      <c r="Q221" s="441">
        <f t="shared" si="970"/>
        <v>350</v>
      </c>
      <c r="R221" s="441">
        <f t="shared" si="971"/>
        <v>350</v>
      </c>
      <c r="S221" s="442">
        <f t="shared" si="1248"/>
        <v>0</v>
      </c>
      <c r="T221" s="308"/>
      <c r="U221" s="443"/>
      <c r="V221" s="245"/>
      <c r="W221" s="245"/>
      <c r="X221" s="444">
        <v>49.62</v>
      </c>
      <c r="Y221" s="245">
        <v>277.25</v>
      </c>
      <c r="Z221" s="245"/>
      <c r="AA221" s="245"/>
      <c r="AB221" s="463">
        <f t="shared" ref="AB221:AC221" si="1331">V221-X221</f>
        <v>-49.62</v>
      </c>
      <c r="AC221" s="464">
        <f t="shared" si="1331"/>
        <v>-277.25</v>
      </c>
      <c r="AD221" s="474" t="e">
        <f t="shared" ref="AD221:AE221" si="1332">1-(V221/Z221)</f>
        <v>#DIV/0!</v>
      </c>
      <c r="AE221" s="474" t="e">
        <f t="shared" si="1332"/>
        <v>#DIV/0!</v>
      </c>
      <c r="AF221" s="475"/>
      <c r="AG221" s="475"/>
      <c r="AH221" s="483"/>
      <c r="AI221" s="483"/>
      <c r="AJ221" s="487">
        <f t="shared" si="522"/>
        <v>0</v>
      </c>
      <c r="AK221" s="475">
        <f t="shared" si="528"/>
        <v>0</v>
      </c>
      <c r="AL221" s="485">
        <f t="shared" ref="AL221:AM221" si="1333">AJ221-Z221</f>
        <v>0</v>
      </c>
      <c r="AM221" s="485">
        <f t="shared" si="1333"/>
        <v>0</v>
      </c>
      <c r="AN221" s="486">
        <f t="shared" si="8"/>
        <v>0</v>
      </c>
      <c r="AO221" s="487">
        <f t="shared" ref="AO221:AP221" si="1334">V221+(V221*$AO$2)</f>
        <v>0</v>
      </c>
      <c r="AP221" s="475">
        <f t="shared" si="1334"/>
        <v>0</v>
      </c>
      <c r="AQ221" s="432" t="b">
        <v>0</v>
      </c>
      <c r="AR221" s="485">
        <f t="shared" ref="AR221:AS221" si="1335">AO221-Z221</f>
        <v>0</v>
      </c>
      <c r="AS221" s="485">
        <f t="shared" si="1335"/>
        <v>0</v>
      </c>
      <c r="AT221" s="486">
        <f t="shared" si="11"/>
        <v>0</v>
      </c>
      <c r="AU221" s="301">
        <f t="shared" si="12"/>
        <v>292.5</v>
      </c>
      <c r="AV221" s="301">
        <f t="shared" si="1276"/>
        <v>350</v>
      </c>
      <c r="AW221" s="29">
        <v>325</v>
      </c>
      <c r="AX221" s="29">
        <v>375</v>
      </c>
      <c r="BB221" s="302">
        <f t="shared" ref="BB221:BB227" si="1336">AV221</f>
        <v>350</v>
      </c>
      <c r="BC221" s="301"/>
      <c r="BD221" s="303">
        <f t="shared" ref="BD221:BD227" si="1337">(BB221+BC221)/2</f>
        <v>175</v>
      </c>
      <c r="BE221" s="304" t="e">
        <f t="shared" ref="BE221:BE227" si="1338">BB221/BC221</f>
        <v>#DIV/0!</v>
      </c>
      <c r="BF221" s="307">
        <f t="shared" ref="BF221:BF227" si="1339">BB221*$BF$1</f>
        <v>140</v>
      </c>
      <c r="BG221" s="301"/>
      <c r="BH221" s="303">
        <f t="shared" ref="BH221:BH227" si="1340">(BF221+BG221)/2</f>
        <v>70</v>
      </c>
      <c r="BI221" s="304" t="e">
        <f t="shared" ref="BI221:BI227" si="1341">BF221/BG221</f>
        <v>#DIV/0!</v>
      </c>
      <c r="BK221" s="29"/>
      <c r="BL221" s="29"/>
      <c r="BQ221" s="308"/>
      <c r="BR221" s="308"/>
    </row>
    <row r="222" ht="12.75" spans="1:70">
      <c r="A222" s="29" t="s">
        <v>1022</v>
      </c>
      <c r="B222" s="29" t="s">
        <v>1195</v>
      </c>
      <c r="C222" s="29" t="s">
        <v>1515</v>
      </c>
      <c r="D222" s="29" t="s">
        <v>1356</v>
      </c>
      <c r="E222" s="29" t="s">
        <v>1271</v>
      </c>
      <c r="F222" s="29" t="b">
        <v>0</v>
      </c>
      <c r="G222" s="29" t="b">
        <v>1</v>
      </c>
      <c r="H222" s="29" t="b">
        <v>0</v>
      </c>
      <c r="I222" s="29" t="b">
        <v>0</v>
      </c>
      <c r="J222" s="29" t="b">
        <v>0</v>
      </c>
      <c r="K222" s="29" t="b">
        <v>0</v>
      </c>
      <c r="L222" s="29" t="b">
        <v>0</v>
      </c>
      <c r="M222" s="432" t="b">
        <v>0</v>
      </c>
      <c r="N222" s="432" t="b">
        <v>1</v>
      </c>
      <c r="O222" s="29" t="s">
        <v>1516</v>
      </c>
      <c r="P222" s="29" t="s">
        <v>120</v>
      </c>
      <c r="Q222" s="441">
        <f t="shared" si="970"/>
        <v>320</v>
      </c>
      <c r="R222" s="441">
        <f t="shared" si="971"/>
        <v>320</v>
      </c>
      <c r="S222" s="442">
        <f t="shared" si="1248"/>
        <v>0</v>
      </c>
      <c r="T222" s="308"/>
      <c r="U222" s="443"/>
      <c r="V222" s="245"/>
      <c r="W222" s="245"/>
      <c r="X222" s="444">
        <v>64.34</v>
      </c>
      <c r="Y222" s="245">
        <v>318.51</v>
      </c>
      <c r="Z222" s="245"/>
      <c r="AA222" s="245"/>
      <c r="AB222" s="463">
        <f t="shared" ref="AB222:AC222" si="1342">V222-X222</f>
        <v>-64.34</v>
      </c>
      <c r="AC222" s="464">
        <f t="shared" si="1342"/>
        <v>-318.51</v>
      </c>
      <c r="AD222" s="474" t="e">
        <f t="shared" ref="AD222:AE222" si="1343">1-(V222/Z222)</f>
        <v>#DIV/0!</v>
      </c>
      <c r="AE222" s="474" t="e">
        <f t="shared" si="1343"/>
        <v>#DIV/0!</v>
      </c>
      <c r="AF222" s="475"/>
      <c r="AG222" s="475"/>
      <c r="AH222" s="483"/>
      <c r="AI222" s="483"/>
      <c r="AJ222" s="487">
        <f t="shared" si="522"/>
        <v>0</v>
      </c>
      <c r="AK222" s="475">
        <f t="shared" si="528"/>
        <v>0</v>
      </c>
      <c r="AL222" s="485">
        <f t="shared" ref="AL222:AM222" si="1344">AJ222-Z222</f>
        <v>0</v>
      </c>
      <c r="AM222" s="485">
        <f t="shared" si="1344"/>
        <v>0</v>
      </c>
      <c r="AN222" s="486">
        <f t="shared" si="8"/>
        <v>0</v>
      </c>
      <c r="AO222" s="487">
        <f t="shared" ref="AO222:AP222" si="1345">V222+(V222*$AO$2)</f>
        <v>0</v>
      </c>
      <c r="AP222" s="475">
        <f t="shared" si="1345"/>
        <v>0</v>
      </c>
      <c r="AQ222" s="432" t="b">
        <v>0</v>
      </c>
      <c r="AR222" s="485">
        <f t="shared" ref="AR222:AS222" si="1346">AO222-Z222</f>
        <v>0</v>
      </c>
      <c r="AS222" s="485">
        <f t="shared" si="1346"/>
        <v>0</v>
      </c>
      <c r="AT222" s="486">
        <f t="shared" si="11"/>
        <v>0</v>
      </c>
      <c r="AU222" s="301">
        <f t="shared" si="12"/>
        <v>265.5</v>
      </c>
      <c r="AV222" s="301">
        <f t="shared" si="1276"/>
        <v>320</v>
      </c>
      <c r="AW222" s="29">
        <v>295</v>
      </c>
      <c r="AX222" s="29">
        <v>345</v>
      </c>
      <c r="BB222" s="302">
        <f t="shared" si="1336"/>
        <v>320</v>
      </c>
      <c r="BC222" s="301"/>
      <c r="BD222" s="303">
        <f t="shared" si="1337"/>
        <v>160</v>
      </c>
      <c r="BE222" s="304" t="e">
        <f t="shared" si="1338"/>
        <v>#DIV/0!</v>
      </c>
      <c r="BF222" s="307">
        <f t="shared" si="1339"/>
        <v>128</v>
      </c>
      <c r="BG222" s="301"/>
      <c r="BH222" s="303">
        <f t="shared" si="1340"/>
        <v>64</v>
      </c>
      <c r="BI222" s="304" t="e">
        <f t="shared" si="1341"/>
        <v>#DIV/0!</v>
      </c>
      <c r="BK222" s="29"/>
      <c r="BL222" s="29"/>
      <c r="BQ222" s="308"/>
      <c r="BR222" s="308"/>
    </row>
    <row r="223" ht="12.75" spans="1:70">
      <c r="A223" s="29" t="s">
        <v>1022</v>
      </c>
      <c r="B223" s="29" t="s">
        <v>1195</v>
      </c>
      <c r="C223" s="29" t="s">
        <v>1517</v>
      </c>
      <c r="D223" s="29" t="s">
        <v>1356</v>
      </c>
      <c r="E223" s="29" t="s">
        <v>1255</v>
      </c>
      <c r="F223" s="29" t="b">
        <v>0</v>
      </c>
      <c r="G223" s="29" t="b">
        <v>1</v>
      </c>
      <c r="H223" s="29" t="b">
        <v>0</v>
      </c>
      <c r="I223" s="29" t="b">
        <v>0</v>
      </c>
      <c r="J223" s="29" t="b">
        <v>0</v>
      </c>
      <c r="K223" s="29" t="b">
        <v>0</v>
      </c>
      <c r="L223" s="29" t="b">
        <v>0</v>
      </c>
      <c r="M223" s="432" t="b">
        <v>0</v>
      </c>
      <c r="N223" s="432" t="b">
        <v>1</v>
      </c>
      <c r="P223" s="29" t="s">
        <v>120</v>
      </c>
      <c r="Q223" s="441">
        <f t="shared" si="970"/>
        <v>325</v>
      </c>
      <c r="R223" s="441">
        <f t="shared" si="971"/>
        <v>325</v>
      </c>
      <c r="S223" s="442">
        <f t="shared" si="1248"/>
        <v>0</v>
      </c>
      <c r="T223" s="308"/>
      <c r="U223" s="443"/>
      <c r="V223" s="245"/>
      <c r="W223" s="245"/>
      <c r="X223" s="444">
        <v>64.35</v>
      </c>
      <c r="Y223" s="245" t="s">
        <v>117</v>
      </c>
      <c r="Z223" s="245"/>
      <c r="AA223" s="245"/>
      <c r="AB223" s="463">
        <f t="shared" ref="AB223:AC223" si="1347">V223-X223</f>
        <v>-64.35</v>
      </c>
      <c r="AC223" s="464" t="e">
        <f t="shared" si="1347"/>
        <v>#VALUE!</v>
      </c>
      <c r="AD223" s="474" t="e">
        <f t="shared" ref="AD223:AE223" si="1348">1-(V223/Z223)</f>
        <v>#DIV/0!</v>
      </c>
      <c r="AE223" s="474" t="e">
        <f t="shared" si="1348"/>
        <v>#DIV/0!</v>
      </c>
      <c r="AF223" s="475"/>
      <c r="AG223" s="475"/>
      <c r="AH223" s="483"/>
      <c r="AI223" s="483"/>
      <c r="AJ223" s="487">
        <f t="shared" si="522"/>
        <v>0</v>
      </c>
      <c r="AK223" s="475">
        <f t="shared" si="528"/>
        <v>0</v>
      </c>
      <c r="AL223" s="485">
        <f t="shared" ref="AL223:AM223" si="1349">AJ223-Z223</f>
        <v>0</v>
      </c>
      <c r="AM223" s="485">
        <f t="shared" si="1349"/>
        <v>0</v>
      </c>
      <c r="AN223" s="486">
        <f t="shared" si="8"/>
        <v>0</v>
      </c>
      <c r="AO223" s="487">
        <f t="shared" ref="AO223:AP223" si="1350">V223+(V223*$AO$2)</f>
        <v>0</v>
      </c>
      <c r="AP223" s="475">
        <f t="shared" si="1350"/>
        <v>0</v>
      </c>
      <c r="AQ223" s="432" t="b">
        <v>0</v>
      </c>
      <c r="AR223" s="485">
        <f t="shared" ref="AR223:AS223" si="1351">AO223-Z223</f>
        <v>0</v>
      </c>
      <c r="AS223" s="485">
        <f t="shared" si="1351"/>
        <v>0</v>
      </c>
      <c r="AT223" s="486">
        <f t="shared" si="11"/>
        <v>0</v>
      </c>
      <c r="AU223" s="301">
        <f t="shared" si="12"/>
        <v>270</v>
      </c>
      <c r="AV223" s="301">
        <f t="shared" si="1276"/>
        <v>325</v>
      </c>
      <c r="AW223" s="29">
        <v>300</v>
      </c>
      <c r="AX223" s="29">
        <v>350</v>
      </c>
      <c r="BB223" s="302">
        <f t="shared" si="1336"/>
        <v>325</v>
      </c>
      <c r="BC223" s="301"/>
      <c r="BD223" s="303">
        <f t="shared" si="1337"/>
        <v>162.5</v>
      </c>
      <c r="BE223" s="304" t="e">
        <f t="shared" si="1338"/>
        <v>#DIV/0!</v>
      </c>
      <c r="BF223" s="307">
        <f t="shared" si="1339"/>
        <v>130</v>
      </c>
      <c r="BG223" s="301"/>
      <c r="BH223" s="303">
        <f t="shared" si="1340"/>
        <v>65</v>
      </c>
      <c r="BI223" s="304" t="e">
        <f t="shared" si="1341"/>
        <v>#DIV/0!</v>
      </c>
      <c r="BK223" s="29"/>
      <c r="BL223" s="29"/>
      <c r="BQ223" s="308"/>
      <c r="BR223" s="308"/>
    </row>
    <row r="224" ht="12.75" spans="1:70">
      <c r="A224" s="29" t="s">
        <v>1022</v>
      </c>
      <c r="B224" s="29" t="s">
        <v>1195</v>
      </c>
      <c r="C224" s="29" t="s">
        <v>1518</v>
      </c>
      <c r="D224" s="29" t="s">
        <v>1356</v>
      </c>
      <c r="E224" s="29" t="s">
        <v>1411</v>
      </c>
      <c r="F224" s="29" t="b">
        <v>0</v>
      </c>
      <c r="G224" s="29" t="b">
        <v>1</v>
      </c>
      <c r="H224" s="29" t="b">
        <v>0</v>
      </c>
      <c r="I224" s="29" t="b">
        <v>0</v>
      </c>
      <c r="J224" s="29" t="b">
        <v>0</v>
      </c>
      <c r="K224" s="29" t="b">
        <v>0</v>
      </c>
      <c r="L224" s="29" t="b">
        <v>0</v>
      </c>
      <c r="M224" s="432" t="b">
        <v>0</v>
      </c>
      <c r="N224" s="432" t="b">
        <v>1</v>
      </c>
      <c r="P224" s="29" t="s">
        <v>120</v>
      </c>
      <c r="Q224" s="441">
        <f t="shared" si="970"/>
        <v>310</v>
      </c>
      <c r="R224" s="441">
        <f t="shared" si="971"/>
        <v>310</v>
      </c>
      <c r="S224" s="442">
        <f t="shared" si="1248"/>
        <v>0</v>
      </c>
      <c r="T224" s="308"/>
      <c r="U224" s="443"/>
      <c r="V224" s="245"/>
      <c r="W224" s="245"/>
      <c r="X224" s="444">
        <v>63.52</v>
      </c>
      <c r="Y224" s="245" t="s">
        <v>117</v>
      </c>
      <c r="Z224" s="245"/>
      <c r="AA224" s="245"/>
      <c r="AB224" s="463">
        <f t="shared" ref="AB224:AC224" si="1352">V224-X224</f>
        <v>-63.52</v>
      </c>
      <c r="AC224" s="464" t="e">
        <f t="shared" si="1352"/>
        <v>#VALUE!</v>
      </c>
      <c r="AD224" s="474" t="e">
        <f t="shared" ref="AD224:AE224" si="1353">1-(V224/Z224)</f>
        <v>#DIV/0!</v>
      </c>
      <c r="AE224" s="474" t="e">
        <f t="shared" si="1353"/>
        <v>#DIV/0!</v>
      </c>
      <c r="AF224" s="475"/>
      <c r="AG224" s="475"/>
      <c r="AH224" s="483"/>
      <c r="AI224" s="483"/>
      <c r="AJ224" s="487">
        <f t="shared" si="522"/>
        <v>0</v>
      </c>
      <c r="AK224" s="475">
        <f t="shared" si="528"/>
        <v>0</v>
      </c>
      <c r="AL224" s="485">
        <f t="shared" ref="AL224:AM224" si="1354">AJ224-Z224</f>
        <v>0</v>
      </c>
      <c r="AM224" s="485">
        <f t="shared" si="1354"/>
        <v>0</v>
      </c>
      <c r="AN224" s="486">
        <f t="shared" si="8"/>
        <v>0</v>
      </c>
      <c r="AO224" s="487">
        <f t="shared" ref="AO224:AP224" si="1355">V224+(V224*$AO$2)</f>
        <v>0</v>
      </c>
      <c r="AP224" s="475">
        <f t="shared" si="1355"/>
        <v>0</v>
      </c>
      <c r="AQ224" s="432" t="b">
        <v>0</v>
      </c>
      <c r="AR224" s="485">
        <f t="shared" ref="AR224:AS224" si="1356">AO224-Z224</f>
        <v>0</v>
      </c>
      <c r="AS224" s="485">
        <f t="shared" si="1356"/>
        <v>0</v>
      </c>
      <c r="AT224" s="486">
        <f t="shared" si="11"/>
        <v>0</v>
      </c>
      <c r="AU224" s="301">
        <f t="shared" si="12"/>
        <v>256.5</v>
      </c>
      <c r="AV224" s="301">
        <f t="shared" si="1276"/>
        <v>310</v>
      </c>
      <c r="AW224" s="29">
        <v>285</v>
      </c>
      <c r="AX224" s="29">
        <v>335</v>
      </c>
      <c r="BB224" s="302">
        <f t="shared" si="1336"/>
        <v>310</v>
      </c>
      <c r="BC224" s="301"/>
      <c r="BD224" s="303">
        <f t="shared" si="1337"/>
        <v>155</v>
      </c>
      <c r="BE224" s="304" t="e">
        <f t="shared" si="1338"/>
        <v>#DIV/0!</v>
      </c>
      <c r="BF224" s="307">
        <f t="shared" si="1339"/>
        <v>124</v>
      </c>
      <c r="BG224" s="301"/>
      <c r="BH224" s="303">
        <f t="shared" si="1340"/>
        <v>62</v>
      </c>
      <c r="BI224" s="304" t="e">
        <f t="shared" si="1341"/>
        <v>#DIV/0!</v>
      </c>
      <c r="BK224" s="29"/>
      <c r="BL224" s="29"/>
      <c r="BQ224" s="308"/>
      <c r="BR224" s="308"/>
    </row>
    <row r="225" ht="12.75" spans="1:70">
      <c r="A225" s="29" t="s">
        <v>1022</v>
      </c>
      <c r="B225" s="29" t="s">
        <v>1195</v>
      </c>
      <c r="C225" s="29" t="s">
        <v>1519</v>
      </c>
      <c r="D225" s="29" t="s">
        <v>1200</v>
      </c>
      <c r="E225" s="29" t="s">
        <v>1261</v>
      </c>
      <c r="F225" s="29" t="b">
        <v>0</v>
      </c>
      <c r="G225" s="29" t="b">
        <v>1</v>
      </c>
      <c r="H225" s="29" t="b">
        <v>0</v>
      </c>
      <c r="I225" s="29" t="b">
        <v>0</v>
      </c>
      <c r="J225" s="29" t="b">
        <v>0</v>
      </c>
      <c r="K225" s="29" t="b">
        <v>0</v>
      </c>
      <c r="L225" s="29" t="b">
        <v>0</v>
      </c>
      <c r="M225" s="432" t="b">
        <v>0</v>
      </c>
      <c r="N225" s="432" t="b">
        <v>1</v>
      </c>
      <c r="P225" s="29" t="s">
        <v>120</v>
      </c>
      <c r="Q225" s="441">
        <f t="shared" si="970"/>
        <v>320</v>
      </c>
      <c r="R225" s="441">
        <f t="shared" si="971"/>
        <v>320</v>
      </c>
      <c r="S225" s="442">
        <f t="shared" si="1248"/>
        <v>0</v>
      </c>
      <c r="T225" s="308"/>
      <c r="U225" s="443"/>
      <c r="V225" s="245"/>
      <c r="W225" s="245"/>
      <c r="X225" s="444">
        <v>64.34</v>
      </c>
      <c r="Y225" s="245">
        <v>318.51</v>
      </c>
      <c r="Z225" s="245"/>
      <c r="AA225" s="245"/>
      <c r="AB225" s="463">
        <f t="shared" ref="AB225:AC225" si="1357">V225-X225</f>
        <v>-64.34</v>
      </c>
      <c r="AC225" s="464">
        <f t="shared" si="1357"/>
        <v>-318.51</v>
      </c>
      <c r="AD225" s="474" t="e">
        <f t="shared" ref="AD225:AE225" si="1358">1-(V225/Z225)</f>
        <v>#DIV/0!</v>
      </c>
      <c r="AE225" s="474" t="e">
        <f t="shared" si="1358"/>
        <v>#DIV/0!</v>
      </c>
      <c r="AF225" s="475"/>
      <c r="AG225" s="475"/>
      <c r="AH225" s="483"/>
      <c r="AI225" s="483"/>
      <c r="AJ225" s="487">
        <f t="shared" si="522"/>
        <v>0</v>
      </c>
      <c r="AK225" s="475">
        <f t="shared" si="528"/>
        <v>0</v>
      </c>
      <c r="AL225" s="485">
        <f t="shared" ref="AL225:AM225" si="1359">AJ225-Z225</f>
        <v>0</v>
      </c>
      <c r="AM225" s="485">
        <f t="shared" si="1359"/>
        <v>0</v>
      </c>
      <c r="AN225" s="486">
        <f t="shared" si="8"/>
        <v>0</v>
      </c>
      <c r="AO225" s="487">
        <f t="shared" ref="AO225:AP225" si="1360">V225+(V225*$AO$2)</f>
        <v>0</v>
      </c>
      <c r="AP225" s="475">
        <f t="shared" si="1360"/>
        <v>0</v>
      </c>
      <c r="AQ225" s="432" t="b">
        <v>0</v>
      </c>
      <c r="AR225" s="485">
        <f t="shared" ref="AR225:AS225" si="1361">AO225-Z225</f>
        <v>0</v>
      </c>
      <c r="AS225" s="485">
        <f t="shared" si="1361"/>
        <v>0</v>
      </c>
      <c r="AT225" s="486">
        <f t="shared" si="11"/>
        <v>0</v>
      </c>
      <c r="AU225" s="301">
        <f t="shared" si="12"/>
        <v>265.5</v>
      </c>
      <c r="AV225" s="301">
        <f t="shared" si="1276"/>
        <v>320</v>
      </c>
      <c r="AW225" s="29">
        <v>295</v>
      </c>
      <c r="AX225" s="29">
        <v>345</v>
      </c>
      <c r="BB225" s="302">
        <f t="shared" si="1336"/>
        <v>320</v>
      </c>
      <c r="BC225" s="301"/>
      <c r="BD225" s="303">
        <f t="shared" si="1337"/>
        <v>160</v>
      </c>
      <c r="BE225" s="304" t="e">
        <f t="shared" si="1338"/>
        <v>#DIV/0!</v>
      </c>
      <c r="BF225" s="307">
        <f t="shared" si="1339"/>
        <v>128</v>
      </c>
      <c r="BG225" s="301"/>
      <c r="BH225" s="303">
        <f t="shared" si="1340"/>
        <v>64</v>
      </c>
      <c r="BI225" s="304" t="e">
        <f t="shared" si="1341"/>
        <v>#DIV/0!</v>
      </c>
      <c r="BK225" s="29"/>
      <c r="BL225" s="29"/>
      <c r="BQ225" s="308"/>
      <c r="BR225" s="308"/>
    </row>
    <row r="226" ht="12.75" spans="1:70">
      <c r="A226" s="29" t="s">
        <v>1022</v>
      </c>
      <c r="B226" s="29" t="s">
        <v>1195</v>
      </c>
      <c r="C226" s="29" t="s">
        <v>1520</v>
      </c>
      <c r="D226" s="29" t="s">
        <v>1200</v>
      </c>
      <c r="E226" s="29" t="s">
        <v>1261</v>
      </c>
      <c r="F226" s="29" t="b">
        <v>0</v>
      </c>
      <c r="G226" s="29" t="b">
        <v>1</v>
      </c>
      <c r="H226" s="29" t="b">
        <v>0</v>
      </c>
      <c r="I226" s="29" t="b">
        <v>0</v>
      </c>
      <c r="J226" s="29" t="b">
        <v>0</v>
      </c>
      <c r="K226" s="29" t="b">
        <v>0</v>
      </c>
      <c r="L226" s="29" t="b">
        <v>0</v>
      </c>
      <c r="M226" s="432" t="b">
        <v>0</v>
      </c>
      <c r="N226" s="432" t="b">
        <v>1</v>
      </c>
      <c r="P226" s="29" t="s">
        <v>120</v>
      </c>
      <c r="Q226" s="441">
        <f t="shared" si="970"/>
        <v>320</v>
      </c>
      <c r="R226" s="441">
        <f t="shared" si="971"/>
        <v>320</v>
      </c>
      <c r="S226" s="442">
        <f t="shared" si="1248"/>
        <v>0</v>
      </c>
      <c r="T226" s="308"/>
      <c r="U226" s="443"/>
      <c r="V226" s="245"/>
      <c r="W226" s="245"/>
      <c r="X226" s="444">
        <v>64.35</v>
      </c>
      <c r="Y226" s="245">
        <v>318.52</v>
      </c>
      <c r="Z226" s="245"/>
      <c r="AA226" s="245"/>
      <c r="AB226" s="463">
        <f t="shared" ref="AB226:AC226" si="1362">V226-X226</f>
        <v>-64.35</v>
      </c>
      <c r="AC226" s="464">
        <f t="shared" si="1362"/>
        <v>-318.52</v>
      </c>
      <c r="AD226" s="474" t="e">
        <f t="shared" ref="AD226:AE226" si="1363">1-(V226/Z226)</f>
        <v>#DIV/0!</v>
      </c>
      <c r="AE226" s="474" t="e">
        <f t="shared" si="1363"/>
        <v>#DIV/0!</v>
      </c>
      <c r="AF226" s="475"/>
      <c r="AG226" s="475"/>
      <c r="AH226" s="483"/>
      <c r="AI226" s="483"/>
      <c r="AJ226" s="487">
        <f t="shared" si="522"/>
        <v>0</v>
      </c>
      <c r="AK226" s="475">
        <f t="shared" si="528"/>
        <v>0</v>
      </c>
      <c r="AL226" s="485">
        <f t="shared" ref="AL226:AM226" si="1364">AJ226-Z226</f>
        <v>0</v>
      </c>
      <c r="AM226" s="485">
        <f t="shared" si="1364"/>
        <v>0</v>
      </c>
      <c r="AN226" s="486">
        <f t="shared" si="8"/>
        <v>0</v>
      </c>
      <c r="AO226" s="487">
        <f t="shared" ref="AO226:AP226" si="1365">V226+(V226*$AO$2)</f>
        <v>0</v>
      </c>
      <c r="AP226" s="475">
        <f t="shared" si="1365"/>
        <v>0</v>
      </c>
      <c r="AQ226" s="432" t="b">
        <v>0</v>
      </c>
      <c r="AR226" s="485">
        <f t="shared" ref="AR226:AS226" si="1366">AO226-Z226</f>
        <v>0</v>
      </c>
      <c r="AS226" s="485">
        <f t="shared" si="1366"/>
        <v>0</v>
      </c>
      <c r="AT226" s="486">
        <f t="shared" si="11"/>
        <v>0</v>
      </c>
      <c r="AU226" s="301">
        <f t="shared" si="12"/>
        <v>265.5</v>
      </c>
      <c r="AV226" s="301">
        <f t="shared" si="1276"/>
        <v>320</v>
      </c>
      <c r="AW226" s="29">
        <v>295</v>
      </c>
      <c r="AX226" s="29">
        <v>345</v>
      </c>
      <c r="BB226" s="302">
        <f t="shared" si="1336"/>
        <v>320</v>
      </c>
      <c r="BC226" s="301"/>
      <c r="BD226" s="303">
        <f t="shared" si="1337"/>
        <v>160</v>
      </c>
      <c r="BE226" s="304" t="e">
        <f t="shared" si="1338"/>
        <v>#DIV/0!</v>
      </c>
      <c r="BF226" s="307">
        <f t="shared" si="1339"/>
        <v>128</v>
      </c>
      <c r="BG226" s="301"/>
      <c r="BH226" s="303">
        <f t="shared" si="1340"/>
        <v>64</v>
      </c>
      <c r="BI226" s="304" t="e">
        <f t="shared" si="1341"/>
        <v>#DIV/0!</v>
      </c>
      <c r="BK226" s="29"/>
      <c r="BL226" s="29"/>
      <c r="BQ226" s="308"/>
      <c r="BR226" s="308"/>
    </row>
    <row r="227" ht="12.75" spans="1:70">
      <c r="A227" s="29" t="s">
        <v>1022</v>
      </c>
      <c r="B227" s="29" t="s">
        <v>1195</v>
      </c>
      <c r="C227" s="29" t="s">
        <v>1521</v>
      </c>
      <c r="D227" s="29" t="s">
        <v>1200</v>
      </c>
      <c r="F227" s="29" t="b">
        <v>0</v>
      </c>
      <c r="G227" s="29" t="b">
        <v>1</v>
      </c>
      <c r="H227" s="29" t="b">
        <v>0</v>
      </c>
      <c r="I227" s="29" t="b">
        <v>0</v>
      </c>
      <c r="J227" s="29" t="b">
        <v>0</v>
      </c>
      <c r="K227" s="29" t="b">
        <v>0</v>
      </c>
      <c r="L227" s="29" t="b">
        <v>0</v>
      </c>
      <c r="M227" s="432" t="b">
        <v>0</v>
      </c>
      <c r="N227" s="432" t="b">
        <v>1</v>
      </c>
      <c r="P227" s="29" t="s">
        <v>120</v>
      </c>
      <c r="Q227" s="441">
        <f t="shared" si="970"/>
        <v>300</v>
      </c>
      <c r="R227" s="441">
        <f t="shared" si="971"/>
        <v>300</v>
      </c>
      <c r="S227" s="442">
        <f t="shared" si="1248"/>
        <v>0</v>
      </c>
      <c r="T227" s="308"/>
      <c r="U227" s="443"/>
      <c r="V227" s="245"/>
      <c r="W227" s="245"/>
      <c r="X227" s="444">
        <v>24.87</v>
      </c>
      <c r="Y227" s="245">
        <v>121.37</v>
      </c>
      <c r="Z227" s="245"/>
      <c r="AA227" s="245"/>
      <c r="AB227" s="463">
        <f t="shared" ref="AB227:AC227" si="1367">V227-X227</f>
        <v>-24.87</v>
      </c>
      <c r="AC227" s="464">
        <f t="shared" si="1367"/>
        <v>-121.37</v>
      </c>
      <c r="AD227" s="474" t="e">
        <f t="shared" ref="AD227:AE227" si="1368">1-(V227/Z227)</f>
        <v>#DIV/0!</v>
      </c>
      <c r="AE227" s="474" t="e">
        <f t="shared" si="1368"/>
        <v>#DIV/0!</v>
      </c>
      <c r="AF227" s="475"/>
      <c r="AG227" s="475"/>
      <c r="AH227" s="483"/>
      <c r="AI227" s="483"/>
      <c r="AJ227" s="487">
        <f t="shared" si="522"/>
        <v>0</v>
      </c>
      <c r="AK227" s="475">
        <f t="shared" si="528"/>
        <v>0</v>
      </c>
      <c r="AL227" s="485">
        <f t="shared" ref="AL227:AM227" si="1369">AJ227-Z227</f>
        <v>0</v>
      </c>
      <c r="AM227" s="485">
        <f t="shared" si="1369"/>
        <v>0</v>
      </c>
      <c r="AN227" s="486">
        <f t="shared" si="8"/>
        <v>0</v>
      </c>
      <c r="AO227" s="487">
        <f t="shared" ref="AO227:AP227" si="1370">V227+(V227*$AO$2)</f>
        <v>0</v>
      </c>
      <c r="AP227" s="475">
        <f t="shared" si="1370"/>
        <v>0</v>
      </c>
      <c r="AQ227" s="432" t="b">
        <v>0</v>
      </c>
      <c r="AR227" s="485">
        <f t="shared" ref="AR227:AS227" si="1371">AO227-Z227</f>
        <v>0</v>
      </c>
      <c r="AS227" s="485">
        <f t="shared" si="1371"/>
        <v>0</v>
      </c>
      <c r="AT227" s="486">
        <f t="shared" si="11"/>
        <v>0</v>
      </c>
      <c r="AU227" s="301">
        <f t="shared" si="12"/>
        <v>247.5</v>
      </c>
      <c r="AV227" s="301">
        <f t="shared" si="1276"/>
        <v>300</v>
      </c>
      <c r="AW227" s="29">
        <v>275</v>
      </c>
      <c r="AX227" s="29">
        <v>325</v>
      </c>
      <c r="BB227" s="302">
        <f t="shared" si="1336"/>
        <v>300</v>
      </c>
      <c r="BC227" s="301"/>
      <c r="BD227" s="303">
        <f t="shared" si="1337"/>
        <v>150</v>
      </c>
      <c r="BE227" s="304" t="e">
        <f t="shared" si="1338"/>
        <v>#DIV/0!</v>
      </c>
      <c r="BF227" s="307">
        <f t="shared" si="1339"/>
        <v>120</v>
      </c>
      <c r="BG227" s="301"/>
      <c r="BH227" s="303">
        <f t="shared" si="1340"/>
        <v>60</v>
      </c>
      <c r="BI227" s="304" t="e">
        <f t="shared" si="1341"/>
        <v>#DIV/0!</v>
      </c>
      <c r="BK227" s="29"/>
      <c r="BL227" s="29"/>
      <c r="BQ227" s="29"/>
      <c r="BR227" s="29"/>
    </row>
    <row r="228" ht="12.75" spans="1:70">
      <c r="A228" s="29" t="s">
        <v>1022</v>
      </c>
      <c r="B228" s="29" t="s">
        <v>1522</v>
      </c>
      <c r="C228" s="29" t="s">
        <v>1523</v>
      </c>
      <c r="D228" s="29" t="s">
        <v>1352</v>
      </c>
      <c r="F228" s="29" t="b">
        <v>1</v>
      </c>
      <c r="G228" s="29" t="b">
        <v>0</v>
      </c>
      <c r="H228" s="29" t="b">
        <v>0</v>
      </c>
      <c r="I228" s="29" t="b">
        <v>1</v>
      </c>
      <c r="J228" s="29" t="b">
        <v>0</v>
      </c>
      <c r="K228" s="29" t="b">
        <v>0</v>
      </c>
      <c r="L228" s="29" t="b">
        <v>0</v>
      </c>
      <c r="M228" s="432" t="b">
        <v>0</v>
      </c>
      <c r="N228" s="432" t="b">
        <v>0</v>
      </c>
      <c r="O228" s="29" t="s">
        <v>1523</v>
      </c>
      <c r="P228" s="29"/>
      <c r="Q228" s="441">
        <f t="shared" si="970"/>
        <v>550</v>
      </c>
      <c r="R228" s="441">
        <f t="shared" si="971"/>
        <v>550</v>
      </c>
      <c r="S228" s="442">
        <f t="shared" si="1248"/>
        <v>85.96</v>
      </c>
      <c r="T228" s="29" t="s">
        <v>1203</v>
      </c>
      <c r="U228" s="443"/>
      <c r="V228" s="245">
        <v>42.98</v>
      </c>
      <c r="W228" s="245"/>
      <c r="X228" s="444"/>
      <c r="Y228" s="245"/>
      <c r="Z228" s="245"/>
      <c r="AA228" s="245"/>
      <c r="AB228" s="463">
        <f t="shared" ref="AB228:AC228" si="1372">V228-X228</f>
        <v>42.98</v>
      </c>
      <c r="AC228" s="464">
        <f t="shared" si="1372"/>
        <v>0</v>
      </c>
      <c r="AD228" s="474" t="e">
        <f t="shared" ref="AD228:AE228" si="1373">1-(V228/Z228)</f>
        <v>#DIV/0!</v>
      </c>
      <c r="AE228" s="474" t="e">
        <f t="shared" si="1373"/>
        <v>#DIV/0!</v>
      </c>
      <c r="AF228" s="475"/>
      <c r="AG228" s="475"/>
      <c r="AH228" s="483"/>
      <c r="AI228" s="483"/>
      <c r="AJ228" s="484">
        <f t="shared" si="522"/>
        <v>85.96</v>
      </c>
      <c r="AK228" s="252">
        <f t="shared" si="528"/>
        <v>0</v>
      </c>
      <c r="AL228" s="485">
        <f>AJ228-V228</f>
        <v>42.98</v>
      </c>
      <c r="AM228" s="485">
        <f>AK228-AA228</f>
        <v>0</v>
      </c>
      <c r="AN228" s="486">
        <f t="shared" si="8"/>
        <v>429.8</v>
      </c>
      <c r="AO228" s="487">
        <f t="shared" ref="AO228:AP228" si="1374">V228+(V228*$AO$2)</f>
        <v>64.47</v>
      </c>
      <c r="AP228" s="475">
        <f t="shared" si="1374"/>
        <v>0</v>
      </c>
      <c r="AQ228" s="432" t="b">
        <v>0</v>
      </c>
      <c r="AR228" s="485">
        <f t="shared" ref="AR228:AS228" si="1375">AO228-Z228</f>
        <v>64.47</v>
      </c>
      <c r="AS228" s="485">
        <f t="shared" si="1375"/>
        <v>0</v>
      </c>
      <c r="AT228" s="486">
        <f t="shared" si="11"/>
        <v>322.35</v>
      </c>
      <c r="AU228" s="301">
        <f t="shared" si="12"/>
        <v>450</v>
      </c>
      <c r="AV228" s="301">
        <f t="shared" si="1276"/>
        <v>550</v>
      </c>
      <c r="AW228" s="29">
        <v>500</v>
      </c>
      <c r="AX228" s="29">
        <v>600</v>
      </c>
      <c r="BB228" s="302"/>
      <c r="BC228" s="301"/>
      <c r="BD228" s="303"/>
      <c r="BE228" s="304"/>
      <c r="BF228" s="307"/>
      <c r="BG228" s="301"/>
      <c r="BH228" s="303"/>
      <c r="BI228" s="304"/>
      <c r="BJ228" s="29" t="s">
        <v>1189</v>
      </c>
      <c r="BK228" s="164" t="s">
        <v>1524</v>
      </c>
      <c r="BL228" s="29"/>
      <c r="BQ228" s="308"/>
      <c r="BR228" s="308"/>
    </row>
    <row r="229" ht="12.75" spans="1:70">
      <c r="A229" s="29" t="s">
        <v>1022</v>
      </c>
      <c r="B229" s="29" t="s">
        <v>1195</v>
      </c>
      <c r="C229" s="29" t="s">
        <v>1525</v>
      </c>
      <c r="D229" s="29" t="s">
        <v>1356</v>
      </c>
      <c r="E229" s="29" t="s">
        <v>13</v>
      </c>
      <c r="F229" s="29" t="b">
        <v>0</v>
      </c>
      <c r="G229" s="29" t="b">
        <v>1</v>
      </c>
      <c r="H229" s="29" t="b">
        <v>0</v>
      </c>
      <c r="I229" s="29" t="b">
        <v>0</v>
      </c>
      <c r="J229" s="29" t="b">
        <v>0</v>
      </c>
      <c r="K229" s="29" t="b">
        <v>0</v>
      </c>
      <c r="L229" s="29" t="b">
        <v>0</v>
      </c>
      <c r="M229" s="432" t="b">
        <v>0</v>
      </c>
      <c r="N229" s="432" t="b">
        <v>1</v>
      </c>
      <c r="P229" s="29" t="s">
        <v>120</v>
      </c>
      <c r="Q229" s="441">
        <f t="shared" si="970"/>
        <v>400</v>
      </c>
      <c r="R229" s="441">
        <f t="shared" si="971"/>
        <v>400</v>
      </c>
      <c r="S229" s="442">
        <f t="shared" si="1248"/>
        <v>0</v>
      </c>
      <c r="T229" s="308"/>
      <c r="U229" s="443"/>
      <c r="V229" s="245"/>
      <c r="W229" s="245"/>
      <c r="X229" s="444">
        <v>49.18</v>
      </c>
      <c r="Y229" s="245">
        <v>240.56</v>
      </c>
      <c r="Z229" s="245"/>
      <c r="AA229" s="245"/>
      <c r="AB229" s="463">
        <f t="shared" ref="AB229:AC229" si="1376">V229-X229</f>
        <v>-49.18</v>
      </c>
      <c r="AC229" s="464">
        <f t="shared" si="1376"/>
        <v>-240.56</v>
      </c>
      <c r="AD229" s="474" t="e">
        <f t="shared" ref="AD229:AE229" si="1377">1-(V229/Z229)</f>
        <v>#DIV/0!</v>
      </c>
      <c r="AE229" s="474" t="e">
        <f t="shared" si="1377"/>
        <v>#DIV/0!</v>
      </c>
      <c r="AF229" s="475"/>
      <c r="AG229" s="475"/>
      <c r="AH229" s="483"/>
      <c r="AI229" s="483"/>
      <c r="AJ229" s="487">
        <f t="shared" si="522"/>
        <v>0</v>
      </c>
      <c r="AK229" s="475">
        <f t="shared" si="528"/>
        <v>0</v>
      </c>
      <c r="AL229" s="485">
        <f t="shared" ref="AL229:AM229" si="1378">AJ229-Z229</f>
        <v>0</v>
      </c>
      <c r="AM229" s="485">
        <f t="shared" si="1378"/>
        <v>0</v>
      </c>
      <c r="AN229" s="486">
        <f t="shared" si="8"/>
        <v>0</v>
      </c>
      <c r="AO229" s="487">
        <f t="shared" ref="AO229:AP229" si="1379">V229+(V229*$AO$2)</f>
        <v>0</v>
      </c>
      <c r="AP229" s="475">
        <f t="shared" si="1379"/>
        <v>0</v>
      </c>
      <c r="AQ229" s="432" t="b">
        <v>0</v>
      </c>
      <c r="AR229" s="485">
        <f t="shared" ref="AR229:AS229" si="1380">AO229-Z229</f>
        <v>0</v>
      </c>
      <c r="AS229" s="485">
        <f t="shared" si="1380"/>
        <v>0</v>
      </c>
      <c r="AT229" s="486">
        <f t="shared" si="11"/>
        <v>0</v>
      </c>
      <c r="AU229" s="301">
        <f t="shared" si="12"/>
        <v>337.5</v>
      </c>
      <c r="AV229" s="301">
        <f t="shared" si="1276"/>
        <v>400</v>
      </c>
      <c r="AW229" s="29">
        <v>375</v>
      </c>
      <c r="AX229" s="29">
        <v>425</v>
      </c>
      <c r="BB229" s="302">
        <f t="shared" ref="BB229:BB233" si="1381">AV229</f>
        <v>400</v>
      </c>
      <c r="BC229" s="301"/>
      <c r="BD229" s="303">
        <f t="shared" ref="BD229:BD233" si="1382">(BB229+BC229)/2</f>
        <v>200</v>
      </c>
      <c r="BE229" s="304" t="e">
        <f t="shared" ref="BE229:BE233" si="1383">BB229/BC229</f>
        <v>#DIV/0!</v>
      </c>
      <c r="BF229" s="307">
        <f t="shared" ref="BF229:BF233" si="1384">BB229*$BF$1</f>
        <v>160</v>
      </c>
      <c r="BG229" s="301"/>
      <c r="BH229" s="303">
        <f t="shared" ref="BH229:BH233" si="1385">(BF229+BG229)/2</f>
        <v>80</v>
      </c>
      <c r="BI229" s="304" t="e">
        <f t="shared" ref="BI229:BI233" si="1386">BF229/BG229</f>
        <v>#DIV/0!</v>
      </c>
      <c r="BK229" s="29"/>
      <c r="BL229" s="29"/>
      <c r="BQ229" s="308"/>
      <c r="BR229" s="308"/>
    </row>
    <row r="230" ht="25.5" spans="1:70">
      <c r="A230" s="29" t="s">
        <v>1038</v>
      </c>
      <c r="B230" s="29" t="s">
        <v>1195</v>
      </c>
      <c r="C230" s="426" t="s">
        <v>1526</v>
      </c>
      <c r="D230" s="308"/>
      <c r="E230" s="29" t="s">
        <v>13</v>
      </c>
      <c r="F230" s="29" t="b">
        <v>0</v>
      </c>
      <c r="G230" s="29" t="b">
        <v>1</v>
      </c>
      <c r="H230" s="29" t="b">
        <v>1</v>
      </c>
      <c r="I230" s="29" t="b">
        <v>0</v>
      </c>
      <c r="J230" s="29" t="b">
        <v>0</v>
      </c>
      <c r="K230" s="29" t="b">
        <v>1</v>
      </c>
      <c r="L230" s="29" t="b">
        <v>0</v>
      </c>
      <c r="M230" s="432" t="b">
        <v>0</v>
      </c>
      <c r="N230" s="432" t="b">
        <v>1</v>
      </c>
      <c r="O230" s="29" t="s">
        <v>1197</v>
      </c>
      <c r="P230" s="29" t="s">
        <v>120</v>
      </c>
      <c r="Q230" s="448" t="s">
        <v>1527</v>
      </c>
      <c r="R230" s="448" t="str">
        <f t="shared" si="971"/>
        <v>VARIES! see PDS</v>
      </c>
      <c r="S230" s="442" t="e">
        <f t="shared" si="1248"/>
        <v>#VALUE!</v>
      </c>
      <c r="T230" s="308"/>
      <c r="U230" s="443"/>
      <c r="V230" s="454" t="str">
        <f t="shared" ref="V230:W230" si="1387">X230</f>
        <v>-</v>
      </c>
      <c r="W230" s="454" t="str">
        <f t="shared" si="1387"/>
        <v>-</v>
      </c>
      <c r="X230" s="444" t="s">
        <v>13</v>
      </c>
      <c r="Y230" s="245" t="s">
        <v>13</v>
      </c>
      <c r="Z230" s="245"/>
      <c r="AA230" s="245"/>
      <c r="AB230" s="463" t="e">
        <f t="shared" ref="AB230:AC230" si="1388">V230-X230</f>
        <v>#VALUE!</v>
      </c>
      <c r="AC230" s="464" t="e">
        <f t="shared" si="1388"/>
        <v>#VALUE!</v>
      </c>
      <c r="AD230" s="474" t="e">
        <f t="shared" ref="AD230:AE230" si="1389">1-(V230/Z230)</f>
        <v>#VALUE!</v>
      </c>
      <c r="AE230" s="474" t="e">
        <f t="shared" si="1389"/>
        <v>#VALUE!</v>
      </c>
      <c r="AF230" s="475"/>
      <c r="AG230" s="475"/>
      <c r="AH230" s="483"/>
      <c r="AI230" s="483"/>
      <c r="AJ230" s="487" t="e">
        <f t="shared" si="522"/>
        <v>#VALUE!</v>
      </c>
      <c r="AK230" s="475" t="e">
        <f t="shared" si="528"/>
        <v>#VALUE!</v>
      </c>
      <c r="AL230" s="485" t="e">
        <f t="shared" ref="AL230:AM230" si="1390">AJ230-Z230</f>
        <v>#VALUE!</v>
      </c>
      <c r="AM230" s="485" t="e">
        <f t="shared" si="1390"/>
        <v>#VALUE!</v>
      </c>
      <c r="AN230" s="486" t="e">
        <f t="shared" si="8"/>
        <v>#VALUE!</v>
      </c>
      <c r="AO230" s="487" t="e">
        <f t="shared" ref="AO230:AP230" si="1391">V230+(V230*$AO$2)</f>
        <v>#VALUE!</v>
      </c>
      <c r="AP230" s="475" t="e">
        <f t="shared" si="1391"/>
        <v>#VALUE!</v>
      </c>
      <c r="AQ230" s="432" t="b">
        <v>0</v>
      </c>
      <c r="AR230" s="485" t="e">
        <f t="shared" ref="AR230:AS230" si="1392">AO230-Z230</f>
        <v>#VALUE!</v>
      </c>
      <c r="AS230" s="485" t="e">
        <f t="shared" si="1392"/>
        <v>#VALUE!</v>
      </c>
      <c r="AT230" s="486" t="e">
        <f t="shared" si="11"/>
        <v>#VALUE!</v>
      </c>
      <c r="AU230" s="301">
        <f t="shared" si="12"/>
        <v>0</v>
      </c>
      <c r="AV230" s="301">
        <f t="shared" si="1276"/>
        <v>0</v>
      </c>
      <c r="BB230" s="302">
        <f t="shared" si="1381"/>
        <v>0</v>
      </c>
      <c r="BC230" s="301"/>
      <c r="BD230" s="303">
        <f t="shared" si="1382"/>
        <v>0</v>
      </c>
      <c r="BE230" s="304" t="e">
        <f t="shared" si="1383"/>
        <v>#DIV/0!</v>
      </c>
      <c r="BF230" s="307">
        <f t="shared" si="1384"/>
        <v>0</v>
      </c>
      <c r="BG230" s="301"/>
      <c r="BH230" s="303">
        <f t="shared" si="1385"/>
        <v>0</v>
      </c>
      <c r="BI230" s="304" t="e">
        <f t="shared" si="1386"/>
        <v>#DIV/0!</v>
      </c>
      <c r="BK230" s="29"/>
      <c r="BL230" s="29"/>
      <c r="BP230" s="29" t="s">
        <v>1198</v>
      </c>
      <c r="BQ230" s="308"/>
      <c r="BR230" s="308"/>
    </row>
    <row r="231" ht="12.75" spans="1:72">
      <c r="A231" s="29" t="s">
        <v>1044</v>
      </c>
      <c r="B231" s="29" t="s">
        <v>1195</v>
      </c>
      <c r="C231" s="29" t="s">
        <v>1528</v>
      </c>
      <c r="D231" s="29" t="s">
        <v>1200</v>
      </c>
      <c r="E231" s="29" t="s">
        <v>1529</v>
      </c>
      <c r="F231" s="29" t="b">
        <v>0</v>
      </c>
      <c r="G231" s="29" t="b">
        <v>1</v>
      </c>
      <c r="H231" s="29" t="b">
        <v>0</v>
      </c>
      <c r="I231" s="29" t="b">
        <v>0</v>
      </c>
      <c r="J231" s="29" t="b">
        <v>0</v>
      </c>
      <c r="K231" s="29" t="b">
        <v>0</v>
      </c>
      <c r="L231" s="29" t="b">
        <v>0</v>
      </c>
      <c r="M231" s="432" t="b">
        <v>0</v>
      </c>
      <c r="N231" s="432" t="s">
        <v>1485</v>
      </c>
      <c r="O231" s="29" t="s">
        <v>1530</v>
      </c>
      <c r="P231" s="29" t="s">
        <v>120</v>
      </c>
      <c r="Q231" s="441">
        <f t="shared" ref="Q231:Q245" si="1393">AV231</f>
        <v>0</v>
      </c>
      <c r="R231" s="441">
        <f t="shared" si="971"/>
        <v>0</v>
      </c>
      <c r="S231" s="442">
        <f t="shared" si="1248"/>
        <v>78</v>
      </c>
      <c r="T231" s="29" t="s">
        <v>1203</v>
      </c>
      <c r="U231" s="443"/>
      <c r="V231" s="454">
        <v>39</v>
      </c>
      <c r="W231" s="454">
        <v>195</v>
      </c>
      <c r="X231" s="446"/>
      <c r="Y231" s="454"/>
      <c r="Z231" s="360"/>
      <c r="AA231" s="454"/>
      <c r="AB231" s="463">
        <f t="shared" ref="AB231:AC231" si="1394">V231-X231</f>
        <v>39</v>
      </c>
      <c r="AC231" s="464">
        <f t="shared" si="1394"/>
        <v>195</v>
      </c>
      <c r="AD231" s="474" t="e">
        <f t="shared" ref="AD231:AE231" si="1395">1-(V231/Z231)</f>
        <v>#DIV/0!</v>
      </c>
      <c r="AE231" s="474" t="e">
        <f t="shared" si="1395"/>
        <v>#DIV/0!</v>
      </c>
      <c r="AF231" s="475"/>
      <c r="AG231" s="475"/>
      <c r="AH231" s="483"/>
      <c r="AI231" s="483"/>
      <c r="AJ231" s="487">
        <f t="shared" si="522"/>
        <v>78</v>
      </c>
      <c r="AK231" s="475">
        <f t="shared" si="528"/>
        <v>390</v>
      </c>
      <c r="AL231" s="485">
        <f t="shared" ref="AL231:AM231" si="1396">AJ231-Z231</f>
        <v>78</v>
      </c>
      <c r="AM231" s="485">
        <f t="shared" si="1396"/>
        <v>390</v>
      </c>
      <c r="AN231" s="486">
        <f t="shared" si="8"/>
        <v>0</v>
      </c>
      <c r="AO231" s="487">
        <f t="shared" ref="AO231:AP231" si="1397">V231+(V231*$AO$2)</f>
        <v>58.5</v>
      </c>
      <c r="AP231" s="475">
        <f t="shared" si="1397"/>
        <v>292.5</v>
      </c>
      <c r="AQ231" s="432" t="b">
        <v>0</v>
      </c>
      <c r="AR231" s="485">
        <f t="shared" ref="AR231:AS231" si="1398">AO231-Z231</f>
        <v>58.5</v>
      </c>
      <c r="AS231" s="485">
        <f t="shared" si="1398"/>
        <v>292.5</v>
      </c>
      <c r="AT231" s="486">
        <f t="shared" si="11"/>
        <v>0</v>
      </c>
      <c r="AU231" s="301">
        <f t="shared" si="12"/>
        <v>0</v>
      </c>
      <c r="AV231" s="301">
        <f t="shared" si="1276"/>
        <v>0</v>
      </c>
      <c r="BB231" s="302">
        <f t="shared" si="1381"/>
        <v>0</v>
      </c>
      <c r="BC231" s="301"/>
      <c r="BD231" s="303">
        <f t="shared" si="1382"/>
        <v>0</v>
      </c>
      <c r="BE231" s="304" t="e">
        <f t="shared" si="1383"/>
        <v>#DIV/0!</v>
      </c>
      <c r="BF231" s="307">
        <f t="shared" si="1384"/>
        <v>0</v>
      </c>
      <c r="BG231" s="301"/>
      <c r="BH231" s="303">
        <f t="shared" si="1385"/>
        <v>0</v>
      </c>
      <c r="BI231" s="304" t="e">
        <f t="shared" si="1386"/>
        <v>#DIV/0!</v>
      </c>
      <c r="BK231" s="29"/>
      <c r="BL231" s="29"/>
      <c r="BP231" s="29" t="s">
        <v>1204</v>
      </c>
      <c r="BQ231" s="29"/>
      <c r="BR231" s="29"/>
      <c r="BS231" s="29"/>
      <c r="BT231" s="29" t="s">
        <v>1531</v>
      </c>
    </row>
    <row r="232" ht="12.75" spans="1:70">
      <c r="A232" s="29" t="s">
        <v>1022</v>
      </c>
      <c r="B232" s="29" t="s">
        <v>1195</v>
      </c>
      <c r="C232" s="29" t="s">
        <v>1532</v>
      </c>
      <c r="D232" s="308"/>
      <c r="E232" s="29" t="s">
        <v>1217</v>
      </c>
      <c r="F232" s="29" t="b">
        <v>1</v>
      </c>
      <c r="G232" s="29" t="b">
        <v>0</v>
      </c>
      <c r="H232" s="29" t="b">
        <v>0</v>
      </c>
      <c r="I232" s="29" t="b">
        <v>1</v>
      </c>
      <c r="J232" s="29" t="b">
        <v>0</v>
      </c>
      <c r="K232" s="29" t="b">
        <v>1</v>
      </c>
      <c r="L232" s="29" t="b">
        <v>0</v>
      </c>
      <c r="M232" s="432" t="b">
        <v>0</v>
      </c>
      <c r="N232" s="432" t="b">
        <v>1</v>
      </c>
      <c r="P232" s="29" t="s">
        <v>120</v>
      </c>
      <c r="Q232" s="441">
        <f t="shared" si="1393"/>
        <v>425</v>
      </c>
      <c r="R232" s="441">
        <f t="shared" si="971"/>
        <v>425</v>
      </c>
      <c r="S232" s="442">
        <f t="shared" si="1248"/>
        <v>89.92</v>
      </c>
      <c r="T232" s="308"/>
      <c r="U232" s="443"/>
      <c r="V232" s="245">
        <f>X232</f>
        <v>44.96</v>
      </c>
      <c r="W232" s="245"/>
      <c r="X232" s="444">
        <v>44.96</v>
      </c>
      <c r="Y232" s="245">
        <v>223.2</v>
      </c>
      <c r="Z232" s="245"/>
      <c r="AA232" s="245"/>
      <c r="AB232" s="463">
        <f t="shared" ref="AB232:AC232" si="1399">V232-X232</f>
        <v>0</v>
      </c>
      <c r="AC232" s="464">
        <f t="shared" si="1399"/>
        <v>-223.2</v>
      </c>
      <c r="AD232" s="474" t="e">
        <f t="shared" ref="AD232:AE232" si="1400">1-(V232/Z232)</f>
        <v>#DIV/0!</v>
      </c>
      <c r="AE232" s="474" t="e">
        <f t="shared" si="1400"/>
        <v>#DIV/0!</v>
      </c>
      <c r="AF232" s="475"/>
      <c r="AG232" s="475"/>
      <c r="AH232" s="483"/>
      <c r="AI232" s="483"/>
      <c r="AJ232" s="487">
        <f t="shared" si="522"/>
        <v>89.92</v>
      </c>
      <c r="AK232" s="475">
        <f t="shared" si="528"/>
        <v>0</v>
      </c>
      <c r="AL232" s="485">
        <f t="shared" ref="AL232:AM232" si="1401">AJ232-Z232</f>
        <v>89.92</v>
      </c>
      <c r="AM232" s="485">
        <f t="shared" si="1401"/>
        <v>0</v>
      </c>
      <c r="AN232" s="486">
        <f t="shared" si="8"/>
        <v>449.6</v>
      </c>
      <c r="AO232" s="487">
        <f t="shared" ref="AO232:AP232" si="1402">V232+(V232*$AO$2)</f>
        <v>67.44</v>
      </c>
      <c r="AP232" s="475">
        <f t="shared" si="1402"/>
        <v>0</v>
      </c>
      <c r="AQ232" s="432" t="b">
        <v>0</v>
      </c>
      <c r="AR232" s="485">
        <f t="shared" ref="AR232:AS232" si="1403">AO232-Z232</f>
        <v>67.44</v>
      </c>
      <c r="AS232" s="485">
        <f t="shared" si="1403"/>
        <v>0</v>
      </c>
      <c r="AT232" s="486">
        <f t="shared" si="11"/>
        <v>337.2</v>
      </c>
      <c r="AU232" s="301">
        <f t="shared" si="12"/>
        <v>360</v>
      </c>
      <c r="AV232" s="301">
        <f t="shared" si="1276"/>
        <v>425</v>
      </c>
      <c r="AW232" s="29">
        <v>400</v>
      </c>
      <c r="AX232" s="29">
        <v>450</v>
      </c>
      <c r="BB232" s="302">
        <f t="shared" si="1381"/>
        <v>425</v>
      </c>
      <c r="BC232" s="301"/>
      <c r="BD232" s="303">
        <f t="shared" si="1382"/>
        <v>212.5</v>
      </c>
      <c r="BE232" s="304" t="e">
        <f t="shared" si="1383"/>
        <v>#DIV/0!</v>
      </c>
      <c r="BF232" s="307">
        <f t="shared" si="1384"/>
        <v>170</v>
      </c>
      <c r="BG232" s="301"/>
      <c r="BH232" s="303">
        <f t="shared" si="1385"/>
        <v>85</v>
      </c>
      <c r="BI232" s="304" t="e">
        <f t="shared" si="1386"/>
        <v>#DIV/0!</v>
      </c>
      <c r="BK232" s="29"/>
      <c r="BL232" s="29"/>
      <c r="BQ232" s="308"/>
      <c r="BR232" s="308"/>
    </row>
    <row r="233" ht="12.75" spans="1:72">
      <c r="A233" s="29" t="s">
        <v>1044</v>
      </c>
      <c r="B233" s="29" t="s">
        <v>1301</v>
      </c>
      <c r="C233" s="537" t="s">
        <v>1533</v>
      </c>
      <c r="D233" s="308"/>
      <c r="E233" s="29" t="s">
        <v>119</v>
      </c>
      <c r="F233" s="29" t="b">
        <v>1</v>
      </c>
      <c r="G233" s="29" t="b">
        <v>0</v>
      </c>
      <c r="H233" s="29" t="b">
        <v>0</v>
      </c>
      <c r="I233" s="29" t="b">
        <v>1</v>
      </c>
      <c r="J233" s="29" t="b">
        <v>0</v>
      </c>
      <c r="K233" s="29" t="b">
        <v>0</v>
      </c>
      <c r="L233" s="29" t="b">
        <v>0</v>
      </c>
      <c r="M233" s="432" t="b">
        <v>0</v>
      </c>
      <c r="N233" s="432" t="b">
        <v>1</v>
      </c>
      <c r="O233" s="29" t="s">
        <v>1534</v>
      </c>
      <c r="P233" s="29" t="s">
        <v>142</v>
      </c>
      <c r="Q233" s="441">
        <f t="shared" si="1393"/>
        <v>475</v>
      </c>
      <c r="R233" s="441">
        <f t="shared" si="971"/>
        <v>475</v>
      </c>
      <c r="S233" s="442">
        <f t="shared" si="1248"/>
        <v>149.96</v>
      </c>
      <c r="T233" s="29" t="s">
        <v>1203</v>
      </c>
      <c r="U233" s="443"/>
      <c r="V233" s="245">
        <v>74.98</v>
      </c>
      <c r="W233" s="245" t="s">
        <v>13</v>
      </c>
      <c r="X233" s="444"/>
      <c r="Y233" s="245"/>
      <c r="Z233" s="245">
        <v>74.98</v>
      </c>
      <c r="AA233" s="245" t="s">
        <v>13</v>
      </c>
      <c r="AB233" s="463"/>
      <c r="AC233" s="464"/>
      <c r="AD233" s="474">
        <f t="shared" ref="AD233:AE233" si="1404">1-(V233/Z233)</f>
        <v>0</v>
      </c>
      <c r="AE233" s="474" t="e">
        <f t="shared" si="1404"/>
        <v>#VALUE!</v>
      </c>
      <c r="AF233" s="475"/>
      <c r="AG233" s="475"/>
      <c r="AH233" s="483"/>
      <c r="AI233" s="483"/>
      <c r="AJ233" s="484">
        <f t="shared" si="522"/>
        <v>149.96</v>
      </c>
      <c r="AK233" s="252" t="e">
        <f t="shared" si="528"/>
        <v>#VALUE!</v>
      </c>
      <c r="AL233" s="485">
        <f t="shared" ref="AL233:AM233" si="1405">AJ233-Z233</f>
        <v>74.98</v>
      </c>
      <c r="AM233" s="485" t="e">
        <f t="shared" si="1405"/>
        <v>#VALUE!</v>
      </c>
      <c r="AN233" s="486" t="e">
        <f t="shared" si="8"/>
        <v>#VALUE!</v>
      </c>
      <c r="AO233" s="487">
        <f t="shared" ref="AO233:AP233" si="1406">V233+(V233*$AO$2)</f>
        <v>112.47</v>
      </c>
      <c r="AP233" s="475" t="e">
        <f t="shared" si="1406"/>
        <v>#VALUE!</v>
      </c>
      <c r="AQ233" s="432" t="b">
        <v>0</v>
      </c>
      <c r="AR233" s="485">
        <f t="shared" ref="AR233:AS233" si="1407">AO233-Z233</f>
        <v>37.49</v>
      </c>
      <c r="AS233" s="485" t="e">
        <f t="shared" si="1407"/>
        <v>#VALUE!</v>
      </c>
      <c r="AT233" s="486" t="e">
        <f t="shared" si="11"/>
        <v>#VALUE!</v>
      </c>
      <c r="AU233" s="301">
        <f t="shared" si="12"/>
        <v>405</v>
      </c>
      <c r="AV233" s="301">
        <f t="shared" si="1276"/>
        <v>475</v>
      </c>
      <c r="AW233" s="29">
        <v>450</v>
      </c>
      <c r="AX233" s="29">
        <v>500</v>
      </c>
      <c r="AY233" s="29">
        <v>1</v>
      </c>
      <c r="AZ233" s="29"/>
      <c r="BA233" s="29"/>
      <c r="BB233" s="302">
        <f t="shared" si="1381"/>
        <v>475</v>
      </c>
      <c r="BC233" s="301"/>
      <c r="BD233" s="303">
        <f t="shared" si="1382"/>
        <v>237.5</v>
      </c>
      <c r="BE233" s="304" t="e">
        <f t="shared" si="1383"/>
        <v>#DIV/0!</v>
      </c>
      <c r="BF233" s="307">
        <f t="shared" si="1384"/>
        <v>190</v>
      </c>
      <c r="BG233" s="301"/>
      <c r="BH233" s="303">
        <f t="shared" si="1385"/>
        <v>95</v>
      </c>
      <c r="BI233" s="304" t="e">
        <f t="shared" si="1386"/>
        <v>#DIV/0!</v>
      </c>
      <c r="BK233" s="29"/>
      <c r="BL233" s="29"/>
      <c r="BP233" s="29" t="s">
        <v>1535</v>
      </c>
      <c r="BQ233" s="308"/>
      <c r="BR233" s="308"/>
      <c r="BS233" s="29"/>
      <c r="BT233" s="29" t="s">
        <v>1534</v>
      </c>
    </row>
    <row r="234" ht="12.75" spans="1:70">
      <c r="A234" s="29" t="s">
        <v>1022</v>
      </c>
      <c r="B234" s="29" t="s">
        <v>1536</v>
      </c>
      <c r="C234" s="537" t="s">
        <v>1537</v>
      </c>
      <c r="D234" s="29" t="s">
        <v>1198</v>
      </c>
      <c r="E234" s="29" t="s">
        <v>1217</v>
      </c>
      <c r="F234" s="29" t="b">
        <v>1</v>
      </c>
      <c r="G234" s="29" t="b">
        <v>0</v>
      </c>
      <c r="H234" s="29" t="b">
        <v>0</v>
      </c>
      <c r="I234" s="29" t="b">
        <v>1</v>
      </c>
      <c r="J234" s="29" t="b">
        <v>0</v>
      </c>
      <c r="K234" s="29" t="b">
        <v>0</v>
      </c>
      <c r="L234" s="29" t="b">
        <v>0</v>
      </c>
      <c r="M234" s="432" t="b">
        <v>0</v>
      </c>
      <c r="N234" s="432" t="b">
        <v>0</v>
      </c>
      <c r="O234" s="29" t="s">
        <v>1537</v>
      </c>
      <c r="P234" s="29" t="s">
        <v>142</v>
      </c>
      <c r="Q234" s="441">
        <f t="shared" si="1393"/>
        <v>300</v>
      </c>
      <c r="R234" s="441">
        <f t="shared" si="971"/>
        <v>300</v>
      </c>
      <c r="S234" s="442">
        <f t="shared" si="1248"/>
        <v>141</v>
      </c>
      <c r="T234" s="308"/>
      <c r="U234" s="443"/>
      <c r="V234" s="245">
        <v>70.5</v>
      </c>
      <c r="W234" s="245"/>
      <c r="X234" s="444"/>
      <c r="Y234" s="245"/>
      <c r="Z234" s="245">
        <v>70.5</v>
      </c>
      <c r="AA234" s="245"/>
      <c r="AB234" s="463">
        <f t="shared" ref="AB234:AC234" si="1408">V234-X234</f>
        <v>70.5</v>
      </c>
      <c r="AC234" s="464">
        <f t="shared" si="1408"/>
        <v>0</v>
      </c>
      <c r="AD234" s="474">
        <f t="shared" ref="AD234:AE234" si="1409">1-(V234/Z234)</f>
        <v>0</v>
      </c>
      <c r="AE234" s="474" t="e">
        <f t="shared" si="1409"/>
        <v>#DIV/0!</v>
      </c>
      <c r="AF234" s="475"/>
      <c r="AG234" s="475"/>
      <c r="AH234" s="483"/>
      <c r="AI234" s="483"/>
      <c r="AJ234" s="484">
        <f t="shared" si="522"/>
        <v>141</v>
      </c>
      <c r="AK234" s="252">
        <f t="shared" si="528"/>
        <v>0</v>
      </c>
      <c r="AL234" s="485">
        <f t="shared" ref="AL234:AL236" si="1410">AJ234-V234</f>
        <v>70.5</v>
      </c>
      <c r="AM234" s="485">
        <f t="shared" ref="AM234:AM236" si="1411">AK234-AA234</f>
        <v>0</v>
      </c>
      <c r="AN234" s="486">
        <f t="shared" si="8"/>
        <v>705</v>
      </c>
      <c r="AO234" s="487">
        <f t="shared" ref="AO234:AP234" si="1412">V234+(V234*$AO$2)</f>
        <v>105.75</v>
      </c>
      <c r="AP234" s="475">
        <f t="shared" si="1412"/>
        <v>0</v>
      </c>
      <c r="AQ234" s="432" t="b">
        <v>1</v>
      </c>
      <c r="AR234" s="485">
        <f t="shared" ref="AR234:AS234" si="1413">AO234-Z234</f>
        <v>35.25</v>
      </c>
      <c r="AS234" s="485">
        <f t="shared" si="1413"/>
        <v>0</v>
      </c>
      <c r="AT234" s="486">
        <f t="shared" si="11"/>
        <v>528.75</v>
      </c>
      <c r="AU234" s="301">
        <f t="shared" si="12"/>
        <v>270</v>
      </c>
      <c r="AV234" s="301">
        <f t="shared" si="1276"/>
        <v>300</v>
      </c>
      <c r="AW234" s="29">
        <v>300</v>
      </c>
      <c r="AX234" s="29">
        <v>300</v>
      </c>
      <c r="BB234" s="302"/>
      <c r="BC234" s="301"/>
      <c r="BD234" s="303"/>
      <c r="BE234" s="304"/>
      <c r="BF234" s="307"/>
      <c r="BG234" s="301"/>
      <c r="BH234" s="303"/>
      <c r="BI234" s="304"/>
      <c r="BJ234" s="29" t="s">
        <v>1325</v>
      </c>
      <c r="BK234" s="29"/>
      <c r="BL234" s="29"/>
      <c r="BQ234" s="29"/>
      <c r="BR234" s="29"/>
    </row>
    <row r="235" ht="12.75" spans="1:70">
      <c r="A235" s="29" t="s">
        <v>1022</v>
      </c>
      <c r="B235" s="29" t="s">
        <v>1301</v>
      </c>
      <c r="C235" s="537" t="s">
        <v>1538</v>
      </c>
      <c r="D235" s="29" t="s">
        <v>1198</v>
      </c>
      <c r="E235" s="29" t="s">
        <v>1201</v>
      </c>
      <c r="F235" s="29" t="b">
        <v>1</v>
      </c>
      <c r="G235" s="29" t="b">
        <v>0</v>
      </c>
      <c r="H235" s="29" t="b">
        <v>0</v>
      </c>
      <c r="I235" s="29" t="b">
        <v>1</v>
      </c>
      <c r="J235" s="29" t="b">
        <v>0</v>
      </c>
      <c r="K235" s="29" t="b">
        <v>0</v>
      </c>
      <c r="L235" s="29" t="b">
        <v>0</v>
      </c>
      <c r="M235" s="432" t="b">
        <v>0</v>
      </c>
      <c r="N235" s="432" t="b">
        <v>1</v>
      </c>
      <c r="O235" s="29" t="s">
        <v>1538</v>
      </c>
      <c r="P235" s="29"/>
      <c r="Q235" s="441">
        <f t="shared" si="1393"/>
        <v>400</v>
      </c>
      <c r="R235" s="441">
        <f t="shared" si="971"/>
        <v>400</v>
      </c>
      <c r="S235" s="442">
        <f t="shared" si="1248"/>
        <v>129.98</v>
      </c>
      <c r="T235" s="308"/>
      <c r="U235" s="443"/>
      <c r="V235" s="245">
        <f>129.98/2</f>
        <v>64.99</v>
      </c>
      <c r="W235" s="245"/>
      <c r="X235" s="444"/>
      <c r="Y235" s="245"/>
      <c r="Z235" s="245"/>
      <c r="AA235" s="245"/>
      <c r="AB235" s="463">
        <f t="shared" ref="AB235:AC235" si="1414">V235-X235</f>
        <v>64.99</v>
      </c>
      <c r="AC235" s="464">
        <f t="shared" si="1414"/>
        <v>0</v>
      </c>
      <c r="AD235" s="474" t="e">
        <f t="shared" ref="AD235:AE235" si="1415">1-(V235/Z235)</f>
        <v>#DIV/0!</v>
      </c>
      <c r="AE235" s="474" t="e">
        <f t="shared" si="1415"/>
        <v>#DIV/0!</v>
      </c>
      <c r="AF235" s="475"/>
      <c r="AG235" s="475"/>
      <c r="AH235" s="483"/>
      <c r="AI235" s="483"/>
      <c r="AJ235" s="484">
        <f t="shared" si="522"/>
        <v>129.98</v>
      </c>
      <c r="AK235" s="252">
        <f t="shared" si="528"/>
        <v>0</v>
      </c>
      <c r="AL235" s="485">
        <f t="shared" si="1410"/>
        <v>64.99</v>
      </c>
      <c r="AM235" s="485">
        <f t="shared" si="1411"/>
        <v>0</v>
      </c>
      <c r="AN235" s="486">
        <f t="shared" si="8"/>
        <v>649.9</v>
      </c>
      <c r="AO235" s="487">
        <f t="shared" ref="AO235:AP235" si="1416">V235+(V235*$AO$2)</f>
        <v>97.485</v>
      </c>
      <c r="AP235" s="475">
        <f t="shared" si="1416"/>
        <v>0</v>
      </c>
      <c r="AQ235" s="432" t="b">
        <v>1</v>
      </c>
      <c r="AR235" s="485">
        <f t="shared" ref="AR235:AS235" si="1417">AO235-Z235</f>
        <v>97.485</v>
      </c>
      <c r="AS235" s="485">
        <f t="shared" si="1417"/>
        <v>0</v>
      </c>
      <c r="AT235" s="486">
        <f t="shared" si="11"/>
        <v>487.425</v>
      </c>
      <c r="AU235" s="301">
        <f t="shared" si="12"/>
        <v>360</v>
      </c>
      <c r="AV235" s="301">
        <f t="shared" si="1276"/>
        <v>400</v>
      </c>
      <c r="AW235" s="29">
        <v>400</v>
      </c>
      <c r="AX235" s="29">
        <v>400</v>
      </c>
      <c r="AY235" s="29">
        <v>1</v>
      </c>
      <c r="AZ235" s="29"/>
      <c r="BA235" s="29"/>
      <c r="BB235" s="302"/>
      <c r="BC235" s="301"/>
      <c r="BD235" s="303"/>
      <c r="BE235" s="304"/>
      <c r="BF235" s="307"/>
      <c r="BG235" s="301"/>
      <c r="BH235" s="303"/>
      <c r="BI235" s="304"/>
      <c r="BJ235" s="29" t="s">
        <v>1189</v>
      </c>
      <c r="BK235" s="29"/>
      <c r="BL235" s="29"/>
      <c r="BQ235" s="308"/>
      <c r="BR235" s="308"/>
    </row>
    <row r="236" ht="12.75" spans="1:70">
      <c r="A236" s="29" t="s">
        <v>1022</v>
      </c>
      <c r="B236" s="29" t="s">
        <v>1301</v>
      </c>
      <c r="C236" s="537" t="s">
        <v>1539</v>
      </c>
      <c r="D236" s="29" t="s">
        <v>1198</v>
      </c>
      <c r="E236" s="29" t="s">
        <v>1217</v>
      </c>
      <c r="F236" s="29" t="b">
        <v>0</v>
      </c>
      <c r="G236" s="29" t="b">
        <v>1</v>
      </c>
      <c r="H236" s="29" t="b">
        <v>0</v>
      </c>
      <c r="I236" s="29" t="b">
        <v>1</v>
      </c>
      <c r="J236" s="29" t="b">
        <v>0</v>
      </c>
      <c r="K236" s="29" t="b">
        <v>0</v>
      </c>
      <c r="L236" s="29" t="b">
        <v>0</v>
      </c>
      <c r="M236" s="432" t="b">
        <v>0</v>
      </c>
      <c r="N236" s="432" t="b">
        <v>0</v>
      </c>
      <c r="O236" s="429" t="s">
        <v>1540</v>
      </c>
      <c r="P236" s="29"/>
      <c r="Q236" s="441">
        <f t="shared" si="1393"/>
        <v>450</v>
      </c>
      <c r="R236" s="441">
        <f t="shared" si="971"/>
        <v>450</v>
      </c>
      <c r="S236" s="442">
        <f t="shared" si="1248"/>
        <v>89.96</v>
      </c>
      <c r="T236" s="29" t="s">
        <v>1203</v>
      </c>
      <c r="U236" s="443"/>
      <c r="V236" s="245">
        <v>44.98</v>
      </c>
      <c r="W236" s="245"/>
      <c r="X236" s="444"/>
      <c r="Y236" s="245"/>
      <c r="Z236" s="245"/>
      <c r="AA236" s="245"/>
      <c r="AB236" s="463">
        <f t="shared" ref="AB236:AC236" si="1418">V236-X236</f>
        <v>44.98</v>
      </c>
      <c r="AC236" s="464">
        <f t="shared" si="1418"/>
        <v>0</v>
      </c>
      <c r="AD236" s="474" t="e">
        <f t="shared" ref="AD236:AE236" si="1419">1-(V236/Z236)</f>
        <v>#DIV/0!</v>
      </c>
      <c r="AE236" s="474" t="e">
        <f t="shared" si="1419"/>
        <v>#DIV/0!</v>
      </c>
      <c r="AF236" s="475"/>
      <c r="AG236" s="475"/>
      <c r="AH236" s="483"/>
      <c r="AI236" s="483"/>
      <c r="AJ236" s="484">
        <f t="shared" si="522"/>
        <v>89.96</v>
      </c>
      <c r="AK236" s="252">
        <f t="shared" si="528"/>
        <v>0</v>
      </c>
      <c r="AL236" s="485">
        <f t="shared" si="1410"/>
        <v>44.98</v>
      </c>
      <c r="AM236" s="485">
        <f t="shared" si="1411"/>
        <v>0</v>
      </c>
      <c r="AN236" s="486">
        <f t="shared" si="8"/>
        <v>449.8</v>
      </c>
      <c r="AO236" s="487">
        <f t="shared" ref="AO236:AP236" si="1420">V236+(V236*$AO$2)</f>
        <v>67.47</v>
      </c>
      <c r="AP236" s="475">
        <f t="shared" si="1420"/>
        <v>0</v>
      </c>
      <c r="AQ236" s="432" t="b">
        <v>0</v>
      </c>
      <c r="AR236" s="485">
        <f t="shared" ref="AR236:AS236" si="1421">AO236-Z236</f>
        <v>67.47</v>
      </c>
      <c r="AS236" s="485">
        <f t="shared" si="1421"/>
        <v>0</v>
      </c>
      <c r="AT236" s="486">
        <f t="shared" si="11"/>
        <v>337.35</v>
      </c>
      <c r="AU236" s="301">
        <f t="shared" si="12"/>
        <v>405</v>
      </c>
      <c r="AV236" s="301">
        <f t="shared" si="1276"/>
        <v>450</v>
      </c>
      <c r="AW236" s="29">
        <v>450</v>
      </c>
      <c r="AX236" s="29">
        <v>450</v>
      </c>
      <c r="AY236" s="29">
        <v>1</v>
      </c>
      <c r="AZ236" s="29"/>
      <c r="BA236" s="29"/>
      <c r="BB236" s="302"/>
      <c r="BC236" s="301"/>
      <c r="BD236" s="303"/>
      <c r="BE236" s="304"/>
      <c r="BF236" s="307"/>
      <c r="BG236" s="301"/>
      <c r="BH236" s="303"/>
      <c r="BI236" s="304"/>
      <c r="BJ236" s="29" t="s">
        <v>1189</v>
      </c>
      <c r="BK236" s="164" t="s">
        <v>1541</v>
      </c>
      <c r="BL236" s="29"/>
      <c r="BQ236" s="308"/>
      <c r="BR236" s="308"/>
    </row>
    <row r="237" ht="12.75" spans="1:70">
      <c r="A237" s="29" t="s">
        <v>1044</v>
      </c>
      <c r="B237" s="29" t="s">
        <v>1195</v>
      </c>
      <c r="C237" s="29"/>
      <c r="D237" s="29" t="s">
        <v>1200</v>
      </c>
      <c r="E237" s="29" t="s">
        <v>1201</v>
      </c>
      <c r="F237" s="29" t="b">
        <v>0</v>
      </c>
      <c r="G237" s="29" t="b">
        <v>1</v>
      </c>
      <c r="H237" s="29" t="b">
        <v>0</v>
      </c>
      <c r="I237" s="29" t="b">
        <v>0</v>
      </c>
      <c r="J237" s="29" t="b">
        <v>0</v>
      </c>
      <c r="K237" s="29" t="b">
        <v>1</v>
      </c>
      <c r="L237" s="29" t="b">
        <v>0</v>
      </c>
      <c r="M237" s="432" t="b">
        <v>1</v>
      </c>
      <c r="N237" s="432" t="b">
        <v>0</v>
      </c>
      <c r="O237" s="29" t="s">
        <v>1542</v>
      </c>
      <c r="P237" s="29" t="s">
        <v>120</v>
      </c>
      <c r="Q237" s="441">
        <f t="shared" si="1393"/>
        <v>0</v>
      </c>
      <c r="R237" s="441">
        <f t="shared" si="971"/>
        <v>0</v>
      </c>
      <c r="S237" s="442">
        <f t="shared" si="1248"/>
        <v>0</v>
      </c>
      <c r="T237" s="308"/>
      <c r="U237" s="443"/>
      <c r="V237" s="454"/>
      <c r="W237" s="454"/>
      <c r="X237" s="446"/>
      <c r="Y237" s="454"/>
      <c r="Z237" s="454"/>
      <c r="AA237" s="454"/>
      <c r="AB237" s="463">
        <f t="shared" ref="AB237:AC237" si="1422">V237-X237</f>
        <v>0</v>
      </c>
      <c r="AC237" s="464">
        <f t="shared" si="1422"/>
        <v>0</v>
      </c>
      <c r="AD237" s="474" t="e">
        <f t="shared" ref="AD237:AE237" si="1423">1-(V237/Z237)</f>
        <v>#DIV/0!</v>
      </c>
      <c r="AE237" s="474" t="e">
        <f t="shared" si="1423"/>
        <v>#DIV/0!</v>
      </c>
      <c r="AF237" s="475"/>
      <c r="AG237" s="475"/>
      <c r="AH237" s="483"/>
      <c r="AI237" s="483"/>
      <c r="AJ237" s="487">
        <f t="shared" si="522"/>
        <v>0</v>
      </c>
      <c r="AK237" s="475">
        <f t="shared" si="528"/>
        <v>0</v>
      </c>
      <c r="AL237" s="485">
        <f t="shared" ref="AL237:AM237" si="1424">AJ237-Z237</f>
        <v>0</v>
      </c>
      <c r="AM237" s="485">
        <f t="shared" si="1424"/>
        <v>0</v>
      </c>
      <c r="AN237" s="486">
        <f t="shared" si="8"/>
        <v>0</v>
      </c>
      <c r="AO237" s="487">
        <f t="shared" ref="AO237:AP237" si="1425">V237+(V237*$AO$2)</f>
        <v>0</v>
      </c>
      <c r="AP237" s="475">
        <f t="shared" si="1425"/>
        <v>0</v>
      </c>
      <c r="AQ237" s="432" t="b">
        <v>0</v>
      </c>
      <c r="AR237" s="485">
        <f t="shared" ref="AR237:AS237" si="1426">AO237-Z237</f>
        <v>0</v>
      </c>
      <c r="AS237" s="485">
        <f t="shared" si="1426"/>
        <v>0</v>
      </c>
      <c r="AT237" s="486">
        <f t="shared" si="11"/>
        <v>0</v>
      </c>
      <c r="AU237" s="301">
        <f t="shared" si="12"/>
        <v>0</v>
      </c>
      <c r="AV237" s="301">
        <f t="shared" si="1276"/>
        <v>0</v>
      </c>
      <c r="BB237" s="302">
        <f t="shared" ref="BB237:BB238" si="1427">AV237</f>
        <v>0</v>
      </c>
      <c r="BC237" s="301"/>
      <c r="BD237" s="303">
        <f t="shared" ref="BD237:BD238" si="1428">(BB237+BC237)/2</f>
        <v>0</v>
      </c>
      <c r="BE237" s="304" t="e">
        <f t="shared" ref="BE237:BE238" si="1429">BB237/BC237</f>
        <v>#DIV/0!</v>
      </c>
      <c r="BF237" s="307">
        <f t="shared" ref="BF237:BF238" si="1430">BB237*$BF$1</f>
        <v>0</v>
      </c>
      <c r="BG237" s="301"/>
      <c r="BH237" s="303">
        <f t="shared" ref="BH237:BH238" si="1431">(BF237+BG237)/2</f>
        <v>0</v>
      </c>
      <c r="BI237" s="304" t="e">
        <f t="shared" ref="BI237:BI238" si="1432">BF237/BG237</f>
        <v>#DIV/0!</v>
      </c>
      <c r="BK237" s="29"/>
      <c r="BL237" s="29"/>
      <c r="BP237" s="29" t="s">
        <v>1204</v>
      </c>
      <c r="BQ237" s="29"/>
      <c r="BR237" s="29"/>
    </row>
    <row r="238" ht="12.75" spans="1:70">
      <c r="A238" s="29" t="s">
        <v>1044</v>
      </c>
      <c r="B238" s="29" t="s">
        <v>1195</v>
      </c>
      <c r="D238" s="308"/>
      <c r="E238" s="29" t="s">
        <v>1280</v>
      </c>
      <c r="F238" s="29" t="b">
        <v>0</v>
      </c>
      <c r="G238" s="29" t="b">
        <v>1</v>
      </c>
      <c r="H238" s="29" t="b">
        <v>0</v>
      </c>
      <c r="I238" s="29" t="b">
        <v>0</v>
      </c>
      <c r="J238" s="29" t="b">
        <v>0</v>
      </c>
      <c r="K238" s="29" t="b">
        <v>0</v>
      </c>
      <c r="L238" s="29" t="b">
        <v>0</v>
      </c>
      <c r="M238" s="432" t="b">
        <v>0</v>
      </c>
      <c r="N238" s="432" t="b">
        <v>1</v>
      </c>
      <c r="P238" s="29" t="s">
        <v>120</v>
      </c>
      <c r="Q238" s="441">
        <f t="shared" si="1393"/>
        <v>337.5</v>
      </c>
      <c r="R238" s="441">
        <f t="shared" si="971"/>
        <v>337.5</v>
      </c>
      <c r="S238" s="442">
        <f t="shared" si="1248"/>
        <v>0</v>
      </c>
      <c r="T238" s="308"/>
      <c r="U238" s="443"/>
      <c r="V238" s="245"/>
      <c r="W238" s="245"/>
      <c r="X238" s="444" t="s">
        <v>117</v>
      </c>
      <c r="Y238" s="245">
        <v>74.46</v>
      </c>
      <c r="Z238" s="245"/>
      <c r="AA238" s="245"/>
      <c r="AB238" s="463" t="e">
        <f t="shared" ref="AB238:AC238" si="1433">V238-X238</f>
        <v>#VALUE!</v>
      </c>
      <c r="AC238" s="464">
        <f t="shared" si="1433"/>
        <v>-74.46</v>
      </c>
      <c r="AD238" s="474" t="e">
        <f t="shared" ref="AD238:AE238" si="1434">1-(V238/Z238)</f>
        <v>#DIV/0!</v>
      </c>
      <c r="AE238" s="474" t="e">
        <f t="shared" si="1434"/>
        <v>#DIV/0!</v>
      </c>
      <c r="AF238" s="475"/>
      <c r="AG238" s="475"/>
      <c r="AH238" s="483"/>
      <c r="AI238" s="483"/>
      <c r="AJ238" s="487">
        <f t="shared" si="522"/>
        <v>0</v>
      </c>
      <c r="AK238" s="475">
        <f t="shared" si="528"/>
        <v>0</v>
      </c>
      <c r="AL238" s="485">
        <f t="shared" ref="AL238:AM238" si="1435">AJ238-Z238</f>
        <v>0</v>
      </c>
      <c r="AM238" s="485">
        <f t="shared" si="1435"/>
        <v>0</v>
      </c>
      <c r="AN238" s="486">
        <f t="shared" si="8"/>
        <v>0</v>
      </c>
      <c r="AO238" s="487">
        <f t="shared" ref="AO238:AP238" si="1436">V238+(V238*$AO$2)</f>
        <v>0</v>
      </c>
      <c r="AP238" s="475">
        <f t="shared" si="1436"/>
        <v>0</v>
      </c>
      <c r="AQ238" s="432" t="b">
        <v>0</v>
      </c>
      <c r="AR238" s="485">
        <f t="shared" ref="AR238:AS238" si="1437">AO238-Z238</f>
        <v>0</v>
      </c>
      <c r="AS238" s="485">
        <f t="shared" si="1437"/>
        <v>0</v>
      </c>
      <c r="AT238" s="486">
        <f t="shared" si="11"/>
        <v>0</v>
      </c>
      <c r="AU238" s="301">
        <f t="shared" si="12"/>
        <v>279</v>
      </c>
      <c r="AV238" s="301">
        <f t="shared" si="1276"/>
        <v>337.5</v>
      </c>
      <c r="AW238" s="29">
        <v>310</v>
      </c>
      <c r="AX238" s="29">
        <v>365</v>
      </c>
      <c r="BB238" s="302">
        <f t="shared" si="1427"/>
        <v>337.5</v>
      </c>
      <c r="BC238" s="301"/>
      <c r="BD238" s="303">
        <f t="shared" si="1428"/>
        <v>168.75</v>
      </c>
      <c r="BE238" s="304" t="e">
        <f t="shared" si="1429"/>
        <v>#DIV/0!</v>
      </c>
      <c r="BF238" s="307">
        <f t="shared" si="1430"/>
        <v>135</v>
      </c>
      <c r="BG238" s="301"/>
      <c r="BH238" s="303">
        <f t="shared" si="1431"/>
        <v>67.5</v>
      </c>
      <c r="BI238" s="304" t="e">
        <f t="shared" si="1432"/>
        <v>#DIV/0!</v>
      </c>
      <c r="BK238" s="29"/>
      <c r="BL238" s="29"/>
      <c r="BQ238" s="308"/>
      <c r="BR238" s="308"/>
    </row>
    <row r="239" ht="12.75" spans="1:70">
      <c r="A239" s="29"/>
      <c r="B239" s="29"/>
      <c r="C239" s="29" t="s">
        <v>1543</v>
      </c>
      <c r="D239" s="29"/>
      <c r="F239" s="29" t="b">
        <v>0</v>
      </c>
      <c r="G239" s="29" t="b">
        <v>0</v>
      </c>
      <c r="H239" s="29" t="b">
        <v>0</v>
      </c>
      <c r="I239" s="29" t="b">
        <v>0</v>
      </c>
      <c r="J239" s="29" t="b">
        <v>0</v>
      </c>
      <c r="K239" s="29" t="b">
        <v>0</v>
      </c>
      <c r="L239" s="29" t="b">
        <v>0</v>
      </c>
      <c r="M239" s="432" t="b">
        <v>0</v>
      </c>
      <c r="N239" s="432" t="b">
        <v>0</v>
      </c>
      <c r="O239" s="29" t="s">
        <v>1543</v>
      </c>
      <c r="P239" s="29"/>
      <c r="Q239" s="441">
        <f t="shared" si="1393"/>
        <v>0</v>
      </c>
      <c r="R239" s="441">
        <f t="shared" si="971"/>
        <v>0</v>
      </c>
      <c r="S239" s="442">
        <f t="shared" si="1248"/>
        <v>20</v>
      </c>
      <c r="T239" s="29" t="s">
        <v>1192</v>
      </c>
      <c r="U239" s="443"/>
      <c r="V239" s="245">
        <v>10</v>
      </c>
      <c r="W239" s="245"/>
      <c r="X239" s="444"/>
      <c r="Y239" s="245"/>
      <c r="Z239" s="245"/>
      <c r="AA239" s="245"/>
      <c r="AB239" s="463">
        <f t="shared" ref="AB239:AC239" si="1438">V239-X239</f>
        <v>10</v>
      </c>
      <c r="AC239" s="464">
        <f t="shared" si="1438"/>
        <v>0</v>
      </c>
      <c r="AD239" s="474" t="e">
        <f t="shared" ref="AD239:AE239" si="1439">1-(V239/Z239)</f>
        <v>#DIV/0!</v>
      </c>
      <c r="AE239" s="474" t="e">
        <f t="shared" si="1439"/>
        <v>#DIV/0!</v>
      </c>
      <c r="AF239" s="475"/>
      <c r="AG239" s="475"/>
      <c r="AH239" s="483"/>
      <c r="AI239" s="483"/>
      <c r="AJ239" s="484">
        <f t="shared" si="522"/>
        <v>20</v>
      </c>
      <c r="AK239" s="252">
        <f t="shared" si="528"/>
        <v>0</v>
      </c>
      <c r="AL239" s="485">
        <f t="shared" ref="AL239:AL245" si="1440">AJ239-V239</f>
        <v>10</v>
      </c>
      <c r="AM239" s="485">
        <f t="shared" ref="AM239:AM245" si="1441">AK239-AA239</f>
        <v>0</v>
      </c>
      <c r="AN239" s="486">
        <f t="shared" si="8"/>
        <v>100</v>
      </c>
      <c r="AO239" s="487">
        <f t="shared" ref="AO239:AP239" si="1442">V239+(V239*$AO$2)</f>
        <v>15</v>
      </c>
      <c r="AP239" s="475">
        <f t="shared" si="1442"/>
        <v>0</v>
      </c>
      <c r="AQ239" s="432" t="b">
        <v>0</v>
      </c>
      <c r="AR239" s="485">
        <f t="shared" ref="AR239:AS239" si="1443">AO239-Z239</f>
        <v>15</v>
      </c>
      <c r="AS239" s="485">
        <f t="shared" si="1443"/>
        <v>0</v>
      </c>
      <c r="AT239" s="486">
        <f t="shared" si="11"/>
        <v>75</v>
      </c>
      <c r="AU239" s="301">
        <f t="shared" si="12"/>
        <v>0</v>
      </c>
      <c r="AV239" s="301">
        <f t="shared" si="1276"/>
        <v>0</v>
      </c>
      <c r="AW239" s="29"/>
      <c r="AX239" s="29"/>
      <c r="BB239" s="302"/>
      <c r="BC239" s="301"/>
      <c r="BD239" s="303"/>
      <c r="BE239" s="304"/>
      <c r="BF239" s="307"/>
      <c r="BG239" s="301"/>
      <c r="BH239" s="303"/>
      <c r="BI239" s="304"/>
      <c r="BK239" s="29"/>
      <c r="BL239" s="29"/>
      <c r="BQ239" s="308"/>
      <c r="BR239" s="308"/>
    </row>
    <row r="240" ht="12.75" spans="1:70">
      <c r="A240" s="29"/>
      <c r="B240" s="29"/>
      <c r="D240" s="29"/>
      <c r="F240" s="29" t="b">
        <v>0</v>
      </c>
      <c r="G240" s="29" t="b">
        <v>0</v>
      </c>
      <c r="H240" s="29" t="b">
        <v>0</v>
      </c>
      <c r="I240" s="29" t="b">
        <v>0</v>
      </c>
      <c r="J240" s="29" t="b">
        <v>0</v>
      </c>
      <c r="K240" s="29" t="b">
        <v>0</v>
      </c>
      <c r="L240" s="29" t="b">
        <v>0</v>
      </c>
      <c r="M240" s="432" t="b">
        <v>0</v>
      </c>
      <c r="N240" s="432" t="b">
        <v>0</v>
      </c>
      <c r="P240" s="29"/>
      <c r="Q240" s="441">
        <f t="shared" si="1393"/>
        <v>0</v>
      </c>
      <c r="R240" s="441">
        <f t="shared" si="971"/>
        <v>0</v>
      </c>
      <c r="S240" s="442">
        <f t="shared" si="1248"/>
        <v>0</v>
      </c>
      <c r="T240" s="308"/>
      <c r="U240" s="443"/>
      <c r="V240" s="245"/>
      <c r="W240" s="245"/>
      <c r="X240" s="444"/>
      <c r="Y240" s="245"/>
      <c r="Z240" s="245"/>
      <c r="AA240" s="245"/>
      <c r="AB240" s="463">
        <f t="shared" ref="AB240:AC240" si="1444">V240-X240</f>
        <v>0</v>
      </c>
      <c r="AC240" s="464">
        <f t="shared" si="1444"/>
        <v>0</v>
      </c>
      <c r="AD240" s="474" t="e">
        <f t="shared" ref="AD240:AE240" si="1445">1-(V240/Z240)</f>
        <v>#DIV/0!</v>
      </c>
      <c r="AE240" s="474" t="e">
        <f t="shared" si="1445"/>
        <v>#DIV/0!</v>
      </c>
      <c r="AF240" s="475"/>
      <c r="AG240" s="475"/>
      <c r="AH240" s="483"/>
      <c r="AI240" s="483"/>
      <c r="AJ240" s="484">
        <f t="shared" si="522"/>
        <v>0</v>
      </c>
      <c r="AK240" s="252">
        <f t="shared" si="528"/>
        <v>0</v>
      </c>
      <c r="AL240" s="485">
        <f t="shared" si="1440"/>
        <v>0</v>
      </c>
      <c r="AM240" s="485">
        <f t="shared" si="1441"/>
        <v>0</v>
      </c>
      <c r="AN240" s="486">
        <f t="shared" si="8"/>
        <v>0</v>
      </c>
      <c r="AO240" s="487">
        <f t="shared" ref="AO240:AP240" si="1446">V240+(V240*$AO$2)</f>
        <v>0</v>
      </c>
      <c r="AP240" s="475">
        <f t="shared" si="1446"/>
        <v>0</v>
      </c>
      <c r="AQ240" s="432" t="b">
        <v>0</v>
      </c>
      <c r="AR240" s="485">
        <f t="shared" ref="AR240:AS240" si="1447">AO240-Z240</f>
        <v>0</v>
      </c>
      <c r="AS240" s="485">
        <f t="shared" si="1447"/>
        <v>0</v>
      </c>
      <c r="AT240" s="486">
        <f t="shared" si="11"/>
        <v>0</v>
      </c>
      <c r="AU240" s="301">
        <f t="shared" si="12"/>
        <v>0</v>
      </c>
      <c r="AV240" s="301">
        <f t="shared" si="1276"/>
        <v>0</v>
      </c>
      <c r="AW240" s="29"/>
      <c r="AX240" s="29"/>
      <c r="BB240" s="302"/>
      <c r="BC240" s="301"/>
      <c r="BD240" s="303"/>
      <c r="BE240" s="304"/>
      <c r="BF240" s="307"/>
      <c r="BG240" s="301"/>
      <c r="BH240" s="303"/>
      <c r="BI240" s="304"/>
      <c r="BK240" s="29"/>
      <c r="BL240" s="29"/>
      <c r="BQ240" s="308"/>
      <c r="BR240" s="308"/>
    </row>
    <row r="241" ht="12.75" spans="1:70">
      <c r="A241" s="29"/>
      <c r="B241" s="29"/>
      <c r="C241" s="29" t="s">
        <v>467</v>
      </c>
      <c r="D241" s="29"/>
      <c r="F241" s="29" t="b">
        <v>0</v>
      </c>
      <c r="G241" s="29" t="b">
        <v>0</v>
      </c>
      <c r="H241" s="29" t="b">
        <v>0</v>
      </c>
      <c r="I241" s="29" t="b">
        <v>0</v>
      </c>
      <c r="J241" s="29" t="b">
        <v>0</v>
      </c>
      <c r="K241" s="29" t="b">
        <v>0</v>
      </c>
      <c r="L241" s="29" t="b">
        <v>0</v>
      </c>
      <c r="M241" s="432" t="b">
        <v>0</v>
      </c>
      <c r="N241" s="432" t="b">
        <v>0</v>
      </c>
      <c r="O241" s="29" t="s">
        <v>467</v>
      </c>
      <c r="P241" s="29"/>
      <c r="Q241" s="441">
        <f t="shared" si="1393"/>
        <v>0</v>
      </c>
      <c r="R241" s="441">
        <f t="shared" si="971"/>
        <v>0</v>
      </c>
      <c r="S241" s="442">
        <f t="shared" si="1248"/>
        <v>50</v>
      </c>
      <c r="T241" s="29" t="s">
        <v>1192</v>
      </c>
      <c r="U241" s="443"/>
      <c r="V241" s="245">
        <v>25</v>
      </c>
      <c r="W241" s="245"/>
      <c r="X241" s="444"/>
      <c r="Y241" s="245"/>
      <c r="Z241" s="245"/>
      <c r="AA241" s="245"/>
      <c r="AB241" s="463">
        <f t="shared" ref="AB241:AC241" si="1448">V241-X241</f>
        <v>25</v>
      </c>
      <c r="AC241" s="464">
        <f t="shared" si="1448"/>
        <v>0</v>
      </c>
      <c r="AD241" s="474" t="e">
        <f t="shared" ref="AD241:AE241" si="1449">1-(V241/Z241)</f>
        <v>#DIV/0!</v>
      </c>
      <c r="AE241" s="474" t="e">
        <f t="shared" si="1449"/>
        <v>#DIV/0!</v>
      </c>
      <c r="AF241" s="475"/>
      <c r="AG241" s="475"/>
      <c r="AH241" s="483"/>
      <c r="AI241" s="483"/>
      <c r="AJ241" s="484">
        <f t="shared" si="522"/>
        <v>50</v>
      </c>
      <c r="AK241" s="252">
        <f t="shared" si="528"/>
        <v>0</v>
      </c>
      <c r="AL241" s="485">
        <f t="shared" si="1440"/>
        <v>25</v>
      </c>
      <c r="AM241" s="485">
        <f t="shared" si="1441"/>
        <v>0</v>
      </c>
      <c r="AN241" s="486">
        <f t="shared" si="8"/>
        <v>250</v>
      </c>
      <c r="AO241" s="487">
        <f t="shared" ref="AO241:AP241" si="1450">V241+(V241*$AO$2)</f>
        <v>37.5</v>
      </c>
      <c r="AP241" s="475">
        <f t="shared" si="1450"/>
        <v>0</v>
      </c>
      <c r="AQ241" s="432" t="b">
        <v>0</v>
      </c>
      <c r="AR241" s="485">
        <f t="shared" ref="AR241:AS241" si="1451">AO241-Z241</f>
        <v>37.5</v>
      </c>
      <c r="AS241" s="485">
        <f t="shared" si="1451"/>
        <v>0</v>
      </c>
      <c r="AT241" s="486">
        <f t="shared" si="11"/>
        <v>187.5</v>
      </c>
      <c r="AU241" s="301">
        <f t="shared" si="12"/>
        <v>0</v>
      </c>
      <c r="AV241" s="301">
        <f t="shared" si="1276"/>
        <v>0</v>
      </c>
      <c r="AW241" s="29"/>
      <c r="AX241" s="29"/>
      <c r="BB241" s="302"/>
      <c r="BC241" s="301"/>
      <c r="BD241" s="303"/>
      <c r="BE241" s="304"/>
      <c r="BF241" s="307"/>
      <c r="BG241" s="301"/>
      <c r="BH241" s="303"/>
      <c r="BI241" s="304"/>
      <c r="BK241" s="29"/>
      <c r="BL241" s="29"/>
      <c r="BQ241" s="308"/>
      <c r="BR241" s="308"/>
    </row>
    <row r="242" ht="12.75" spans="1:70">
      <c r="A242" s="29"/>
      <c r="B242" s="29"/>
      <c r="D242" s="29"/>
      <c r="F242" s="29" t="b">
        <v>0</v>
      </c>
      <c r="G242" s="29" t="b">
        <v>0</v>
      </c>
      <c r="H242" s="29" t="b">
        <v>0</v>
      </c>
      <c r="I242" s="29" t="b">
        <v>0</v>
      </c>
      <c r="J242" s="29" t="b">
        <v>0</v>
      </c>
      <c r="K242" s="29" t="b">
        <v>0</v>
      </c>
      <c r="L242" s="29" t="b">
        <v>0</v>
      </c>
      <c r="M242" s="432" t="b">
        <v>0</v>
      </c>
      <c r="N242" s="432" t="b">
        <v>0</v>
      </c>
      <c r="P242" s="29"/>
      <c r="Q242" s="441">
        <f t="shared" si="1393"/>
        <v>0</v>
      </c>
      <c r="R242" s="441">
        <f t="shared" si="971"/>
        <v>0</v>
      </c>
      <c r="S242" s="442">
        <f t="shared" si="1248"/>
        <v>0</v>
      </c>
      <c r="T242" s="308"/>
      <c r="U242" s="443"/>
      <c r="V242" s="245"/>
      <c r="W242" s="245"/>
      <c r="X242" s="444"/>
      <c r="Y242" s="245"/>
      <c r="Z242" s="245"/>
      <c r="AA242" s="245"/>
      <c r="AB242" s="463">
        <f t="shared" ref="AB242:AC242" si="1452">V242-X242</f>
        <v>0</v>
      </c>
      <c r="AC242" s="464">
        <f t="shared" si="1452"/>
        <v>0</v>
      </c>
      <c r="AD242" s="474" t="e">
        <f t="shared" ref="AD242:AE242" si="1453">1-(V242/Z242)</f>
        <v>#DIV/0!</v>
      </c>
      <c r="AE242" s="474" t="e">
        <f t="shared" si="1453"/>
        <v>#DIV/0!</v>
      </c>
      <c r="AF242" s="475"/>
      <c r="AG242" s="475"/>
      <c r="AH242" s="483"/>
      <c r="AI242" s="483"/>
      <c r="AJ242" s="484">
        <f t="shared" si="522"/>
        <v>0</v>
      </c>
      <c r="AK242" s="252">
        <f t="shared" si="528"/>
        <v>0</v>
      </c>
      <c r="AL242" s="485">
        <f t="shared" si="1440"/>
        <v>0</v>
      </c>
      <c r="AM242" s="485">
        <f t="shared" si="1441"/>
        <v>0</v>
      </c>
      <c r="AN242" s="486">
        <f t="shared" si="8"/>
        <v>0</v>
      </c>
      <c r="AO242" s="487">
        <f t="shared" ref="AO242:AP242" si="1454">V242+(V242*$AO$2)</f>
        <v>0</v>
      </c>
      <c r="AP242" s="475">
        <f t="shared" si="1454"/>
        <v>0</v>
      </c>
      <c r="AQ242" s="432" t="b">
        <v>0</v>
      </c>
      <c r="AR242" s="485">
        <f t="shared" ref="AR242:AS242" si="1455">AO242-Z242</f>
        <v>0</v>
      </c>
      <c r="AS242" s="485">
        <f t="shared" si="1455"/>
        <v>0</v>
      </c>
      <c r="AT242" s="486">
        <f t="shared" si="11"/>
        <v>0</v>
      </c>
      <c r="AU242" s="301">
        <f t="shared" si="12"/>
        <v>0</v>
      </c>
      <c r="AV242" s="301">
        <f t="shared" si="1276"/>
        <v>0</v>
      </c>
      <c r="AW242" s="29"/>
      <c r="AX242" s="29"/>
      <c r="BB242" s="302"/>
      <c r="BC242" s="301"/>
      <c r="BD242" s="303"/>
      <c r="BE242" s="304"/>
      <c r="BF242" s="307"/>
      <c r="BG242" s="301"/>
      <c r="BH242" s="303"/>
      <c r="BI242" s="304"/>
      <c r="BK242" s="29"/>
      <c r="BL242" s="29"/>
      <c r="BQ242" s="308"/>
      <c r="BR242" s="308"/>
    </row>
    <row r="243" ht="12.75" spans="1:70">
      <c r="A243" s="29"/>
      <c r="B243" s="29"/>
      <c r="C243" s="29" t="s">
        <v>1544</v>
      </c>
      <c r="D243" s="29" t="s">
        <v>1545</v>
      </c>
      <c r="F243" s="29" t="b">
        <v>0</v>
      </c>
      <c r="G243" s="29" t="b">
        <v>0</v>
      </c>
      <c r="H243" s="29" t="b">
        <v>0</v>
      </c>
      <c r="I243" s="29" t="b">
        <v>0</v>
      </c>
      <c r="J243" s="29" t="b">
        <v>0</v>
      </c>
      <c r="K243" s="29" t="b">
        <v>0</v>
      </c>
      <c r="L243" s="29" t="b">
        <v>0</v>
      </c>
      <c r="M243" s="432" t="b">
        <v>0</v>
      </c>
      <c r="N243" s="432" t="b">
        <v>0</v>
      </c>
      <c r="P243" s="29"/>
      <c r="Q243" s="441">
        <f t="shared" si="1393"/>
        <v>0</v>
      </c>
      <c r="R243" s="441">
        <f t="shared" si="971"/>
        <v>0</v>
      </c>
      <c r="S243" s="442">
        <f t="shared" si="1248"/>
        <v>0</v>
      </c>
      <c r="T243" s="308"/>
      <c r="U243" s="443"/>
      <c r="V243" s="245"/>
      <c r="W243" s="245"/>
      <c r="X243" s="444"/>
      <c r="Y243" s="245"/>
      <c r="Z243" s="245"/>
      <c r="AA243" s="245"/>
      <c r="AB243" s="463">
        <f t="shared" ref="AB243:AC243" si="1456">V243-X243</f>
        <v>0</v>
      </c>
      <c r="AC243" s="464">
        <f t="shared" si="1456"/>
        <v>0</v>
      </c>
      <c r="AD243" s="474" t="e">
        <f t="shared" ref="AD243:AE243" si="1457">1-(V243/Z243)</f>
        <v>#DIV/0!</v>
      </c>
      <c r="AE243" s="474" t="e">
        <f t="shared" si="1457"/>
        <v>#DIV/0!</v>
      </c>
      <c r="AF243" s="475"/>
      <c r="AG243" s="475"/>
      <c r="AH243" s="483"/>
      <c r="AI243" s="483"/>
      <c r="AJ243" s="484">
        <f t="shared" si="522"/>
        <v>0</v>
      </c>
      <c r="AK243" s="252">
        <f t="shared" si="528"/>
        <v>0</v>
      </c>
      <c r="AL243" s="485">
        <f t="shared" si="1440"/>
        <v>0</v>
      </c>
      <c r="AM243" s="485">
        <f t="shared" si="1441"/>
        <v>0</v>
      </c>
      <c r="AN243" s="486">
        <f t="shared" si="8"/>
        <v>0</v>
      </c>
      <c r="AO243" s="487">
        <f t="shared" ref="AO243:AP243" si="1458">V243+(V243*$AO$2)</f>
        <v>0</v>
      </c>
      <c r="AP243" s="475">
        <f t="shared" si="1458"/>
        <v>0</v>
      </c>
      <c r="AQ243" s="432" t="b">
        <v>0</v>
      </c>
      <c r="AR243" s="485">
        <f t="shared" ref="AR243:AS243" si="1459">AO243-Z243</f>
        <v>0</v>
      </c>
      <c r="AS243" s="485">
        <f t="shared" si="1459"/>
        <v>0</v>
      </c>
      <c r="AT243" s="486">
        <f t="shared" si="11"/>
        <v>0</v>
      </c>
      <c r="AU243" s="301">
        <f t="shared" si="12"/>
        <v>0</v>
      </c>
      <c r="AV243" s="301">
        <f t="shared" si="1276"/>
        <v>0</v>
      </c>
      <c r="AW243" s="29"/>
      <c r="AX243" s="29"/>
      <c r="BB243" s="302"/>
      <c r="BC243" s="301"/>
      <c r="BD243" s="303"/>
      <c r="BE243" s="304"/>
      <c r="BF243" s="307"/>
      <c r="BG243" s="301"/>
      <c r="BH243" s="303"/>
      <c r="BI243" s="304"/>
      <c r="BK243" s="29"/>
      <c r="BL243" s="29"/>
      <c r="BQ243" s="308"/>
      <c r="BR243" s="308"/>
    </row>
    <row r="244" ht="12.75" spans="1:70">
      <c r="A244" s="29"/>
      <c r="B244" s="29"/>
      <c r="C244" s="29" t="s">
        <v>1546</v>
      </c>
      <c r="D244" s="29" t="s">
        <v>1547</v>
      </c>
      <c r="F244" s="29" t="b">
        <v>0</v>
      </c>
      <c r="G244" s="29" t="b">
        <v>0</v>
      </c>
      <c r="H244" s="29" t="b">
        <v>0</v>
      </c>
      <c r="I244" s="29" t="b">
        <v>0</v>
      </c>
      <c r="J244" s="29" t="b">
        <v>0</v>
      </c>
      <c r="K244" s="29" t="b">
        <v>0</v>
      </c>
      <c r="L244" s="29" t="b">
        <v>0</v>
      </c>
      <c r="M244" s="432" t="b">
        <v>0</v>
      </c>
      <c r="N244" s="432" t="b">
        <v>0</v>
      </c>
      <c r="P244" s="29"/>
      <c r="Q244" s="441">
        <f t="shared" si="1393"/>
        <v>0</v>
      </c>
      <c r="R244" s="441">
        <f t="shared" si="971"/>
        <v>0</v>
      </c>
      <c r="S244" s="442">
        <f t="shared" si="1248"/>
        <v>0</v>
      </c>
      <c r="T244" s="308"/>
      <c r="U244" s="443"/>
      <c r="V244" s="245"/>
      <c r="W244" s="245"/>
      <c r="X244" s="444"/>
      <c r="Y244" s="245"/>
      <c r="Z244" s="245"/>
      <c r="AA244" s="245"/>
      <c r="AB244" s="463">
        <f t="shared" ref="AB244:AC244" si="1460">V244-X244</f>
        <v>0</v>
      </c>
      <c r="AC244" s="464">
        <f t="shared" si="1460"/>
        <v>0</v>
      </c>
      <c r="AD244" s="474" t="e">
        <f t="shared" ref="AD244:AE244" si="1461">1-(V244/Z244)</f>
        <v>#DIV/0!</v>
      </c>
      <c r="AE244" s="474" t="e">
        <f t="shared" si="1461"/>
        <v>#DIV/0!</v>
      </c>
      <c r="AF244" s="475"/>
      <c r="AG244" s="475"/>
      <c r="AH244" s="483"/>
      <c r="AI244" s="483"/>
      <c r="AJ244" s="484">
        <f t="shared" si="522"/>
        <v>0</v>
      </c>
      <c r="AK244" s="252">
        <f t="shared" si="528"/>
        <v>0</v>
      </c>
      <c r="AL244" s="485">
        <f t="shared" si="1440"/>
        <v>0</v>
      </c>
      <c r="AM244" s="485">
        <f t="shared" si="1441"/>
        <v>0</v>
      </c>
      <c r="AN244" s="486">
        <f t="shared" si="8"/>
        <v>0</v>
      </c>
      <c r="AO244" s="487">
        <f t="shared" ref="AO244:AP244" si="1462">V244+(V244*$AO$2)</f>
        <v>0</v>
      </c>
      <c r="AP244" s="475">
        <f t="shared" si="1462"/>
        <v>0</v>
      </c>
      <c r="AQ244" s="432" t="b">
        <v>0</v>
      </c>
      <c r="AR244" s="485">
        <f t="shared" ref="AR244:AS244" si="1463">AO244-Z244</f>
        <v>0</v>
      </c>
      <c r="AS244" s="485">
        <f t="shared" si="1463"/>
        <v>0</v>
      </c>
      <c r="AT244" s="486">
        <f t="shared" si="11"/>
        <v>0</v>
      </c>
      <c r="AU244" s="301">
        <f t="shared" si="12"/>
        <v>0</v>
      </c>
      <c r="AV244" s="301">
        <f t="shared" si="1276"/>
        <v>0</v>
      </c>
      <c r="AW244" s="29"/>
      <c r="AX244" s="29"/>
      <c r="BB244" s="302"/>
      <c r="BC244" s="301"/>
      <c r="BD244" s="303"/>
      <c r="BE244" s="304"/>
      <c r="BF244" s="307"/>
      <c r="BG244" s="301"/>
      <c r="BH244" s="303"/>
      <c r="BI244" s="304"/>
      <c r="BK244" s="29"/>
      <c r="BL244" s="29"/>
      <c r="BQ244" s="308"/>
      <c r="BR244" s="308"/>
    </row>
    <row r="245" ht="12.75" spans="2:70">
      <c r="B245" s="29"/>
      <c r="C245" s="29" t="s">
        <v>1548</v>
      </c>
      <c r="D245" s="29" t="s">
        <v>1349</v>
      </c>
      <c r="F245" s="29" t="b">
        <v>0</v>
      </c>
      <c r="G245" s="29" t="b">
        <v>0</v>
      </c>
      <c r="H245" s="29" t="b">
        <v>0</v>
      </c>
      <c r="I245" s="29" t="b">
        <v>0</v>
      </c>
      <c r="J245" s="29" t="b">
        <v>0</v>
      </c>
      <c r="K245" s="29" t="b">
        <v>0</v>
      </c>
      <c r="L245" s="29" t="b">
        <v>0</v>
      </c>
      <c r="M245" s="432" t="b">
        <v>0</v>
      </c>
      <c r="N245" s="432" t="b">
        <v>0</v>
      </c>
      <c r="P245" s="29"/>
      <c r="Q245" s="441">
        <f t="shared" si="1393"/>
        <v>0</v>
      </c>
      <c r="R245" s="441">
        <f t="shared" si="971"/>
        <v>0</v>
      </c>
      <c r="S245" s="442">
        <f t="shared" si="1248"/>
        <v>0</v>
      </c>
      <c r="T245" s="308"/>
      <c r="U245" s="443"/>
      <c r="V245" s="245"/>
      <c r="W245" s="245"/>
      <c r="X245" s="444"/>
      <c r="Y245" s="245"/>
      <c r="Z245" s="245"/>
      <c r="AA245" s="245"/>
      <c r="AB245" s="463">
        <f t="shared" ref="AB245:AC245" si="1464">V245-X245</f>
        <v>0</v>
      </c>
      <c r="AC245" s="464">
        <f t="shared" si="1464"/>
        <v>0</v>
      </c>
      <c r="AD245" s="474" t="e">
        <f t="shared" ref="AD245:AE245" si="1465">1-(V245/Z245)</f>
        <v>#DIV/0!</v>
      </c>
      <c r="AE245" s="474" t="e">
        <f t="shared" si="1465"/>
        <v>#DIV/0!</v>
      </c>
      <c r="AF245" s="475"/>
      <c r="AG245" s="475"/>
      <c r="AH245" s="483"/>
      <c r="AI245" s="483"/>
      <c r="AJ245" s="484">
        <f t="shared" si="522"/>
        <v>0</v>
      </c>
      <c r="AK245" s="252">
        <f t="shared" si="528"/>
        <v>0</v>
      </c>
      <c r="AL245" s="485">
        <f t="shared" si="1440"/>
        <v>0</v>
      </c>
      <c r="AM245" s="485">
        <f t="shared" si="1441"/>
        <v>0</v>
      </c>
      <c r="AN245" s="486">
        <f t="shared" si="8"/>
        <v>0</v>
      </c>
      <c r="AO245" s="487">
        <f t="shared" ref="AO245:AP245" si="1466">V245+(V245*$AO$2)</f>
        <v>0</v>
      </c>
      <c r="AP245" s="475">
        <f t="shared" si="1466"/>
        <v>0</v>
      </c>
      <c r="AQ245" s="432" t="b">
        <v>0</v>
      </c>
      <c r="AR245" s="485">
        <f t="shared" ref="AR245:AS245" si="1467">AO245-Z245</f>
        <v>0</v>
      </c>
      <c r="AS245" s="485">
        <f t="shared" si="1467"/>
        <v>0</v>
      </c>
      <c r="AT245" s="486">
        <f t="shared" si="11"/>
        <v>0</v>
      </c>
      <c r="AU245" s="301">
        <f t="shared" si="12"/>
        <v>0</v>
      </c>
      <c r="AV245" s="301">
        <f t="shared" si="1276"/>
        <v>0</v>
      </c>
      <c r="AW245" s="29"/>
      <c r="AX245" s="29"/>
      <c r="BB245" s="302"/>
      <c r="BC245" s="301"/>
      <c r="BD245" s="303"/>
      <c r="BE245" s="304"/>
      <c r="BF245" s="307"/>
      <c r="BG245" s="301"/>
      <c r="BH245" s="303"/>
      <c r="BI245" s="304"/>
      <c r="BK245" s="29"/>
      <c r="BL245" s="29"/>
      <c r="BQ245" s="308"/>
      <c r="BR245" s="308"/>
    </row>
    <row r="246" ht="12.75" spans="1:70">
      <c r="A246" s="29"/>
      <c r="B246" s="29"/>
      <c r="D246" s="29"/>
      <c r="F246" s="29" t="b">
        <v>0</v>
      </c>
      <c r="G246" s="29" t="b">
        <v>0</v>
      </c>
      <c r="H246" s="29" t="b">
        <v>0</v>
      </c>
      <c r="I246" s="29" t="b">
        <v>0</v>
      </c>
      <c r="J246" s="29" t="b">
        <v>0</v>
      </c>
      <c r="K246" s="29" t="b">
        <v>0</v>
      </c>
      <c r="L246" s="29" t="b">
        <v>0</v>
      </c>
      <c r="M246" s="432" t="b">
        <v>0</v>
      </c>
      <c r="N246" s="432" t="b">
        <v>0</v>
      </c>
      <c r="P246" s="29"/>
      <c r="Q246" s="448"/>
      <c r="R246" s="448"/>
      <c r="S246" s="448"/>
      <c r="T246" s="308"/>
      <c r="U246" s="540"/>
      <c r="V246" s="245"/>
      <c r="W246" s="245"/>
      <c r="X246" s="245"/>
      <c r="Y246" s="245"/>
      <c r="Z246" s="245"/>
      <c r="AA246" s="245"/>
      <c r="AB246" s="475"/>
      <c r="AC246" s="475"/>
      <c r="AD246" s="474"/>
      <c r="AE246" s="474"/>
      <c r="AF246" s="475"/>
      <c r="AG246" s="475"/>
      <c r="AH246" s="483"/>
      <c r="AI246" s="483"/>
      <c r="AJ246" s="252"/>
      <c r="AK246" s="252"/>
      <c r="AL246" s="485"/>
      <c r="AM246" s="485"/>
      <c r="AN246" s="485"/>
      <c r="AO246" s="475"/>
      <c r="AP246" s="475"/>
      <c r="AQ246" s="432" t="b">
        <v>0</v>
      </c>
      <c r="AR246" s="485"/>
      <c r="AS246" s="485"/>
      <c r="AT246" s="485"/>
      <c r="AU246" s="301"/>
      <c r="AV246" s="301"/>
      <c r="AW246" s="29"/>
      <c r="AX246" s="29"/>
      <c r="BB246" s="302"/>
      <c r="BC246" s="301"/>
      <c r="BD246" s="303"/>
      <c r="BE246" s="304"/>
      <c r="BF246" s="307"/>
      <c r="BG246" s="301"/>
      <c r="BH246" s="303"/>
      <c r="BI246" s="304"/>
      <c r="BK246" s="29"/>
      <c r="BL246" s="29"/>
      <c r="BQ246" s="308"/>
      <c r="BR246" s="308"/>
    </row>
    <row r="247" ht="12.75" spans="1:70">
      <c r="A247" s="29"/>
      <c r="B247" s="29"/>
      <c r="D247" s="29"/>
      <c r="F247" s="29" t="b">
        <v>0</v>
      </c>
      <c r="G247" s="29" t="b">
        <v>0</v>
      </c>
      <c r="H247" s="29" t="b">
        <v>0</v>
      </c>
      <c r="I247" s="29" t="b">
        <v>0</v>
      </c>
      <c r="J247" s="29" t="b">
        <v>0</v>
      </c>
      <c r="K247" s="29" t="b">
        <v>0</v>
      </c>
      <c r="L247" s="29" t="b">
        <v>0</v>
      </c>
      <c r="M247" s="432" t="b">
        <v>0</v>
      </c>
      <c r="N247" s="432" t="b">
        <v>0</v>
      </c>
      <c r="P247" s="29"/>
      <c r="Q247" s="448"/>
      <c r="R247" s="448"/>
      <c r="S247" s="448"/>
      <c r="T247" s="308"/>
      <c r="U247" s="540"/>
      <c r="V247" s="245"/>
      <c r="W247" s="245"/>
      <c r="X247" s="245"/>
      <c r="Y247" s="245"/>
      <c r="Z247" s="245"/>
      <c r="AA247" s="245"/>
      <c r="AB247" s="475"/>
      <c r="AC247" s="475"/>
      <c r="AD247" s="474"/>
      <c r="AE247" s="474"/>
      <c r="AF247" s="475"/>
      <c r="AG247" s="475"/>
      <c r="AH247" s="483"/>
      <c r="AI247" s="483"/>
      <c r="AJ247" s="252"/>
      <c r="AK247" s="252"/>
      <c r="AL247" s="485"/>
      <c r="AM247" s="485"/>
      <c r="AN247" s="485"/>
      <c r="AO247" s="475"/>
      <c r="AP247" s="475"/>
      <c r="AQ247" s="432" t="b">
        <v>0</v>
      </c>
      <c r="AR247" s="485"/>
      <c r="AS247" s="485"/>
      <c r="AT247" s="485"/>
      <c r="AU247" s="301"/>
      <c r="AV247" s="301"/>
      <c r="AW247" s="29"/>
      <c r="AX247" s="29"/>
      <c r="BB247" s="302"/>
      <c r="BC247" s="301"/>
      <c r="BD247" s="303"/>
      <c r="BE247" s="304"/>
      <c r="BF247" s="307"/>
      <c r="BG247" s="301"/>
      <c r="BH247" s="303"/>
      <c r="BI247" s="304"/>
      <c r="BK247" s="29"/>
      <c r="BL247" s="29"/>
      <c r="BQ247" s="308"/>
      <c r="BR247" s="308"/>
    </row>
    <row r="248" ht="12.75" spans="1:70">
      <c r="A248" s="29"/>
      <c r="B248" s="29"/>
      <c r="D248" s="29"/>
      <c r="F248" s="29" t="b">
        <v>0</v>
      </c>
      <c r="G248" s="29" t="b">
        <v>0</v>
      </c>
      <c r="H248" s="29" t="b">
        <v>0</v>
      </c>
      <c r="I248" s="29" t="b">
        <v>0</v>
      </c>
      <c r="J248" s="29" t="b">
        <v>0</v>
      </c>
      <c r="K248" s="29" t="b">
        <v>0</v>
      </c>
      <c r="L248" s="29" t="b">
        <v>0</v>
      </c>
      <c r="M248" s="432" t="b">
        <v>0</v>
      </c>
      <c r="N248" s="432" t="b">
        <v>0</v>
      </c>
      <c r="P248" s="29"/>
      <c r="Q248" s="448"/>
      <c r="R248" s="448"/>
      <c r="S248" s="448"/>
      <c r="T248" s="308"/>
      <c r="U248" s="540"/>
      <c r="V248" s="245"/>
      <c r="W248" s="245"/>
      <c r="X248" s="245"/>
      <c r="Y248" s="245"/>
      <c r="Z248" s="245"/>
      <c r="AA248" s="245"/>
      <c r="AB248" s="475"/>
      <c r="AC248" s="475"/>
      <c r="AD248" s="474"/>
      <c r="AE248" s="474"/>
      <c r="AF248" s="475"/>
      <c r="AG248" s="475"/>
      <c r="AH248" s="483"/>
      <c r="AI248" s="483"/>
      <c r="AJ248" s="252"/>
      <c r="AK248" s="252"/>
      <c r="AL248" s="485"/>
      <c r="AM248" s="485"/>
      <c r="AN248" s="485"/>
      <c r="AO248" s="475"/>
      <c r="AP248" s="475"/>
      <c r="AQ248" s="432" t="b">
        <v>0</v>
      </c>
      <c r="AR248" s="485"/>
      <c r="AS248" s="485"/>
      <c r="AT248" s="485"/>
      <c r="AU248" s="301"/>
      <c r="AV248" s="301"/>
      <c r="AW248" s="29"/>
      <c r="AX248" s="29"/>
      <c r="BB248" s="302"/>
      <c r="BC248" s="301"/>
      <c r="BD248" s="303"/>
      <c r="BE248" s="304"/>
      <c r="BF248" s="307"/>
      <c r="BG248" s="301"/>
      <c r="BH248" s="303"/>
      <c r="BI248" s="304"/>
      <c r="BK248" s="29"/>
      <c r="BL248" s="29"/>
      <c r="BQ248" s="308"/>
      <c r="BR248" s="308"/>
    </row>
    <row r="249" ht="12.75" spans="1:70">
      <c r="A249" s="29"/>
      <c r="B249" s="29"/>
      <c r="D249" s="29"/>
      <c r="F249" s="29" t="b">
        <v>0</v>
      </c>
      <c r="G249" s="29" t="b">
        <v>0</v>
      </c>
      <c r="H249" s="29" t="b">
        <v>0</v>
      </c>
      <c r="I249" s="29" t="b">
        <v>0</v>
      </c>
      <c r="J249" s="29" t="b">
        <v>0</v>
      </c>
      <c r="K249" s="29" t="b">
        <v>0</v>
      </c>
      <c r="L249" s="29" t="b">
        <v>0</v>
      </c>
      <c r="M249" s="432" t="b">
        <v>0</v>
      </c>
      <c r="N249" s="432" t="b">
        <v>0</v>
      </c>
      <c r="P249" s="29"/>
      <c r="Q249" s="448"/>
      <c r="R249" s="448"/>
      <c r="S249" s="448"/>
      <c r="T249" s="308"/>
      <c r="U249" s="540"/>
      <c r="V249" s="245"/>
      <c r="W249" s="245"/>
      <c r="X249" s="245"/>
      <c r="Y249" s="245"/>
      <c r="Z249" s="245"/>
      <c r="AA249" s="245"/>
      <c r="AB249" s="475"/>
      <c r="AC249" s="475"/>
      <c r="AD249" s="474"/>
      <c r="AE249" s="474"/>
      <c r="AF249" s="475"/>
      <c r="AG249" s="475"/>
      <c r="AH249" s="483"/>
      <c r="AI249" s="483"/>
      <c r="AJ249" s="252"/>
      <c r="AK249" s="252"/>
      <c r="AL249" s="485"/>
      <c r="AM249" s="485"/>
      <c r="AN249" s="485"/>
      <c r="AO249" s="475"/>
      <c r="AP249" s="475"/>
      <c r="AQ249" s="432" t="b">
        <v>0</v>
      </c>
      <c r="AR249" s="485"/>
      <c r="AS249" s="485"/>
      <c r="AT249" s="485"/>
      <c r="AU249" s="301"/>
      <c r="AV249" s="301"/>
      <c r="AW249" s="29"/>
      <c r="AX249" s="29"/>
      <c r="BB249" s="302"/>
      <c r="BC249" s="301"/>
      <c r="BD249" s="303"/>
      <c r="BE249" s="304"/>
      <c r="BF249" s="307"/>
      <c r="BG249" s="301"/>
      <c r="BH249" s="303"/>
      <c r="BI249" s="304"/>
      <c r="BK249" s="29"/>
      <c r="BL249" s="29"/>
      <c r="BQ249" s="308"/>
      <c r="BR249" s="308"/>
    </row>
    <row r="250" ht="12.75" spans="1:70">
      <c r="A250" s="29"/>
      <c r="B250" s="29"/>
      <c r="D250" s="29"/>
      <c r="F250" s="29" t="b">
        <v>0</v>
      </c>
      <c r="G250" s="29" t="b">
        <v>0</v>
      </c>
      <c r="H250" s="29" t="b">
        <v>0</v>
      </c>
      <c r="I250" s="29" t="b">
        <v>0</v>
      </c>
      <c r="J250" s="29" t="b">
        <v>0</v>
      </c>
      <c r="K250" s="29" t="b">
        <v>0</v>
      </c>
      <c r="L250" s="29" t="b">
        <v>0</v>
      </c>
      <c r="M250" s="432" t="b">
        <v>0</v>
      </c>
      <c r="N250" s="432" t="b">
        <v>0</v>
      </c>
      <c r="P250" s="29"/>
      <c r="Q250" s="448"/>
      <c r="R250" s="448"/>
      <c r="S250" s="448"/>
      <c r="T250" s="308"/>
      <c r="U250" s="540"/>
      <c r="V250" s="245"/>
      <c r="W250" s="245"/>
      <c r="X250" s="245"/>
      <c r="Y250" s="245"/>
      <c r="Z250" s="245"/>
      <c r="AA250" s="245"/>
      <c r="AB250" s="475"/>
      <c r="AC250" s="475"/>
      <c r="AD250" s="474"/>
      <c r="AE250" s="474"/>
      <c r="AF250" s="475"/>
      <c r="AG250" s="475"/>
      <c r="AH250" s="483"/>
      <c r="AI250" s="483"/>
      <c r="AJ250" s="252"/>
      <c r="AK250" s="252"/>
      <c r="AL250" s="485"/>
      <c r="AM250" s="485"/>
      <c r="AN250" s="485"/>
      <c r="AO250" s="475"/>
      <c r="AP250" s="475"/>
      <c r="AQ250" s="432" t="b">
        <v>0</v>
      </c>
      <c r="AR250" s="485"/>
      <c r="AS250" s="485"/>
      <c r="AT250" s="485"/>
      <c r="AU250" s="301"/>
      <c r="AV250" s="301"/>
      <c r="AW250" s="29"/>
      <c r="AX250" s="29"/>
      <c r="BB250" s="302"/>
      <c r="BC250" s="301"/>
      <c r="BD250" s="303"/>
      <c r="BE250" s="304"/>
      <c r="BF250" s="307"/>
      <c r="BG250" s="301"/>
      <c r="BH250" s="303"/>
      <c r="BI250" s="304"/>
      <c r="BK250" s="29"/>
      <c r="BL250" s="29"/>
      <c r="BQ250" s="308"/>
      <c r="BR250" s="308"/>
    </row>
    <row r="251" ht="12.75" spans="1:70">
      <c r="A251" s="29"/>
      <c r="B251" s="29"/>
      <c r="D251" s="29"/>
      <c r="F251" s="29" t="b">
        <v>0</v>
      </c>
      <c r="G251" s="29" t="b">
        <v>0</v>
      </c>
      <c r="H251" s="29" t="b">
        <v>0</v>
      </c>
      <c r="I251" s="29" t="b">
        <v>0</v>
      </c>
      <c r="J251" s="29" t="b">
        <v>0</v>
      </c>
      <c r="K251" s="29" t="b">
        <v>0</v>
      </c>
      <c r="L251" s="29" t="b">
        <v>0</v>
      </c>
      <c r="M251" s="432" t="b">
        <v>0</v>
      </c>
      <c r="N251" s="432" t="b">
        <v>0</v>
      </c>
      <c r="P251" s="29"/>
      <c r="Q251" s="448"/>
      <c r="R251" s="448"/>
      <c r="S251" s="448"/>
      <c r="T251" s="308"/>
      <c r="U251" s="540"/>
      <c r="V251" s="245"/>
      <c r="W251" s="245"/>
      <c r="X251" s="245"/>
      <c r="Y251" s="245"/>
      <c r="Z251" s="245"/>
      <c r="AA251" s="245"/>
      <c r="AB251" s="475"/>
      <c r="AC251" s="475"/>
      <c r="AD251" s="474"/>
      <c r="AE251" s="474"/>
      <c r="AF251" s="475"/>
      <c r="AG251" s="475"/>
      <c r="AH251" s="483"/>
      <c r="AI251" s="483"/>
      <c r="AJ251" s="252"/>
      <c r="AK251" s="252"/>
      <c r="AL251" s="485"/>
      <c r="AM251" s="485"/>
      <c r="AN251" s="485"/>
      <c r="AO251" s="475"/>
      <c r="AP251" s="475"/>
      <c r="AQ251" s="432" t="b">
        <v>0</v>
      </c>
      <c r="AR251" s="485"/>
      <c r="AS251" s="485"/>
      <c r="AT251" s="485"/>
      <c r="AU251" s="301"/>
      <c r="AV251" s="301"/>
      <c r="AW251" s="29"/>
      <c r="AX251" s="29"/>
      <c r="BB251" s="302"/>
      <c r="BC251" s="301"/>
      <c r="BD251" s="303"/>
      <c r="BE251" s="304"/>
      <c r="BF251" s="307"/>
      <c r="BG251" s="301"/>
      <c r="BH251" s="303"/>
      <c r="BI251" s="304"/>
      <c r="BK251" s="29"/>
      <c r="BL251" s="29"/>
      <c r="BQ251" s="308"/>
      <c r="BR251" s="308"/>
    </row>
    <row r="252" ht="12.75" spans="1:70">
      <c r="A252" s="29"/>
      <c r="B252" s="29"/>
      <c r="D252" s="29"/>
      <c r="F252" s="29" t="b">
        <v>0</v>
      </c>
      <c r="G252" s="29" t="b">
        <v>0</v>
      </c>
      <c r="H252" s="29" t="b">
        <v>0</v>
      </c>
      <c r="I252" s="29" t="b">
        <v>0</v>
      </c>
      <c r="J252" s="29" t="b">
        <v>0</v>
      </c>
      <c r="K252" s="29" t="b">
        <v>0</v>
      </c>
      <c r="L252" s="29" t="b">
        <v>0</v>
      </c>
      <c r="M252" s="432" t="b">
        <v>0</v>
      </c>
      <c r="N252" s="432" t="b">
        <v>0</v>
      </c>
      <c r="P252" s="29"/>
      <c r="Q252" s="448"/>
      <c r="R252" s="448"/>
      <c r="S252" s="448"/>
      <c r="T252" s="308"/>
      <c r="U252" s="540"/>
      <c r="V252" s="245"/>
      <c r="W252" s="245"/>
      <c r="X252" s="245"/>
      <c r="Y252" s="245"/>
      <c r="Z252" s="245"/>
      <c r="AA252" s="245"/>
      <c r="AB252" s="475"/>
      <c r="AC252" s="475"/>
      <c r="AD252" s="474"/>
      <c r="AE252" s="474"/>
      <c r="AF252" s="475"/>
      <c r="AG252" s="475"/>
      <c r="AH252" s="483"/>
      <c r="AI252" s="483"/>
      <c r="AJ252" s="252"/>
      <c r="AK252" s="252"/>
      <c r="AL252" s="485"/>
      <c r="AM252" s="485"/>
      <c r="AN252" s="485"/>
      <c r="AO252" s="475"/>
      <c r="AP252" s="475"/>
      <c r="AQ252" s="432" t="b">
        <v>0</v>
      </c>
      <c r="AR252" s="485"/>
      <c r="AS252" s="485"/>
      <c r="AT252" s="485"/>
      <c r="AU252" s="301"/>
      <c r="AV252" s="301"/>
      <c r="AW252" s="29"/>
      <c r="AX252" s="29"/>
      <c r="BB252" s="302"/>
      <c r="BC252" s="301"/>
      <c r="BD252" s="303"/>
      <c r="BE252" s="304"/>
      <c r="BF252" s="307"/>
      <c r="BG252" s="301"/>
      <c r="BH252" s="303"/>
      <c r="BI252" s="304"/>
      <c r="BK252" s="29"/>
      <c r="BL252" s="29"/>
      <c r="BQ252" s="308"/>
      <c r="BR252" s="308"/>
    </row>
    <row r="253" ht="12.75" spans="1:70">
      <c r="A253" s="29"/>
      <c r="B253" s="29"/>
      <c r="D253" s="29"/>
      <c r="F253" s="29" t="b">
        <v>0</v>
      </c>
      <c r="G253" s="29" t="b">
        <v>0</v>
      </c>
      <c r="H253" s="29" t="b">
        <v>0</v>
      </c>
      <c r="I253" s="29" t="b">
        <v>0</v>
      </c>
      <c r="J253" s="29" t="b">
        <v>0</v>
      </c>
      <c r="K253" s="29" t="b">
        <v>0</v>
      </c>
      <c r="L253" s="29" t="b">
        <v>0</v>
      </c>
      <c r="M253" s="432" t="b">
        <v>0</v>
      </c>
      <c r="N253" s="432" t="b">
        <v>0</v>
      </c>
      <c r="P253" s="29"/>
      <c r="Q253" s="448"/>
      <c r="R253" s="448"/>
      <c r="S253" s="448"/>
      <c r="T253" s="308"/>
      <c r="U253" s="540"/>
      <c r="V253" s="245"/>
      <c r="W253" s="245"/>
      <c r="X253" s="245"/>
      <c r="Y253" s="245"/>
      <c r="Z253" s="245"/>
      <c r="AA253" s="245"/>
      <c r="AB253" s="475"/>
      <c r="AC253" s="475"/>
      <c r="AD253" s="474"/>
      <c r="AE253" s="474"/>
      <c r="AF253" s="475"/>
      <c r="AG253" s="475"/>
      <c r="AH253" s="483"/>
      <c r="AI253" s="483"/>
      <c r="AJ253" s="252"/>
      <c r="AK253" s="252"/>
      <c r="AL253" s="485"/>
      <c r="AM253" s="485"/>
      <c r="AN253" s="485"/>
      <c r="AO253" s="475"/>
      <c r="AP253" s="475"/>
      <c r="AQ253" s="432" t="b">
        <v>0</v>
      </c>
      <c r="AR253" s="485"/>
      <c r="AS253" s="485"/>
      <c r="AT253" s="485"/>
      <c r="AU253" s="301"/>
      <c r="AV253" s="301"/>
      <c r="AW253" s="29"/>
      <c r="AX253" s="29"/>
      <c r="BB253" s="302"/>
      <c r="BC253" s="301"/>
      <c r="BD253" s="303"/>
      <c r="BE253" s="304"/>
      <c r="BF253" s="307"/>
      <c r="BG253" s="301"/>
      <c r="BH253" s="303"/>
      <c r="BI253" s="304"/>
      <c r="BK253" s="29"/>
      <c r="BL253" s="29"/>
      <c r="BQ253" s="308"/>
      <c r="BR253" s="308"/>
    </row>
    <row r="254" ht="12.75" spans="1:70">
      <c r="A254" s="29"/>
      <c r="B254" s="29"/>
      <c r="D254" s="29"/>
      <c r="F254" s="29" t="b">
        <v>0</v>
      </c>
      <c r="G254" s="29" t="b">
        <v>0</v>
      </c>
      <c r="H254" s="29" t="b">
        <v>0</v>
      </c>
      <c r="I254" s="29" t="b">
        <v>0</v>
      </c>
      <c r="J254" s="29" t="b">
        <v>0</v>
      </c>
      <c r="K254" s="29" t="b">
        <v>0</v>
      </c>
      <c r="L254" s="29" t="b">
        <v>0</v>
      </c>
      <c r="M254" s="432" t="b">
        <v>0</v>
      </c>
      <c r="N254" s="432" t="b">
        <v>0</v>
      </c>
      <c r="P254" s="29"/>
      <c r="Q254" s="448"/>
      <c r="R254" s="448"/>
      <c r="S254" s="448"/>
      <c r="T254" s="308"/>
      <c r="U254" s="540"/>
      <c r="V254" s="245"/>
      <c r="W254" s="245"/>
      <c r="X254" s="245"/>
      <c r="Y254" s="245"/>
      <c r="Z254" s="245"/>
      <c r="AA254" s="245"/>
      <c r="AB254" s="475"/>
      <c r="AC254" s="475"/>
      <c r="AD254" s="474"/>
      <c r="AE254" s="474"/>
      <c r="AF254" s="475"/>
      <c r="AG254" s="475"/>
      <c r="AH254" s="483"/>
      <c r="AI254" s="483"/>
      <c r="AJ254" s="252"/>
      <c r="AK254" s="252"/>
      <c r="AL254" s="485"/>
      <c r="AM254" s="485"/>
      <c r="AN254" s="485"/>
      <c r="AO254" s="475"/>
      <c r="AP254" s="475"/>
      <c r="AQ254" s="432" t="b">
        <v>0</v>
      </c>
      <c r="AR254" s="485"/>
      <c r="AS254" s="485"/>
      <c r="AT254" s="485"/>
      <c r="AU254" s="301"/>
      <c r="AV254" s="301"/>
      <c r="AW254" s="29"/>
      <c r="AX254" s="29"/>
      <c r="BB254" s="302"/>
      <c r="BC254" s="301"/>
      <c r="BD254" s="303"/>
      <c r="BE254" s="304"/>
      <c r="BF254" s="307"/>
      <c r="BG254" s="301"/>
      <c r="BH254" s="303"/>
      <c r="BI254" s="304"/>
      <c r="BK254" s="29"/>
      <c r="BL254" s="29"/>
      <c r="BQ254" s="308"/>
      <c r="BR254" s="308"/>
    </row>
    <row r="255" ht="12.75" spans="1:70">
      <c r="A255" s="29"/>
      <c r="B255" s="29"/>
      <c r="D255" s="29"/>
      <c r="F255" s="29" t="b">
        <v>0</v>
      </c>
      <c r="G255" s="29" t="b">
        <v>0</v>
      </c>
      <c r="H255" s="29" t="b">
        <v>0</v>
      </c>
      <c r="I255" s="29" t="b">
        <v>0</v>
      </c>
      <c r="J255" s="29" t="b">
        <v>0</v>
      </c>
      <c r="K255" s="29" t="b">
        <v>0</v>
      </c>
      <c r="L255" s="29" t="b">
        <v>0</v>
      </c>
      <c r="M255" s="432" t="b">
        <v>0</v>
      </c>
      <c r="N255" s="432" t="b">
        <v>0</v>
      </c>
      <c r="P255" s="29"/>
      <c r="Q255" s="448"/>
      <c r="R255" s="448"/>
      <c r="S255" s="448"/>
      <c r="T255" s="308"/>
      <c r="U255" s="540"/>
      <c r="V255" s="245"/>
      <c r="W255" s="245"/>
      <c r="X255" s="245"/>
      <c r="Y255" s="245"/>
      <c r="Z255" s="245"/>
      <c r="AA255" s="245"/>
      <c r="AB255" s="475"/>
      <c r="AC255" s="475"/>
      <c r="AD255" s="474"/>
      <c r="AE255" s="474"/>
      <c r="AF255" s="475"/>
      <c r="AG255" s="475"/>
      <c r="AH255" s="483"/>
      <c r="AI255" s="483"/>
      <c r="AJ255" s="252"/>
      <c r="AK255" s="252"/>
      <c r="AL255" s="485"/>
      <c r="AM255" s="485"/>
      <c r="AN255" s="485"/>
      <c r="AO255" s="475"/>
      <c r="AP255" s="475"/>
      <c r="AQ255" s="432" t="b">
        <v>0</v>
      </c>
      <c r="AR255" s="485"/>
      <c r="AS255" s="485"/>
      <c r="AT255" s="485"/>
      <c r="AU255" s="301"/>
      <c r="AV255" s="301"/>
      <c r="AW255" s="29"/>
      <c r="AX255" s="29"/>
      <c r="BB255" s="302"/>
      <c r="BC255" s="301"/>
      <c r="BD255" s="303"/>
      <c r="BE255" s="304"/>
      <c r="BF255" s="307"/>
      <c r="BG255" s="301"/>
      <c r="BH255" s="303"/>
      <c r="BI255" s="304"/>
      <c r="BK255" s="29"/>
      <c r="BL255" s="29"/>
      <c r="BQ255" s="308"/>
      <c r="BR255" s="308"/>
    </row>
    <row r="256" ht="12.75" spans="1:70">
      <c r="A256" s="29"/>
      <c r="B256" s="29"/>
      <c r="D256" s="29"/>
      <c r="F256" s="29" t="b">
        <v>0</v>
      </c>
      <c r="G256" s="29" t="b">
        <v>0</v>
      </c>
      <c r="H256" s="29" t="b">
        <v>0</v>
      </c>
      <c r="I256" s="29" t="b">
        <v>0</v>
      </c>
      <c r="J256" s="29" t="b">
        <v>0</v>
      </c>
      <c r="K256" s="29" t="b">
        <v>0</v>
      </c>
      <c r="L256" s="29" t="b">
        <v>0</v>
      </c>
      <c r="M256" s="432" t="b">
        <v>0</v>
      </c>
      <c r="N256" s="432" t="b">
        <v>0</v>
      </c>
      <c r="P256" s="29"/>
      <c r="Q256" s="448"/>
      <c r="R256" s="448"/>
      <c r="S256" s="448"/>
      <c r="T256" s="308"/>
      <c r="U256" s="540"/>
      <c r="V256" s="245"/>
      <c r="W256" s="245"/>
      <c r="X256" s="245"/>
      <c r="Y256" s="245"/>
      <c r="Z256" s="245"/>
      <c r="AA256" s="245"/>
      <c r="AB256" s="475"/>
      <c r="AC256" s="475"/>
      <c r="AD256" s="474"/>
      <c r="AE256" s="474"/>
      <c r="AF256" s="475"/>
      <c r="AG256" s="475"/>
      <c r="AH256" s="483"/>
      <c r="AI256" s="483"/>
      <c r="AJ256" s="252"/>
      <c r="AK256" s="252"/>
      <c r="AL256" s="485"/>
      <c r="AM256" s="485"/>
      <c r="AN256" s="485"/>
      <c r="AO256" s="475"/>
      <c r="AP256" s="475"/>
      <c r="AQ256" s="432" t="b">
        <v>0</v>
      </c>
      <c r="AR256" s="485"/>
      <c r="AS256" s="485"/>
      <c r="AT256" s="485"/>
      <c r="AU256" s="301"/>
      <c r="AV256" s="301"/>
      <c r="AW256" s="29"/>
      <c r="AX256" s="29"/>
      <c r="BB256" s="302"/>
      <c r="BC256" s="301"/>
      <c r="BD256" s="303"/>
      <c r="BE256" s="304"/>
      <c r="BF256" s="307"/>
      <c r="BG256" s="301"/>
      <c r="BH256" s="303"/>
      <c r="BI256" s="304"/>
      <c r="BK256" s="29"/>
      <c r="BL256" s="29"/>
      <c r="BQ256" s="308"/>
      <c r="BR256" s="308"/>
    </row>
    <row r="257" ht="12.75" spans="1:70">
      <c r="A257" s="29"/>
      <c r="B257" s="29"/>
      <c r="D257" s="29"/>
      <c r="F257" s="29" t="b">
        <v>0</v>
      </c>
      <c r="G257" s="29" t="b">
        <v>0</v>
      </c>
      <c r="H257" s="29" t="b">
        <v>0</v>
      </c>
      <c r="I257" s="29" t="b">
        <v>0</v>
      </c>
      <c r="J257" s="29" t="b">
        <v>0</v>
      </c>
      <c r="K257" s="29" t="b">
        <v>0</v>
      </c>
      <c r="L257" s="29" t="b">
        <v>0</v>
      </c>
      <c r="M257" s="432" t="b">
        <v>0</v>
      </c>
      <c r="N257" s="432" t="b">
        <v>0</v>
      </c>
      <c r="P257" s="29"/>
      <c r="Q257" s="448"/>
      <c r="R257" s="448"/>
      <c r="S257" s="448"/>
      <c r="T257" s="308"/>
      <c r="U257" s="540"/>
      <c r="V257" s="245"/>
      <c r="W257" s="245"/>
      <c r="X257" s="245"/>
      <c r="Y257" s="245"/>
      <c r="Z257" s="245"/>
      <c r="AA257" s="245"/>
      <c r="AB257" s="475"/>
      <c r="AC257" s="475"/>
      <c r="AD257" s="474"/>
      <c r="AE257" s="474"/>
      <c r="AF257" s="475"/>
      <c r="AG257" s="475"/>
      <c r="AH257" s="483"/>
      <c r="AI257" s="483"/>
      <c r="AJ257" s="252"/>
      <c r="AK257" s="252"/>
      <c r="AL257" s="485"/>
      <c r="AM257" s="485"/>
      <c r="AN257" s="485"/>
      <c r="AO257" s="475"/>
      <c r="AP257" s="475"/>
      <c r="AQ257" s="432" t="b">
        <v>0</v>
      </c>
      <c r="AR257" s="485"/>
      <c r="AS257" s="485"/>
      <c r="AT257" s="485"/>
      <c r="AU257" s="301"/>
      <c r="AV257" s="301"/>
      <c r="AW257" s="29"/>
      <c r="AX257" s="29"/>
      <c r="BB257" s="302"/>
      <c r="BC257" s="301"/>
      <c r="BD257" s="303"/>
      <c r="BE257" s="304"/>
      <c r="BF257" s="307"/>
      <c r="BG257" s="301"/>
      <c r="BH257" s="303"/>
      <c r="BI257" s="304"/>
      <c r="BK257" s="29"/>
      <c r="BL257" s="29"/>
      <c r="BQ257" s="308"/>
      <c r="BR257" s="308"/>
    </row>
    <row r="258" ht="12.75" spans="1:70">
      <c r="A258" s="29"/>
      <c r="B258" s="29"/>
      <c r="D258" s="29"/>
      <c r="F258" s="29" t="b">
        <v>0</v>
      </c>
      <c r="G258" s="29" t="b">
        <v>0</v>
      </c>
      <c r="H258" s="29" t="b">
        <v>0</v>
      </c>
      <c r="I258" s="29" t="b">
        <v>0</v>
      </c>
      <c r="J258" s="29" t="b">
        <v>0</v>
      </c>
      <c r="K258" s="29" t="b">
        <v>0</v>
      </c>
      <c r="L258" s="29" t="b">
        <v>0</v>
      </c>
      <c r="M258" s="432" t="b">
        <v>0</v>
      </c>
      <c r="N258" s="432" t="b">
        <v>0</v>
      </c>
      <c r="P258" s="29"/>
      <c r="Q258" s="448"/>
      <c r="R258" s="448"/>
      <c r="S258" s="448"/>
      <c r="T258" s="308"/>
      <c r="U258" s="540"/>
      <c r="V258" s="245"/>
      <c r="W258" s="245"/>
      <c r="X258" s="245"/>
      <c r="Y258" s="245"/>
      <c r="Z258" s="245"/>
      <c r="AA258" s="245"/>
      <c r="AB258" s="475"/>
      <c r="AC258" s="475"/>
      <c r="AD258" s="474"/>
      <c r="AE258" s="474"/>
      <c r="AF258" s="475"/>
      <c r="AG258" s="475"/>
      <c r="AH258" s="483"/>
      <c r="AI258" s="483"/>
      <c r="AJ258" s="252"/>
      <c r="AK258" s="252"/>
      <c r="AL258" s="485"/>
      <c r="AM258" s="485"/>
      <c r="AN258" s="485"/>
      <c r="AO258" s="475"/>
      <c r="AP258" s="475"/>
      <c r="AQ258" s="432" t="b">
        <v>0</v>
      </c>
      <c r="AR258" s="485"/>
      <c r="AS258" s="485"/>
      <c r="AT258" s="485"/>
      <c r="AU258" s="301"/>
      <c r="AV258" s="301"/>
      <c r="AW258" s="29"/>
      <c r="AX258" s="29"/>
      <c r="BB258" s="302"/>
      <c r="BC258" s="301"/>
      <c r="BD258" s="303"/>
      <c r="BE258" s="304"/>
      <c r="BF258" s="307"/>
      <c r="BG258" s="301"/>
      <c r="BH258" s="303"/>
      <c r="BI258" s="304"/>
      <c r="BK258" s="29"/>
      <c r="BL258" s="29"/>
      <c r="BQ258" s="308"/>
      <c r="BR258" s="308"/>
    </row>
    <row r="259" ht="12.75" spans="1:70">
      <c r="A259" s="29"/>
      <c r="B259" s="29"/>
      <c r="D259" s="29"/>
      <c r="F259" s="29" t="b">
        <v>0</v>
      </c>
      <c r="G259" s="29" t="b">
        <v>0</v>
      </c>
      <c r="H259" s="29" t="b">
        <v>0</v>
      </c>
      <c r="I259" s="29" t="b">
        <v>0</v>
      </c>
      <c r="J259" s="29" t="b">
        <v>0</v>
      </c>
      <c r="K259" s="29" t="b">
        <v>0</v>
      </c>
      <c r="L259" s="29" t="b">
        <v>0</v>
      </c>
      <c r="M259" s="432" t="b">
        <v>0</v>
      </c>
      <c r="N259" s="432" t="b">
        <v>0</v>
      </c>
      <c r="P259" s="29"/>
      <c r="Q259" s="448"/>
      <c r="R259" s="448"/>
      <c r="S259" s="448"/>
      <c r="T259" s="308"/>
      <c r="U259" s="540"/>
      <c r="V259" s="245"/>
      <c r="W259" s="245"/>
      <c r="X259" s="245"/>
      <c r="Y259" s="245"/>
      <c r="Z259" s="245"/>
      <c r="AA259" s="245"/>
      <c r="AB259" s="475"/>
      <c r="AC259" s="475"/>
      <c r="AD259" s="474"/>
      <c r="AE259" s="474"/>
      <c r="AF259" s="475"/>
      <c r="AG259" s="475"/>
      <c r="AH259" s="483"/>
      <c r="AI259" s="483"/>
      <c r="AJ259" s="252"/>
      <c r="AK259" s="252"/>
      <c r="AL259" s="485"/>
      <c r="AM259" s="485"/>
      <c r="AN259" s="485"/>
      <c r="AO259" s="475"/>
      <c r="AP259" s="475"/>
      <c r="AQ259" s="432" t="b">
        <v>0</v>
      </c>
      <c r="AR259" s="485"/>
      <c r="AS259" s="485"/>
      <c r="AT259" s="485"/>
      <c r="AU259" s="301"/>
      <c r="AV259" s="301"/>
      <c r="AW259" s="29"/>
      <c r="AX259" s="29"/>
      <c r="BB259" s="302"/>
      <c r="BC259" s="301"/>
      <c r="BD259" s="303"/>
      <c r="BE259" s="304"/>
      <c r="BF259" s="307"/>
      <c r="BG259" s="301"/>
      <c r="BH259" s="303"/>
      <c r="BI259" s="304"/>
      <c r="BK259" s="29"/>
      <c r="BL259" s="29"/>
      <c r="BQ259" s="308"/>
      <c r="BR259" s="308"/>
    </row>
    <row r="260" ht="12.75" spans="1:70">
      <c r="A260" s="29"/>
      <c r="B260" s="29"/>
      <c r="D260" s="29"/>
      <c r="F260" s="29" t="b">
        <v>0</v>
      </c>
      <c r="G260" s="29" t="b">
        <v>0</v>
      </c>
      <c r="H260" s="29" t="b">
        <v>0</v>
      </c>
      <c r="I260" s="29" t="b">
        <v>0</v>
      </c>
      <c r="J260" s="29" t="b">
        <v>0</v>
      </c>
      <c r="K260" s="29" t="b">
        <v>0</v>
      </c>
      <c r="L260" s="29" t="b">
        <v>0</v>
      </c>
      <c r="M260" s="432" t="b">
        <v>0</v>
      </c>
      <c r="N260" s="432" t="b">
        <v>0</v>
      </c>
      <c r="P260" s="29"/>
      <c r="Q260" s="448"/>
      <c r="R260" s="448"/>
      <c r="S260" s="448"/>
      <c r="T260" s="308"/>
      <c r="U260" s="540"/>
      <c r="V260" s="245"/>
      <c r="W260" s="245"/>
      <c r="X260" s="245"/>
      <c r="Y260" s="245"/>
      <c r="Z260" s="245"/>
      <c r="AA260" s="245"/>
      <c r="AB260" s="475"/>
      <c r="AC260" s="475"/>
      <c r="AD260" s="474"/>
      <c r="AE260" s="474"/>
      <c r="AF260" s="475"/>
      <c r="AG260" s="475"/>
      <c r="AH260" s="483"/>
      <c r="AI260" s="483"/>
      <c r="AJ260" s="252"/>
      <c r="AK260" s="252"/>
      <c r="AL260" s="485"/>
      <c r="AM260" s="485"/>
      <c r="AN260" s="485"/>
      <c r="AO260" s="475"/>
      <c r="AP260" s="475"/>
      <c r="AQ260" s="432" t="b">
        <v>0</v>
      </c>
      <c r="AR260" s="485"/>
      <c r="AS260" s="485"/>
      <c r="AT260" s="485"/>
      <c r="AU260" s="301"/>
      <c r="AV260" s="301"/>
      <c r="AW260" s="29"/>
      <c r="AX260" s="29"/>
      <c r="BB260" s="302"/>
      <c r="BC260" s="301"/>
      <c r="BD260" s="303"/>
      <c r="BE260" s="304"/>
      <c r="BF260" s="307"/>
      <c r="BG260" s="301"/>
      <c r="BH260" s="303"/>
      <c r="BI260" s="304"/>
      <c r="BK260" s="29"/>
      <c r="BL260" s="29"/>
      <c r="BQ260" s="308"/>
      <c r="BR260" s="308"/>
    </row>
    <row r="261" ht="12.75" spans="1:70">
      <c r="A261" s="29"/>
      <c r="B261" s="29"/>
      <c r="D261" s="29"/>
      <c r="F261" s="29" t="b">
        <v>0</v>
      </c>
      <c r="G261" s="29" t="b">
        <v>0</v>
      </c>
      <c r="H261" s="29" t="b">
        <v>0</v>
      </c>
      <c r="I261" s="29" t="b">
        <v>0</v>
      </c>
      <c r="J261" s="29" t="b">
        <v>0</v>
      </c>
      <c r="K261" s="29" t="b">
        <v>0</v>
      </c>
      <c r="L261" s="29" t="b">
        <v>0</v>
      </c>
      <c r="M261" s="432" t="b">
        <v>0</v>
      </c>
      <c r="N261" s="432" t="b">
        <v>0</v>
      </c>
      <c r="P261" s="29"/>
      <c r="Q261" s="448"/>
      <c r="R261" s="448"/>
      <c r="S261" s="448"/>
      <c r="T261" s="308"/>
      <c r="U261" s="540"/>
      <c r="V261" s="245"/>
      <c r="W261" s="245"/>
      <c r="X261" s="245"/>
      <c r="Y261" s="245"/>
      <c r="Z261" s="245"/>
      <c r="AA261" s="245"/>
      <c r="AB261" s="475"/>
      <c r="AC261" s="475"/>
      <c r="AD261" s="474"/>
      <c r="AE261" s="474"/>
      <c r="AF261" s="475"/>
      <c r="AG261" s="475"/>
      <c r="AH261" s="483"/>
      <c r="AI261" s="483"/>
      <c r="AJ261" s="252"/>
      <c r="AK261" s="252"/>
      <c r="AL261" s="485"/>
      <c r="AM261" s="485"/>
      <c r="AN261" s="485"/>
      <c r="AO261" s="475"/>
      <c r="AP261" s="475"/>
      <c r="AQ261" s="432" t="b">
        <v>0</v>
      </c>
      <c r="AR261" s="485"/>
      <c r="AS261" s="485"/>
      <c r="AT261" s="485"/>
      <c r="AU261" s="301"/>
      <c r="AV261" s="301"/>
      <c r="AW261" s="29"/>
      <c r="AX261" s="29"/>
      <c r="BB261" s="302"/>
      <c r="BC261" s="301"/>
      <c r="BD261" s="303"/>
      <c r="BE261" s="304"/>
      <c r="BF261" s="307"/>
      <c r="BG261" s="301"/>
      <c r="BH261" s="303"/>
      <c r="BI261" s="304"/>
      <c r="BK261" s="29"/>
      <c r="BL261" s="29"/>
      <c r="BQ261" s="308"/>
      <c r="BR261" s="308"/>
    </row>
    <row r="262" ht="12.75" spans="1:70">
      <c r="A262" s="29"/>
      <c r="B262" s="29"/>
      <c r="D262" s="29"/>
      <c r="F262" s="29" t="b">
        <v>0</v>
      </c>
      <c r="G262" s="29" t="b">
        <v>0</v>
      </c>
      <c r="H262" s="29" t="b">
        <v>0</v>
      </c>
      <c r="I262" s="29" t="b">
        <v>0</v>
      </c>
      <c r="J262" s="29" t="b">
        <v>0</v>
      </c>
      <c r="K262" s="29" t="b">
        <v>0</v>
      </c>
      <c r="L262" s="29" t="b">
        <v>0</v>
      </c>
      <c r="M262" s="432" t="b">
        <v>0</v>
      </c>
      <c r="N262" s="432" t="b">
        <v>0</v>
      </c>
      <c r="P262" s="29"/>
      <c r="Q262" s="448"/>
      <c r="R262" s="448"/>
      <c r="S262" s="448"/>
      <c r="T262" s="308"/>
      <c r="U262" s="540"/>
      <c r="V262" s="245"/>
      <c r="W262" s="245"/>
      <c r="X262" s="245"/>
      <c r="Y262" s="245"/>
      <c r="Z262" s="245"/>
      <c r="AA262" s="245"/>
      <c r="AB262" s="475"/>
      <c r="AC262" s="475"/>
      <c r="AD262" s="474"/>
      <c r="AE262" s="474"/>
      <c r="AF262" s="475"/>
      <c r="AG262" s="475"/>
      <c r="AH262" s="483"/>
      <c r="AI262" s="483"/>
      <c r="AJ262" s="252"/>
      <c r="AK262" s="252"/>
      <c r="AL262" s="485"/>
      <c r="AM262" s="485"/>
      <c r="AN262" s="485"/>
      <c r="AO262" s="475"/>
      <c r="AP262" s="475"/>
      <c r="AQ262" s="432" t="b">
        <v>0</v>
      </c>
      <c r="AR262" s="485"/>
      <c r="AS262" s="485"/>
      <c r="AT262" s="485"/>
      <c r="AU262" s="301"/>
      <c r="AV262" s="301"/>
      <c r="AW262" s="29"/>
      <c r="AX262" s="29"/>
      <c r="BB262" s="302"/>
      <c r="BC262" s="301"/>
      <c r="BD262" s="303"/>
      <c r="BE262" s="304"/>
      <c r="BF262" s="307"/>
      <c r="BG262" s="301"/>
      <c r="BH262" s="303"/>
      <c r="BI262" s="304"/>
      <c r="BK262" s="29"/>
      <c r="BL262" s="29"/>
      <c r="BQ262" s="308"/>
      <c r="BR262" s="308"/>
    </row>
    <row r="263" ht="12.75" spans="1:70">
      <c r="A263" s="29"/>
      <c r="B263" s="29"/>
      <c r="D263" s="29"/>
      <c r="F263" s="29" t="b">
        <v>0</v>
      </c>
      <c r="G263" s="29" t="b">
        <v>0</v>
      </c>
      <c r="H263" s="29" t="b">
        <v>0</v>
      </c>
      <c r="I263" s="29" t="b">
        <v>0</v>
      </c>
      <c r="J263" s="29" t="b">
        <v>0</v>
      </c>
      <c r="K263" s="29" t="b">
        <v>0</v>
      </c>
      <c r="L263" s="29" t="b">
        <v>0</v>
      </c>
      <c r="M263" s="432" t="b">
        <v>0</v>
      </c>
      <c r="N263" s="432" t="b">
        <v>0</v>
      </c>
      <c r="P263" s="29"/>
      <c r="Q263" s="448"/>
      <c r="R263" s="448"/>
      <c r="S263" s="448"/>
      <c r="T263" s="308"/>
      <c r="U263" s="540"/>
      <c r="V263" s="245"/>
      <c r="W263" s="245"/>
      <c r="X263" s="245"/>
      <c r="Y263" s="245"/>
      <c r="Z263" s="245"/>
      <c r="AA263" s="245"/>
      <c r="AB263" s="475"/>
      <c r="AC263" s="475"/>
      <c r="AD263" s="474"/>
      <c r="AE263" s="474"/>
      <c r="AF263" s="475"/>
      <c r="AG263" s="475"/>
      <c r="AH263" s="483"/>
      <c r="AI263" s="483"/>
      <c r="AJ263" s="252"/>
      <c r="AK263" s="252"/>
      <c r="AL263" s="485"/>
      <c r="AM263" s="485"/>
      <c r="AN263" s="485"/>
      <c r="AO263" s="475"/>
      <c r="AP263" s="475"/>
      <c r="AQ263" s="432" t="b">
        <v>0</v>
      </c>
      <c r="AR263" s="485"/>
      <c r="AS263" s="485"/>
      <c r="AT263" s="485"/>
      <c r="AU263" s="301"/>
      <c r="AV263" s="301"/>
      <c r="AW263" s="29"/>
      <c r="AX263" s="29"/>
      <c r="BB263" s="302"/>
      <c r="BC263" s="301"/>
      <c r="BD263" s="303"/>
      <c r="BE263" s="304"/>
      <c r="BF263" s="307"/>
      <c r="BG263" s="301"/>
      <c r="BH263" s="303"/>
      <c r="BI263" s="304"/>
      <c r="BK263" s="29"/>
      <c r="BL263" s="29"/>
      <c r="BQ263" s="308"/>
      <c r="BR263" s="308"/>
    </row>
    <row r="264" ht="12.75" spans="1:70">
      <c r="A264" s="29"/>
      <c r="B264" s="29"/>
      <c r="D264" s="29"/>
      <c r="F264" s="29" t="b">
        <v>0</v>
      </c>
      <c r="G264" s="29" t="b">
        <v>0</v>
      </c>
      <c r="H264" s="29" t="b">
        <v>0</v>
      </c>
      <c r="I264" s="29" t="b">
        <v>0</v>
      </c>
      <c r="J264" s="29" t="b">
        <v>0</v>
      </c>
      <c r="K264" s="29" t="b">
        <v>0</v>
      </c>
      <c r="L264" s="29" t="b">
        <v>0</v>
      </c>
      <c r="M264" s="432" t="b">
        <v>0</v>
      </c>
      <c r="N264" s="432" t="b">
        <v>0</v>
      </c>
      <c r="P264" s="29"/>
      <c r="Q264" s="448"/>
      <c r="R264" s="448"/>
      <c r="S264" s="448"/>
      <c r="T264" s="308"/>
      <c r="U264" s="540"/>
      <c r="V264" s="245"/>
      <c r="W264" s="245"/>
      <c r="X264" s="245"/>
      <c r="Y264" s="245"/>
      <c r="Z264" s="245"/>
      <c r="AA264" s="245"/>
      <c r="AB264" s="475"/>
      <c r="AC264" s="475"/>
      <c r="AD264" s="474"/>
      <c r="AE264" s="474"/>
      <c r="AF264" s="475"/>
      <c r="AG264" s="475"/>
      <c r="AH264" s="483"/>
      <c r="AI264" s="483"/>
      <c r="AJ264" s="252"/>
      <c r="AK264" s="252"/>
      <c r="AL264" s="485"/>
      <c r="AM264" s="485"/>
      <c r="AN264" s="485"/>
      <c r="AO264" s="475"/>
      <c r="AP264" s="475"/>
      <c r="AQ264" s="432" t="b">
        <v>0</v>
      </c>
      <c r="AR264" s="485"/>
      <c r="AS264" s="485"/>
      <c r="AT264" s="485"/>
      <c r="AU264" s="301"/>
      <c r="AV264" s="301"/>
      <c r="AW264" s="29"/>
      <c r="AX264" s="29"/>
      <c r="BB264" s="302"/>
      <c r="BC264" s="301"/>
      <c r="BD264" s="303"/>
      <c r="BE264" s="304"/>
      <c r="BF264" s="307"/>
      <c r="BG264" s="301"/>
      <c r="BH264" s="303"/>
      <c r="BI264" s="304"/>
      <c r="BK264" s="29"/>
      <c r="BL264" s="29"/>
      <c r="BQ264" s="308"/>
      <c r="BR264" s="308"/>
    </row>
    <row r="265" ht="12.75" spans="1:70">
      <c r="A265" s="29"/>
      <c r="B265" s="29"/>
      <c r="D265" s="29"/>
      <c r="F265" s="29" t="b">
        <v>0</v>
      </c>
      <c r="G265" s="29" t="b">
        <v>0</v>
      </c>
      <c r="H265" s="29" t="b">
        <v>0</v>
      </c>
      <c r="I265" s="29" t="b">
        <v>0</v>
      </c>
      <c r="J265" s="29" t="b">
        <v>0</v>
      </c>
      <c r="K265" s="29" t="b">
        <v>0</v>
      </c>
      <c r="L265" s="29" t="b">
        <v>0</v>
      </c>
      <c r="M265" s="432" t="b">
        <v>0</v>
      </c>
      <c r="N265" s="432" t="b">
        <v>0</v>
      </c>
      <c r="P265" s="29"/>
      <c r="Q265" s="448"/>
      <c r="R265" s="448"/>
      <c r="S265" s="448"/>
      <c r="T265" s="308"/>
      <c r="U265" s="540"/>
      <c r="V265" s="245"/>
      <c r="W265" s="245"/>
      <c r="X265" s="245"/>
      <c r="Y265" s="245"/>
      <c r="Z265" s="245"/>
      <c r="AA265" s="245"/>
      <c r="AB265" s="475"/>
      <c r="AC265" s="475"/>
      <c r="AD265" s="474"/>
      <c r="AE265" s="474"/>
      <c r="AF265" s="475"/>
      <c r="AG265" s="475"/>
      <c r="AH265" s="483"/>
      <c r="AI265" s="483"/>
      <c r="AJ265" s="252"/>
      <c r="AK265" s="252"/>
      <c r="AL265" s="485"/>
      <c r="AM265" s="485"/>
      <c r="AN265" s="485"/>
      <c r="AO265" s="475"/>
      <c r="AP265" s="475"/>
      <c r="AQ265" s="432" t="b">
        <v>0</v>
      </c>
      <c r="AR265" s="485"/>
      <c r="AS265" s="485"/>
      <c r="AT265" s="485"/>
      <c r="AU265" s="301"/>
      <c r="AV265" s="301"/>
      <c r="AW265" s="29"/>
      <c r="AX265" s="29"/>
      <c r="BB265" s="302"/>
      <c r="BC265" s="301"/>
      <c r="BD265" s="303"/>
      <c r="BE265" s="304"/>
      <c r="BF265" s="307"/>
      <c r="BG265" s="301"/>
      <c r="BH265" s="303"/>
      <c r="BI265" s="304"/>
      <c r="BK265" s="29"/>
      <c r="BL265" s="29"/>
      <c r="BQ265" s="308"/>
      <c r="BR265" s="308"/>
    </row>
    <row r="266" ht="12.75" spans="1:70">
      <c r="A266" s="29"/>
      <c r="B266" s="29"/>
      <c r="D266" s="29"/>
      <c r="F266" s="29" t="b">
        <v>0</v>
      </c>
      <c r="G266" s="29" t="b">
        <v>0</v>
      </c>
      <c r="H266" s="29" t="b">
        <v>0</v>
      </c>
      <c r="I266" s="29" t="b">
        <v>0</v>
      </c>
      <c r="J266" s="29" t="b">
        <v>0</v>
      </c>
      <c r="K266" s="29" t="b">
        <v>0</v>
      </c>
      <c r="L266" s="29" t="b">
        <v>0</v>
      </c>
      <c r="M266" s="432" t="b">
        <v>0</v>
      </c>
      <c r="N266" s="432" t="b">
        <v>0</v>
      </c>
      <c r="P266" s="29"/>
      <c r="Q266" s="448"/>
      <c r="R266" s="448"/>
      <c r="S266" s="448"/>
      <c r="T266" s="308"/>
      <c r="U266" s="540"/>
      <c r="V266" s="245"/>
      <c r="W266" s="245"/>
      <c r="X266" s="245"/>
      <c r="Y266" s="245"/>
      <c r="Z266" s="245"/>
      <c r="AA266" s="245"/>
      <c r="AB266" s="475"/>
      <c r="AC266" s="475"/>
      <c r="AD266" s="474"/>
      <c r="AE266" s="474"/>
      <c r="AF266" s="475"/>
      <c r="AG266" s="475"/>
      <c r="AH266" s="483"/>
      <c r="AI266" s="483"/>
      <c r="AJ266" s="252"/>
      <c r="AK266" s="252"/>
      <c r="AL266" s="485"/>
      <c r="AM266" s="485"/>
      <c r="AN266" s="485"/>
      <c r="AO266" s="475"/>
      <c r="AP266" s="475"/>
      <c r="AQ266" s="432" t="b">
        <v>0</v>
      </c>
      <c r="AR266" s="485"/>
      <c r="AS266" s="485"/>
      <c r="AT266" s="485"/>
      <c r="AU266" s="301"/>
      <c r="AV266" s="301"/>
      <c r="AW266" s="29"/>
      <c r="AX266" s="29"/>
      <c r="BB266" s="302"/>
      <c r="BC266" s="301"/>
      <c r="BD266" s="303"/>
      <c r="BE266" s="304"/>
      <c r="BF266" s="307"/>
      <c r="BG266" s="301"/>
      <c r="BH266" s="303"/>
      <c r="BI266" s="304"/>
      <c r="BK266" s="29"/>
      <c r="BL266" s="29"/>
      <c r="BQ266" s="308"/>
      <c r="BR266" s="308"/>
    </row>
    <row r="267" ht="12.75" spans="1:70">
      <c r="A267" s="29"/>
      <c r="B267" s="29"/>
      <c r="D267" s="29"/>
      <c r="F267" s="29" t="b">
        <v>0</v>
      </c>
      <c r="G267" s="29" t="b">
        <v>0</v>
      </c>
      <c r="H267" s="29" t="b">
        <v>0</v>
      </c>
      <c r="I267" s="29" t="b">
        <v>0</v>
      </c>
      <c r="J267" s="29" t="b">
        <v>0</v>
      </c>
      <c r="K267" s="29" t="b">
        <v>0</v>
      </c>
      <c r="L267" s="29" t="b">
        <v>0</v>
      </c>
      <c r="M267" s="432" t="b">
        <v>0</v>
      </c>
      <c r="N267" s="432" t="b">
        <v>0</v>
      </c>
      <c r="P267" s="29"/>
      <c r="Q267" s="448"/>
      <c r="R267" s="448"/>
      <c r="S267" s="448"/>
      <c r="T267" s="308"/>
      <c r="U267" s="540"/>
      <c r="V267" s="245"/>
      <c r="W267" s="245"/>
      <c r="X267" s="245"/>
      <c r="Y267" s="245"/>
      <c r="Z267" s="245"/>
      <c r="AA267" s="245"/>
      <c r="AB267" s="475"/>
      <c r="AC267" s="475"/>
      <c r="AD267" s="474"/>
      <c r="AE267" s="474"/>
      <c r="AF267" s="475"/>
      <c r="AG267" s="475"/>
      <c r="AH267" s="483"/>
      <c r="AI267" s="483"/>
      <c r="AJ267" s="252"/>
      <c r="AK267" s="252"/>
      <c r="AL267" s="485"/>
      <c r="AM267" s="485"/>
      <c r="AN267" s="485"/>
      <c r="AO267" s="475"/>
      <c r="AP267" s="475"/>
      <c r="AQ267" s="432" t="b">
        <v>0</v>
      </c>
      <c r="AR267" s="485"/>
      <c r="AS267" s="485"/>
      <c r="AT267" s="485"/>
      <c r="AU267" s="301"/>
      <c r="AV267" s="301"/>
      <c r="AW267" s="29"/>
      <c r="AX267" s="29"/>
      <c r="BB267" s="302"/>
      <c r="BC267" s="301"/>
      <c r="BD267" s="303"/>
      <c r="BE267" s="304"/>
      <c r="BF267" s="307"/>
      <c r="BG267" s="301"/>
      <c r="BH267" s="303"/>
      <c r="BI267" s="304"/>
      <c r="BK267" s="29"/>
      <c r="BL267" s="29"/>
      <c r="BQ267" s="308"/>
      <c r="BR267" s="308"/>
    </row>
    <row r="268" ht="12.75" spans="1:70">
      <c r="A268" s="29"/>
      <c r="B268" s="29"/>
      <c r="D268" s="29"/>
      <c r="F268" s="29" t="b">
        <v>0</v>
      </c>
      <c r="G268" s="29" t="b">
        <v>0</v>
      </c>
      <c r="H268" s="29" t="b">
        <v>0</v>
      </c>
      <c r="I268" s="29" t="b">
        <v>0</v>
      </c>
      <c r="J268" s="29" t="b">
        <v>0</v>
      </c>
      <c r="K268" s="29" t="b">
        <v>0</v>
      </c>
      <c r="L268" s="29" t="b">
        <v>0</v>
      </c>
      <c r="M268" s="432" t="b">
        <v>0</v>
      </c>
      <c r="N268" s="432" t="b">
        <v>0</v>
      </c>
      <c r="P268" s="29"/>
      <c r="Q268" s="448"/>
      <c r="R268" s="448"/>
      <c r="S268" s="448"/>
      <c r="T268" s="308"/>
      <c r="U268" s="540"/>
      <c r="V268" s="245"/>
      <c r="W268" s="245"/>
      <c r="X268" s="245"/>
      <c r="Y268" s="245"/>
      <c r="Z268" s="245"/>
      <c r="AA268" s="245"/>
      <c r="AB268" s="475"/>
      <c r="AC268" s="475"/>
      <c r="AD268" s="474"/>
      <c r="AE268" s="474"/>
      <c r="AF268" s="475"/>
      <c r="AG268" s="475"/>
      <c r="AH268" s="483"/>
      <c r="AI268" s="483"/>
      <c r="AJ268" s="252"/>
      <c r="AK268" s="252"/>
      <c r="AL268" s="485"/>
      <c r="AM268" s="485"/>
      <c r="AN268" s="485"/>
      <c r="AO268" s="475"/>
      <c r="AP268" s="475"/>
      <c r="AQ268" s="432" t="b">
        <v>0</v>
      </c>
      <c r="AR268" s="485"/>
      <c r="AS268" s="485"/>
      <c r="AT268" s="485"/>
      <c r="AU268" s="301"/>
      <c r="AV268" s="301"/>
      <c r="AW268" s="29"/>
      <c r="AX268" s="29"/>
      <c r="BB268" s="302"/>
      <c r="BC268" s="301"/>
      <c r="BD268" s="303"/>
      <c r="BE268" s="304"/>
      <c r="BF268" s="307"/>
      <c r="BG268" s="301"/>
      <c r="BH268" s="303"/>
      <c r="BI268" s="304"/>
      <c r="BK268" s="29"/>
      <c r="BL268" s="29"/>
      <c r="BQ268" s="308"/>
      <c r="BR268" s="308"/>
    </row>
    <row r="269" ht="12.75" spans="1:70">
      <c r="A269" s="29"/>
      <c r="B269" s="29"/>
      <c r="D269" s="29"/>
      <c r="F269" s="29" t="b">
        <v>0</v>
      </c>
      <c r="G269" s="29" t="b">
        <v>0</v>
      </c>
      <c r="H269" s="29" t="b">
        <v>0</v>
      </c>
      <c r="I269" s="29" t="b">
        <v>0</v>
      </c>
      <c r="J269" s="29" t="b">
        <v>0</v>
      </c>
      <c r="K269" s="29" t="b">
        <v>0</v>
      </c>
      <c r="L269" s="29" t="b">
        <v>0</v>
      </c>
      <c r="M269" s="432" t="b">
        <v>0</v>
      </c>
      <c r="N269" s="432" t="b">
        <v>0</v>
      </c>
      <c r="P269" s="29"/>
      <c r="Q269" s="448"/>
      <c r="R269" s="448"/>
      <c r="S269" s="448"/>
      <c r="T269" s="308"/>
      <c r="U269" s="540"/>
      <c r="V269" s="245"/>
      <c r="W269" s="245"/>
      <c r="X269" s="245"/>
      <c r="Y269" s="245"/>
      <c r="Z269" s="245"/>
      <c r="AA269" s="245"/>
      <c r="AB269" s="475"/>
      <c r="AC269" s="475"/>
      <c r="AD269" s="474"/>
      <c r="AE269" s="474"/>
      <c r="AF269" s="475"/>
      <c r="AG269" s="475"/>
      <c r="AH269" s="483"/>
      <c r="AI269" s="483"/>
      <c r="AJ269" s="252"/>
      <c r="AK269" s="252"/>
      <c r="AL269" s="485"/>
      <c r="AM269" s="485"/>
      <c r="AN269" s="485"/>
      <c r="AO269" s="475"/>
      <c r="AP269" s="475"/>
      <c r="AQ269" s="432" t="b">
        <v>0</v>
      </c>
      <c r="AR269" s="485"/>
      <c r="AS269" s="485"/>
      <c r="AT269" s="485"/>
      <c r="AU269" s="301"/>
      <c r="AV269" s="301"/>
      <c r="AW269" s="29"/>
      <c r="AX269" s="29"/>
      <c r="BB269" s="302"/>
      <c r="BC269" s="301"/>
      <c r="BD269" s="303"/>
      <c r="BE269" s="304"/>
      <c r="BF269" s="307"/>
      <c r="BG269" s="301"/>
      <c r="BH269" s="303"/>
      <c r="BI269" s="304"/>
      <c r="BK269" s="29"/>
      <c r="BL269" s="29"/>
      <c r="BQ269" s="308"/>
      <c r="BR269" s="308"/>
    </row>
    <row r="270" ht="12.75" spans="1:70">
      <c r="A270" s="29"/>
      <c r="B270" s="29"/>
      <c r="D270" s="29"/>
      <c r="F270" s="29" t="b">
        <v>0</v>
      </c>
      <c r="G270" s="29" t="b">
        <v>0</v>
      </c>
      <c r="H270" s="29" t="b">
        <v>0</v>
      </c>
      <c r="I270" s="29" t="b">
        <v>0</v>
      </c>
      <c r="J270" s="29" t="b">
        <v>0</v>
      </c>
      <c r="K270" s="29" t="b">
        <v>0</v>
      </c>
      <c r="L270" s="29" t="b">
        <v>0</v>
      </c>
      <c r="M270" s="432" t="b">
        <v>0</v>
      </c>
      <c r="N270" s="432" t="b">
        <v>0</v>
      </c>
      <c r="P270" s="29"/>
      <c r="Q270" s="448"/>
      <c r="R270" s="448"/>
      <c r="S270" s="448"/>
      <c r="T270" s="308"/>
      <c r="U270" s="540"/>
      <c r="V270" s="245"/>
      <c r="W270" s="245"/>
      <c r="X270" s="245"/>
      <c r="Y270" s="245"/>
      <c r="Z270" s="245"/>
      <c r="AA270" s="245"/>
      <c r="AB270" s="475"/>
      <c r="AC270" s="475"/>
      <c r="AD270" s="474"/>
      <c r="AE270" s="474"/>
      <c r="AF270" s="475"/>
      <c r="AG270" s="475"/>
      <c r="AH270" s="483"/>
      <c r="AI270" s="483"/>
      <c r="AJ270" s="252"/>
      <c r="AK270" s="252"/>
      <c r="AL270" s="485"/>
      <c r="AM270" s="485"/>
      <c r="AN270" s="485"/>
      <c r="AO270" s="475"/>
      <c r="AP270" s="475"/>
      <c r="AQ270" s="432" t="b">
        <v>0</v>
      </c>
      <c r="AR270" s="485"/>
      <c r="AS270" s="485"/>
      <c r="AT270" s="485"/>
      <c r="AU270" s="301"/>
      <c r="AV270" s="301"/>
      <c r="AW270" s="29"/>
      <c r="AX270" s="29"/>
      <c r="BB270" s="302"/>
      <c r="BC270" s="301"/>
      <c r="BD270" s="303"/>
      <c r="BE270" s="304"/>
      <c r="BF270" s="307"/>
      <c r="BG270" s="301"/>
      <c r="BH270" s="303"/>
      <c r="BI270" s="304"/>
      <c r="BK270" s="29"/>
      <c r="BL270" s="29"/>
      <c r="BQ270" s="308"/>
      <c r="BR270" s="308"/>
    </row>
    <row r="271" ht="12.75" spans="1:70">
      <c r="A271" s="29"/>
      <c r="B271" s="29"/>
      <c r="D271" s="29"/>
      <c r="F271" s="29" t="b">
        <v>0</v>
      </c>
      <c r="G271" s="29" t="b">
        <v>0</v>
      </c>
      <c r="H271" s="29" t="b">
        <v>0</v>
      </c>
      <c r="I271" s="29" t="b">
        <v>0</v>
      </c>
      <c r="J271" s="29" t="b">
        <v>0</v>
      </c>
      <c r="K271" s="29" t="b">
        <v>0</v>
      </c>
      <c r="L271" s="29" t="b">
        <v>0</v>
      </c>
      <c r="M271" s="432" t="b">
        <v>0</v>
      </c>
      <c r="N271" s="432" t="b">
        <v>0</v>
      </c>
      <c r="P271" s="29"/>
      <c r="Q271" s="448"/>
      <c r="R271" s="448"/>
      <c r="S271" s="448"/>
      <c r="T271" s="308"/>
      <c r="U271" s="540"/>
      <c r="V271" s="245"/>
      <c r="W271" s="245"/>
      <c r="X271" s="245"/>
      <c r="Y271" s="245"/>
      <c r="Z271" s="245"/>
      <c r="AA271" s="245"/>
      <c r="AB271" s="475"/>
      <c r="AC271" s="475"/>
      <c r="AD271" s="474"/>
      <c r="AE271" s="474"/>
      <c r="AF271" s="475"/>
      <c r="AG271" s="475"/>
      <c r="AH271" s="483"/>
      <c r="AI271" s="483"/>
      <c r="AJ271" s="252"/>
      <c r="AK271" s="252"/>
      <c r="AL271" s="485"/>
      <c r="AM271" s="485"/>
      <c r="AN271" s="485"/>
      <c r="AO271" s="475"/>
      <c r="AP271" s="475"/>
      <c r="AQ271" s="432" t="b">
        <v>0</v>
      </c>
      <c r="AR271" s="485"/>
      <c r="AS271" s="485"/>
      <c r="AT271" s="485"/>
      <c r="AU271" s="301"/>
      <c r="AV271" s="301"/>
      <c r="AW271" s="29"/>
      <c r="AX271" s="29"/>
      <c r="BB271" s="302"/>
      <c r="BC271" s="301"/>
      <c r="BD271" s="303"/>
      <c r="BE271" s="304"/>
      <c r="BF271" s="307"/>
      <c r="BG271" s="301"/>
      <c r="BH271" s="303"/>
      <c r="BI271" s="304"/>
      <c r="BK271" s="29"/>
      <c r="BL271" s="29"/>
      <c r="BQ271" s="308"/>
      <c r="BR271" s="308"/>
    </row>
    <row r="272" ht="12.75" spans="1:70">
      <c r="A272" s="29"/>
      <c r="B272" s="29"/>
      <c r="D272" s="29"/>
      <c r="F272" s="29" t="b">
        <v>0</v>
      </c>
      <c r="G272" s="29" t="b">
        <v>0</v>
      </c>
      <c r="H272" s="29" t="b">
        <v>0</v>
      </c>
      <c r="I272" s="29" t="b">
        <v>0</v>
      </c>
      <c r="J272" s="29" t="b">
        <v>0</v>
      </c>
      <c r="K272" s="29" t="b">
        <v>0</v>
      </c>
      <c r="L272" s="29" t="b">
        <v>0</v>
      </c>
      <c r="M272" s="432" t="b">
        <v>0</v>
      </c>
      <c r="N272" s="432" t="b">
        <v>0</v>
      </c>
      <c r="P272" s="29"/>
      <c r="Q272" s="448"/>
      <c r="R272" s="448"/>
      <c r="S272" s="448"/>
      <c r="T272" s="308"/>
      <c r="U272" s="540"/>
      <c r="V272" s="245"/>
      <c r="W272" s="245"/>
      <c r="X272" s="245"/>
      <c r="Y272" s="245"/>
      <c r="Z272" s="245"/>
      <c r="AA272" s="245"/>
      <c r="AB272" s="475"/>
      <c r="AC272" s="475"/>
      <c r="AD272" s="474"/>
      <c r="AE272" s="474"/>
      <c r="AF272" s="475"/>
      <c r="AG272" s="475"/>
      <c r="AH272" s="483"/>
      <c r="AI272" s="483"/>
      <c r="AJ272" s="252"/>
      <c r="AK272" s="252"/>
      <c r="AL272" s="485"/>
      <c r="AM272" s="485"/>
      <c r="AN272" s="485"/>
      <c r="AO272" s="475"/>
      <c r="AP272" s="475"/>
      <c r="AQ272" s="432" t="b">
        <v>0</v>
      </c>
      <c r="AR272" s="485"/>
      <c r="AS272" s="485"/>
      <c r="AT272" s="485"/>
      <c r="AU272" s="301"/>
      <c r="AV272" s="301"/>
      <c r="AW272" s="29"/>
      <c r="AX272" s="29"/>
      <c r="BB272" s="302"/>
      <c r="BC272" s="301"/>
      <c r="BD272" s="303"/>
      <c r="BE272" s="304"/>
      <c r="BF272" s="307"/>
      <c r="BG272" s="301"/>
      <c r="BH272" s="303"/>
      <c r="BI272" s="304"/>
      <c r="BK272" s="29"/>
      <c r="BL272" s="29"/>
      <c r="BQ272" s="308"/>
      <c r="BR272" s="308"/>
    </row>
    <row r="273" ht="12.75" spans="1:70">
      <c r="A273" s="29"/>
      <c r="B273" s="29"/>
      <c r="D273" s="29"/>
      <c r="F273" s="29" t="b">
        <v>0</v>
      </c>
      <c r="G273" s="29" t="b">
        <v>0</v>
      </c>
      <c r="H273" s="29" t="b">
        <v>0</v>
      </c>
      <c r="I273" s="29" t="b">
        <v>0</v>
      </c>
      <c r="J273" s="29" t="b">
        <v>0</v>
      </c>
      <c r="K273" s="29" t="b">
        <v>0</v>
      </c>
      <c r="L273" s="29" t="b">
        <v>0</v>
      </c>
      <c r="M273" s="432" t="b">
        <v>0</v>
      </c>
      <c r="N273" s="432" t="b">
        <v>0</v>
      </c>
      <c r="P273" s="29"/>
      <c r="Q273" s="448"/>
      <c r="R273" s="448"/>
      <c r="S273" s="448"/>
      <c r="T273" s="308"/>
      <c r="U273" s="540"/>
      <c r="V273" s="245"/>
      <c r="W273" s="245"/>
      <c r="X273" s="245"/>
      <c r="Y273" s="245"/>
      <c r="Z273" s="245"/>
      <c r="AA273" s="245"/>
      <c r="AB273" s="475"/>
      <c r="AC273" s="475"/>
      <c r="AD273" s="474"/>
      <c r="AE273" s="474"/>
      <c r="AF273" s="475"/>
      <c r="AG273" s="475"/>
      <c r="AH273" s="483"/>
      <c r="AI273" s="483"/>
      <c r="AJ273" s="252"/>
      <c r="AK273" s="252"/>
      <c r="AL273" s="485"/>
      <c r="AM273" s="485"/>
      <c r="AN273" s="485"/>
      <c r="AO273" s="475"/>
      <c r="AP273" s="475"/>
      <c r="AQ273" s="432" t="b">
        <v>0</v>
      </c>
      <c r="AR273" s="485"/>
      <c r="AS273" s="485"/>
      <c r="AT273" s="485"/>
      <c r="AU273" s="301"/>
      <c r="AV273" s="301"/>
      <c r="AW273" s="29"/>
      <c r="AX273" s="29"/>
      <c r="BB273" s="302"/>
      <c r="BC273" s="301"/>
      <c r="BD273" s="303"/>
      <c r="BE273" s="304"/>
      <c r="BF273" s="307"/>
      <c r="BG273" s="301"/>
      <c r="BH273" s="303"/>
      <c r="BI273" s="304"/>
      <c r="BK273" s="29"/>
      <c r="BL273" s="29"/>
      <c r="BQ273" s="308"/>
      <c r="BR273" s="308"/>
    </row>
    <row r="274" ht="12.75" spans="1:70">
      <c r="A274" s="29"/>
      <c r="B274" s="29"/>
      <c r="D274" s="29"/>
      <c r="F274" s="29" t="b">
        <v>0</v>
      </c>
      <c r="G274" s="29" t="b">
        <v>0</v>
      </c>
      <c r="H274" s="29" t="b">
        <v>0</v>
      </c>
      <c r="I274" s="29" t="b">
        <v>0</v>
      </c>
      <c r="J274" s="29" t="b">
        <v>0</v>
      </c>
      <c r="K274" s="29" t="b">
        <v>0</v>
      </c>
      <c r="L274" s="29" t="b">
        <v>0</v>
      </c>
      <c r="M274" s="432" t="b">
        <v>0</v>
      </c>
      <c r="N274" s="432" t="b">
        <v>0</v>
      </c>
      <c r="P274" s="29"/>
      <c r="Q274" s="448"/>
      <c r="R274" s="448"/>
      <c r="S274" s="448"/>
      <c r="T274" s="308"/>
      <c r="U274" s="540"/>
      <c r="V274" s="245"/>
      <c r="W274" s="245"/>
      <c r="X274" s="245"/>
      <c r="Y274" s="245"/>
      <c r="Z274" s="245"/>
      <c r="AA274" s="245"/>
      <c r="AB274" s="475"/>
      <c r="AC274" s="475"/>
      <c r="AD274" s="474"/>
      <c r="AE274" s="474"/>
      <c r="AF274" s="475"/>
      <c r="AG274" s="475"/>
      <c r="AH274" s="483"/>
      <c r="AI274" s="483"/>
      <c r="AJ274" s="252"/>
      <c r="AK274" s="252"/>
      <c r="AL274" s="485"/>
      <c r="AM274" s="485"/>
      <c r="AN274" s="485"/>
      <c r="AO274" s="475"/>
      <c r="AP274" s="475"/>
      <c r="AQ274" s="432" t="b">
        <v>0</v>
      </c>
      <c r="AR274" s="485"/>
      <c r="AS274" s="485"/>
      <c r="AT274" s="485"/>
      <c r="AU274" s="301"/>
      <c r="AV274" s="301"/>
      <c r="AW274" s="29"/>
      <c r="AX274" s="29"/>
      <c r="BB274" s="302"/>
      <c r="BC274" s="301"/>
      <c r="BD274" s="303"/>
      <c r="BE274" s="304"/>
      <c r="BF274" s="307"/>
      <c r="BG274" s="301"/>
      <c r="BH274" s="303"/>
      <c r="BI274" s="304"/>
      <c r="BK274" s="29"/>
      <c r="BL274" s="29"/>
      <c r="BQ274" s="308"/>
      <c r="BR274" s="308"/>
    </row>
    <row r="275" ht="12.75" spans="1:70">
      <c r="A275" s="29"/>
      <c r="B275" s="29"/>
      <c r="D275" s="29"/>
      <c r="F275" s="29" t="b">
        <v>0</v>
      </c>
      <c r="G275" s="29" t="b">
        <v>0</v>
      </c>
      <c r="H275" s="29" t="b">
        <v>0</v>
      </c>
      <c r="I275" s="29" t="b">
        <v>0</v>
      </c>
      <c r="J275" s="29" t="b">
        <v>0</v>
      </c>
      <c r="K275" s="29" t="b">
        <v>0</v>
      </c>
      <c r="L275" s="29" t="b">
        <v>0</v>
      </c>
      <c r="M275" s="432" t="b">
        <v>0</v>
      </c>
      <c r="N275" s="432" t="b">
        <v>0</v>
      </c>
      <c r="P275" s="29"/>
      <c r="Q275" s="448"/>
      <c r="R275" s="448"/>
      <c r="S275" s="448"/>
      <c r="T275" s="308"/>
      <c r="U275" s="540"/>
      <c r="V275" s="245"/>
      <c r="W275" s="245"/>
      <c r="X275" s="245"/>
      <c r="Y275" s="245"/>
      <c r="Z275" s="245"/>
      <c r="AA275" s="245"/>
      <c r="AB275" s="475"/>
      <c r="AC275" s="475"/>
      <c r="AD275" s="474"/>
      <c r="AE275" s="474"/>
      <c r="AF275" s="475"/>
      <c r="AG275" s="475"/>
      <c r="AH275" s="483"/>
      <c r="AI275" s="483"/>
      <c r="AJ275" s="252"/>
      <c r="AK275" s="252"/>
      <c r="AL275" s="485"/>
      <c r="AM275" s="485"/>
      <c r="AN275" s="485"/>
      <c r="AO275" s="475"/>
      <c r="AP275" s="475"/>
      <c r="AQ275" s="432" t="b">
        <v>0</v>
      </c>
      <c r="AR275" s="485"/>
      <c r="AS275" s="485"/>
      <c r="AT275" s="485"/>
      <c r="AU275" s="301"/>
      <c r="AV275" s="301"/>
      <c r="AW275" s="29"/>
      <c r="AX275" s="29"/>
      <c r="BB275" s="302"/>
      <c r="BC275" s="301"/>
      <c r="BD275" s="303"/>
      <c r="BE275" s="304"/>
      <c r="BF275" s="307"/>
      <c r="BG275" s="301"/>
      <c r="BH275" s="303"/>
      <c r="BI275" s="304"/>
      <c r="BK275" s="29"/>
      <c r="BL275" s="29"/>
      <c r="BQ275" s="308"/>
      <c r="BR275" s="308"/>
    </row>
    <row r="276" ht="12.75" spans="1:70">
      <c r="A276" s="29"/>
      <c r="B276" s="29"/>
      <c r="D276" s="29"/>
      <c r="F276" s="29" t="b">
        <v>0</v>
      </c>
      <c r="G276" s="29" t="b">
        <v>0</v>
      </c>
      <c r="H276" s="29" t="b">
        <v>0</v>
      </c>
      <c r="I276" s="29" t="b">
        <v>0</v>
      </c>
      <c r="J276" s="29" t="b">
        <v>0</v>
      </c>
      <c r="K276" s="29" t="b">
        <v>0</v>
      </c>
      <c r="L276" s="29" t="b">
        <v>0</v>
      </c>
      <c r="M276" s="432" t="b">
        <v>0</v>
      </c>
      <c r="N276" s="432" t="b">
        <v>0</v>
      </c>
      <c r="P276" s="29"/>
      <c r="Q276" s="448"/>
      <c r="R276" s="448"/>
      <c r="S276" s="448"/>
      <c r="T276" s="308"/>
      <c r="U276" s="540"/>
      <c r="V276" s="245"/>
      <c r="W276" s="245"/>
      <c r="X276" s="245"/>
      <c r="Y276" s="245"/>
      <c r="Z276" s="245"/>
      <c r="AA276" s="245"/>
      <c r="AB276" s="475"/>
      <c r="AC276" s="475"/>
      <c r="AD276" s="474"/>
      <c r="AE276" s="474"/>
      <c r="AF276" s="475"/>
      <c r="AG276" s="475"/>
      <c r="AH276" s="483"/>
      <c r="AI276" s="483"/>
      <c r="AJ276" s="252"/>
      <c r="AK276" s="252"/>
      <c r="AL276" s="485"/>
      <c r="AM276" s="485"/>
      <c r="AN276" s="485"/>
      <c r="AO276" s="475"/>
      <c r="AP276" s="475"/>
      <c r="AQ276" s="432" t="b">
        <v>0</v>
      </c>
      <c r="AR276" s="485"/>
      <c r="AS276" s="485"/>
      <c r="AT276" s="485"/>
      <c r="AU276" s="301"/>
      <c r="AV276" s="301"/>
      <c r="AW276" s="29"/>
      <c r="AX276" s="29"/>
      <c r="BB276" s="302"/>
      <c r="BC276" s="301"/>
      <c r="BD276" s="303"/>
      <c r="BE276" s="304"/>
      <c r="BF276" s="307"/>
      <c r="BG276" s="301"/>
      <c r="BH276" s="303"/>
      <c r="BI276" s="304"/>
      <c r="BK276" s="29"/>
      <c r="BL276" s="29"/>
      <c r="BQ276" s="308"/>
      <c r="BR276" s="308"/>
    </row>
    <row r="277" ht="12.75" spans="1:70">
      <c r="A277" s="29"/>
      <c r="B277" s="29"/>
      <c r="D277" s="29"/>
      <c r="F277" s="29" t="b">
        <v>0</v>
      </c>
      <c r="G277" s="29" t="b">
        <v>0</v>
      </c>
      <c r="H277" s="29" t="b">
        <v>0</v>
      </c>
      <c r="I277" s="29" t="b">
        <v>0</v>
      </c>
      <c r="J277" s="29" t="b">
        <v>0</v>
      </c>
      <c r="K277" s="29" t="b">
        <v>0</v>
      </c>
      <c r="L277" s="29" t="b">
        <v>0</v>
      </c>
      <c r="M277" s="432" t="b">
        <v>0</v>
      </c>
      <c r="N277" s="432" t="b">
        <v>0</v>
      </c>
      <c r="P277" s="29"/>
      <c r="Q277" s="448"/>
      <c r="R277" s="448"/>
      <c r="S277" s="448"/>
      <c r="T277" s="308"/>
      <c r="U277" s="540"/>
      <c r="V277" s="245"/>
      <c r="W277" s="245"/>
      <c r="X277" s="245"/>
      <c r="Y277" s="245"/>
      <c r="Z277" s="245"/>
      <c r="AA277" s="245"/>
      <c r="AB277" s="475"/>
      <c r="AC277" s="475"/>
      <c r="AD277" s="474"/>
      <c r="AE277" s="474"/>
      <c r="AF277" s="475"/>
      <c r="AG277" s="475"/>
      <c r="AH277" s="483"/>
      <c r="AI277" s="483"/>
      <c r="AJ277" s="252"/>
      <c r="AK277" s="252"/>
      <c r="AL277" s="485"/>
      <c r="AM277" s="485"/>
      <c r="AN277" s="485"/>
      <c r="AO277" s="475"/>
      <c r="AP277" s="475"/>
      <c r="AQ277" s="432" t="b">
        <v>0</v>
      </c>
      <c r="AR277" s="485"/>
      <c r="AS277" s="485"/>
      <c r="AT277" s="485"/>
      <c r="AU277" s="301"/>
      <c r="AV277" s="301"/>
      <c r="AW277" s="29"/>
      <c r="AX277" s="29"/>
      <c r="BB277" s="302"/>
      <c r="BC277" s="301"/>
      <c r="BD277" s="303"/>
      <c r="BE277" s="304"/>
      <c r="BF277" s="307"/>
      <c r="BG277" s="301"/>
      <c r="BH277" s="303"/>
      <c r="BI277" s="304"/>
      <c r="BK277" s="29"/>
      <c r="BL277" s="29"/>
      <c r="BQ277" s="308"/>
      <c r="BR277" s="308"/>
    </row>
    <row r="278" ht="12.75" spans="1:70">
      <c r="A278" s="29"/>
      <c r="B278" s="29"/>
      <c r="D278" s="29"/>
      <c r="F278" s="29" t="b">
        <v>0</v>
      </c>
      <c r="G278" s="29" t="b">
        <v>0</v>
      </c>
      <c r="H278" s="29" t="b">
        <v>0</v>
      </c>
      <c r="I278" s="29" t="b">
        <v>0</v>
      </c>
      <c r="J278" s="29" t="b">
        <v>0</v>
      </c>
      <c r="K278" s="29" t="b">
        <v>0</v>
      </c>
      <c r="L278" s="29" t="b">
        <v>0</v>
      </c>
      <c r="M278" s="432" t="b">
        <v>0</v>
      </c>
      <c r="N278" s="432" t="b">
        <v>0</v>
      </c>
      <c r="P278" s="29"/>
      <c r="Q278" s="448"/>
      <c r="R278" s="448"/>
      <c r="S278" s="448"/>
      <c r="T278" s="308"/>
      <c r="U278" s="540"/>
      <c r="V278" s="245"/>
      <c r="W278" s="245"/>
      <c r="X278" s="245"/>
      <c r="Y278" s="245"/>
      <c r="Z278" s="245"/>
      <c r="AA278" s="245"/>
      <c r="AB278" s="475"/>
      <c r="AC278" s="475"/>
      <c r="AD278" s="474"/>
      <c r="AE278" s="474"/>
      <c r="AF278" s="475"/>
      <c r="AG278" s="475"/>
      <c r="AH278" s="483"/>
      <c r="AI278" s="483"/>
      <c r="AJ278" s="252"/>
      <c r="AK278" s="252"/>
      <c r="AL278" s="485"/>
      <c r="AM278" s="485"/>
      <c r="AN278" s="485"/>
      <c r="AO278" s="475"/>
      <c r="AP278" s="475"/>
      <c r="AQ278" s="432" t="b">
        <v>0</v>
      </c>
      <c r="AR278" s="485"/>
      <c r="AS278" s="485"/>
      <c r="AT278" s="485"/>
      <c r="AU278" s="301"/>
      <c r="AV278" s="301"/>
      <c r="AW278" s="29"/>
      <c r="AX278" s="29"/>
      <c r="BB278" s="302"/>
      <c r="BC278" s="301"/>
      <c r="BD278" s="303"/>
      <c r="BE278" s="304"/>
      <c r="BF278" s="307"/>
      <c r="BG278" s="301"/>
      <c r="BH278" s="303"/>
      <c r="BI278" s="304"/>
      <c r="BK278" s="29"/>
      <c r="BL278" s="29"/>
      <c r="BQ278" s="308"/>
      <c r="BR278" s="308"/>
    </row>
    <row r="279" ht="12.75" spans="1:70">
      <c r="A279" s="29"/>
      <c r="B279" s="29"/>
      <c r="D279" s="29"/>
      <c r="F279" s="29" t="b">
        <v>0</v>
      </c>
      <c r="G279" s="29" t="b">
        <v>0</v>
      </c>
      <c r="H279" s="29" t="b">
        <v>0</v>
      </c>
      <c r="I279" s="29" t="b">
        <v>0</v>
      </c>
      <c r="J279" s="29" t="b">
        <v>0</v>
      </c>
      <c r="K279" s="29" t="b">
        <v>0</v>
      </c>
      <c r="L279" s="29" t="b">
        <v>0</v>
      </c>
      <c r="M279" s="432" t="b">
        <v>0</v>
      </c>
      <c r="N279" s="432" t="b">
        <v>0</v>
      </c>
      <c r="P279" s="29"/>
      <c r="Q279" s="448"/>
      <c r="R279" s="448"/>
      <c r="S279" s="448"/>
      <c r="T279" s="308"/>
      <c r="U279" s="540"/>
      <c r="V279" s="245"/>
      <c r="W279" s="245"/>
      <c r="X279" s="245"/>
      <c r="Y279" s="245"/>
      <c r="Z279" s="245"/>
      <c r="AA279" s="245"/>
      <c r="AB279" s="475"/>
      <c r="AC279" s="475"/>
      <c r="AD279" s="474"/>
      <c r="AE279" s="474"/>
      <c r="AF279" s="475"/>
      <c r="AG279" s="475"/>
      <c r="AH279" s="483"/>
      <c r="AI279" s="483"/>
      <c r="AJ279" s="252"/>
      <c r="AK279" s="252"/>
      <c r="AL279" s="485"/>
      <c r="AM279" s="485"/>
      <c r="AN279" s="485"/>
      <c r="AO279" s="475"/>
      <c r="AP279" s="475"/>
      <c r="AQ279" s="432" t="b">
        <v>0</v>
      </c>
      <c r="AR279" s="485"/>
      <c r="AS279" s="485"/>
      <c r="AT279" s="485"/>
      <c r="AU279" s="301"/>
      <c r="AV279" s="301"/>
      <c r="AW279" s="29"/>
      <c r="AX279" s="29"/>
      <c r="BB279" s="302"/>
      <c r="BC279" s="301"/>
      <c r="BD279" s="303"/>
      <c r="BE279" s="304"/>
      <c r="BF279" s="307"/>
      <c r="BG279" s="301"/>
      <c r="BH279" s="303"/>
      <c r="BI279" s="304"/>
      <c r="BK279" s="29"/>
      <c r="BL279" s="29"/>
      <c r="BQ279" s="308"/>
      <c r="BR279" s="308"/>
    </row>
    <row r="280" ht="12.75" spans="1:70">
      <c r="A280" s="29"/>
      <c r="B280" s="29"/>
      <c r="D280" s="29"/>
      <c r="F280" s="29" t="b">
        <v>0</v>
      </c>
      <c r="G280" s="29" t="b">
        <v>0</v>
      </c>
      <c r="H280" s="29" t="b">
        <v>0</v>
      </c>
      <c r="I280" s="29" t="b">
        <v>0</v>
      </c>
      <c r="J280" s="29" t="b">
        <v>0</v>
      </c>
      <c r="K280" s="29" t="b">
        <v>0</v>
      </c>
      <c r="L280" s="29" t="b">
        <v>0</v>
      </c>
      <c r="M280" s="432" t="b">
        <v>0</v>
      </c>
      <c r="N280" s="432" t="b">
        <v>0</v>
      </c>
      <c r="P280" s="29"/>
      <c r="Q280" s="448"/>
      <c r="R280" s="448"/>
      <c r="S280" s="448"/>
      <c r="T280" s="308"/>
      <c r="U280" s="540"/>
      <c r="V280" s="245"/>
      <c r="W280" s="245"/>
      <c r="X280" s="245"/>
      <c r="Y280" s="245"/>
      <c r="Z280" s="245"/>
      <c r="AA280" s="245"/>
      <c r="AB280" s="475"/>
      <c r="AC280" s="475"/>
      <c r="AD280" s="474"/>
      <c r="AE280" s="474"/>
      <c r="AF280" s="475"/>
      <c r="AG280" s="475"/>
      <c r="AH280" s="483"/>
      <c r="AI280" s="483"/>
      <c r="AJ280" s="252"/>
      <c r="AK280" s="252"/>
      <c r="AL280" s="485"/>
      <c r="AM280" s="485"/>
      <c r="AN280" s="485"/>
      <c r="AO280" s="475"/>
      <c r="AP280" s="475"/>
      <c r="AQ280" s="432" t="b">
        <v>0</v>
      </c>
      <c r="AR280" s="485"/>
      <c r="AS280" s="485"/>
      <c r="AT280" s="485"/>
      <c r="AU280" s="301"/>
      <c r="AV280" s="301"/>
      <c r="AW280" s="29"/>
      <c r="AX280" s="29"/>
      <c r="BB280" s="302"/>
      <c r="BC280" s="301"/>
      <c r="BD280" s="303"/>
      <c r="BE280" s="304"/>
      <c r="BF280" s="307"/>
      <c r="BG280" s="301"/>
      <c r="BH280" s="303"/>
      <c r="BI280" s="304"/>
      <c r="BK280" s="29"/>
      <c r="BL280" s="29"/>
      <c r="BQ280" s="308"/>
      <c r="BR280" s="308"/>
    </row>
    <row r="281" ht="12.75" spans="1:70">
      <c r="A281" s="29"/>
      <c r="B281" s="29"/>
      <c r="D281" s="29"/>
      <c r="F281" s="29" t="b">
        <v>0</v>
      </c>
      <c r="G281" s="29" t="b">
        <v>0</v>
      </c>
      <c r="H281" s="29" t="b">
        <v>0</v>
      </c>
      <c r="I281" s="29" t="b">
        <v>0</v>
      </c>
      <c r="J281" s="29" t="b">
        <v>0</v>
      </c>
      <c r="K281" s="29" t="b">
        <v>0</v>
      </c>
      <c r="L281" s="29" t="b">
        <v>0</v>
      </c>
      <c r="M281" s="432" t="b">
        <v>0</v>
      </c>
      <c r="N281" s="432" t="b">
        <v>0</v>
      </c>
      <c r="P281" s="29"/>
      <c r="Q281" s="448"/>
      <c r="R281" s="448"/>
      <c r="S281" s="448"/>
      <c r="T281" s="308"/>
      <c r="U281" s="540"/>
      <c r="V281" s="245"/>
      <c r="W281" s="245"/>
      <c r="X281" s="245"/>
      <c r="Y281" s="245"/>
      <c r="Z281" s="245"/>
      <c r="AA281" s="245"/>
      <c r="AB281" s="475"/>
      <c r="AC281" s="475"/>
      <c r="AD281" s="474"/>
      <c r="AE281" s="474"/>
      <c r="AF281" s="475"/>
      <c r="AG281" s="475"/>
      <c r="AH281" s="483"/>
      <c r="AI281" s="483"/>
      <c r="AJ281" s="252"/>
      <c r="AK281" s="252"/>
      <c r="AL281" s="485"/>
      <c r="AM281" s="485"/>
      <c r="AN281" s="485"/>
      <c r="AO281" s="475"/>
      <c r="AP281" s="475"/>
      <c r="AQ281" s="432" t="b">
        <v>0</v>
      </c>
      <c r="AR281" s="485"/>
      <c r="AS281" s="485"/>
      <c r="AT281" s="485"/>
      <c r="AU281" s="301"/>
      <c r="AV281" s="301"/>
      <c r="AW281" s="29"/>
      <c r="AX281" s="29"/>
      <c r="BB281" s="302"/>
      <c r="BC281" s="301"/>
      <c r="BD281" s="303"/>
      <c r="BE281" s="304"/>
      <c r="BF281" s="307"/>
      <c r="BG281" s="301"/>
      <c r="BH281" s="303"/>
      <c r="BI281" s="304"/>
      <c r="BK281" s="29"/>
      <c r="BL281" s="29"/>
      <c r="BQ281" s="308"/>
      <c r="BR281" s="308"/>
    </row>
    <row r="282" ht="12.75" spans="1:70">
      <c r="A282" s="29"/>
      <c r="B282" s="29"/>
      <c r="D282" s="29"/>
      <c r="F282" s="29" t="b">
        <v>0</v>
      </c>
      <c r="G282" s="29" t="b">
        <v>0</v>
      </c>
      <c r="H282" s="29" t="b">
        <v>0</v>
      </c>
      <c r="I282" s="29" t="b">
        <v>0</v>
      </c>
      <c r="J282" s="29" t="b">
        <v>0</v>
      </c>
      <c r="K282" s="29" t="b">
        <v>0</v>
      </c>
      <c r="L282" s="29" t="b">
        <v>0</v>
      </c>
      <c r="M282" s="432" t="b">
        <v>0</v>
      </c>
      <c r="N282" s="432" t="b">
        <v>0</v>
      </c>
      <c r="P282" s="29"/>
      <c r="Q282" s="448"/>
      <c r="R282" s="448"/>
      <c r="S282" s="448"/>
      <c r="T282" s="308"/>
      <c r="U282" s="540"/>
      <c r="V282" s="245"/>
      <c r="W282" s="245"/>
      <c r="X282" s="245"/>
      <c r="Y282" s="245"/>
      <c r="Z282" s="245"/>
      <c r="AA282" s="245"/>
      <c r="AB282" s="475"/>
      <c r="AC282" s="475"/>
      <c r="AD282" s="474"/>
      <c r="AE282" s="474"/>
      <c r="AF282" s="475"/>
      <c r="AG282" s="475"/>
      <c r="AH282" s="483"/>
      <c r="AI282" s="483"/>
      <c r="AJ282" s="252"/>
      <c r="AK282" s="252"/>
      <c r="AL282" s="485"/>
      <c r="AM282" s="485"/>
      <c r="AN282" s="485"/>
      <c r="AO282" s="475"/>
      <c r="AP282" s="475"/>
      <c r="AQ282" s="432" t="b">
        <v>0</v>
      </c>
      <c r="AR282" s="485"/>
      <c r="AS282" s="485"/>
      <c r="AT282" s="485"/>
      <c r="AU282" s="301"/>
      <c r="AV282" s="301"/>
      <c r="AW282" s="29"/>
      <c r="AX282" s="29"/>
      <c r="BB282" s="302"/>
      <c r="BC282" s="301"/>
      <c r="BD282" s="303"/>
      <c r="BE282" s="304"/>
      <c r="BF282" s="307"/>
      <c r="BG282" s="301"/>
      <c r="BH282" s="303"/>
      <c r="BI282" s="304"/>
      <c r="BK282" s="29"/>
      <c r="BL282" s="29"/>
      <c r="BQ282" s="308"/>
      <c r="BR282" s="308"/>
    </row>
    <row r="283" ht="12.75" spans="1:70">
      <c r="A283" s="29"/>
      <c r="B283" s="29"/>
      <c r="D283" s="29"/>
      <c r="F283" s="29" t="b">
        <v>0</v>
      </c>
      <c r="G283" s="29" t="b">
        <v>0</v>
      </c>
      <c r="H283" s="29" t="b">
        <v>0</v>
      </c>
      <c r="I283" s="29" t="b">
        <v>0</v>
      </c>
      <c r="J283" s="29" t="b">
        <v>0</v>
      </c>
      <c r="K283" s="29" t="b">
        <v>0</v>
      </c>
      <c r="L283" s="29" t="b">
        <v>0</v>
      </c>
      <c r="M283" s="432" t="b">
        <v>0</v>
      </c>
      <c r="N283" s="432" t="b">
        <v>0</v>
      </c>
      <c r="P283" s="29"/>
      <c r="Q283" s="448"/>
      <c r="R283" s="448"/>
      <c r="S283" s="448"/>
      <c r="T283" s="308"/>
      <c r="U283" s="540"/>
      <c r="V283" s="245"/>
      <c r="W283" s="245"/>
      <c r="X283" s="245"/>
      <c r="Y283" s="245"/>
      <c r="Z283" s="245"/>
      <c r="AA283" s="245"/>
      <c r="AB283" s="475"/>
      <c r="AC283" s="475"/>
      <c r="AD283" s="474"/>
      <c r="AE283" s="474"/>
      <c r="AF283" s="475"/>
      <c r="AG283" s="475"/>
      <c r="AH283" s="483"/>
      <c r="AI283" s="483"/>
      <c r="AJ283" s="252"/>
      <c r="AK283" s="252"/>
      <c r="AL283" s="485"/>
      <c r="AM283" s="485"/>
      <c r="AN283" s="485"/>
      <c r="AO283" s="475"/>
      <c r="AP283" s="475"/>
      <c r="AQ283" s="432" t="b">
        <v>0</v>
      </c>
      <c r="AR283" s="485"/>
      <c r="AS283" s="485"/>
      <c r="AT283" s="485"/>
      <c r="AU283" s="301"/>
      <c r="AV283" s="301"/>
      <c r="AW283" s="29"/>
      <c r="AX283" s="29"/>
      <c r="BB283" s="302"/>
      <c r="BC283" s="301"/>
      <c r="BD283" s="303"/>
      <c r="BE283" s="304"/>
      <c r="BF283" s="307"/>
      <c r="BG283" s="301"/>
      <c r="BH283" s="303"/>
      <c r="BI283" s="304"/>
      <c r="BK283" s="29"/>
      <c r="BL283" s="29"/>
      <c r="BQ283" s="308"/>
      <c r="BR283" s="308"/>
    </row>
    <row r="284" ht="12.75" spans="1:70">
      <c r="A284" s="29"/>
      <c r="B284" s="29"/>
      <c r="D284" s="29"/>
      <c r="F284" s="29" t="b">
        <v>0</v>
      </c>
      <c r="G284" s="29" t="b">
        <v>0</v>
      </c>
      <c r="H284" s="29" t="b">
        <v>0</v>
      </c>
      <c r="I284" s="29" t="b">
        <v>0</v>
      </c>
      <c r="J284" s="29" t="b">
        <v>0</v>
      </c>
      <c r="K284" s="29" t="b">
        <v>0</v>
      </c>
      <c r="L284" s="29" t="b">
        <v>0</v>
      </c>
      <c r="M284" s="432" t="b">
        <v>0</v>
      </c>
      <c r="N284" s="432" t="b">
        <v>0</v>
      </c>
      <c r="P284" s="29"/>
      <c r="Q284" s="448"/>
      <c r="R284" s="448"/>
      <c r="S284" s="448"/>
      <c r="T284" s="308"/>
      <c r="U284" s="540"/>
      <c r="V284" s="245"/>
      <c r="W284" s="245"/>
      <c r="X284" s="245"/>
      <c r="Y284" s="245"/>
      <c r="Z284" s="245"/>
      <c r="AA284" s="245"/>
      <c r="AB284" s="475"/>
      <c r="AC284" s="475"/>
      <c r="AD284" s="474"/>
      <c r="AE284" s="474"/>
      <c r="AF284" s="475"/>
      <c r="AG284" s="475"/>
      <c r="AH284" s="483"/>
      <c r="AI284" s="483"/>
      <c r="AJ284" s="252"/>
      <c r="AK284" s="252"/>
      <c r="AL284" s="485"/>
      <c r="AM284" s="485"/>
      <c r="AN284" s="485"/>
      <c r="AO284" s="475"/>
      <c r="AP284" s="475"/>
      <c r="AQ284" s="432" t="b">
        <v>0</v>
      </c>
      <c r="AR284" s="485"/>
      <c r="AS284" s="485"/>
      <c r="AT284" s="485"/>
      <c r="AU284" s="301"/>
      <c r="AV284" s="301"/>
      <c r="AW284" s="29"/>
      <c r="AX284" s="29"/>
      <c r="BB284" s="302"/>
      <c r="BC284" s="301"/>
      <c r="BD284" s="303"/>
      <c r="BE284" s="304"/>
      <c r="BF284" s="307"/>
      <c r="BG284" s="301"/>
      <c r="BH284" s="303"/>
      <c r="BI284" s="304"/>
      <c r="BK284" s="29"/>
      <c r="BL284" s="29"/>
      <c r="BQ284" s="308"/>
      <c r="BR284" s="308"/>
    </row>
    <row r="285" ht="12.75" spans="1:70">
      <c r="A285" s="29"/>
      <c r="B285" s="29"/>
      <c r="D285" s="29"/>
      <c r="F285" s="29" t="b">
        <v>0</v>
      </c>
      <c r="G285" s="29" t="b">
        <v>0</v>
      </c>
      <c r="H285" s="29" t="b">
        <v>0</v>
      </c>
      <c r="I285" s="29" t="b">
        <v>0</v>
      </c>
      <c r="J285" s="29" t="b">
        <v>0</v>
      </c>
      <c r="K285" s="29" t="b">
        <v>0</v>
      </c>
      <c r="L285" s="29" t="b">
        <v>0</v>
      </c>
      <c r="M285" s="432" t="b">
        <v>0</v>
      </c>
      <c r="N285" s="432" t="b">
        <v>0</v>
      </c>
      <c r="P285" s="29"/>
      <c r="Q285" s="448"/>
      <c r="R285" s="448"/>
      <c r="S285" s="448"/>
      <c r="T285" s="308"/>
      <c r="U285" s="540"/>
      <c r="V285" s="245"/>
      <c r="W285" s="245"/>
      <c r="X285" s="245"/>
      <c r="Y285" s="245"/>
      <c r="Z285" s="245"/>
      <c r="AA285" s="245"/>
      <c r="AB285" s="475"/>
      <c r="AC285" s="475"/>
      <c r="AD285" s="474"/>
      <c r="AE285" s="474"/>
      <c r="AF285" s="475"/>
      <c r="AG285" s="475"/>
      <c r="AH285" s="483"/>
      <c r="AI285" s="483"/>
      <c r="AJ285" s="252"/>
      <c r="AK285" s="252"/>
      <c r="AL285" s="485"/>
      <c r="AM285" s="485"/>
      <c r="AN285" s="485"/>
      <c r="AO285" s="475"/>
      <c r="AP285" s="475"/>
      <c r="AQ285" s="432" t="b">
        <v>0</v>
      </c>
      <c r="AR285" s="485"/>
      <c r="AS285" s="485"/>
      <c r="AT285" s="485"/>
      <c r="AU285" s="301"/>
      <c r="AV285" s="301"/>
      <c r="AW285" s="29"/>
      <c r="AX285" s="29"/>
      <c r="BB285" s="302"/>
      <c r="BC285" s="301"/>
      <c r="BD285" s="303"/>
      <c r="BE285" s="304"/>
      <c r="BF285" s="307"/>
      <c r="BG285" s="301"/>
      <c r="BH285" s="303"/>
      <c r="BI285" s="304"/>
      <c r="BK285" s="29"/>
      <c r="BL285" s="29"/>
      <c r="BQ285" s="308"/>
      <c r="BR285" s="308"/>
    </row>
    <row r="286" ht="12.75" spans="1:70">
      <c r="A286" s="29"/>
      <c r="B286" s="29"/>
      <c r="D286" s="29"/>
      <c r="F286" s="29" t="b">
        <v>0</v>
      </c>
      <c r="G286" s="29" t="b">
        <v>0</v>
      </c>
      <c r="H286" s="29" t="b">
        <v>0</v>
      </c>
      <c r="I286" s="29" t="b">
        <v>0</v>
      </c>
      <c r="J286" s="29" t="b">
        <v>0</v>
      </c>
      <c r="K286" s="29" t="b">
        <v>0</v>
      </c>
      <c r="L286" s="29" t="b">
        <v>0</v>
      </c>
      <c r="M286" s="432" t="b">
        <v>0</v>
      </c>
      <c r="N286" s="432" t="b">
        <v>0</v>
      </c>
      <c r="P286" s="29"/>
      <c r="Q286" s="448"/>
      <c r="R286" s="448"/>
      <c r="S286" s="448"/>
      <c r="T286" s="308"/>
      <c r="U286" s="540"/>
      <c r="V286" s="245"/>
      <c r="W286" s="245"/>
      <c r="X286" s="245"/>
      <c r="Y286" s="245"/>
      <c r="Z286" s="245"/>
      <c r="AA286" s="245"/>
      <c r="AB286" s="475"/>
      <c r="AC286" s="475"/>
      <c r="AD286" s="474"/>
      <c r="AE286" s="474"/>
      <c r="AF286" s="475"/>
      <c r="AG286" s="475"/>
      <c r="AH286" s="483"/>
      <c r="AI286" s="483"/>
      <c r="AJ286" s="252"/>
      <c r="AK286" s="252"/>
      <c r="AL286" s="485"/>
      <c r="AM286" s="485"/>
      <c r="AN286" s="485"/>
      <c r="AO286" s="475"/>
      <c r="AP286" s="475"/>
      <c r="AQ286" s="432" t="b">
        <v>0</v>
      </c>
      <c r="AR286" s="485"/>
      <c r="AS286" s="485"/>
      <c r="AT286" s="485"/>
      <c r="AU286" s="301"/>
      <c r="AV286" s="301"/>
      <c r="AW286" s="29"/>
      <c r="AX286" s="29"/>
      <c r="BB286" s="302"/>
      <c r="BC286" s="301"/>
      <c r="BD286" s="303"/>
      <c r="BE286" s="304"/>
      <c r="BF286" s="307"/>
      <c r="BG286" s="301"/>
      <c r="BH286" s="303"/>
      <c r="BI286" s="304"/>
      <c r="BK286" s="29"/>
      <c r="BL286" s="29"/>
      <c r="BQ286" s="308"/>
      <c r="BR286" s="308"/>
    </row>
    <row r="287" ht="12.75" spans="1:70">
      <c r="A287" s="29"/>
      <c r="B287" s="29"/>
      <c r="D287" s="29"/>
      <c r="F287" s="29" t="b">
        <v>0</v>
      </c>
      <c r="G287" s="29" t="b">
        <v>0</v>
      </c>
      <c r="H287" s="29" t="b">
        <v>0</v>
      </c>
      <c r="I287" s="29" t="b">
        <v>0</v>
      </c>
      <c r="J287" s="29" t="b">
        <v>0</v>
      </c>
      <c r="K287" s="29" t="b">
        <v>0</v>
      </c>
      <c r="L287" s="29" t="b">
        <v>0</v>
      </c>
      <c r="M287" s="432" t="b">
        <v>0</v>
      </c>
      <c r="N287" s="432" t="b">
        <v>0</v>
      </c>
      <c r="P287" s="29"/>
      <c r="Q287" s="448"/>
      <c r="R287" s="448"/>
      <c r="S287" s="448"/>
      <c r="T287" s="308"/>
      <c r="U287" s="540"/>
      <c r="V287" s="245"/>
      <c r="W287" s="245"/>
      <c r="X287" s="245"/>
      <c r="Y287" s="245"/>
      <c r="Z287" s="245"/>
      <c r="AA287" s="245"/>
      <c r="AB287" s="475"/>
      <c r="AC287" s="475"/>
      <c r="AD287" s="474"/>
      <c r="AE287" s="474"/>
      <c r="AF287" s="475"/>
      <c r="AG287" s="475"/>
      <c r="AH287" s="483"/>
      <c r="AI287" s="483"/>
      <c r="AJ287" s="252"/>
      <c r="AK287" s="252"/>
      <c r="AL287" s="485"/>
      <c r="AM287" s="485"/>
      <c r="AN287" s="485"/>
      <c r="AO287" s="475"/>
      <c r="AP287" s="475"/>
      <c r="AQ287" s="432" t="b">
        <v>0</v>
      </c>
      <c r="AR287" s="485"/>
      <c r="AS287" s="485"/>
      <c r="AT287" s="485"/>
      <c r="AU287" s="301"/>
      <c r="AV287" s="301"/>
      <c r="AW287" s="29"/>
      <c r="AX287" s="29"/>
      <c r="BB287" s="302"/>
      <c r="BC287" s="301"/>
      <c r="BD287" s="303"/>
      <c r="BE287" s="304"/>
      <c r="BF287" s="307"/>
      <c r="BG287" s="301"/>
      <c r="BH287" s="303"/>
      <c r="BI287" s="304"/>
      <c r="BK287" s="29"/>
      <c r="BL287" s="29"/>
      <c r="BQ287" s="308"/>
      <c r="BR287" s="308"/>
    </row>
    <row r="288" ht="12.75" spans="1:70">
      <c r="A288" s="29"/>
      <c r="B288" s="29"/>
      <c r="D288" s="29"/>
      <c r="F288" s="29" t="b">
        <v>0</v>
      </c>
      <c r="G288" s="29" t="b">
        <v>0</v>
      </c>
      <c r="H288" s="29" t="b">
        <v>0</v>
      </c>
      <c r="I288" s="29" t="b">
        <v>0</v>
      </c>
      <c r="J288" s="29" t="b">
        <v>0</v>
      </c>
      <c r="K288" s="29" t="b">
        <v>0</v>
      </c>
      <c r="L288" s="29" t="b">
        <v>0</v>
      </c>
      <c r="M288" s="432" t="b">
        <v>0</v>
      </c>
      <c r="N288" s="432" t="b">
        <v>0</v>
      </c>
      <c r="P288" s="29"/>
      <c r="Q288" s="448"/>
      <c r="R288" s="448"/>
      <c r="S288" s="448"/>
      <c r="T288" s="308"/>
      <c r="U288" s="540"/>
      <c r="V288" s="245"/>
      <c r="W288" s="245"/>
      <c r="X288" s="245"/>
      <c r="Y288" s="245"/>
      <c r="Z288" s="245"/>
      <c r="AA288" s="245"/>
      <c r="AB288" s="475"/>
      <c r="AC288" s="475"/>
      <c r="AD288" s="474"/>
      <c r="AE288" s="474"/>
      <c r="AF288" s="475"/>
      <c r="AG288" s="475"/>
      <c r="AH288" s="483"/>
      <c r="AI288" s="483"/>
      <c r="AJ288" s="252"/>
      <c r="AK288" s="252"/>
      <c r="AL288" s="485"/>
      <c r="AM288" s="485"/>
      <c r="AN288" s="485"/>
      <c r="AO288" s="475"/>
      <c r="AP288" s="475"/>
      <c r="AQ288" s="432" t="b">
        <v>0</v>
      </c>
      <c r="AR288" s="485"/>
      <c r="AS288" s="485"/>
      <c r="AT288" s="485"/>
      <c r="AU288" s="301"/>
      <c r="AV288" s="301"/>
      <c r="AW288" s="29"/>
      <c r="AX288" s="29"/>
      <c r="BB288" s="302"/>
      <c r="BC288" s="301"/>
      <c r="BD288" s="303"/>
      <c r="BE288" s="304"/>
      <c r="BF288" s="307"/>
      <c r="BG288" s="301"/>
      <c r="BH288" s="303"/>
      <c r="BI288" s="304"/>
      <c r="BK288" s="29"/>
      <c r="BL288" s="29"/>
      <c r="BQ288" s="308"/>
      <c r="BR288" s="308"/>
    </row>
    <row r="289" ht="12.75" spans="1:70">
      <c r="A289" s="29"/>
      <c r="B289" s="29"/>
      <c r="D289" s="29"/>
      <c r="F289" s="29" t="b">
        <v>0</v>
      </c>
      <c r="G289" s="29" t="b">
        <v>0</v>
      </c>
      <c r="H289" s="29" t="b">
        <v>0</v>
      </c>
      <c r="I289" s="29" t="b">
        <v>0</v>
      </c>
      <c r="J289" s="29" t="b">
        <v>0</v>
      </c>
      <c r="K289" s="29" t="b">
        <v>0</v>
      </c>
      <c r="L289" s="29" t="b">
        <v>0</v>
      </c>
      <c r="M289" s="432" t="b">
        <v>0</v>
      </c>
      <c r="N289" s="432" t="b">
        <v>0</v>
      </c>
      <c r="P289" s="29"/>
      <c r="Q289" s="448"/>
      <c r="R289" s="448"/>
      <c r="S289" s="448"/>
      <c r="T289" s="308"/>
      <c r="U289" s="540"/>
      <c r="V289" s="245"/>
      <c r="W289" s="245"/>
      <c r="X289" s="245"/>
      <c r="Y289" s="245"/>
      <c r="Z289" s="245"/>
      <c r="AA289" s="245"/>
      <c r="AB289" s="475"/>
      <c r="AC289" s="475"/>
      <c r="AD289" s="474"/>
      <c r="AE289" s="474"/>
      <c r="AF289" s="475"/>
      <c r="AG289" s="475"/>
      <c r="AH289" s="483"/>
      <c r="AI289" s="483"/>
      <c r="AJ289" s="252"/>
      <c r="AK289" s="252"/>
      <c r="AL289" s="485"/>
      <c r="AM289" s="485"/>
      <c r="AN289" s="485"/>
      <c r="AO289" s="475"/>
      <c r="AP289" s="475"/>
      <c r="AQ289" s="432" t="b">
        <v>0</v>
      </c>
      <c r="AR289" s="485"/>
      <c r="AS289" s="485"/>
      <c r="AT289" s="485"/>
      <c r="AU289" s="301"/>
      <c r="AV289" s="301"/>
      <c r="AW289" s="29"/>
      <c r="AX289" s="29"/>
      <c r="BB289" s="302"/>
      <c r="BC289" s="301"/>
      <c r="BD289" s="303"/>
      <c r="BE289" s="304"/>
      <c r="BF289" s="307"/>
      <c r="BG289" s="301"/>
      <c r="BH289" s="303"/>
      <c r="BI289" s="304"/>
      <c r="BK289" s="29"/>
      <c r="BL289" s="29"/>
      <c r="BQ289" s="308"/>
      <c r="BR289" s="308"/>
    </row>
    <row r="290" ht="12.75" spans="1:70">
      <c r="A290" s="29"/>
      <c r="B290" s="29"/>
      <c r="D290" s="29"/>
      <c r="F290" s="29" t="b">
        <v>0</v>
      </c>
      <c r="G290" s="29" t="b">
        <v>0</v>
      </c>
      <c r="H290" s="29" t="b">
        <v>0</v>
      </c>
      <c r="I290" s="29" t="b">
        <v>0</v>
      </c>
      <c r="J290" s="29" t="b">
        <v>0</v>
      </c>
      <c r="K290" s="29" t="b">
        <v>0</v>
      </c>
      <c r="L290" s="29" t="b">
        <v>0</v>
      </c>
      <c r="M290" s="432" t="b">
        <v>0</v>
      </c>
      <c r="N290" s="432" t="b">
        <v>0</v>
      </c>
      <c r="P290" s="29"/>
      <c r="Q290" s="448"/>
      <c r="R290" s="448"/>
      <c r="S290" s="448"/>
      <c r="T290" s="308"/>
      <c r="U290" s="540"/>
      <c r="V290" s="245"/>
      <c r="W290" s="245"/>
      <c r="X290" s="245"/>
      <c r="Y290" s="245"/>
      <c r="Z290" s="245"/>
      <c r="AA290" s="245"/>
      <c r="AB290" s="475"/>
      <c r="AC290" s="475"/>
      <c r="AD290" s="474"/>
      <c r="AE290" s="474"/>
      <c r="AF290" s="475"/>
      <c r="AG290" s="475"/>
      <c r="AH290" s="483"/>
      <c r="AI290" s="483"/>
      <c r="AJ290" s="252"/>
      <c r="AK290" s="252"/>
      <c r="AL290" s="485"/>
      <c r="AM290" s="485"/>
      <c r="AN290" s="485"/>
      <c r="AO290" s="475"/>
      <c r="AP290" s="475"/>
      <c r="AQ290" s="432" t="b">
        <v>0</v>
      </c>
      <c r="AR290" s="485"/>
      <c r="AS290" s="485"/>
      <c r="AT290" s="485"/>
      <c r="AU290" s="301"/>
      <c r="AV290" s="301"/>
      <c r="AW290" s="29"/>
      <c r="AX290" s="29"/>
      <c r="BB290" s="302"/>
      <c r="BC290" s="301"/>
      <c r="BD290" s="303"/>
      <c r="BE290" s="304"/>
      <c r="BF290" s="307"/>
      <c r="BG290" s="301"/>
      <c r="BH290" s="303"/>
      <c r="BI290" s="304"/>
      <c r="BK290" s="29"/>
      <c r="BL290" s="29"/>
      <c r="BQ290" s="308"/>
      <c r="BR290" s="308"/>
    </row>
    <row r="291" ht="12.75" spans="1:70">
      <c r="A291" s="29"/>
      <c r="B291" s="29"/>
      <c r="D291" s="29"/>
      <c r="F291" s="29" t="b">
        <v>0</v>
      </c>
      <c r="G291" s="29" t="b">
        <v>0</v>
      </c>
      <c r="H291" s="29" t="b">
        <v>0</v>
      </c>
      <c r="I291" s="29" t="b">
        <v>0</v>
      </c>
      <c r="J291" s="29" t="b">
        <v>0</v>
      </c>
      <c r="K291" s="29" t="b">
        <v>0</v>
      </c>
      <c r="L291" s="29" t="b">
        <v>0</v>
      </c>
      <c r="M291" s="432" t="b">
        <v>0</v>
      </c>
      <c r="N291" s="432" t="b">
        <v>0</v>
      </c>
      <c r="P291" s="29"/>
      <c r="Q291" s="448"/>
      <c r="R291" s="448"/>
      <c r="S291" s="448"/>
      <c r="T291" s="308"/>
      <c r="U291" s="540"/>
      <c r="V291" s="245"/>
      <c r="W291" s="245"/>
      <c r="X291" s="245"/>
      <c r="Y291" s="245"/>
      <c r="Z291" s="245"/>
      <c r="AA291" s="245"/>
      <c r="AB291" s="475"/>
      <c r="AC291" s="475"/>
      <c r="AD291" s="474"/>
      <c r="AE291" s="474"/>
      <c r="AF291" s="475"/>
      <c r="AG291" s="475"/>
      <c r="AH291" s="483"/>
      <c r="AI291" s="483"/>
      <c r="AJ291" s="252"/>
      <c r="AK291" s="252"/>
      <c r="AL291" s="485"/>
      <c r="AM291" s="485"/>
      <c r="AN291" s="485"/>
      <c r="AO291" s="475"/>
      <c r="AP291" s="475"/>
      <c r="AQ291" s="432" t="b">
        <v>0</v>
      </c>
      <c r="AR291" s="485"/>
      <c r="AS291" s="485"/>
      <c r="AT291" s="485"/>
      <c r="AU291" s="301"/>
      <c r="AV291" s="301"/>
      <c r="AW291" s="29"/>
      <c r="AX291" s="29"/>
      <c r="BB291" s="302"/>
      <c r="BC291" s="301"/>
      <c r="BD291" s="303"/>
      <c r="BE291" s="304"/>
      <c r="BF291" s="307"/>
      <c r="BG291" s="301"/>
      <c r="BH291" s="303"/>
      <c r="BI291" s="304"/>
      <c r="BK291" s="29"/>
      <c r="BL291" s="29"/>
      <c r="BQ291" s="308"/>
      <c r="BR291" s="308"/>
    </row>
    <row r="292" ht="12.75" spans="1:70">
      <c r="A292" s="29"/>
      <c r="B292" s="29"/>
      <c r="D292" s="29"/>
      <c r="F292" s="29" t="b">
        <v>0</v>
      </c>
      <c r="G292" s="29" t="b">
        <v>0</v>
      </c>
      <c r="H292" s="29" t="b">
        <v>0</v>
      </c>
      <c r="I292" s="29" t="b">
        <v>0</v>
      </c>
      <c r="J292" s="29" t="b">
        <v>0</v>
      </c>
      <c r="K292" s="29" t="b">
        <v>0</v>
      </c>
      <c r="L292" s="29" t="b">
        <v>0</v>
      </c>
      <c r="M292" s="432" t="b">
        <v>0</v>
      </c>
      <c r="N292" s="432" t="b">
        <v>0</v>
      </c>
      <c r="P292" s="29"/>
      <c r="Q292" s="448"/>
      <c r="R292" s="448"/>
      <c r="S292" s="448"/>
      <c r="T292" s="308"/>
      <c r="U292" s="540"/>
      <c r="V292" s="245"/>
      <c r="W292" s="245"/>
      <c r="X292" s="245"/>
      <c r="Y292" s="245"/>
      <c r="Z292" s="245"/>
      <c r="AA292" s="245"/>
      <c r="AB292" s="475"/>
      <c r="AC292" s="475"/>
      <c r="AD292" s="474"/>
      <c r="AE292" s="474"/>
      <c r="AF292" s="475"/>
      <c r="AG292" s="475"/>
      <c r="AH292" s="483"/>
      <c r="AI292" s="483"/>
      <c r="AJ292" s="252"/>
      <c r="AK292" s="252"/>
      <c r="AL292" s="485"/>
      <c r="AM292" s="485"/>
      <c r="AN292" s="485"/>
      <c r="AO292" s="475"/>
      <c r="AP292" s="475"/>
      <c r="AQ292" s="432" t="b">
        <v>0</v>
      </c>
      <c r="AR292" s="485"/>
      <c r="AS292" s="485"/>
      <c r="AT292" s="485"/>
      <c r="AU292" s="301"/>
      <c r="AV292" s="301"/>
      <c r="AW292" s="29"/>
      <c r="AX292" s="29"/>
      <c r="BB292" s="302"/>
      <c r="BC292" s="301"/>
      <c r="BD292" s="303"/>
      <c r="BE292" s="304"/>
      <c r="BF292" s="307"/>
      <c r="BG292" s="301"/>
      <c r="BH292" s="303"/>
      <c r="BI292" s="304"/>
      <c r="BK292" s="29"/>
      <c r="BL292" s="29"/>
      <c r="BQ292" s="308"/>
      <c r="BR292" s="308"/>
    </row>
    <row r="293" ht="12.75" spans="1:70">
      <c r="A293" s="29"/>
      <c r="B293" s="29"/>
      <c r="D293" s="29"/>
      <c r="F293" s="29" t="b">
        <v>0</v>
      </c>
      <c r="G293" s="29" t="b">
        <v>0</v>
      </c>
      <c r="H293" s="29" t="b">
        <v>0</v>
      </c>
      <c r="I293" s="29" t="b">
        <v>0</v>
      </c>
      <c r="J293" s="29" t="b">
        <v>0</v>
      </c>
      <c r="K293" s="29" t="b">
        <v>0</v>
      </c>
      <c r="L293" s="29" t="b">
        <v>0</v>
      </c>
      <c r="M293" s="432" t="b">
        <v>0</v>
      </c>
      <c r="N293" s="432" t="b">
        <v>0</v>
      </c>
      <c r="P293" s="29"/>
      <c r="Q293" s="448"/>
      <c r="R293" s="448"/>
      <c r="S293" s="448"/>
      <c r="T293" s="308"/>
      <c r="U293" s="540"/>
      <c r="V293" s="245"/>
      <c r="W293" s="245"/>
      <c r="X293" s="245"/>
      <c r="Y293" s="245"/>
      <c r="Z293" s="245"/>
      <c r="AA293" s="245"/>
      <c r="AB293" s="475"/>
      <c r="AC293" s="475"/>
      <c r="AD293" s="474"/>
      <c r="AE293" s="474"/>
      <c r="AF293" s="475"/>
      <c r="AG293" s="475"/>
      <c r="AH293" s="483"/>
      <c r="AI293" s="483"/>
      <c r="AJ293" s="252"/>
      <c r="AK293" s="252"/>
      <c r="AL293" s="485"/>
      <c r="AM293" s="485"/>
      <c r="AN293" s="485"/>
      <c r="AO293" s="475"/>
      <c r="AP293" s="475"/>
      <c r="AQ293" s="432" t="b">
        <v>0</v>
      </c>
      <c r="AR293" s="485"/>
      <c r="AS293" s="485"/>
      <c r="AT293" s="485"/>
      <c r="AU293" s="301"/>
      <c r="AV293" s="301"/>
      <c r="AW293" s="29"/>
      <c r="AX293" s="29"/>
      <c r="BB293" s="302"/>
      <c r="BC293" s="301"/>
      <c r="BD293" s="303"/>
      <c r="BE293" s="304"/>
      <c r="BF293" s="307"/>
      <c r="BG293" s="301"/>
      <c r="BH293" s="303"/>
      <c r="BI293" s="304"/>
      <c r="BK293" s="29"/>
      <c r="BL293" s="29"/>
      <c r="BQ293" s="308"/>
      <c r="BR293" s="308"/>
    </row>
    <row r="294" ht="12.75" spans="1:70">
      <c r="A294" s="29"/>
      <c r="B294" s="29"/>
      <c r="D294" s="29"/>
      <c r="F294" s="29" t="b">
        <v>0</v>
      </c>
      <c r="G294" s="29" t="b">
        <v>0</v>
      </c>
      <c r="H294" s="29" t="b">
        <v>0</v>
      </c>
      <c r="I294" s="29" t="b">
        <v>0</v>
      </c>
      <c r="J294" s="29" t="b">
        <v>0</v>
      </c>
      <c r="K294" s="29" t="b">
        <v>0</v>
      </c>
      <c r="L294" s="29" t="b">
        <v>0</v>
      </c>
      <c r="M294" s="432" t="b">
        <v>0</v>
      </c>
      <c r="N294" s="432" t="b">
        <v>0</v>
      </c>
      <c r="P294" s="29"/>
      <c r="Q294" s="448"/>
      <c r="R294" s="448"/>
      <c r="S294" s="448"/>
      <c r="T294" s="308"/>
      <c r="U294" s="540"/>
      <c r="V294" s="245"/>
      <c r="W294" s="245"/>
      <c r="X294" s="245"/>
      <c r="Y294" s="245"/>
      <c r="Z294" s="245"/>
      <c r="AA294" s="245"/>
      <c r="AB294" s="475"/>
      <c r="AC294" s="475"/>
      <c r="AD294" s="474"/>
      <c r="AE294" s="474"/>
      <c r="AF294" s="475"/>
      <c r="AG294" s="475"/>
      <c r="AH294" s="483"/>
      <c r="AI294" s="483"/>
      <c r="AJ294" s="252"/>
      <c r="AK294" s="252"/>
      <c r="AL294" s="485"/>
      <c r="AM294" s="485"/>
      <c r="AN294" s="485"/>
      <c r="AO294" s="475"/>
      <c r="AP294" s="475"/>
      <c r="AQ294" s="432" t="b">
        <v>0</v>
      </c>
      <c r="AR294" s="485"/>
      <c r="AS294" s="485"/>
      <c r="AT294" s="485"/>
      <c r="AU294" s="301"/>
      <c r="AV294" s="301"/>
      <c r="AW294" s="29"/>
      <c r="AX294" s="29"/>
      <c r="BB294" s="302"/>
      <c r="BC294" s="301"/>
      <c r="BD294" s="303"/>
      <c r="BE294" s="304"/>
      <c r="BF294" s="307"/>
      <c r="BG294" s="301"/>
      <c r="BH294" s="303"/>
      <c r="BI294" s="304"/>
      <c r="BK294" s="29"/>
      <c r="BL294" s="29"/>
      <c r="BQ294" s="308"/>
      <c r="BR294" s="308"/>
    </row>
    <row r="295" ht="12.75" spans="1:70">
      <c r="A295" s="29"/>
      <c r="B295" s="29"/>
      <c r="D295" s="29"/>
      <c r="F295" s="29" t="b">
        <v>0</v>
      </c>
      <c r="G295" s="29" t="b">
        <v>0</v>
      </c>
      <c r="H295" s="29" t="b">
        <v>0</v>
      </c>
      <c r="I295" s="29" t="b">
        <v>0</v>
      </c>
      <c r="J295" s="29" t="b">
        <v>0</v>
      </c>
      <c r="K295" s="29" t="b">
        <v>0</v>
      </c>
      <c r="L295" s="29" t="b">
        <v>0</v>
      </c>
      <c r="M295" s="432" t="b">
        <v>0</v>
      </c>
      <c r="N295" s="432" t="b">
        <v>0</v>
      </c>
      <c r="P295" s="29"/>
      <c r="Q295" s="448"/>
      <c r="R295" s="448"/>
      <c r="S295" s="448"/>
      <c r="T295" s="308"/>
      <c r="U295" s="540"/>
      <c r="V295" s="245"/>
      <c r="W295" s="245"/>
      <c r="X295" s="245"/>
      <c r="Y295" s="245"/>
      <c r="Z295" s="245"/>
      <c r="AA295" s="245"/>
      <c r="AB295" s="475"/>
      <c r="AC295" s="475"/>
      <c r="AD295" s="474"/>
      <c r="AE295" s="474"/>
      <c r="AF295" s="475"/>
      <c r="AG295" s="475"/>
      <c r="AH295" s="483"/>
      <c r="AI295" s="483"/>
      <c r="AJ295" s="252"/>
      <c r="AK295" s="252"/>
      <c r="AL295" s="485"/>
      <c r="AM295" s="485"/>
      <c r="AN295" s="485"/>
      <c r="AO295" s="475"/>
      <c r="AP295" s="475"/>
      <c r="AQ295" s="432" t="b">
        <v>0</v>
      </c>
      <c r="AR295" s="485"/>
      <c r="AS295" s="485"/>
      <c r="AT295" s="485"/>
      <c r="AU295" s="301"/>
      <c r="AV295" s="301"/>
      <c r="AW295" s="29"/>
      <c r="AX295" s="29"/>
      <c r="BB295" s="302"/>
      <c r="BC295" s="301"/>
      <c r="BD295" s="303"/>
      <c r="BE295" s="304"/>
      <c r="BF295" s="307"/>
      <c r="BG295" s="301"/>
      <c r="BH295" s="303"/>
      <c r="BI295" s="304"/>
      <c r="BK295" s="29"/>
      <c r="BL295" s="29"/>
      <c r="BQ295" s="308"/>
      <c r="BR295" s="308"/>
    </row>
    <row r="296" ht="12.75" spans="1:70">
      <c r="A296" s="29"/>
      <c r="B296" s="29"/>
      <c r="D296" s="29"/>
      <c r="F296" s="29" t="b">
        <v>0</v>
      </c>
      <c r="G296" s="29" t="b">
        <v>0</v>
      </c>
      <c r="H296" s="29" t="b">
        <v>0</v>
      </c>
      <c r="I296" s="29" t="b">
        <v>0</v>
      </c>
      <c r="J296" s="29" t="b">
        <v>0</v>
      </c>
      <c r="K296" s="29" t="b">
        <v>0</v>
      </c>
      <c r="L296" s="29" t="b">
        <v>0</v>
      </c>
      <c r="M296" s="432" t="b">
        <v>0</v>
      </c>
      <c r="N296" s="432" t="b">
        <v>0</v>
      </c>
      <c r="P296" s="29"/>
      <c r="Q296" s="448"/>
      <c r="R296" s="448"/>
      <c r="S296" s="448"/>
      <c r="T296" s="308"/>
      <c r="U296" s="540"/>
      <c r="V296" s="245"/>
      <c r="W296" s="245"/>
      <c r="X296" s="245"/>
      <c r="Y296" s="245"/>
      <c r="Z296" s="245"/>
      <c r="AA296" s="245"/>
      <c r="AB296" s="475"/>
      <c r="AC296" s="475"/>
      <c r="AD296" s="474"/>
      <c r="AE296" s="474"/>
      <c r="AF296" s="475"/>
      <c r="AG296" s="475"/>
      <c r="AH296" s="483"/>
      <c r="AI296" s="483"/>
      <c r="AJ296" s="252"/>
      <c r="AK296" s="252"/>
      <c r="AL296" s="485"/>
      <c r="AM296" s="485"/>
      <c r="AN296" s="485"/>
      <c r="AO296" s="475"/>
      <c r="AP296" s="475"/>
      <c r="AQ296" s="432" t="b">
        <v>0</v>
      </c>
      <c r="AR296" s="485"/>
      <c r="AS296" s="485"/>
      <c r="AT296" s="485"/>
      <c r="AU296" s="301"/>
      <c r="AV296" s="301"/>
      <c r="AW296" s="29"/>
      <c r="AX296" s="29"/>
      <c r="BB296" s="302"/>
      <c r="BC296" s="301"/>
      <c r="BD296" s="303"/>
      <c r="BE296" s="304"/>
      <c r="BF296" s="307"/>
      <c r="BG296" s="301"/>
      <c r="BH296" s="303"/>
      <c r="BI296" s="304"/>
      <c r="BK296" s="29"/>
      <c r="BL296" s="29"/>
      <c r="BQ296" s="308"/>
      <c r="BR296" s="308"/>
    </row>
    <row r="297" ht="12.75" spans="1:70">
      <c r="A297" s="29"/>
      <c r="B297" s="29"/>
      <c r="D297" s="29"/>
      <c r="F297" s="29" t="b">
        <v>0</v>
      </c>
      <c r="G297" s="29" t="b">
        <v>0</v>
      </c>
      <c r="H297" s="29" t="b">
        <v>0</v>
      </c>
      <c r="I297" s="29" t="b">
        <v>0</v>
      </c>
      <c r="J297" s="29" t="b">
        <v>0</v>
      </c>
      <c r="K297" s="29" t="b">
        <v>0</v>
      </c>
      <c r="L297" s="29" t="b">
        <v>0</v>
      </c>
      <c r="M297" s="432" t="b">
        <v>0</v>
      </c>
      <c r="N297" s="432" t="b">
        <v>0</v>
      </c>
      <c r="P297" s="29"/>
      <c r="Q297" s="448"/>
      <c r="R297" s="448"/>
      <c r="S297" s="448"/>
      <c r="T297" s="308"/>
      <c r="U297" s="540"/>
      <c r="V297" s="245"/>
      <c r="W297" s="245"/>
      <c r="X297" s="245"/>
      <c r="Y297" s="245"/>
      <c r="Z297" s="245"/>
      <c r="AA297" s="245"/>
      <c r="AB297" s="475"/>
      <c r="AC297" s="475"/>
      <c r="AD297" s="474"/>
      <c r="AE297" s="474"/>
      <c r="AF297" s="475"/>
      <c r="AG297" s="475"/>
      <c r="AH297" s="483"/>
      <c r="AI297" s="483"/>
      <c r="AJ297" s="252"/>
      <c r="AK297" s="252"/>
      <c r="AL297" s="485"/>
      <c r="AM297" s="485"/>
      <c r="AN297" s="485"/>
      <c r="AO297" s="475"/>
      <c r="AP297" s="475"/>
      <c r="AQ297" s="432" t="b">
        <v>0</v>
      </c>
      <c r="AR297" s="485"/>
      <c r="AS297" s="485"/>
      <c r="AT297" s="485"/>
      <c r="AU297" s="301"/>
      <c r="AV297" s="301"/>
      <c r="AW297" s="29"/>
      <c r="AX297" s="29"/>
      <c r="BB297" s="302"/>
      <c r="BC297" s="301"/>
      <c r="BD297" s="303"/>
      <c r="BE297" s="304"/>
      <c r="BF297" s="307"/>
      <c r="BG297" s="301"/>
      <c r="BH297" s="303"/>
      <c r="BI297" s="304"/>
      <c r="BK297" s="29"/>
      <c r="BL297" s="29"/>
      <c r="BQ297" s="308"/>
      <c r="BR297" s="308"/>
    </row>
    <row r="298" ht="12.75" spans="1:70">
      <c r="A298" s="29"/>
      <c r="B298" s="29"/>
      <c r="D298" s="29"/>
      <c r="F298" s="29" t="b">
        <v>0</v>
      </c>
      <c r="G298" s="29" t="b">
        <v>0</v>
      </c>
      <c r="H298" s="29" t="b">
        <v>0</v>
      </c>
      <c r="I298" s="29" t="b">
        <v>0</v>
      </c>
      <c r="J298" s="29" t="b">
        <v>0</v>
      </c>
      <c r="K298" s="29" t="b">
        <v>0</v>
      </c>
      <c r="L298" s="29" t="b">
        <v>0</v>
      </c>
      <c r="M298" s="432" t="b">
        <v>0</v>
      </c>
      <c r="N298" s="432" t="b">
        <v>0</v>
      </c>
      <c r="P298" s="29"/>
      <c r="Q298" s="448"/>
      <c r="R298" s="448"/>
      <c r="S298" s="448"/>
      <c r="T298" s="308"/>
      <c r="U298" s="540"/>
      <c r="V298" s="245"/>
      <c r="W298" s="245"/>
      <c r="X298" s="245"/>
      <c r="Y298" s="245"/>
      <c r="Z298" s="245"/>
      <c r="AA298" s="245"/>
      <c r="AB298" s="475"/>
      <c r="AC298" s="475"/>
      <c r="AD298" s="474"/>
      <c r="AE298" s="474"/>
      <c r="AF298" s="475"/>
      <c r="AG298" s="475"/>
      <c r="AH298" s="483"/>
      <c r="AI298" s="483"/>
      <c r="AJ298" s="252"/>
      <c r="AK298" s="252"/>
      <c r="AL298" s="485"/>
      <c r="AM298" s="485"/>
      <c r="AN298" s="485"/>
      <c r="AO298" s="475"/>
      <c r="AP298" s="475"/>
      <c r="AQ298" s="432" t="b">
        <v>0</v>
      </c>
      <c r="AR298" s="485"/>
      <c r="AS298" s="485"/>
      <c r="AT298" s="485"/>
      <c r="AU298" s="301"/>
      <c r="AV298" s="301"/>
      <c r="AW298" s="29"/>
      <c r="AX298" s="29"/>
      <c r="BB298" s="302"/>
      <c r="BC298" s="301"/>
      <c r="BD298" s="303"/>
      <c r="BE298" s="304"/>
      <c r="BF298" s="307"/>
      <c r="BG298" s="301"/>
      <c r="BH298" s="303"/>
      <c r="BI298" s="304"/>
      <c r="BK298" s="29"/>
      <c r="BL298" s="29"/>
      <c r="BQ298" s="308"/>
      <c r="BR298" s="308"/>
    </row>
    <row r="299" ht="12.75" spans="1:70">
      <c r="A299" s="29"/>
      <c r="B299" s="29"/>
      <c r="D299" s="29"/>
      <c r="F299" s="29" t="b">
        <v>0</v>
      </c>
      <c r="G299" s="29" t="b">
        <v>0</v>
      </c>
      <c r="H299" s="29" t="b">
        <v>0</v>
      </c>
      <c r="I299" s="29" t="b">
        <v>0</v>
      </c>
      <c r="J299" s="29" t="b">
        <v>0</v>
      </c>
      <c r="K299" s="29" t="b">
        <v>0</v>
      </c>
      <c r="L299" s="29" t="b">
        <v>0</v>
      </c>
      <c r="M299" s="432" t="b">
        <v>0</v>
      </c>
      <c r="N299" s="432" t="b">
        <v>0</v>
      </c>
      <c r="P299" s="29"/>
      <c r="Q299" s="448"/>
      <c r="R299" s="448"/>
      <c r="S299" s="448"/>
      <c r="T299" s="308"/>
      <c r="U299" s="540"/>
      <c r="V299" s="245"/>
      <c r="W299" s="245"/>
      <c r="X299" s="245"/>
      <c r="Y299" s="245"/>
      <c r="Z299" s="245"/>
      <c r="AA299" s="245"/>
      <c r="AB299" s="475"/>
      <c r="AC299" s="475"/>
      <c r="AD299" s="474"/>
      <c r="AE299" s="474"/>
      <c r="AF299" s="475"/>
      <c r="AG299" s="475"/>
      <c r="AH299" s="483"/>
      <c r="AI299" s="483"/>
      <c r="AJ299" s="252"/>
      <c r="AK299" s="252"/>
      <c r="AL299" s="485"/>
      <c r="AM299" s="485"/>
      <c r="AN299" s="485"/>
      <c r="AO299" s="475"/>
      <c r="AP299" s="475"/>
      <c r="AQ299" s="432" t="b">
        <v>0</v>
      </c>
      <c r="AR299" s="485"/>
      <c r="AS299" s="485"/>
      <c r="AT299" s="485"/>
      <c r="AU299" s="301"/>
      <c r="AV299" s="301"/>
      <c r="AW299" s="29"/>
      <c r="AX299" s="29"/>
      <c r="BB299" s="302"/>
      <c r="BC299" s="301"/>
      <c r="BD299" s="303"/>
      <c r="BE299" s="304"/>
      <c r="BF299" s="307"/>
      <c r="BG299" s="301"/>
      <c r="BH299" s="303"/>
      <c r="BI299" s="304"/>
      <c r="BK299" s="29"/>
      <c r="BL299" s="29"/>
      <c r="BQ299" s="308"/>
      <c r="BR299" s="308"/>
    </row>
    <row r="300" ht="12.75" spans="1:70">
      <c r="A300" s="29"/>
      <c r="B300" s="29"/>
      <c r="D300" s="29"/>
      <c r="F300" s="29" t="b">
        <v>0</v>
      </c>
      <c r="G300" s="29" t="b">
        <v>0</v>
      </c>
      <c r="H300" s="29" t="b">
        <v>0</v>
      </c>
      <c r="I300" s="29" t="b">
        <v>0</v>
      </c>
      <c r="J300" s="29" t="b">
        <v>0</v>
      </c>
      <c r="K300" s="29" t="b">
        <v>0</v>
      </c>
      <c r="L300" s="29" t="b">
        <v>0</v>
      </c>
      <c r="M300" s="432" t="b">
        <v>0</v>
      </c>
      <c r="N300" s="432" t="b">
        <v>0</v>
      </c>
      <c r="P300" s="29"/>
      <c r="Q300" s="448"/>
      <c r="R300" s="448"/>
      <c r="S300" s="448"/>
      <c r="T300" s="308"/>
      <c r="U300" s="540"/>
      <c r="V300" s="245"/>
      <c r="W300" s="245"/>
      <c r="X300" s="245"/>
      <c r="Y300" s="245"/>
      <c r="Z300" s="245"/>
      <c r="AA300" s="245"/>
      <c r="AB300" s="475"/>
      <c r="AC300" s="475"/>
      <c r="AD300" s="474"/>
      <c r="AE300" s="474"/>
      <c r="AF300" s="475"/>
      <c r="AG300" s="475"/>
      <c r="AH300" s="483"/>
      <c r="AI300" s="483"/>
      <c r="AJ300" s="252"/>
      <c r="AK300" s="252"/>
      <c r="AL300" s="485"/>
      <c r="AM300" s="485"/>
      <c r="AN300" s="485"/>
      <c r="AO300" s="475"/>
      <c r="AP300" s="475"/>
      <c r="AQ300" s="432" t="b">
        <v>0</v>
      </c>
      <c r="AR300" s="485"/>
      <c r="AS300" s="485"/>
      <c r="AT300" s="485"/>
      <c r="AU300" s="301"/>
      <c r="AV300" s="301"/>
      <c r="AW300" s="29"/>
      <c r="AX300" s="29"/>
      <c r="BB300" s="302"/>
      <c r="BC300" s="301"/>
      <c r="BD300" s="303"/>
      <c r="BE300" s="304"/>
      <c r="BF300" s="307"/>
      <c r="BG300" s="301"/>
      <c r="BH300" s="303"/>
      <c r="BI300" s="304"/>
      <c r="BK300" s="29"/>
      <c r="BL300" s="29"/>
      <c r="BQ300" s="308"/>
      <c r="BR300" s="308"/>
    </row>
    <row r="301" ht="12.75" spans="1:70">
      <c r="A301" s="29"/>
      <c r="B301" s="29"/>
      <c r="D301" s="29"/>
      <c r="F301" s="29" t="b">
        <v>0</v>
      </c>
      <c r="G301" s="29" t="b">
        <v>0</v>
      </c>
      <c r="H301" s="29" t="b">
        <v>0</v>
      </c>
      <c r="I301" s="29" t="b">
        <v>0</v>
      </c>
      <c r="J301" s="29" t="b">
        <v>0</v>
      </c>
      <c r="K301" s="29" t="b">
        <v>0</v>
      </c>
      <c r="L301" s="29" t="b">
        <v>0</v>
      </c>
      <c r="M301" s="432" t="b">
        <v>0</v>
      </c>
      <c r="N301" s="432" t="b">
        <v>0</v>
      </c>
      <c r="P301" s="29"/>
      <c r="Q301" s="448"/>
      <c r="R301" s="448"/>
      <c r="S301" s="448"/>
      <c r="T301" s="308"/>
      <c r="U301" s="540"/>
      <c r="V301" s="245"/>
      <c r="W301" s="245"/>
      <c r="X301" s="245"/>
      <c r="Y301" s="245"/>
      <c r="Z301" s="245"/>
      <c r="AA301" s="245"/>
      <c r="AB301" s="475"/>
      <c r="AC301" s="475"/>
      <c r="AD301" s="474"/>
      <c r="AE301" s="474"/>
      <c r="AF301" s="475"/>
      <c r="AG301" s="475"/>
      <c r="AH301" s="483"/>
      <c r="AI301" s="483"/>
      <c r="AJ301" s="252"/>
      <c r="AK301" s="252"/>
      <c r="AL301" s="485"/>
      <c r="AM301" s="485"/>
      <c r="AN301" s="485"/>
      <c r="AO301" s="475"/>
      <c r="AP301" s="475"/>
      <c r="AQ301" s="432" t="b">
        <v>0</v>
      </c>
      <c r="AR301" s="485"/>
      <c r="AS301" s="485"/>
      <c r="AT301" s="485"/>
      <c r="AU301" s="301"/>
      <c r="AV301" s="301"/>
      <c r="AW301" s="29"/>
      <c r="AX301" s="29"/>
      <c r="BB301" s="302"/>
      <c r="BC301" s="301"/>
      <c r="BD301" s="303"/>
      <c r="BE301" s="304"/>
      <c r="BF301" s="307"/>
      <c r="BG301" s="301"/>
      <c r="BH301" s="303"/>
      <c r="BI301" s="304"/>
      <c r="BK301" s="29"/>
      <c r="BL301" s="29"/>
      <c r="BQ301" s="308"/>
      <c r="BR301" s="308"/>
    </row>
    <row r="302" ht="12.75" spans="1:70">
      <c r="A302" s="29"/>
      <c r="B302" s="29"/>
      <c r="D302" s="29"/>
      <c r="F302" s="29" t="b">
        <v>0</v>
      </c>
      <c r="G302" s="29" t="b">
        <v>0</v>
      </c>
      <c r="H302" s="29" t="b">
        <v>0</v>
      </c>
      <c r="I302" s="29" t="b">
        <v>0</v>
      </c>
      <c r="J302" s="29" t="b">
        <v>0</v>
      </c>
      <c r="K302" s="29" t="b">
        <v>0</v>
      </c>
      <c r="L302" s="29" t="b">
        <v>0</v>
      </c>
      <c r="M302" s="432" t="b">
        <v>0</v>
      </c>
      <c r="N302" s="432" t="b">
        <v>0</v>
      </c>
      <c r="P302" s="29"/>
      <c r="Q302" s="448"/>
      <c r="R302" s="448"/>
      <c r="S302" s="448"/>
      <c r="T302" s="308"/>
      <c r="U302" s="540"/>
      <c r="V302" s="245"/>
      <c r="W302" s="245"/>
      <c r="X302" s="245"/>
      <c r="Y302" s="245"/>
      <c r="Z302" s="245"/>
      <c r="AA302" s="245"/>
      <c r="AB302" s="475"/>
      <c r="AC302" s="475"/>
      <c r="AD302" s="474"/>
      <c r="AE302" s="474"/>
      <c r="AF302" s="475"/>
      <c r="AG302" s="475"/>
      <c r="AH302" s="483"/>
      <c r="AI302" s="483"/>
      <c r="AJ302" s="252"/>
      <c r="AK302" s="252"/>
      <c r="AL302" s="485"/>
      <c r="AM302" s="485"/>
      <c r="AN302" s="485"/>
      <c r="AO302" s="475"/>
      <c r="AP302" s="475"/>
      <c r="AQ302" s="432" t="b">
        <v>0</v>
      </c>
      <c r="AR302" s="485"/>
      <c r="AS302" s="485"/>
      <c r="AT302" s="485"/>
      <c r="AU302" s="301"/>
      <c r="AV302" s="301"/>
      <c r="AW302" s="29"/>
      <c r="AX302" s="29"/>
      <c r="BB302" s="302"/>
      <c r="BC302" s="301"/>
      <c r="BD302" s="303"/>
      <c r="BE302" s="304"/>
      <c r="BF302" s="307"/>
      <c r="BG302" s="301"/>
      <c r="BH302" s="303"/>
      <c r="BI302" s="304"/>
      <c r="BK302" s="29"/>
      <c r="BL302" s="29"/>
      <c r="BQ302" s="308"/>
      <c r="BR302" s="308"/>
    </row>
    <row r="303" ht="12.75" spans="1:70">
      <c r="A303" s="29"/>
      <c r="B303" s="29"/>
      <c r="D303" s="29"/>
      <c r="F303" s="29" t="b">
        <v>0</v>
      </c>
      <c r="G303" s="29" t="b">
        <v>0</v>
      </c>
      <c r="H303" s="29" t="b">
        <v>0</v>
      </c>
      <c r="I303" s="29" t="b">
        <v>0</v>
      </c>
      <c r="J303" s="29" t="b">
        <v>0</v>
      </c>
      <c r="K303" s="29" t="b">
        <v>0</v>
      </c>
      <c r="L303" s="29" t="b">
        <v>0</v>
      </c>
      <c r="M303" s="432" t="b">
        <v>0</v>
      </c>
      <c r="N303" s="432" t="b">
        <v>0</v>
      </c>
      <c r="P303" s="29"/>
      <c r="Q303" s="448"/>
      <c r="R303" s="448"/>
      <c r="S303" s="448"/>
      <c r="T303" s="308"/>
      <c r="U303" s="540"/>
      <c r="V303" s="245"/>
      <c r="W303" s="245"/>
      <c r="X303" s="245"/>
      <c r="Y303" s="245"/>
      <c r="Z303" s="245"/>
      <c r="AA303" s="245"/>
      <c r="AB303" s="475"/>
      <c r="AC303" s="475"/>
      <c r="AD303" s="474"/>
      <c r="AE303" s="474"/>
      <c r="AF303" s="475"/>
      <c r="AG303" s="475"/>
      <c r="AH303" s="483"/>
      <c r="AI303" s="483"/>
      <c r="AJ303" s="252"/>
      <c r="AK303" s="252"/>
      <c r="AL303" s="485"/>
      <c r="AM303" s="485"/>
      <c r="AN303" s="485"/>
      <c r="AO303" s="475"/>
      <c r="AP303" s="475"/>
      <c r="AQ303" s="432" t="b">
        <v>0</v>
      </c>
      <c r="AR303" s="485"/>
      <c r="AS303" s="485"/>
      <c r="AT303" s="485"/>
      <c r="AU303" s="301"/>
      <c r="AV303" s="301"/>
      <c r="AW303" s="29"/>
      <c r="AX303" s="29"/>
      <c r="BB303" s="302"/>
      <c r="BC303" s="301"/>
      <c r="BD303" s="303"/>
      <c r="BE303" s="304"/>
      <c r="BF303" s="307"/>
      <c r="BG303" s="301"/>
      <c r="BH303" s="303"/>
      <c r="BI303" s="304"/>
      <c r="BK303" s="29"/>
      <c r="BL303" s="29"/>
      <c r="BQ303" s="308"/>
      <c r="BR303" s="308"/>
    </row>
    <row r="304" ht="12.75" spans="1:70">
      <c r="A304" s="29"/>
      <c r="B304" s="29"/>
      <c r="D304" s="29"/>
      <c r="F304" s="29" t="b">
        <v>0</v>
      </c>
      <c r="G304" s="29" t="b">
        <v>0</v>
      </c>
      <c r="H304" s="29" t="b">
        <v>0</v>
      </c>
      <c r="I304" s="29" t="b">
        <v>0</v>
      </c>
      <c r="J304" s="29" t="b">
        <v>0</v>
      </c>
      <c r="K304" s="29" t="b">
        <v>0</v>
      </c>
      <c r="L304" s="29" t="b">
        <v>0</v>
      </c>
      <c r="M304" s="432" t="b">
        <v>0</v>
      </c>
      <c r="N304" s="432" t="b">
        <v>0</v>
      </c>
      <c r="P304" s="29"/>
      <c r="Q304" s="448"/>
      <c r="R304" s="448"/>
      <c r="S304" s="448"/>
      <c r="T304" s="308"/>
      <c r="U304" s="540"/>
      <c r="V304" s="245"/>
      <c r="W304" s="245"/>
      <c r="X304" s="245"/>
      <c r="Y304" s="245"/>
      <c r="Z304" s="245"/>
      <c r="AA304" s="245"/>
      <c r="AB304" s="475"/>
      <c r="AC304" s="475"/>
      <c r="AD304" s="474"/>
      <c r="AE304" s="474"/>
      <c r="AF304" s="475"/>
      <c r="AG304" s="475"/>
      <c r="AH304" s="483"/>
      <c r="AI304" s="483"/>
      <c r="AJ304" s="252"/>
      <c r="AK304" s="252"/>
      <c r="AL304" s="485"/>
      <c r="AM304" s="485"/>
      <c r="AN304" s="485"/>
      <c r="AO304" s="475"/>
      <c r="AP304" s="475"/>
      <c r="AQ304" s="432" t="b">
        <v>0</v>
      </c>
      <c r="AR304" s="485"/>
      <c r="AS304" s="485"/>
      <c r="AT304" s="485"/>
      <c r="AU304" s="301"/>
      <c r="AV304" s="301"/>
      <c r="AW304" s="29"/>
      <c r="AX304" s="29"/>
      <c r="BB304" s="302"/>
      <c r="BC304" s="301"/>
      <c r="BD304" s="303"/>
      <c r="BE304" s="304"/>
      <c r="BF304" s="307"/>
      <c r="BG304" s="301"/>
      <c r="BH304" s="303"/>
      <c r="BI304" s="304"/>
      <c r="BK304" s="29"/>
      <c r="BL304" s="29"/>
      <c r="BQ304" s="308"/>
      <c r="BR304" s="308"/>
    </row>
    <row r="305" ht="12.75" spans="1:70">
      <c r="A305" s="29"/>
      <c r="B305" s="29"/>
      <c r="D305" s="29"/>
      <c r="F305" s="29" t="b">
        <v>0</v>
      </c>
      <c r="G305" s="29" t="b">
        <v>0</v>
      </c>
      <c r="H305" s="29" t="b">
        <v>0</v>
      </c>
      <c r="I305" s="29" t="b">
        <v>0</v>
      </c>
      <c r="J305" s="29" t="b">
        <v>0</v>
      </c>
      <c r="K305" s="29" t="b">
        <v>0</v>
      </c>
      <c r="L305" s="29" t="b">
        <v>0</v>
      </c>
      <c r="M305" s="432" t="b">
        <v>0</v>
      </c>
      <c r="N305" s="432" t="b">
        <v>0</v>
      </c>
      <c r="P305" s="29"/>
      <c r="Q305" s="448"/>
      <c r="R305" s="448"/>
      <c r="S305" s="448"/>
      <c r="T305" s="308"/>
      <c r="U305" s="540"/>
      <c r="V305" s="245"/>
      <c r="W305" s="245"/>
      <c r="X305" s="245"/>
      <c r="Y305" s="245"/>
      <c r="Z305" s="245"/>
      <c r="AA305" s="245"/>
      <c r="AB305" s="475"/>
      <c r="AC305" s="475"/>
      <c r="AD305" s="474"/>
      <c r="AE305" s="474"/>
      <c r="AF305" s="475"/>
      <c r="AG305" s="475"/>
      <c r="AH305" s="483"/>
      <c r="AI305" s="483"/>
      <c r="AJ305" s="252"/>
      <c r="AK305" s="252"/>
      <c r="AL305" s="485"/>
      <c r="AM305" s="485"/>
      <c r="AN305" s="485"/>
      <c r="AO305" s="475"/>
      <c r="AP305" s="475"/>
      <c r="AQ305" s="432" t="b">
        <v>0</v>
      </c>
      <c r="AR305" s="485"/>
      <c r="AS305" s="485"/>
      <c r="AT305" s="485"/>
      <c r="AU305" s="301"/>
      <c r="AV305" s="301"/>
      <c r="AW305" s="29"/>
      <c r="AX305" s="29"/>
      <c r="BB305" s="302"/>
      <c r="BC305" s="301"/>
      <c r="BD305" s="303"/>
      <c r="BE305" s="304"/>
      <c r="BF305" s="307"/>
      <c r="BG305" s="301"/>
      <c r="BH305" s="303"/>
      <c r="BI305" s="304"/>
      <c r="BK305" s="29"/>
      <c r="BL305" s="29"/>
      <c r="BQ305" s="308"/>
      <c r="BR305" s="308"/>
    </row>
    <row r="306" ht="12.75" spans="1:70">
      <c r="A306" s="29"/>
      <c r="B306" s="29"/>
      <c r="D306" s="29"/>
      <c r="F306" s="29" t="b">
        <v>0</v>
      </c>
      <c r="G306" s="29" t="b">
        <v>0</v>
      </c>
      <c r="H306" s="29" t="b">
        <v>0</v>
      </c>
      <c r="I306" s="29" t="b">
        <v>0</v>
      </c>
      <c r="J306" s="29" t="b">
        <v>0</v>
      </c>
      <c r="K306" s="29" t="b">
        <v>0</v>
      </c>
      <c r="L306" s="29" t="b">
        <v>0</v>
      </c>
      <c r="M306" s="432" t="b">
        <v>0</v>
      </c>
      <c r="N306" s="432" t="b">
        <v>0</v>
      </c>
      <c r="P306" s="29"/>
      <c r="Q306" s="448"/>
      <c r="R306" s="448"/>
      <c r="S306" s="448"/>
      <c r="T306" s="308"/>
      <c r="U306" s="540"/>
      <c r="V306" s="245"/>
      <c r="W306" s="245"/>
      <c r="X306" s="245"/>
      <c r="Y306" s="245"/>
      <c r="Z306" s="245"/>
      <c r="AA306" s="245"/>
      <c r="AB306" s="475"/>
      <c r="AC306" s="475"/>
      <c r="AD306" s="474"/>
      <c r="AE306" s="474"/>
      <c r="AF306" s="475"/>
      <c r="AG306" s="475"/>
      <c r="AH306" s="483"/>
      <c r="AI306" s="483"/>
      <c r="AJ306" s="252"/>
      <c r="AK306" s="252"/>
      <c r="AL306" s="485"/>
      <c r="AM306" s="485"/>
      <c r="AN306" s="485"/>
      <c r="AO306" s="475"/>
      <c r="AP306" s="475"/>
      <c r="AQ306" s="432" t="b">
        <v>0</v>
      </c>
      <c r="AR306" s="485"/>
      <c r="AS306" s="485"/>
      <c r="AT306" s="485"/>
      <c r="AU306" s="301"/>
      <c r="AV306" s="301"/>
      <c r="AW306" s="29"/>
      <c r="AX306" s="29"/>
      <c r="BB306" s="302"/>
      <c r="BC306" s="301"/>
      <c r="BD306" s="303"/>
      <c r="BE306" s="304"/>
      <c r="BF306" s="307"/>
      <c r="BG306" s="301"/>
      <c r="BH306" s="303"/>
      <c r="BI306" s="304"/>
      <c r="BK306" s="29"/>
      <c r="BL306" s="29"/>
      <c r="BQ306" s="308"/>
      <c r="BR306" s="308"/>
    </row>
    <row r="307" ht="12.75" spans="1:70">
      <c r="A307" s="29"/>
      <c r="B307" s="29"/>
      <c r="D307" s="29"/>
      <c r="F307" s="29" t="b">
        <v>0</v>
      </c>
      <c r="G307" s="29" t="b">
        <v>0</v>
      </c>
      <c r="H307" s="29" t="b">
        <v>0</v>
      </c>
      <c r="I307" s="29" t="b">
        <v>0</v>
      </c>
      <c r="J307" s="29" t="b">
        <v>0</v>
      </c>
      <c r="K307" s="29" t="b">
        <v>0</v>
      </c>
      <c r="L307" s="29" t="b">
        <v>0</v>
      </c>
      <c r="M307" s="432" t="b">
        <v>0</v>
      </c>
      <c r="N307" s="432" t="b">
        <v>0</v>
      </c>
      <c r="P307" s="29"/>
      <c r="Q307" s="448"/>
      <c r="R307" s="448"/>
      <c r="S307" s="448"/>
      <c r="T307" s="308"/>
      <c r="U307" s="540"/>
      <c r="V307" s="245"/>
      <c r="W307" s="245"/>
      <c r="X307" s="245"/>
      <c r="Y307" s="245"/>
      <c r="Z307" s="245"/>
      <c r="AA307" s="245"/>
      <c r="AB307" s="475"/>
      <c r="AC307" s="475"/>
      <c r="AD307" s="474"/>
      <c r="AE307" s="474"/>
      <c r="AF307" s="475"/>
      <c r="AG307" s="475"/>
      <c r="AH307" s="483"/>
      <c r="AI307" s="483"/>
      <c r="AJ307" s="252"/>
      <c r="AK307" s="252"/>
      <c r="AL307" s="485"/>
      <c r="AM307" s="485"/>
      <c r="AN307" s="485"/>
      <c r="AO307" s="475"/>
      <c r="AP307" s="475"/>
      <c r="AQ307" s="432" t="b">
        <v>0</v>
      </c>
      <c r="AR307" s="485"/>
      <c r="AS307" s="485"/>
      <c r="AT307" s="485"/>
      <c r="AU307" s="301"/>
      <c r="AV307" s="301"/>
      <c r="AW307" s="29"/>
      <c r="AX307" s="29"/>
      <c r="BB307" s="302"/>
      <c r="BC307" s="301"/>
      <c r="BD307" s="303"/>
      <c r="BE307" s="304"/>
      <c r="BF307" s="307"/>
      <c r="BG307" s="301"/>
      <c r="BH307" s="303"/>
      <c r="BI307" s="304"/>
      <c r="BK307" s="29"/>
      <c r="BL307" s="29"/>
      <c r="BQ307" s="308"/>
      <c r="BR307" s="308"/>
    </row>
    <row r="308" ht="12.75" spans="1:70">
      <c r="A308" s="29"/>
      <c r="B308" s="29"/>
      <c r="D308" s="29"/>
      <c r="F308" s="29" t="b">
        <v>0</v>
      </c>
      <c r="G308" s="29" t="b">
        <v>0</v>
      </c>
      <c r="H308" s="29" t="b">
        <v>0</v>
      </c>
      <c r="I308" s="29" t="b">
        <v>0</v>
      </c>
      <c r="J308" s="29" t="b">
        <v>0</v>
      </c>
      <c r="K308" s="29" t="b">
        <v>0</v>
      </c>
      <c r="L308" s="29" t="b">
        <v>0</v>
      </c>
      <c r="M308" s="432" t="b">
        <v>0</v>
      </c>
      <c r="N308" s="432" t="b">
        <v>0</v>
      </c>
      <c r="P308" s="29"/>
      <c r="Q308" s="448"/>
      <c r="R308" s="448"/>
      <c r="S308" s="448"/>
      <c r="T308" s="308"/>
      <c r="U308" s="540"/>
      <c r="V308" s="245"/>
      <c r="W308" s="245"/>
      <c r="X308" s="245"/>
      <c r="Y308" s="245"/>
      <c r="Z308" s="245"/>
      <c r="AA308" s="245"/>
      <c r="AB308" s="475"/>
      <c r="AC308" s="475"/>
      <c r="AD308" s="474"/>
      <c r="AE308" s="474"/>
      <c r="AF308" s="475"/>
      <c r="AG308" s="475"/>
      <c r="AH308" s="483"/>
      <c r="AI308" s="483"/>
      <c r="AJ308" s="252"/>
      <c r="AK308" s="252"/>
      <c r="AL308" s="485"/>
      <c r="AM308" s="485"/>
      <c r="AN308" s="485"/>
      <c r="AO308" s="475"/>
      <c r="AP308" s="475"/>
      <c r="AQ308" s="432" t="b">
        <v>0</v>
      </c>
      <c r="AR308" s="485"/>
      <c r="AS308" s="485"/>
      <c r="AT308" s="485"/>
      <c r="AU308" s="301"/>
      <c r="AV308" s="301"/>
      <c r="AW308" s="29"/>
      <c r="AX308" s="29"/>
      <c r="BB308" s="302"/>
      <c r="BC308" s="301"/>
      <c r="BD308" s="303"/>
      <c r="BE308" s="304"/>
      <c r="BF308" s="307"/>
      <c r="BG308" s="301"/>
      <c r="BH308" s="303"/>
      <c r="BI308" s="304"/>
      <c r="BK308" s="29"/>
      <c r="BL308" s="29"/>
      <c r="BQ308" s="308"/>
      <c r="BR308" s="308"/>
    </row>
    <row r="309" ht="12.75" spans="1:70">
      <c r="A309" s="29"/>
      <c r="B309" s="29"/>
      <c r="D309" s="29"/>
      <c r="F309" s="29" t="b">
        <v>0</v>
      </c>
      <c r="G309" s="29" t="b">
        <v>0</v>
      </c>
      <c r="H309" s="29" t="b">
        <v>0</v>
      </c>
      <c r="I309" s="29" t="b">
        <v>0</v>
      </c>
      <c r="J309" s="29" t="b">
        <v>0</v>
      </c>
      <c r="K309" s="29" t="b">
        <v>0</v>
      </c>
      <c r="L309" s="29" t="b">
        <v>0</v>
      </c>
      <c r="M309" s="432" t="b">
        <v>0</v>
      </c>
      <c r="N309" s="432" t="b">
        <v>0</v>
      </c>
      <c r="P309" s="29"/>
      <c r="Q309" s="448"/>
      <c r="R309" s="448"/>
      <c r="S309" s="448"/>
      <c r="T309" s="308"/>
      <c r="U309" s="540"/>
      <c r="V309" s="245"/>
      <c r="W309" s="245"/>
      <c r="X309" s="245"/>
      <c r="Y309" s="245"/>
      <c r="Z309" s="245"/>
      <c r="AA309" s="245"/>
      <c r="AB309" s="475"/>
      <c r="AC309" s="475"/>
      <c r="AD309" s="474"/>
      <c r="AE309" s="474"/>
      <c r="AF309" s="475"/>
      <c r="AG309" s="475"/>
      <c r="AH309" s="483"/>
      <c r="AI309" s="483"/>
      <c r="AJ309" s="252"/>
      <c r="AK309" s="252"/>
      <c r="AL309" s="485"/>
      <c r="AM309" s="485"/>
      <c r="AN309" s="485"/>
      <c r="AO309" s="475"/>
      <c r="AP309" s="475"/>
      <c r="AQ309" s="432" t="b">
        <v>0</v>
      </c>
      <c r="AR309" s="485"/>
      <c r="AS309" s="485"/>
      <c r="AT309" s="485"/>
      <c r="AU309" s="301"/>
      <c r="AV309" s="301"/>
      <c r="AW309" s="29"/>
      <c r="AX309" s="29"/>
      <c r="BB309" s="302"/>
      <c r="BC309" s="301"/>
      <c r="BD309" s="303"/>
      <c r="BE309" s="304"/>
      <c r="BF309" s="307"/>
      <c r="BG309" s="301"/>
      <c r="BH309" s="303"/>
      <c r="BI309" s="304"/>
      <c r="BK309" s="29"/>
      <c r="BL309" s="29"/>
      <c r="BQ309" s="308"/>
      <c r="BR309" s="308"/>
    </row>
    <row r="310" ht="12.75" spans="1:70">
      <c r="A310" s="29"/>
      <c r="B310" s="29"/>
      <c r="D310" s="29"/>
      <c r="F310" s="29" t="b">
        <v>0</v>
      </c>
      <c r="G310" s="29" t="b">
        <v>0</v>
      </c>
      <c r="H310" s="29" t="b">
        <v>0</v>
      </c>
      <c r="I310" s="29" t="b">
        <v>0</v>
      </c>
      <c r="J310" s="29" t="b">
        <v>0</v>
      </c>
      <c r="K310" s="29" t="b">
        <v>0</v>
      </c>
      <c r="L310" s="29" t="b">
        <v>0</v>
      </c>
      <c r="M310" s="432" t="b">
        <v>0</v>
      </c>
      <c r="N310" s="432" t="b">
        <v>0</v>
      </c>
      <c r="P310" s="29"/>
      <c r="Q310" s="448"/>
      <c r="R310" s="448"/>
      <c r="S310" s="448"/>
      <c r="T310" s="308"/>
      <c r="U310" s="540"/>
      <c r="V310" s="245"/>
      <c r="W310" s="245"/>
      <c r="X310" s="245"/>
      <c r="Y310" s="245"/>
      <c r="Z310" s="245"/>
      <c r="AA310" s="245"/>
      <c r="AB310" s="475"/>
      <c r="AC310" s="475"/>
      <c r="AD310" s="474"/>
      <c r="AE310" s="474"/>
      <c r="AF310" s="475"/>
      <c r="AG310" s="475"/>
      <c r="AH310" s="483"/>
      <c r="AI310" s="483"/>
      <c r="AJ310" s="252"/>
      <c r="AK310" s="252"/>
      <c r="AL310" s="485"/>
      <c r="AM310" s="485"/>
      <c r="AN310" s="485"/>
      <c r="AO310" s="475"/>
      <c r="AP310" s="475"/>
      <c r="AQ310" s="432" t="b">
        <v>0</v>
      </c>
      <c r="AR310" s="485"/>
      <c r="AS310" s="485"/>
      <c r="AT310" s="485"/>
      <c r="AU310" s="301"/>
      <c r="AV310" s="301"/>
      <c r="AW310" s="29"/>
      <c r="AX310" s="29"/>
      <c r="BB310" s="302"/>
      <c r="BC310" s="301"/>
      <c r="BD310" s="303"/>
      <c r="BE310" s="304"/>
      <c r="BF310" s="307"/>
      <c r="BG310" s="301"/>
      <c r="BH310" s="303"/>
      <c r="BI310" s="304"/>
      <c r="BK310" s="29"/>
      <c r="BL310" s="29"/>
      <c r="BQ310" s="308"/>
      <c r="BR310" s="308"/>
    </row>
    <row r="311" ht="12.75" spans="1:70">
      <c r="A311" s="29"/>
      <c r="B311" s="29"/>
      <c r="D311" s="29"/>
      <c r="F311" s="29" t="b">
        <v>0</v>
      </c>
      <c r="G311" s="29" t="b">
        <v>0</v>
      </c>
      <c r="H311" s="29" t="b">
        <v>0</v>
      </c>
      <c r="I311" s="29" t="b">
        <v>0</v>
      </c>
      <c r="J311" s="29" t="b">
        <v>0</v>
      </c>
      <c r="K311" s="29" t="b">
        <v>0</v>
      </c>
      <c r="L311" s="29" t="b">
        <v>0</v>
      </c>
      <c r="M311" s="432" t="b">
        <v>0</v>
      </c>
      <c r="N311" s="432" t="b">
        <v>0</v>
      </c>
      <c r="P311" s="29"/>
      <c r="Q311" s="448"/>
      <c r="R311" s="448"/>
      <c r="S311" s="448"/>
      <c r="T311" s="308"/>
      <c r="U311" s="540"/>
      <c r="V311" s="245"/>
      <c r="W311" s="245"/>
      <c r="X311" s="245"/>
      <c r="Y311" s="245"/>
      <c r="Z311" s="245"/>
      <c r="AA311" s="245"/>
      <c r="AB311" s="475"/>
      <c r="AC311" s="475"/>
      <c r="AD311" s="474"/>
      <c r="AE311" s="474"/>
      <c r="AF311" s="475"/>
      <c r="AG311" s="475"/>
      <c r="AH311" s="483"/>
      <c r="AI311" s="483"/>
      <c r="AJ311" s="252"/>
      <c r="AK311" s="252"/>
      <c r="AL311" s="485"/>
      <c r="AM311" s="485"/>
      <c r="AN311" s="485"/>
      <c r="AO311" s="475"/>
      <c r="AP311" s="475"/>
      <c r="AQ311" s="432" t="b">
        <v>0</v>
      </c>
      <c r="AR311" s="485"/>
      <c r="AS311" s="485"/>
      <c r="AT311" s="485"/>
      <c r="AU311" s="301"/>
      <c r="AV311" s="301"/>
      <c r="AW311" s="29"/>
      <c r="AX311" s="29"/>
      <c r="BB311" s="302"/>
      <c r="BC311" s="301"/>
      <c r="BD311" s="303"/>
      <c r="BE311" s="304"/>
      <c r="BF311" s="307"/>
      <c r="BG311" s="301"/>
      <c r="BH311" s="303"/>
      <c r="BI311" s="304"/>
      <c r="BK311" s="29"/>
      <c r="BL311" s="29"/>
      <c r="BQ311" s="308"/>
      <c r="BR311" s="308"/>
    </row>
    <row r="312" ht="12.75" spans="1:70">
      <c r="A312" s="29"/>
      <c r="B312" s="29"/>
      <c r="D312" s="29"/>
      <c r="F312" s="29" t="b">
        <v>0</v>
      </c>
      <c r="G312" s="29" t="b">
        <v>0</v>
      </c>
      <c r="H312" s="29" t="b">
        <v>0</v>
      </c>
      <c r="I312" s="29" t="b">
        <v>0</v>
      </c>
      <c r="J312" s="29" t="b">
        <v>0</v>
      </c>
      <c r="K312" s="29" t="b">
        <v>0</v>
      </c>
      <c r="L312" s="29" t="b">
        <v>0</v>
      </c>
      <c r="M312" s="432" t="b">
        <v>0</v>
      </c>
      <c r="N312" s="432" t="b">
        <v>0</v>
      </c>
      <c r="P312" s="29"/>
      <c r="Q312" s="448"/>
      <c r="R312" s="448"/>
      <c r="S312" s="448"/>
      <c r="T312" s="308"/>
      <c r="U312" s="540"/>
      <c r="V312" s="245"/>
      <c r="W312" s="245"/>
      <c r="X312" s="245"/>
      <c r="Y312" s="245"/>
      <c r="Z312" s="245"/>
      <c r="AA312" s="245"/>
      <c r="AB312" s="475"/>
      <c r="AC312" s="475"/>
      <c r="AD312" s="474"/>
      <c r="AE312" s="474"/>
      <c r="AF312" s="475"/>
      <c r="AG312" s="475"/>
      <c r="AH312" s="483"/>
      <c r="AI312" s="483"/>
      <c r="AJ312" s="252"/>
      <c r="AK312" s="252"/>
      <c r="AL312" s="485"/>
      <c r="AM312" s="485"/>
      <c r="AN312" s="485"/>
      <c r="AO312" s="475"/>
      <c r="AP312" s="475"/>
      <c r="AQ312" s="432" t="b">
        <v>0</v>
      </c>
      <c r="AR312" s="485"/>
      <c r="AS312" s="485"/>
      <c r="AT312" s="485"/>
      <c r="AU312" s="301"/>
      <c r="AV312" s="301"/>
      <c r="AW312" s="29"/>
      <c r="AX312" s="29"/>
      <c r="BB312" s="302"/>
      <c r="BC312" s="301"/>
      <c r="BD312" s="303"/>
      <c r="BE312" s="304"/>
      <c r="BF312" s="307"/>
      <c r="BG312" s="301"/>
      <c r="BH312" s="303"/>
      <c r="BI312" s="304"/>
      <c r="BK312" s="29"/>
      <c r="BL312" s="29"/>
      <c r="BQ312" s="308"/>
      <c r="BR312" s="308"/>
    </row>
    <row r="313" ht="12.75" spans="1:70">
      <c r="A313" s="29"/>
      <c r="B313" s="29"/>
      <c r="D313" s="29"/>
      <c r="F313" s="29" t="b">
        <v>0</v>
      </c>
      <c r="G313" s="29" t="b">
        <v>0</v>
      </c>
      <c r="H313" s="29" t="b">
        <v>0</v>
      </c>
      <c r="I313" s="29" t="b">
        <v>0</v>
      </c>
      <c r="J313" s="29" t="b">
        <v>0</v>
      </c>
      <c r="K313" s="29" t="b">
        <v>0</v>
      </c>
      <c r="L313" s="29" t="b">
        <v>0</v>
      </c>
      <c r="M313" s="432" t="b">
        <v>0</v>
      </c>
      <c r="N313" s="432" t="b">
        <v>0</v>
      </c>
      <c r="P313" s="29"/>
      <c r="Q313" s="448"/>
      <c r="R313" s="448"/>
      <c r="S313" s="448"/>
      <c r="T313" s="308"/>
      <c r="U313" s="540"/>
      <c r="V313" s="245"/>
      <c r="W313" s="245"/>
      <c r="X313" s="245"/>
      <c r="Y313" s="245"/>
      <c r="Z313" s="245"/>
      <c r="AA313" s="245"/>
      <c r="AB313" s="475"/>
      <c r="AC313" s="475"/>
      <c r="AD313" s="474"/>
      <c r="AE313" s="474"/>
      <c r="AF313" s="475"/>
      <c r="AG313" s="475"/>
      <c r="AH313" s="483"/>
      <c r="AI313" s="483"/>
      <c r="AJ313" s="252"/>
      <c r="AK313" s="252"/>
      <c r="AL313" s="485"/>
      <c r="AM313" s="485"/>
      <c r="AN313" s="485"/>
      <c r="AO313" s="475"/>
      <c r="AP313" s="475"/>
      <c r="AQ313" s="432" t="b">
        <v>0</v>
      </c>
      <c r="AR313" s="485"/>
      <c r="AS313" s="485"/>
      <c r="AT313" s="485"/>
      <c r="AU313" s="301"/>
      <c r="AV313" s="301"/>
      <c r="AW313" s="29"/>
      <c r="AX313" s="29"/>
      <c r="BB313" s="302"/>
      <c r="BC313" s="301"/>
      <c r="BD313" s="303"/>
      <c r="BE313" s="304"/>
      <c r="BF313" s="307"/>
      <c r="BG313" s="301"/>
      <c r="BH313" s="303"/>
      <c r="BI313" s="304"/>
      <c r="BK313" s="29"/>
      <c r="BL313" s="29"/>
      <c r="BQ313" s="308"/>
      <c r="BR313" s="308"/>
    </row>
    <row r="314" ht="12.75" spans="1:70">
      <c r="A314" s="29"/>
      <c r="B314" s="29"/>
      <c r="D314" s="29"/>
      <c r="F314" s="29" t="b">
        <v>0</v>
      </c>
      <c r="G314" s="29" t="b">
        <v>0</v>
      </c>
      <c r="H314" s="29" t="b">
        <v>0</v>
      </c>
      <c r="I314" s="29" t="b">
        <v>0</v>
      </c>
      <c r="J314" s="29" t="b">
        <v>0</v>
      </c>
      <c r="K314" s="29" t="b">
        <v>0</v>
      </c>
      <c r="L314" s="29" t="b">
        <v>0</v>
      </c>
      <c r="M314" s="432" t="b">
        <v>0</v>
      </c>
      <c r="N314" s="432" t="b">
        <v>0</v>
      </c>
      <c r="P314" s="29"/>
      <c r="Q314" s="448"/>
      <c r="R314" s="448"/>
      <c r="S314" s="448"/>
      <c r="T314" s="308"/>
      <c r="U314" s="540"/>
      <c r="V314" s="245"/>
      <c r="W314" s="245"/>
      <c r="X314" s="245"/>
      <c r="Y314" s="245"/>
      <c r="Z314" s="245"/>
      <c r="AA314" s="245"/>
      <c r="AB314" s="475"/>
      <c r="AC314" s="475"/>
      <c r="AD314" s="474"/>
      <c r="AE314" s="474"/>
      <c r="AF314" s="475"/>
      <c r="AG314" s="475"/>
      <c r="AH314" s="483"/>
      <c r="AI314" s="483"/>
      <c r="AJ314" s="252"/>
      <c r="AK314" s="252"/>
      <c r="AL314" s="485"/>
      <c r="AM314" s="485"/>
      <c r="AN314" s="485"/>
      <c r="AO314" s="475"/>
      <c r="AP314" s="475"/>
      <c r="AQ314" s="432" t="b">
        <v>0</v>
      </c>
      <c r="AR314" s="485"/>
      <c r="AS314" s="485"/>
      <c r="AT314" s="485"/>
      <c r="AU314" s="301"/>
      <c r="AV314" s="301"/>
      <c r="AW314" s="29"/>
      <c r="AX314" s="29"/>
      <c r="BB314" s="302"/>
      <c r="BC314" s="301"/>
      <c r="BD314" s="303"/>
      <c r="BE314" s="304"/>
      <c r="BF314" s="307"/>
      <c r="BG314" s="301"/>
      <c r="BH314" s="303"/>
      <c r="BI314" s="304"/>
      <c r="BK314" s="29"/>
      <c r="BL314" s="29"/>
      <c r="BQ314" s="308"/>
      <c r="BR314" s="308"/>
    </row>
    <row r="315" ht="12.75" spans="1:70">
      <c r="A315" s="29"/>
      <c r="B315" s="29"/>
      <c r="D315" s="29"/>
      <c r="F315" s="29" t="b">
        <v>0</v>
      </c>
      <c r="G315" s="29" t="b">
        <v>0</v>
      </c>
      <c r="H315" s="29" t="b">
        <v>0</v>
      </c>
      <c r="I315" s="29" t="b">
        <v>0</v>
      </c>
      <c r="J315" s="29" t="b">
        <v>0</v>
      </c>
      <c r="K315" s="29" t="b">
        <v>0</v>
      </c>
      <c r="L315" s="29" t="b">
        <v>0</v>
      </c>
      <c r="M315" s="432" t="b">
        <v>0</v>
      </c>
      <c r="N315" s="432" t="b">
        <v>0</v>
      </c>
      <c r="P315" s="29"/>
      <c r="Q315" s="448"/>
      <c r="R315" s="448"/>
      <c r="S315" s="448"/>
      <c r="T315" s="308"/>
      <c r="U315" s="540"/>
      <c r="V315" s="245"/>
      <c r="W315" s="245"/>
      <c r="X315" s="245"/>
      <c r="Y315" s="245"/>
      <c r="Z315" s="245"/>
      <c r="AA315" s="245"/>
      <c r="AB315" s="475"/>
      <c r="AC315" s="475"/>
      <c r="AD315" s="474"/>
      <c r="AE315" s="474"/>
      <c r="AF315" s="475"/>
      <c r="AG315" s="475"/>
      <c r="AH315" s="483"/>
      <c r="AI315" s="483"/>
      <c r="AJ315" s="252"/>
      <c r="AK315" s="252"/>
      <c r="AL315" s="485"/>
      <c r="AM315" s="485"/>
      <c r="AN315" s="485"/>
      <c r="AO315" s="475"/>
      <c r="AP315" s="475"/>
      <c r="AQ315" s="432" t="b">
        <v>0</v>
      </c>
      <c r="AR315" s="485"/>
      <c r="AS315" s="485"/>
      <c r="AT315" s="485"/>
      <c r="AU315" s="301"/>
      <c r="AV315" s="301"/>
      <c r="AW315" s="29"/>
      <c r="AX315" s="29"/>
      <c r="BB315" s="302"/>
      <c r="BC315" s="301"/>
      <c r="BD315" s="303"/>
      <c r="BE315" s="304"/>
      <c r="BF315" s="307"/>
      <c r="BG315" s="301"/>
      <c r="BH315" s="303"/>
      <c r="BI315" s="304"/>
      <c r="BK315" s="29"/>
      <c r="BL315" s="29"/>
      <c r="BQ315" s="308"/>
      <c r="BR315" s="308"/>
    </row>
    <row r="316" ht="12.75" spans="1:70">
      <c r="A316" s="29"/>
      <c r="B316" s="29"/>
      <c r="D316" s="29"/>
      <c r="F316" s="29" t="b">
        <v>0</v>
      </c>
      <c r="G316" s="29" t="b">
        <v>0</v>
      </c>
      <c r="H316" s="29" t="b">
        <v>0</v>
      </c>
      <c r="I316" s="29" t="b">
        <v>0</v>
      </c>
      <c r="J316" s="29" t="b">
        <v>0</v>
      </c>
      <c r="K316" s="29" t="b">
        <v>0</v>
      </c>
      <c r="L316" s="29" t="b">
        <v>0</v>
      </c>
      <c r="M316" s="432" t="b">
        <v>0</v>
      </c>
      <c r="N316" s="432" t="b">
        <v>0</v>
      </c>
      <c r="P316" s="29"/>
      <c r="Q316" s="448"/>
      <c r="R316" s="448"/>
      <c r="S316" s="448"/>
      <c r="T316" s="308"/>
      <c r="U316" s="540"/>
      <c r="V316" s="245"/>
      <c r="W316" s="245"/>
      <c r="X316" s="245"/>
      <c r="Y316" s="245"/>
      <c r="Z316" s="245"/>
      <c r="AA316" s="245"/>
      <c r="AB316" s="475"/>
      <c r="AC316" s="475"/>
      <c r="AD316" s="474"/>
      <c r="AE316" s="474"/>
      <c r="AF316" s="475"/>
      <c r="AG316" s="475"/>
      <c r="AH316" s="483"/>
      <c r="AI316" s="483"/>
      <c r="AJ316" s="252"/>
      <c r="AK316" s="252"/>
      <c r="AL316" s="485"/>
      <c r="AM316" s="485"/>
      <c r="AN316" s="485"/>
      <c r="AO316" s="475"/>
      <c r="AP316" s="475"/>
      <c r="AQ316" s="432" t="b">
        <v>0</v>
      </c>
      <c r="AR316" s="485"/>
      <c r="AS316" s="485"/>
      <c r="AT316" s="485"/>
      <c r="AU316" s="301"/>
      <c r="AV316" s="301"/>
      <c r="AW316" s="29"/>
      <c r="AX316" s="29"/>
      <c r="BB316" s="302"/>
      <c r="BC316" s="301"/>
      <c r="BD316" s="303"/>
      <c r="BE316" s="304"/>
      <c r="BF316" s="307"/>
      <c r="BG316" s="301"/>
      <c r="BH316" s="303"/>
      <c r="BI316" s="304"/>
      <c r="BK316" s="29"/>
      <c r="BL316" s="29"/>
      <c r="BQ316" s="308"/>
      <c r="BR316" s="308"/>
    </row>
    <row r="317" ht="12.75" spans="1:70">
      <c r="A317" s="29"/>
      <c r="B317" s="29"/>
      <c r="D317" s="29"/>
      <c r="F317" s="29" t="b">
        <v>0</v>
      </c>
      <c r="G317" s="29" t="b">
        <v>0</v>
      </c>
      <c r="H317" s="29" t="b">
        <v>0</v>
      </c>
      <c r="I317" s="29" t="b">
        <v>0</v>
      </c>
      <c r="J317" s="29" t="b">
        <v>0</v>
      </c>
      <c r="K317" s="29" t="b">
        <v>0</v>
      </c>
      <c r="L317" s="29" t="b">
        <v>0</v>
      </c>
      <c r="M317" s="432" t="b">
        <v>0</v>
      </c>
      <c r="N317" s="432" t="b">
        <v>0</v>
      </c>
      <c r="P317" s="29"/>
      <c r="Q317" s="448"/>
      <c r="R317" s="448"/>
      <c r="S317" s="448"/>
      <c r="T317" s="308"/>
      <c r="U317" s="540"/>
      <c r="V317" s="245"/>
      <c r="W317" s="245"/>
      <c r="X317" s="245"/>
      <c r="Y317" s="245"/>
      <c r="Z317" s="245"/>
      <c r="AA317" s="245"/>
      <c r="AB317" s="475"/>
      <c r="AC317" s="475"/>
      <c r="AD317" s="474"/>
      <c r="AE317" s="474"/>
      <c r="AF317" s="475"/>
      <c r="AG317" s="475"/>
      <c r="AH317" s="483"/>
      <c r="AI317" s="483"/>
      <c r="AJ317" s="252"/>
      <c r="AK317" s="252"/>
      <c r="AL317" s="485"/>
      <c r="AM317" s="485"/>
      <c r="AN317" s="485"/>
      <c r="AO317" s="475"/>
      <c r="AP317" s="475"/>
      <c r="AQ317" s="432" t="b">
        <v>0</v>
      </c>
      <c r="AR317" s="485"/>
      <c r="AS317" s="485"/>
      <c r="AT317" s="485"/>
      <c r="AU317" s="301"/>
      <c r="AV317" s="301"/>
      <c r="AW317" s="29"/>
      <c r="AX317" s="29"/>
      <c r="BB317" s="302"/>
      <c r="BC317" s="301"/>
      <c r="BD317" s="303"/>
      <c r="BE317" s="304"/>
      <c r="BF317" s="307"/>
      <c r="BG317" s="301"/>
      <c r="BH317" s="303"/>
      <c r="BI317" s="304"/>
      <c r="BK317" s="29"/>
      <c r="BL317" s="29"/>
      <c r="BQ317" s="308"/>
      <c r="BR317" s="308"/>
    </row>
    <row r="318" ht="12.75" spans="1:70">
      <c r="A318" s="29"/>
      <c r="B318" s="29"/>
      <c r="D318" s="29"/>
      <c r="F318" s="29" t="b">
        <v>0</v>
      </c>
      <c r="G318" s="29" t="b">
        <v>0</v>
      </c>
      <c r="H318" s="29" t="b">
        <v>0</v>
      </c>
      <c r="I318" s="29" t="b">
        <v>0</v>
      </c>
      <c r="J318" s="29" t="b">
        <v>0</v>
      </c>
      <c r="K318" s="29" t="b">
        <v>0</v>
      </c>
      <c r="L318" s="29" t="b">
        <v>0</v>
      </c>
      <c r="M318" s="432" t="b">
        <v>0</v>
      </c>
      <c r="N318" s="432" t="b">
        <v>0</v>
      </c>
      <c r="P318" s="29"/>
      <c r="Q318" s="448"/>
      <c r="R318" s="448"/>
      <c r="S318" s="448"/>
      <c r="T318" s="308"/>
      <c r="U318" s="540"/>
      <c r="V318" s="245"/>
      <c r="W318" s="245"/>
      <c r="X318" s="245"/>
      <c r="Y318" s="245"/>
      <c r="Z318" s="245"/>
      <c r="AA318" s="245"/>
      <c r="AB318" s="475"/>
      <c r="AC318" s="475"/>
      <c r="AD318" s="474"/>
      <c r="AE318" s="474"/>
      <c r="AF318" s="475"/>
      <c r="AG318" s="475"/>
      <c r="AH318" s="483"/>
      <c r="AI318" s="483"/>
      <c r="AJ318" s="252"/>
      <c r="AK318" s="252"/>
      <c r="AL318" s="485"/>
      <c r="AM318" s="485"/>
      <c r="AN318" s="485"/>
      <c r="AO318" s="475"/>
      <c r="AP318" s="475"/>
      <c r="AQ318" s="432" t="b">
        <v>0</v>
      </c>
      <c r="AR318" s="485"/>
      <c r="AS318" s="485"/>
      <c r="AT318" s="485"/>
      <c r="AU318" s="301"/>
      <c r="AV318" s="301"/>
      <c r="AW318" s="29"/>
      <c r="AX318" s="29"/>
      <c r="BB318" s="302"/>
      <c r="BC318" s="301"/>
      <c r="BD318" s="303"/>
      <c r="BE318" s="304"/>
      <c r="BF318" s="307"/>
      <c r="BG318" s="301"/>
      <c r="BH318" s="303"/>
      <c r="BI318" s="304"/>
      <c r="BK318" s="29"/>
      <c r="BL318" s="29"/>
      <c r="BQ318" s="308"/>
      <c r="BR318" s="308"/>
    </row>
    <row r="319" ht="12.75" spans="1:70">
      <c r="A319" s="29"/>
      <c r="B319" s="29"/>
      <c r="D319" s="29"/>
      <c r="F319" s="29" t="b">
        <v>0</v>
      </c>
      <c r="G319" s="29" t="b">
        <v>0</v>
      </c>
      <c r="H319" s="29" t="b">
        <v>0</v>
      </c>
      <c r="I319" s="29" t="b">
        <v>0</v>
      </c>
      <c r="J319" s="29" t="b">
        <v>0</v>
      </c>
      <c r="K319" s="29" t="b">
        <v>0</v>
      </c>
      <c r="L319" s="29" t="b">
        <v>0</v>
      </c>
      <c r="M319" s="432" t="b">
        <v>0</v>
      </c>
      <c r="N319" s="432" t="b">
        <v>0</v>
      </c>
      <c r="P319" s="29"/>
      <c r="Q319" s="448"/>
      <c r="R319" s="448"/>
      <c r="S319" s="448"/>
      <c r="T319" s="308"/>
      <c r="U319" s="540"/>
      <c r="V319" s="245"/>
      <c r="W319" s="245"/>
      <c r="X319" s="245"/>
      <c r="Y319" s="245"/>
      <c r="Z319" s="245"/>
      <c r="AA319" s="245"/>
      <c r="AB319" s="475"/>
      <c r="AC319" s="475"/>
      <c r="AD319" s="474"/>
      <c r="AE319" s="474"/>
      <c r="AF319" s="475"/>
      <c r="AG319" s="475"/>
      <c r="AH319" s="483"/>
      <c r="AI319" s="483"/>
      <c r="AJ319" s="252"/>
      <c r="AK319" s="252"/>
      <c r="AL319" s="485"/>
      <c r="AM319" s="485"/>
      <c r="AN319" s="485"/>
      <c r="AO319" s="475"/>
      <c r="AP319" s="475"/>
      <c r="AQ319" s="432" t="b">
        <v>0</v>
      </c>
      <c r="AR319" s="485"/>
      <c r="AS319" s="485"/>
      <c r="AT319" s="485"/>
      <c r="AU319" s="301"/>
      <c r="AV319" s="301"/>
      <c r="AW319" s="29"/>
      <c r="AX319" s="29"/>
      <c r="BB319" s="302"/>
      <c r="BC319" s="301"/>
      <c r="BD319" s="303"/>
      <c r="BE319" s="304"/>
      <c r="BF319" s="307"/>
      <c r="BG319" s="301"/>
      <c r="BH319" s="303"/>
      <c r="BI319" s="304"/>
      <c r="BK319" s="29"/>
      <c r="BL319" s="29"/>
      <c r="BQ319" s="308"/>
      <c r="BR319" s="308"/>
    </row>
    <row r="320" ht="12.75" spans="1:70">
      <c r="A320" s="29"/>
      <c r="B320" s="29"/>
      <c r="D320" s="29"/>
      <c r="F320" s="29" t="b">
        <v>0</v>
      </c>
      <c r="G320" s="29" t="b">
        <v>0</v>
      </c>
      <c r="H320" s="29" t="b">
        <v>0</v>
      </c>
      <c r="I320" s="29" t="b">
        <v>0</v>
      </c>
      <c r="J320" s="29" t="b">
        <v>0</v>
      </c>
      <c r="K320" s="29" t="b">
        <v>0</v>
      </c>
      <c r="L320" s="29" t="b">
        <v>0</v>
      </c>
      <c r="M320" s="432" t="b">
        <v>0</v>
      </c>
      <c r="N320" s="432" t="b">
        <v>0</v>
      </c>
      <c r="P320" s="29"/>
      <c r="Q320" s="448"/>
      <c r="R320" s="448"/>
      <c r="S320" s="448"/>
      <c r="T320" s="308"/>
      <c r="U320" s="540"/>
      <c r="V320" s="245"/>
      <c r="W320" s="245"/>
      <c r="X320" s="245"/>
      <c r="Y320" s="245"/>
      <c r="Z320" s="245"/>
      <c r="AA320" s="245"/>
      <c r="AB320" s="475"/>
      <c r="AC320" s="475"/>
      <c r="AD320" s="474"/>
      <c r="AE320" s="474"/>
      <c r="AF320" s="475"/>
      <c r="AG320" s="475"/>
      <c r="AH320" s="483"/>
      <c r="AI320" s="483"/>
      <c r="AJ320" s="252"/>
      <c r="AK320" s="252"/>
      <c r="AL320" s="485"/>
      <c r="AM320" s="485"/>
      <c r="AN320" s="485"/>
      <c r="AO320" s="475"/>
      <c r="AP320" s="475"/>
      <c r="AQ320" s="432" t="b">
        <v>0</v>
      </c>
      <c r="AR320" s="485"/>
      <c r="AS320" s="485"/>
      <c r="AT320" s="485"/>
      <c r="AU320" s="301"/>
      <c r="AV320" s="301"/>
      <c r="AW320" s="29"/>
      <c r="AX320" s="29"/>
      <c r="BB320" s="302"/>
      <c r="BC320" s="301"/>
      <c r="BD320" s="303"/>
      <c r="BE320" s="304"/>
      <c r="BF320" s="307"/>
      <c r="BG320" s="301"/>
      <c r="BH320" s="303"/>
      <c r="BI320" s="304"/>
      <c r="BK320" s="29"/>
      <c r="BL320" s="29"/>
      <c r="BQ320" s="308"/>
      <c r="BR320" s="308"/>
    </row>
    <row r="321" ht="12.75" spans="1:70">
      <c r="A321" s="29"/>
      <c r="B321" s="29"/>
      <c r="D321" s="29"/>
      <c r="F321" s="29" t="b">
        <v>0</v>
      </c>
      <c r="G321" s="29" t="b">
        <v>0</v>
      </c>
      <c r="H321" s="29" t="b">
        <v>0</v>
      </c>
      <c r="I321" s="29" t="b">
        <v>0</v>
      </c>
      <c r="J321" s="29" t="b">
        <v>0</v>
      </c>
      <c r="K321" s="29" t="b">
        <v>0</v>
      </c>
      <c r="L321" s="29" t="b">
        <v>0</v>
      </c>
      <c r="M321" s="432" t="b">
        <v>0</v>
      </c>
      <c r="N321" s="432" t="b">
        <v>0</v>
      </c>
      <c r="P321" s="29"/>
      <c r="Q321" s="448"/>
      <c r="R321" s="448"/>
      <c r="S321" s="448"/>
      <c r="T321" s="308"/>
      <c r="U321" s="540"/>
      <c r="V321" s="245"/>
      <c r="W321" s="245"/>
      <c r="X321" s="245"/>
      <c r="Y321" s="245"/>
      <c r="Z321" s="245"/>
      <c r="AA321" s="245"/>
      <c r="AB321" s="475"/>
      <c r="AC321" s="475"/>
      <c r="AD321" s="474"/>
      <c r="AE321" s="474"/>
      <c r="AF321" s="475"/>
      <c r="AG321" s="475"/>
      <c r="AH321" s="483"/>
      <c r="AI321" s="483"/>
      <c r="AJ321" s="252"/>
      <c r="AK321" s="252"/>
      <c r="AL321" s="485"/>
      <c r="AM321" s="485"/>
      <c r="AN321" s="485"/>
      <c r="AO321" s="475"/>
      <c r="AP321" s="475"/>
      <c r="AQ321" s="432" t="b">
        <v>0</v>
      </c>
      <c r="AR321" s="485"/>
      <c r="AS321" s="485"/>
      <c r="AT321" s="485"/>
      <c r="AU321" s="301"/>
      <c r="AV321" s="301"/>
      <c r="AW321" s="29"/>
      <c r="AX321" s="29"/>
      <c r="BB321" s="302"/>
      <c r="BC321" s="301"/>
      <c r="BD321" s="303"/>
      <c r="BE321" s="304"/>
      <c r="BF321" s="307"/>
      <c r="BG321" s="301"/>
      <c r="BH321" s="303"/>
      <c r="BI321" s="304"/>
      <c r="BK321" s="29"/>
      <c r="BL321" s="29"/>
      <c r="BQ321" s="308"/>
      <c r="BR321" s="308"/>
    </row>
    <row r="322" ht="12.75" spans="1:70">
      <c r="A322" s="29"/>
      <c r="B322" s="29"/>
      <c r="D322" s="29"/>
      <c r="F322" s="29" t="b">
        <v>0</v>
      </c>
      <c r="G322" s="29" t="b">
        <v>0</v>
      </c>
      <c r="H322" s="29" t="b">
        <v>0</v>
      </c>
      <c r="I322" s="29" t="b">
        <v>0</v>
      </c>
      <c r="J322" s="29" t="b">
        <v>0</v>
      </c>
      <c r="K322" s="29" t="b">
        <v>0</v>
      </c>
      <c r="L322" s="29" t="b">
        <v>0</v>
      </c>
      <c r="M322" s="432" t="b">
        <v>0</v>
      </c>
      <c r="N322" s="432" t="b">
        <v>0</v>
      </c>
      <c r="P322" s="29"/>
      <c r="Q322" s="448"/>
      <c r="R322" s="448"/>
      <c r="S322" s="448"/>
      <c r="T322" s="308"/>
      <c r="U322" s="540"/>
      <c r="V322" s="245"/>
      <c r="W322" s="245"/>
      <c r="X322" s="245"/>
      <c r="Y322" s="245"/>
      <c r="Z322" s="245"/>
      <c r="AA322" s="245"/>
      <c r="AB322" s="475"/>
      <c r="AC322" s="475"/>
      <c r="AD322" s="474"/>
      <c r="AE322" s="474"/>
      <c r="AF322" s="475"/>
      <c r="AG322" s="475"/>
      <c r="AH322" s="483"/>
      <c r="AI322" s="483"/>
      <c r="AJ322" s="252"/>
      <c r="AK322" s="252"/>
      <c r="AL322" s="485"/>
      <c r="AM322" s="485"/>
      <c r="AN322" s="485"/>
      <c r="AO322" s="475"/>
      <c r="AP322" s="475"/>
      <c r="AQ322" s="432" t="b">
        <v>0</v>
      </c>
      <c r="AR322" s="485"/>
      <c r="AS322" s="485"/>
      <c r="AT322" s="485"/>
      <c r="AU322" s="301"/>
      <c r="AV322" s="301"/>
      <c r="AW322" s="29"/>
      <c r="AX322" s="29"/>
      <c r="BB322" s="302"/>
      <c r="BC322" s="301"/>
      <c r="BD322" s="303"/>
      <c r="BE322" s="304"/>
      <c r="BF322" s="307"/>
      <c r="BG322" s="301"/>
      <c r="BH322" s="303"/>
      <c r="BI322" s="304"/>
      <c r="BK322" s="29"/>
      <c r="BL322" s="29"/>
      <c r="BQ322" s="308"/>
      <c r="BR322" s="308"/>
    </row>
    <row r="323" ht="12.75" spans="1:70">
      <c r="A323" s="29"/>
      <c r="B323" s="29"/>
      <c r="D323" s="29"/>
      <c r="F323" s="29" t="b">
        <v>0</v>
      </c>
      <c r="G323" s="29" t="b">
        <v>0</v>
      </c>
      <c r="H323" s="29" t="b">
        <v>0</v>
      </c>
      <c r="I323" s="29" t="b">
        <v>0</v>
      </c>
      <c r="J323" s="29" t="b">
        <v>0</v>
      </c>
      <c r="K323" s="29" t="b">
        <v>0</v>
      </c>
      <c r="L323" s="29" t="b">
        <v>0</v>
      </c>
      <c r="M323" s="432" t="b">
        <v>0</v>
      </c>
      <c r="N323" s="432" t="b">
        <v>0</v>
      </c>
      <c r="P323" s="29"/>
      <c r="Q323" s="448"/>
      <c r="R323" s="448"/>
      <c r="S323" s="448"/>
      <c r="T323" s="308"/>
      <c r="U323" s="540"/>
      <c r="V323" s="245"/>
      <c r="W323" s="245"/>
      <c r="X323" s="245"/>
      <c r="Y323" s="245"/>
      <c r="Z323" s="245"/>
      <c r="AA323" s="245"/>
      <c r="AB323" s="475"/>
      <c r="AC323" s="475"/>
      <c r="AD323" s="474"/>
      <c r="AE323" s="474"/>
      <c r="AF323" s="475"/>
      <c r="AG323" s="475"/>
      <c r="AH323" s="483"/>
      <c r="AI323" s="483"/>
      <c r="AJ323" s="252"/>
      <c r="AK323" s="252"/>
      <c r="AL323" s="485"/>
      <c r="AM323" s="485"/>
      <c r="AN323" s="485"/>
      <c r="AO323" s="475"/>
      <c r="AP323" s="475"/>
      <c r="AQ323" s="432" t="b">
        <v>0</v>
      </c>
      <c r="AR323" s="485"/>
      <c r="AS323" s="485"/>
      <c r="AT323" s="485"/>
      <c r="AU323" s="301"/>
      <c r="AV323" s="301"/>
      <c r="AW323" s="29"/>
      <c r="AX323" s="29"/>
      <c r="BB323" s="302"/>
      <c r="BC323" s="301"/>
      <c r="BD323" s="303"/>
      <c r="BE323" s="304"/>
      <c r="BF323" s="307"/>
      <c r="BG323" s="301"/>
      <c r="BH323" s="303"/>
      <c r="BI323" s="304"/>
      <c r="BK323" s="29"/>
      <c r="BL323" s="29"/>
      <c r="BQ323" s="308"/>
      <c r="BR323" s="308"/>
    </row>
    <row r="324" ht="12.75" spans="1:70">
      <c r="A324" s="29"/>
      <c r="B324" s="29"/>
      <c r="D324" s="29"/>
      <c r="F324" s="29" t="b">
        <v>0</v>
      </c>
      <c r="G324" s="29" t="b">
        <v>0</v>
      </c>
      <c r="H324" s="29" t="b">
        <v>0</v>
      </c>
      <c r="I324" s="29" t="b">
        <v>0</v>
      </c>
      <c r="J324" s="29" t="b">
        <v>0</v>
      </c>
      <c r="K324" s="29" t="b">
        <v>0</v>
      </c>
      <c r="L324" s="29" t="b">
        <v>0</v>
      </c>
      <c r="M324" s="432" t="b">
        <v>0</v>
      </c>
      <c r="N324" s="432" t="b">
        <v>0</v>
      </c>
      <c r="P324" s="29"/>
      <c r="Q324" s="448"/>
      <c r="R324" s="448"/>
      <c r="S324" s="448"/>
      <c r="T324" s="308"/>
      <c r="U324" s="540"/>
      <c r="V324" s="245"/>
      <c r="W324" s="245"/>
      <c r="X324" s="245"/>
      <c r="Y324" s="245"/>
      <c r="Z324" s="245"/>
      <c r="AA324" s="245"/>
      <c r="AB324" s="475"/>
      <c r="AC324" s="475"/>
      <c r="AD324" s="474"/>
      <c r="AE324" s="474"/>
      <c r="AF324" s="475"/>
      <c r="AG324" s="475"/>
      <c r="AH324" s="483"/>
      <c r="AI324" s="483"/>
      <c r="AJ324" s="252"/>
      <c r="AK324" s="252"/>
      <c r="AL324" s="485"/>
      <c r="AM324" s="485"/>
      <c r="AN324" s="485"/>
      <c r="AO324" s="475"/>
      <c r="AP324" s="475"/>
      <c r="AQ324" s="432" t="b">
        <v>0</v>
      </c>
      <c r="AR324" s="485"/>
      <c r="AS324" s="485"/>
      <c r="AT324" s="485"/>
      <c r="AU324" s="301"/>
      <c r="AV324" s="301"/>
      <c r="AW324" s="29"/>
      <c r="AX324" s="29"/>
      <c r="BB324" s="302"/>
      <c r="BC324" s="301"/>
      <c r="BD324" s="303"/>
      <c r="BE324" s="304"/>
      <c r="BF324" s="307"/>
      <c r="BG324" s="301"/>
      <c r="BH324" s="303"/>
      <c r="BI324" s="304"/>
      <c r="BK324" s="29"/>
      <c r="BL324" s="29"/>
      <c r="BQ324" s="308"/>
      <c r="BR324" s="308"/>
    </row>
    <row r="325" ht="12.75" spans="1:70">
      <c r="A325" s="29"/>
      <c r="B325" s="29"/>
      <c r="D325" s="29"/>
      <c r="F325" s="29" t="b">
        <v>0</v>
      </c>
      <c r="G325" s="29" t="b">
        <v>0</v>
      </c>
      <c r="H325" s="29" t="b">
        <v>0</v>
      </c>
      <c r="I325" s="29" t="b">
        <v>0</v>
      </c>
      <c r="J325" s="29" t="b">
        <v>0</v>
      </c>
      <c r="K325" s="29" t="b">
        <v>0</v>
      </c>
      <c r="L325" s="29" t="b">
        <v>0</v>
      </c>
      <c r="M325" s="432" t="b">
        <v>0</v>
      </c>
      <c r="N325" s="432" t="b">
        <v>0</v>
      </c>
      <c r="P325" s="29"/>
      <c r="Q325" s="448"/>
      <c r="R325" s="448"/>
      <c r="S325" s="448"/>
      <c r="T325" s="308"/>
      <c r="U325" s="540"/>
      <c r="V325" s="245"/>
      <c r="W325" s="245"/>
      <c r="X325" s="245"/>
      <c r="Y325" s="245"/>
      <c r="Z325" s="245"/>
      <c r="AA325" s="245"/>
      <c r="AB325" s="475"/>
      <c r="AC325" s="475"/>
      <c r="AD325" s="474"/>
      <c r="AE325" s="474"/>
      <c r="AF325" s="475"/>
      <c r="AG325" s="475"/>
      <c r="AH325" s="483"/>
      <c r="AI325" s="483"/>
      <c r="AJ325" s="252"/>
      <c r="AK325" s="252"/>
      <c r="AL325" s="485"/>
      <c r="AM325" s="485"/>
      <c r="AN325" s="485"/>
      <c r="AO325" s="475"/>
      <c r="AP325" s="475"/>
      <c r="AQ325" s="432" t="b">
        <v>0</v>
      </c>
      <c r="AR325" s="485"/>
      <c r="AS325" s="485"/>
      <c r="AT325" s="485"/>
      <c r="AU325" s="301"/>
      <c r="AV325" s="301"/>
      <c r="AW325" s="29"/>
      <c r="AX325" s="29"/>
      <c r="BB325" s="302"/>
      <c r="BC325" s="301"/>
      <c r="BD325" s="303"/>
      <c r="BE325" s="304"/>
      <c r="BF325" s="307"/>
      <c r="BG325" s="301"/>
      <c r="BH325" s="303"/>
      <c r="BI325" s="304"/>
      <c r="BK325" s="29"/>
      <c r="BL325" s="29"/>
      <c r="BQ325" s="308"/>
      <c r="BR325" s="308"/>
    </row>
    <row r="326" ht="12.75" spans="1:70">
      <c r="A326" s="29"/>
      <c r="B326" s="29"/>
      <c r="D326" s="29"/>
      <c r="F326" s="29" t="b">
        <v>0</v>
      </c>
      <c r="G326" s="29" t="b">
        <v>0</v>
      </c>
      <c r="H326" s="29" t="b">
        <v>0</v>
      </c>
      <c r="I326" s="29" t="b">
        <v>0</v>
      </c>
      <c r="J326" s="29" t="b">
        <v>0</v>
      </c>
      <c r="K326" s="29" t="b">
        <v>0</v>
      </c>
      <c r="L326" s="29" t="b">
        <v>0</v>
      </c>
      <c r="M326" s="432" t="b">
        <v>0</v>
      </c>
      <c r="N326" s="432" t="b">
        <v>0</v>
      </c>
      <c r="P326" s="29"/>
      <c r="Q326" s="448"/>
      <c r="R326" s="448"/>
      <c r="S326" s="448"/>
      <c r="T326" s="308"/>
      <c r="U326" s="540"/>
      <c r="V326" s="245"/>
      <c r="W326" s="245"/>
      <c r="X326" s="245"/>
      <c r="Y326" s="245"/>
      <c r="Z326" s="245"/>
      <c r="AA326" s="245"/>
      <c r="AB326" s="475"/>
      <c r="AC326" s="475"/>
      <c r="AD326" s="474"/>
      <c r="AE326" s="474"/>
      <c r="AF326" s="475"/>
      <c r="AG326" s="475"/>
      <c r="AH326" s="483"/>
      <c r="AI326" s="483"/>
      <c r="AJ326" s="252"/>
      <c r="AK326" s="252"/>
      <c r="AL326" s="485"/>
      <c r="AM326" s="485"/>
      <c r="AN326" s="485"/>
      <c r="AO326" s="475"/>
      <c r="AP326" s="475"/>
      <c r="AQ326" s="432" t="b">
        <v>0</v>
      </c>
      <c r="AR326" s="485"/>
      <c r="AS326" s="485"/>
      <c r="AT326" s="485"/>
      <c r="AU326" s="301"/>
      <c r="AV326" s="301"/>
      <c r="AW326" s="29"/>
      <c r="AX326" s="29"/>
      <c r="BB326" s="302"/>
      <c r="BC326" s="301"/>
      <c r="BD326" s="303"/>
      <c r="BE326" s="304"/>
      <c r="BF326" s="307"/>
      <c r="BG326" s="301"/>
      <c r="BH326" s="303"/>
      <c r="BI326" s="304"/>
      <c r="BK326" s="29"/>
      <c r="BL326" s="29"/>
      <c r="BQ326" s="308"/>
      <c r="BR326" s="308"/>
    </row>
    <row r="327" ht="12.75" spans="1:70">
      <c r="A327" s="29"/>
      <c r="B327" s="29"/>
      <c r="D327" s="29"/>
      <c r="F327" s="29" t="b">
        <v>0</v>
      </c>
      <c r="G327" s="29" t="b">
        <v>0</v>
      </c>
      <c r="H327" s="29" t="b">
        <v>0</v>
      </c>
      <c r="I327" s="29" t="b">
        <v>0</v>
      </c>
      <c r="J327" s="29" t="b">
        <v>0</v>
      </c>
      <c r="K327" s="29" t="b">
        <v>0</v>
      </c>
      <c r="L327" s="29" t="b">
        <v>0</v>
      </c>
      <c r="M327" s="432" t="b">
        <v>0</v>
      </c>
      <c r="N327" s="432" t="b">
        <v>0</v>
      </c>
      <c r="P327" s="29"/>
      <c r="Q327" s="448"/>
      <c r="R327" s="448"/>
      <c r="S327" s="448"/>
      <c r="T327" s="308"/>
      <c r="U327" s="540"/>
      <c r="V327" s="245"/>
      <c r="W327" s="245"/>
      <c r="X327" s="245"/>
      <c r="Y327" s="245"/>
      <c r="Z327" s="245"/>
      <c r="AA327" s="245"/>
      <c r="AB327" s="475"/>
      <c r="AC327" s="475"/>
      <c r="AD327" s="474"/>
      <c r="AE327" s="474"/>
      <c r="AF327" s="475"/>
      <c r="AG327" s="475"/>
      <c r="AH327" s="483"/>
      <c r="AI327" s="483"/>
      <c r="AJ327" s="252"/>
      <c r="AK327" s="252"/>
      <c r="AL327" s="485"/>
      <c r="AM327" s="485"/>
      <c r="AN327" s="485"/>
      <c r="AO327" s="475"/>
      <c r="AP327" s="475"/>
      <c r="AQ327" s="432" t="b">
        <v>0</v>
      </c>
      <c r="AR327" s="485"/>
      <c r="AS327" s="485"/>
      <c r="AT327" s="485"/>
      <c r="AU327" s="301"/>
      <c r="AV327" s="301"/>
      <c r="AW327" s="29"/>
      <c r="AX327" s="29"/>
      <c r="BB327" s="302"/>
      <c r="BC327" s="301"/>
      <c r="BD327" s="303"/>
      <c r="BE327" s="304"/>
      <c r="BF327" s="307"/>
      <c r="BG327" s="301"/>
      <c r="BH327" s="303"/>
      <c r="BI327" s="304"/>
      <c r="BK327" s="29"/>
      <c r="BL327" s="29"/>
      <c r="BQ327" s="308"/>
      <c r="BR327" s="308"/>
    </row>
    <row r="328" ht="12.75" spans="1:70">
      <c r="A328" s="29"/>
      <c r="B328" s="29"/>
      <c r="D328" s="29"/>
      <c r="F328" s="29" t="b">
        <v>0</v>
      </c>
      <c r="G328" s="29" t="b">
        <v>0</v>
      </c>
      <c r="H328" s="29" t="b">
        <v>0</v>
      </c>
      <c r="I328" s="29" t="b">
        <v>0</v>
      </c>
      <c r="J328" s="29" t="b">
        <v>0</v>
      </c>
      <c r="K328" s="29" t="b">
        <v>0</v>
      </c>
      <c r="L328" s="29" t="b">
        <v>0</v>
      </c>
      <c r="M328" s="432" t="b">
        <v>0</v>
      </c>
      <c r="N328" s="432" t="b">
        <v>0</v>
      </c>
      <c r="P328" s="29"/>
      <c r="Q328" s="448"/>
      <c r="R328" s="448"/>
      <c r="S328" s="448"/>
      <c r="T328" s="308"/>
      <c r="U328" s="540"/>
      <c r="V328" s="245"/>
      <c r="W328" s="245"/>
      <c r="X328" s="245"/>
      <c r="Y328" s="245"/>
      <c r="Z328" s="245"/>
      <c r="AA328" s="245"/>
      <c r="AB328" s="475"/>
      <c r="AC328" s="475"/>
      <c r="AD328" s="474"/>
      <c r="AE328" s="474"/>
      <c r="AF328" s="475"/>
      <c r="AG328" s="475"/>
      <c r="AH328" s="483"/>
      <c r="AI328" s="483"/>
      <c r="AJ328" s="252"/>
      <c r="AK328" s="252"/>
      <c r="AL328" s="485"/>
      <c r="AM328" s="485"/>
      <c r="AN328" s="485"/>
      <c r="AO328" s="475"/>
      <c r="AP328" s="475"/>
      <c r="AQ328" s="432" t="b">
        <v>0</v>
      </c>
      <c r="AR328" s="485"/>
      <c r="AS328" s="485"/>
      <c r="AT328" s="485"/>
      <c r="AU328" s="301"/>
      <c r="AV328" s="301"/>
      <c r="AW328" s="29"/>
      <c r="AX328" s="29"/>
      <c r="BB328" s="302"/>
      <c r="BC328" s="301"/>
      <c r="BD328" s="303"/>
      <c r="BE328" s="304"/>
      <c r="BF328" s="307"/>
      <c r="BG328" s="301"/>
      <c r="BH328" s="303"/>
      <c r="BI328" s="304"/>
      <c r="BK328" s="29"/>
      <c r="BL328" s="29"/>
      <c r="BQ328" s="308"/>
      <c r="BR328" s="308"/>
    </row>
    <row r="329" ht="12.75" spans="1:70">
      <c r="A329" s="29"/>
      <c r="B329" s="29"/>
      <c r="D329" s="29"/>
      <c r="F329" s="29" t="b">
        <v>0</v>
      </c>
      <c r="G329" s="29" t="b">
        <v>0</v>
      </c>
      <c r="H329" s="29" t="b">
        <v>0</v>
      </c>
      <c r="I329" s="29" t="b">
        <v>0</v>
      </c>
      <c r="J329" s="29" t="b">
        <v>0</v>
      </c>
      <c r="K329" s="29" t="b">
        <v>0</v>
      </c>
      <c r="L329" s="29" t="b">
        <v>0</v>
      </c>
      <c r="M329" s="432" t="b">
        <v>0</v>
      </c>
      <c r="N329" s="432" t="b">
        <v>0</v>
      </c>
      <c r="P329" s="29"/>
      <c r="Q329" s="448"/>
      <c r="R329" s="448"/>
      <c r="S329" s="448"/>
      <c r="T329" s="308"/>
      <c r="U329" s="540"/>
      <c r="V329" s="245"/>
      <c r="W329" s="245"/>
      <c r="X329" s="245"/>
      <c r="Y329" s="245"/>
      <c r="Z329" s="245"/>
      <c r="AA329" s="245"/>
      <c r="AB329" s="475"/>
      <c r="AC329" s="475"/>
      <c r="AD329" s="474"/>
      <c r="AE329" s="474"/>
      <c r="AF329" s="475"/>
      <c r="AG329" s="475"/>
      <c r="AH329" s="483"/>
      <c r="AI329" s="483"/>
      <c r="AJ329" s="252"/>
      <c r="AK329" s="252"/>
      <c r="AL329" s="485"/>
      <c r="AM329" s="485"/>
      <c r="AN329" s="485"/>
      <c r="AO329" s="475"/>
      <c r="AP329" s="475"/>
      <c r="AQ329" s="432" t="b">
        <v>0</v>
      </c>
      <c r="AR329" s="485"/>
      <c r="AS329" s="485"/>
      <c r="AT329" s="485"/>
      <c r="AU329" s="301"/>
      <c r="AV329" s="301"/>
      <c r="AW329" s="29"/>
      <c r="AX329" s="29"/>
      <c r="BB329" s="302"/>
      <c r="BC329" s="301"/>
      <c r="BD329" s="303"/>
      <c r="BE329" s="304"/>
      <c r="BF329" s="307"/>
      <c r="BG329" s="301"/>
      <c r="BH329" s="303"/>
      <c r="BI329" s="304"/>
      <c r="BK329" s="29"/>
      <c r="BL329" s="29"/>
      <c r="BQ329" s="308"/>
      <c r="BR329" s="308"/>
    </row>
    <row r="330" ht="12.75" spans="1:70">
      <c r="A330" s="29"/>
      <c r="B330" s="29"/>
      <c r="D330" s="29"/>
      <c r="F330" s="29" t="b">
        <v>0</v>
      </c>
      <c r="G330" s="29" t="b">
        <v>0</v>
      </c>
      <c r="H330" s="29" t="b">
        <v>0</v>
      </c>
      <c r="I330" s="29" t="b">
        <v>0</v>
      </c>
      <c r="J330" s="29" t="b">
        <v>0</v>
      </c>
      <c r="K330" s="29" t="b">
        <v>0</v>
      </c>
      <c r="L330" s="29" t="b">
        <v>0</v>
      </c>
      <c r="M330" s="432" t="b">
        <v>0</v>
      </c>
      <c r="N330" s="432" t="b">
        <v>0</v>
      </c>
      <c r="P330" s="29"/>
      <c r="Q330" s="448"/>
      <c r="R330" s="448"/>
      <c r="S330" s="448"/>
      <c r="T330" s="308"/>
      <c r="U330" s="540"/>
      <c r="V330" s="245"/>
      <c r="W330" s="245"/>
      <c r="X330" s="245"/>
      <c r="Y330" s="245"/>
      <c r="Z330" s="245"/>
      <c r="AA330" s="245"/>
      <c r="AB330" s="475"/>
      <c r="AC330" s="475"/>
      <c r="AD330" s="474"/>
      <c r="AE330" s="474"/>
      <c r="AF330" s="475"/>
      <c r="AG330" s="475"/>
      <c r="AH330" s="483"/>
      <c r="AI330" s="483"/>
      <c r="AJ330" s="252"/>
      <c r="AK330" s="252"/>
      <c r="AL330" s="485"/>
      <c r="AM330" s="485"/>
      <c r="AN330" s="485"/>
      <c r="AO330" s="475"/>
      <c r="AP330" s="475"/>
      <c r="AQ330" s="432" t="b">
        <v>0</v>
      </c>
      <c r="AR330" s="485"/>
      <c r="AS330" s="485"/>
      <c r="AT330" s="485"/>
      <c r="AU330" s="301"/>
      <c r="AV330" s="301"/>
      <c r="AW330" s="29"/>
      <c r="AX330" s="29"/>
      <c r="BB330" s="302"/>
      <c r="BC330" s="301"/>
      <c r="BD330" s="303"/>
      <c r="BE330" s="304"/>
      <c r="BF330" s="307"/>
      <c r="BG330" s="301"/>
      <c r="BH330" s="303"/>
      <c r="BI330" s="304"/>
      <c r="BK330" s="29"/>
      <c r="BL330" s="29"/>
      <c r="BQ330" s="308"/>
      <c r="BR330" s="308"/>
    </row>
    <row r="331" ht="12.75" spans="1:70">
      <c r="A331" s="29"/>
      <c r="B331" s="29"/>
      <c r="D331" s="29"/>
      <c r="F331" s="29" t="b">
        <v>0</v>
      </c>
      <c r="G331" s="29" t="b">
        <v>0</v>
      </c>
      <c r="H331" s="29" t="b">
        <v>0</v>
      </c>
      <c r="I331" s="29" t="b">
        <v>0</v>
      </c>
      <c r="J331" s="29" t="b">
        <v>0</v>
      </c>
      <c r="K331" s="29" t="b">
        <v>0</v>
      </c>
      <c r="L331" s="29" t="b">
        <v>0</v>
      </c>
      <c r="M331" s="432" t="b">
        <v>0</v>
      </c>
      <c r="N331" s="432" t="b">
        <v>0</v>
      </c>
      <c r="P331" s="29"/>
      <c r="Q331" s="448"/>
      <c r="R331" s="448"/>
      <c r="S331" s="448"/>
      <c r="T331" s="308"/>
      <c r="U331" s="540"/>
      <c r="V331" s="245"/>
      <c r="W331" s="245"/>
      <c r="X331" s="245"/>
      <c r="Y331" s="245"/>
      <c r="Z331" s="245"/>
      <c r="AA331" s="245"/>
      <c r="AB331" s="475"/>
      <c r="AC331" s="475"/>
      <c r="AD331" s="474"/>
      <c r="AE331" s="474"/>
      <c r="AF331" s="475"/>
      <c r="AG331" s="475"/>
      <c r="AH331" s="483"/>
      <c r="AI331" s="483"/>
      <c r="AJ331" s="252"/>
      <c r="AK331" s="252"/>
      <c r="AL331" s="485"/>
      <c r="AM331" s="485"/>
      <c r="AN331" s="485"/>
      <c r="AO331" s="475"/>
      <c r="AP331" s="475"/>
      <c r="AQ331" s="432" t="b">
        <v>0</v>
      </c>
      <c r="AR331" s="485"/>
      <c r="AS331" s="485"/>
      <c r="AT331" s="485"/>
      <c r="AU331" s="301"/>
      <c r="AV331" s="301"/>
      <c r="AW331" s="29"/>
      <c r="AX331" s="29"/>
      <c r="BB331" s="302"/>
      <c r="BC331" s="301"/>
      <c r="BD331" s="303"/>
      <c r="BE331" s="304"/>
      <c r="BF331" s="307"/>
      <c r="BG331" s="301"/>
      <c r="BH331" s="303"/>
      <c r="BI331" s="304"/>
      <c r="BK331" s="29"/>
      <c r="BL331" s="29"/>
      <c r="BQ331" s="308"/>
      <c r="BR331" s="308"/>
    </row>
    <row r="332" ht="12.75" spans="1:70">
      <c r="A332" s="29"/>
      <c r="B332" s="29"/>
      <c r="D332" s="29"/>
      <c r="F332" s="29" t="b">
        <v>0</v>
      </c>
      <c r="G332" s="29" t="b">
        <v>0</v>
      </c>
      <c r="H332" s="29" t="b">
        <v>0</v>
      </c>
      <c r="I332" s="29" t="b">
        <v>0</v>
      </c>
      <c r="J332" s="29" t="b">
        <v>0</v>
      </c>
      <c r="K332" s="29" t="b">
        <v>0</v>
      </c>
      <c r="L332" s="29" t="b">
        <v>0</v>
      </c>
      <c r="M332" s="432" t="b">
        <v>0</v>
      </c>
      <c r="N332" s="432" t="b">
        <v>0</v>
      </c>
      <c r="P332" s="29"/>
      <c r="Q332" s="448"/>
      <c r="R332" s="448"/>
      <c r="S332" s="448"/>
      <c r="T332" s="308"/>
      <c r="U332" s="540"/>
      <c r="V332" s="245"/>
      <c r="W332" s="245"/>
      <c r="X332" s="245"/>
      <c r="Y332" s="245"/>
      <c r="Z332" s="245"/>
      <c r="AA332" s="245"/>
      <c r="AB332" s="475"/>
      <c r="AC332" s="475"/>
      <c r="AD332" s="474"/>
      <c r="AE332" s="474"/>
      <c r="AF332" s="475"/>
      <c r="AG332" s="475"/>
      <c r="AH332" s="483"/>
      <c r="AI332" s="483"/>
      <c r="AJ332" s="252"/>
      <c r="AK332" s="252"/>
      <c r="AL332" s="485"/>
      <c r="AM332" s="485"/>
      <c r="AN332" s="485"/>
      <c r="AO332" s="475"/>
      <c r="AP332" s="475"/>
      <c r="AQ332" s="432" t="b">
        <v>0</v>
      </c>
      <c r="AR332" s="485"/>
      <c r="AS332" s="485"/>
      <c r="AT332" s="485"/>
      <c r="AU332" s="301"/>
      <c r="AV332" s="301"/>
      <c r="AW332" s="29"/>
      <c r="AX332" s="29"/>
      <c r="BB332" s="302"/>
      <c r="BC332" s="301"/>
      <c r="BD332" s="303"/>
      <c r="BE332" s="304"/>
      <c r="BF332" s="307"/>
      <c r="BG332" s="301"/>
      <c r="BH332" s="303"/>
      <c r="BI332" s="304"/>
      <c r="BK332" s="29"/>
      <c r="BL332" s="29"/>
      <c r="BQ332" s="308"/>
      <c r="BR332" s="308"/>
    </row>
    <row r="333" ht="12.75" spans="1:70">
      <c r="A333" s="29"/>
      <c r="B333" s="29"/>
      <c r="D333" s="29"/>
      <c r="F333" s="29" t="b">
        <v>0</v>
      </c>
      <c r="G333" s="29" t="b">
        <v>0</v>
      </c>
      <c r="H333" s="29" t="b">
        <v>0</v>
      </c>
      <c r="I333" s="29" t="b">
        <v>0</v>
      </c>
      <c r="J333" s="29" t="b">
        <v>0</v>
      </c>
      <c r="K333" s="29" t="b">
        <v>0</v>
      </c>
      <c r="L333" s="29" t="b">
        <v>0</v>
      </c>
      <c r="M333" s="432" t="b">
        <v>0</v>
      </c>
      <c r="N333" s="432" t="b">
        <v>0</v>
      </c>
      <c r="P333" s="29"/>
      <c r="Q333" s="448"/>
      <c r="R333" s="448"/>
      <c r="S333" s="448"/>
      <c r="T333" s="308"/>
      <c r="U333" s="540"/>
      <c r="V333" s="245"/>
      <c r="W333" s="245"/>
      <c r="X333" s="245"/>
      <c r="Y333" s="245"/>
      <c r="Z333" s="245"/>
      <c r="AA333" s="245"/>
      <c r="AB333" s="475"/>
      <c r="AC333" s="475"/>
      <c r="AD333" s="474"/>
      <c r="AE333" s="474"/>
      <c r="AF333" s="475"/>
      <c r="AG333" s="475"/>
      <c r="AH333" s="483"/>
      <c r="AI333" s="483"/>
      <c r="AJ333" s="252"/>
      <c r="AK333" s="252"/>
      <c r="AL333" s="485"/>
      <c r="AM333" s="485"/>
      <c r="AN333" s="485"/>
      <c r="AO333" s="475"/>
      <c r="AP333" s="475"/>
      <c r="AQ333" s="432" t="b">
        <v>0</v>
      </c>
      <c r="AR333" s="485"/>
      <c r="AS333" s="485"/>
      <c r="AT333" s="485"/>
      <c r="AU333" s="301"/>
      <c r="AV333" s="301"/>
      <c r="AW333" s="29"/>
      <c r="AX333" s="29"/>
      <c r="BB333" s="302"/>
      <c r="BC333" s="301"/>
      <c r="BD333" s="303"/>
      <c r="BE333" s="304"/>
      <c r="BF333" s="307"/>
      <c r="BG333" s="301"/>
      <c r="BH333" s="303"/>
      <c r="BI333" s="304"/>
      <c r="BK333" s="29"/>
      <c r="BL333" s="29"/>
      <c r="BQ333" s="308"/>
      <c r="BR333" s="308"/>
    </row>
    <row r="334" ht="12.75" spans="1:70">
      <c r="A334" s="29"/>
      <c r="B334" s="29"/>
      <c r="D334" s="29"/>
      <c r="F334" s="29" t="b">
        <v>0</v>
      </c>
      <c r="G334" s="29" t="b">
        <v>0</v>
      </c>
      <c r="H334" s="29" t="b">
        <v>0</v>
      </c>
      <c r="I334" s="29" t="b">
        <v>0</v>
      </c>
      <c r="J334" s="29" t="b">
        <v>0</v>
      </c>
      <c r="K334" s="29" t="b">
        <v>0</v>
      </c>
      <c r="L334" s="29" t="b">
        <v>0</v>
      </c>
      <c r="M334" s="432" t="b">
        <v>0</v>
      </c>
      <c r="N334" s="432" t="b">
        <v>0</v>
      </c>
      <c r="P334" s="29"/>
      <c r="Q334" s="448"/>
      <c r="R334" s="448"/>
      <c r="S334" s="448"/>
      <c r="T334" s="308"/>
      <c r="U334" s="540"/>
      <c r="V334" s="245"/>
      <c r="W334" s="245"/>
      <c r="X334" s="245"/>
      <c r="Y334" s="245"/>
      <c r="Z334" s="245"/>
      <c r="AA334" s="245"/>
      <c r="AB334" s="475"/>
      <c r="AC334" s="475"/>
      <c r="AD334" s="474"/>
      <c r="AE334" s="474"/>
      <c r="AF334" s="475"/>
      <c r="AG334" s="475"/>
      <c r="AH334" s="483"/>
      <c r="AI334" s="483"/>
      <c r="AJ334" s="252"/>
      <c r="AK334" s="252"/>
      <c r="AL334" s="485"/>
      <c r="AM334" s="485"/>
      <c r="AN334" s="485"/>
      <c r="AO334" s="475"/>
      <c r="AP334" s="475"/>
      <c r="AQ334" s="432" t="b">
        <v>0</v>
      </c>
      <c r="AR334" s="485"/>
      <c r="AS334" s="485"/>
      <c r="AT334" s="485"/>
      <c r="AU334" s="301"/>
      <c r="AV334" s="301"/>
      <c r="AW334" s="29"/>
      <c r="AX334" s="29"/>
      <c r="BB334" s="302"/>
      <c r="BC334" s="301"/>
      <c r="BD334" s="303"/>
      <c r="BE334" s="304"/>
      <c r="BF334" s="307"/>
      <c r="BG334" s="301"/>
      <c r="BH334" s="303"/>
      <c r="BI334" s="304"/>
      <c r="BK334" s="29"/>
      <c r="BL334" s="29"/>
      <c r="BQ334" s="308"/>
      <c r="BR334" s="308"/>
    </row>
    <row r="335" ht="12.75" spans="1:70">
      <c r="A335" s="29"/>
      <c r="B335" s="29"/>
      <c r="D335" s="29"/>
      <c r="F335" s="29" t="b">
        <v>0</v>
      </c>
      <c r="G335" s="29" t="b">
        <v>0</v>
      </c>
      <c r="H335" s="29" t="b">
        <v>0</v>
      </c>
      <c r="I335" s="29" t="b">
        <v>0</v>
      </c>
      <c r="J335" s="29" t="b">
        <v>0</v>
      </c>
      <c r="K335" s="29" t="b">
        <v>0</v>
      </c>
      <c r="L335" s="29" t="b">
        <v>0</v>
      </c>
      <c r="M335" s="432" t="b">
        <v>0</v>
      </c>
      <c r="N335" s="432" t="b">
        <v>0</v>
      </c>
      <c r="P335" s="29"/>
      <c r="Q335" s="448"/>
      <c r="R335" s="448"/>
      <c r="S335" s="448"/>
      <c r="T335" s="308"/>
      <c r="U335" s="540"/>
      <c r="V335" s="245"/>
      <c r="W335" s="245"/>
      <c r="X335" s="245"/>
      <c r="Y335" s="245"/>
      <c r="Z335" s="245"/>
      <c r="AA335" s="245"/>
      <c r="AB335" s="475"/>
      <c r="AC335" s="475"/>
      <c r="AD335" s="474"/>
      <c r="AE335" s="474"/>
      <c r="AF335" s="475"/>
      <c r="AG335" s="475"/>
      <c r="AH335" s="483"/>
      <c r="AI335" s="483"/>
      <c r="AJ335" s="252"/>
      <c r="AK335" s="252"/>
      <c r="AL335" s="485"/>
      <c r="AM335" s="485"/>
      <c r="AN335" s="485"/>
      <c r="AO335" s="475"/>
      <c r="AP335" s="475"/>
      <c r="AQ335" s="432" t="b">
        <v>0</v>
      </c>
      <c r="AR335" s="485"/>
      <c r="AS335" s="485"/>
      <c r="AT335" s="485"/>
      <c r="AU335" s="301"/>
      <c r="AV335" s="301"/>
      <c r="AW335" s="29"/>
      <c r="AX335" s="29"/>
      <c r="BB335" s="302"/>
      <c r="BC335" s="301"/>
      <c r="BD335" s="303"/>
      <c r="BE335" s="304"/>
      <c r="BF335" s="307"/>
      <c r="BG335" s="301"/>
      <c r="BH335" s="303"/>
      <c r="BI335" s="304"/>
      <c r="BK335" s="29"/>
      <c r="BL335" s="29"/>
      <c r="BQ335" s="308"/>
      <c r="BR335" s="308"/>
    </row>
    <row r="336" ht="12.75" spans="1:70">
      <c r="A336" s="29"/>
      <c r="B336" s="29"/>
      <c r="D336" s="29"/>
      <c r="F336" s="29" t="b">
        <v>0</v>
      </c>
      <c r="G336" s="29" t="b">
        <v>0</v>
      </c>
      <c r="H336" s="29" t="b">
        <v>0</v>
      </c>
      <c r="I336" s="29" t="b">
        <v>0</v>
      </c>
      <c r="J336" s="29" t="b">
        <v>0</v>
      </c>
      <c r="K336" s="29" t="b">
        <v>0</v>
      </c>
      <c r="L336" s="29" t="b">
        <v>0</v>
      </c>
      <c r="M336" s="432" t="b">
        <v>0</v>
      </c>
      <c r="N336" s="432" t="b">
        <v>0</v>
      </c>
      <c r="P336" s="29"/>
      <c r="Q336" s="448"/>
      <c r="R336" s="448"/>
      <c r="S336" s="448"/>
      <c r="T336" s="308"/>
      <c r="U336" s="540"/>
      <c r="V336" s="245"/>
      <c r="W336" s="245"/>
      <c r="X336" s="245"/>
      <c r="Y336" s="245"/>
      <c r="Z336" s="245"/>
      <c r="AA336" s="245"/>
      <c r="AB336" s="475"/>
      <c r="AC336" s="475"/>
      <c r="AD336" s="474"/>
      <c r="AE336" s="474"/>
      <c r="AF336" s="475"/>
      <c r="AG336" s="475"/>
      <c r="AH336" s="483"/>
      <c r="AI336" s="483"/>
      <c r="AJ336" s="252"/>
      <c r="AK336" s="252"/>
      <c r="AL336" s="485"/>
      <c r="AM336" s="485"/>
      <c r="AN336" s="485"/>
      <c r="AO336" s="475"/>
      <c r="AP336" s="475"/>
      <c r="AQ336" s="432" t="b">
        <v>0</v>
      </c>
      <c r="AR336" s="485"/>
      <c r="AS336" s="485"/>
      <c r="AT336" s="485"/>
      <c r="AU336" s="301"/>
      <c r="AV336" s="301"/>
      <c r="AW336" s="29"/>
      <c r="AX336" s="29"/>
      <c r="BB336" s="302"/>
      <c r="BC336" s="301"/>
      <c r="BD336" s="303"/>
      <c r="BE336" s="304"/>
      <c r="BF336" s="307"/>
      <c r="BG336" s="301"/>
      <c r="BH336" s="303"/>
      <c r="BI336" s="304"/>
      <c r="BK336" s="29"/>
      <c r="BL336" s="29"/>
      <c r="BQ336" s="308"/>
      <c r="BR336" s="308"/>
    </row>
    <row r="337" ht="12.75" spans="1:70">
      <c r="A337" s="29"/>
      <c r="B337" s="29"/>
      <c r="D337" s="29"/>
      <c r="F337" s="29" t="b">
        <v>0</v>
      </c>
      <c r="G337" s="29" t="b">
        <v>0</v>
      </c>
      <c r="H337" s="29" t="b">
        <v>0</v>
      </c>
      <c r="I337" s="29" t="b">
        <v>0</v>
      </c>
      <c r="J337" s="29" t="b">
        <v>0</v>
      </c>
      <c r="K337" s="29" t="b">
        <v>0</v>
      </c>
      <c r="L337" s="29" t="b">
        <v>0</v>
      </c>
      <c r="M337" s="432" t="b">
        <v>0</v>
      </c>
      <c r="N337" s="432" t="b">
        <v>0</v>
      </c>
      <c r="P337" s="29"/>
      <c r="Q337" s="448"/>
      <c r="R337" s="448"/>
      <c r="S337" s="448"/>
      <c r="T337" s="308"/>
      <c r="U337" s="540"/>
      <c r="V337" s="245"/>
      <c r="W337" s="245"/>
      <c r="X337" s="245"/>
      <c r="Y337" s="245"/>
      <c r="Z337" s="245"/>
      <c r="AA337" s="245"/>
      <c r="AB337" s="475"/>
      <c r="AC337" s="475"/>
      <c r="AD337" s="474"/>
      <c r="AE337" s="474"/>
      <c r="AF337" s="475"/>
      <c r="AG337" s="475"/>
      <c r="AH337" s="483"/>
      <c r="AI337" s="483"/>
      <c r="AJ337" s="252"/>
      <c r="AK337" s="252"/>
      <c r="AL337" s="485"/>
      <c r="AM337" s="485"/>
      <c r="AN337" s="485"/>
      <c r="AO337" s="475"/>
      <c r="AP337" s="475"/>
      <c r="AQ337" s="432" t="b">
        <v>0</v>
      </c>
      <c r="AR337" s="485"/>
      <c r="AS337" s="485"/>
      <c r="AT337" s="485"/>
      <c r="AU337" s="301"/>
      <c r="AV337" s="301"/>
      <c r="AW337" s="29"/>
      <c r="AX337" s="29"/>
      <c r="BB337" s="302"/>
      <c r="BC337" s="301"/>
      <c r="BD337" s="303"/>
      <c r="BE337" s="304"/>
      <c r="BF337" s="307"/>
      <c r="BG337" s="301"/>
      <c r="BH337" s="303"/>
      <c r="BI337" s="304"/>
      <c r="BK337" s="29"/>
      <c r="BL337" s="29"/>
      <c r="BQ337" s="308"/>
      <c r="BR337" s="308"/>
    </row>
    <row r="338" ht="12.75" spans="1:70">
      <c r="A338" s="29"/>
      <c r="B338" s="29"/>
      <c r="D338" s="29"/>
      <c r="F338" s="29" t="b">
        <v>0</v>
      </c>
      <c r="G338" s="29" t="b">
        <v>0</v>
      </c>
      <c r="H338" s="29" t="b">
        <v>0</v>
      </c>
      <c r="I338" s="29" t="b">
        <v>0</v>
      </c>
      <c r="J338" s="29" t="b">
        <v>0</v>
      </c>
      <c r="K338" s="29" t="b">
        <v>0</v>
      </c>
      <c r="L338" s="29" t="b">
        <v>0</v>
      </c>
      <c r="M338" s="432" t="b">
        <v>0</v>
      </c>
      <c r="N338" s="432" t="b">
        <v>0</v>
      </c>
      <c r="P338" s="29"/>
      <c r="Q338" s="448"/>
      <c r="R338" s="448"/>
      <c r="S338" s="448"/>
      <c r="T338" s="308"/>
      <c r="U338" s="540"/>
      <c r="V338" s="245"/>
      <c r="W338" s="245"/>
      <c r="X338" s="245"/>
      <c r="Y338" s="245"/>
      <c r="Z338" s="245"/>
      <c r="AA338" s="245"/>
      <c r="AB338" s="475"/>
      <c r="AC338" s="475"/>
      <c r="AD338" s="474"/>
      <c r="AE338" s="474"/>
      <c r="AF338" s="475"/>
      <c r="AG338" s="475"/>
      <c r="AH338" s="483"/>
      <c r="AI338" s="483"/>
      <c r="AJ338" s="252"/>
      <c r="AK338" s="252"/>
      <c r="AL338" s="485"/>
      <c r="AM338" s="485"/>
      <c r="AN338" s="485"/>
      <c r="AO338" s="475"/>
      <c r="AP338" s="475"/>
      <c r="AQ338" s="432" t="b">
        <v>0</v>
      </c>
      <c r="AR338" s="485"/>
      <c r="AS338" s="485"/>
      <c r="AT338" s="485"/>
      <c r="AU338" s="301"/>
      <c r="AV338" s="301"/>
      <c r="AW338" s="29"/>
      <c r="AX338" s="29"/>
      <c r="BB338" s="302"/>
      <c r="BC338" s="301"/>
      <c r="BD338" s="303"/>
      <c r="BE338" s="304"/>
      <c r="BF338" s="307"/>
      <c r="BG338" s="301"/>
      <c r="BH338" s="303"/>
      <c r="BI338" s="304"/>
      <c r="BK338" s="29"/>
      <c r="BL338" s="29"/>
      <c r="BQ338" s="308"/>
      <c r="BR338" s="308"/>
    </row>
    <row r="339" ht="12.75" spans="1:70">
      <c r="A339" s="29"/>
      <c r="B339" s="29"/>
      <c r="D339" s="29"/>
      <c r="F339" s="29" t="b">
        <v>0</v>
      </c>
      <c r="G339" s="29" t="b">
        <v>0</v>
      </c>
      <c r="H339" s="29" t="b">
        <v>0</v>
      </c>
      <c r="I339" s="29" t="b">
        <v>0</v>
      </c>
      <c r="J339" s="29" t="b">
        <v>0</v>
      </c>
      <c r="K339" s="29" t="b">
        <v>0</v>
      </c>
      <c r="L339" s="29" t="b">
        <v>0</v>
      </c>
      <c r="M339" s="432" t="b">
        <v>0</v>
      </c>
      <c r="N339" s="432" t="b">
        <v>0</v>
      </c>
      <c r="P339" s="29"/>
      <c r="Q339" s="448"/>
      <c r="R339" s="448"/>
      <c r="S339" s="448"/>
      <c r="T339" s="308"/>
      <c r="U339" s="540"/>
      <c r="V339" s="245"/>
      <c r="W339" s="245"/>
      <c r="X339" s="245"/>
      <c r="Y339" s="245"/>
      <c r="Z339" s="245"/>
      <c r="AA339" s="245"/>
      <c r="AB339" s="475"/>
      <c r="AC339" s="475"/>
      <c r="AD339" s="474"/>
      <c r="AE339" s="474"/>
      <c r="AF339" s="475"/>
      <c r="AG339" s="475"/>
      <c r="AH339" s="483"/>
      <c r="AI339" s="483"/>
      <c r="AJ339" s="252"/>
      <c r="AK339" s="252"/>
      <c r="AL339" s="485"/>
      <c r="AM339" s="485"/>
      <c r="AN339" s="485"/>
      <c r="AO339" s="475"/>
      <c r="AP339" s="475"/>
      <c r="AQ339" s="432" t="b">
        <v>0</v>
      </c>
      <c r="AR339" s="485"/>
      <c r="AS339" s="485"/>
      <c r="AT339" s="485"/>
      <c r="AU339" s="301"/>
      <c r="AV339" s="301"/>
      <c r="AW339" s="29"/>
      <c r="AX339" s="29"/>
      <c r="BB339" s="302"/>
      <c r="BC339" s="301"/>
      <c r="BD339" s="303"/>
      <c r="BE339" s="304"/>
      <c r="BF339" s="307"/>
      <c r="BG339" s="301"/>
      <c r="BH339" s="303"/>
      <c r="BI339" s="304"/>
      <c r="BK339" s="29"/>
      <c r="BL339" s="29"/>
      <c r="BQ339" s="308"/>
      <c r="BR339" s="308"/>
    </row>
    <row r="340" ht="12.75" spans="1:70">
      <c r="A340" s="29"/>
      <c r="B340" s="29"/>
      <c r="D340" s="29"/>
      <c r="F340" s="29" t="b">
        <v>0</v>
      </c>
      <c r="G340" s="29" t="b">
        <v>0</v>
      </c>
      <c r="H340" s="29" t="b">
        <v>0</v>
      </c>
      <c r="I340" s="29" t="b">
        <v>0</v>
      </c>
      <c r="J340" s="29" t="b">
        <v>0</v>
      </c>
      <c r="K340" s="29" t="b">
        <v>0</v>
      </c>
      <c r="L340" s="29" t="b">
        <v>0</v>
      </c>
      <c r="M340" s="432" t="b">
        <v>0</v>
      </c>
      <c r="N340" s="432" t="b">
        <v>0</v>
      </c>
      <c r="P340" s="29"/>
      <c r="Q340" s="448"/>
      <c r="R340" s="448"/>
      <c r="S340" s="448"/>
      <c r="T340" s="308"/>
      <c r="U340" s="540"/>
      <c r="V340" s="245"/>
      <c r="W340" s="245"/>
      <c r="X340" s="245"/>
      <c r="Y340" s="245"/>
      <c r="Z340" s="245"/>
      <c r="AA340" s="245"/>
      <c r="AB340" s="475"/>
      <c r="AC340" s="475"/>
      <c r="AD340" s="474"/>
      <c r="AE340" s="474"/>
      <c r="AF340" s="475"/>
      <c r="AG340" s="475"/>
      <c r="AH340" s="483"/>
      <c r="AI340" s="483"/>
      <c r="AJ340" s="252"/>
      <c r="AK340" s="252"/>
      <c r="AL340" s="485"/>
      <c r="AM340" s="485"/>
      <c r="AN340" s="485"/>
      <c r="AO340" s="475"/>
      <c r="AP340" s="475"/>
      <c r="AQ340" s="432" t="b">
        <v>0</v>
      </c>
      <c r="AR340" s="485"/>
      <c r="AS340" s="485"/>
      <c r="AT340" s="485"/>
      <c r="AU340" s="301"/>
      <c r="AV340" s="301"/>
      <c r="AW340" s="29"/>
      <c r="AX340" s="29"/>
      <c r="BB340" s="302"/>
      <c r="BC340" s="301"/>
      <c r="BD340" s="303"/>
      <c r="BE340" s="304"/>
      <c r="BF340" s="307"/>
      <c r="BG340" s="301"/>
      <c r="BH340" s="303"/>
      <c r="BI340" s="304"/>
      <c r="BK340" s="29"/>
      <c r="BL340" s="29"/>
      <c r="BQ340" s="308"/>
      <c r="BR340" s="308"/>
    </row>
    <row r="341" ht="12.75" spans="1:70">
      <c r="A341" s="29"/>
      <c r="B341" s="29"/>
      <c r="D341" s="29"/>
      <c r="F341" s="29" t="b">
        <v>0</v>
      </c>
      <c r="G341" s="29" t="b">
        <v>0</v>
      </c>
      <c r="H341" s="29" t="b">
        <v>0</v>
      </c>
      <c r="I341" s="29" t="b">
        <v>0</v>
      </c>
      <c r="J341" s="29" t="b">
        <v>0</v>
      </c>
      <c r="K341" s="29" t="b">
        <v>0</v>
      </c>
      <c r="L341" s="29" t="b">
        <v>0</v>
      </c>
      <c r="M341" s="432" t="b">
        <v>0</v>
      </c>
      <c r="N341" s="432" t="b">
        <v>0</v>
      </c>
      <c r="P341" s="29"/>
      <c r="Q341" s="448"/>
      <c r="R341" s="448"/>
      <c r="S341" s="448"/>
      <c r="T341" s="308"/>
      <c r="U341" s="540"/>
      <c r="V341" s="245"/>
      <c r="W341" s="245"/>
      <c r="X341" s="245"/>
      <c r="Y341" s="245"/>
      <c r="Z341" s="245"/>
      <c r="AA341" s="245"/>
      <c r="AB341" s="475"/>
      <c r="AC341" s="475"/>
      <c r="AD341" s="474"/>
      <c r="AE341" s="474"/>
      <c r="AF341" s="475"/>
      <c r="AG341" s="475"/>
      <c r="AH341" s="483"/>
      <c r="AI341" s="483"/>
      <c r="AJ341" s="252"/>
      <c r="AK341" s="252"/>
      <c r="AL341" s="485"/>
      <c r="AM341" s="485"/>
      <c r="AN341" s="485"/>
      <c r="AO341" s="475"/>
      <c r="AP341" s="475"/>
      <c r="AQ341" s="432" t="b">
        <v>0</v>
      </c>
      <c r="AR341" s="485"/>
      <c r="AS341" s="485"/>
      <c r="AT341" s="485"/>
      <c r="AU341" s="301"/>
      <c r="AV341" s="301"/>
      <c r="AW341" s="29"/>
      <c r="AX341" s="29"/>
      <c r="BB341" s="302"/>
      <c r="BC341" s="301"/>
      <c r="BD341" s="303"/>
      <c r="BE341" s="304"/>
      <c r="BF341" s="307"/>
      <c r="BG341" s="301"/>
      <c r="BH341" s="303"/>
      <c r="BI341" s="304"/>
      <c r="BK341" s="29"/>
      <c r="BL341" s="29"/>
      <c r="BQ341" s="308"/>
      <c r="BR341" s="308"/>
    </row>
    <row r="342" ht="12.75" spans="1:70">
      <c r="A342" s="29"/>
      <c r="B342" s="29"/>
      <c r="D342" s="29"/>
      <c r="F342" s="29" t="b">
        <v>0</v>
      </c>
      <c r="G342" s="29" t="b">
        <v>0</v>
      </c>
      <c r="H342" s="29" t="b">
        <v>0</v>
      </c>
      <c r="I342" s="29" t="b">
        <v>0</v>
      </c>
      <c r="J342" s="29" t="b">
        <v>0</v>
      </c>
      <c r="K342" s="29" t="b">
        <v>0</v>
      </c>
      <c r="L342" s="29" t="b">
        <v>0</v>
      </c>
      <c r="M342" s="432" t="b">
        <v>0</v>
      </c>
      <c r="N342" s="432" t="b">
        <v>0</v>
      </c>
      <c r="P342" s="29"/>
      <c r="Q342" s="448"/>
      <c r="R342" s="448"/>
      <c r="S342" s="448"/>
      <c r="T342" s="308"/>
      <c r="U342" s="540"/>
      <c r="V342" s="245"/>
      <c r="W342" s="245"/>
      <c r="X342" s="245"/>
      <c r="Y342" s="245"/>
      <c r="Z342" s="245"/>
      <c r="AA342" s="245"/>
      <c r="AB342" s="475"/>
      <c r="AC342" s="475"/>
      <c r="AD342" s="474"/>
      <c r="AE342" s="474"/>
      <c r="AF342" s="475"/>
      <c r="AG342" s="475"/>
      <c r="AH342" s="483"/>
      <c r="AI342" s="483"/>
      <c r="AJ342" s="252"/>
      <c r="AK342" s="252"/>
      <c r="AL342" s="485"/>
      <c r="AM342" s="485"/>
      <c r="AN342" s="485"/>
      <c r="AO342" s="475"/>
      <c r="AP342" s="475"/>
      <c r="AQ342" s="432" t="b">
        <v>0</v>
      </c>
      <c r="AR342" s="485"/>
      <c r="AS342" s="485"/>
      <c r="AT342" s="485"/>
      <c r="AU342" s="301"/>
      <c r="AV342" s="301"/>
      <c r="AW342" s="29"/>
      <c r="AX342" s="29"/>
      <c r="BB342" s="302"/>
      <c r="BC342" s="301"/>
      <c r="BD342" s="303"/>
      <c r="BE342" s="304"/>
      <c r="BF342" s="307"/>
      <c r="BG342" s="301"/>
      <c r="BH342" s="303"/>
      <c r="BI342" s="304"/>
      <c r="BK342" s="29"/>
      <c r="BL342" s="29"/>
      <c r="BQ342" s="308"/>
      <c r="BR342" s="308"/>
    </row>
    <row r="343" ht="12.75" spans="1:70">
      <c r="A343" s="29"/>
      <c r="B343" s="29"/>
      <c r="D343" s="29"/>
      <c r="F343" s="29" t="b">
        <v>0</v>
      </c>
      <c r="G343" s="29" t="b">
        <v>0</v>
      </c>
      <c r="H343" s="29" t="b">
        <v>0</v>
      </c>
      <c r="I343" s="29" t="b">
        <v>0</v>
      </c>
      <c r="J343" s="29" t="b">
        <v>0</v>
      </c>
      <c r="K343" s="29" t="b">
        <v>0</v>
      </c>
      <c r="L343" s="29" t="b">
        <v>0</v>
      </c>
      <c r="M343" s="432" t="b">
        <v>0</v>
      </c>
      <c r="N343" s="432" t="b">
        <v>0</v>
      </c>
      <c r="P343" s="29"/>
      <c r="Q343" s="448"/>
      <c r="R343" s="448"/>
      <c r="S343" s="448"/>
      <c r="T343" s="308"/>
      <c r="U343" s="540"/>
      <c r="V343" s="245"/>
      <c r="W343" s="245"/>
      <c r="X343" s="245"/>
      <c r="Y343" s="245"/>
      <c r="Z343" s="245"/>
      <c r="AA343" s="245"/>
      <c r="AB343" s="475"/>
      <c r="AC343" s="475"/>
      <c r="AD343" s="474"/>
      <c r="AE343" s="474"/>
      <c r="AF343" s="475"/>
      <c r="AG343" s="475"/>
      <c r="AH343" s="483"/>
      <c r="AI343" s="483"/>
      <c r="AJ343" s="252"/>
      <c r="AK343" s="252"/>
      <c r="AL343" s="485"/>
      <c r="AM343" s="485"/>
      <c r="AN343" s="485"/>
      <c r="AO343" s="475"/>
      <c r="AP343" s="475"/>
      <c r="AQ343" s="432" t="b">
        <v>0</v>
      </c>
      <c r="AR343" s="485"/>
      <c r="AS343" s="485"/>
      <c r="AT343" s="485"/>
      <c r="AU343" s="301"/>
      <c r="AV343" s="301"/>
      <c r="AW343" s="29"/>
      <c r="AX343" s="29"/>
      <c r="BB343" s="302"/>
      <c r="BC343" s="301"/>
      <c r="BD343" s="303"/>
      <c r="BE343" s="304"/>
      <c r="BF343" s="307"/>
      <c r="BG343" s="301"/>
      <c r="BH343" s="303"/>
      <c r="BI343" s="304"/>
      <c r="BK343" s="29"/>
      <c r="BL343" s="29"/>
      <c r="BQ343" s="308"/>
      <c r="BR343" s="308"/>
    </row>
    <row r="344" ht="12.75" spans="1:70">
      <c r="A344" s="29"/>
      <c r="B344" s="29"/>
      <c r="D344" s="29"/>
      <c r="F344" s="29" t="b">
        <v>0</v>
      </c>
      <c r="G344" s="29" t="b">
        <v>0</v>
      </c>
      <c r="H344" s="29" t="b">
        <v>0</v>
      </c>
      <c r="I344" s="29" t="b">
        <v>0</v>
      </c>
      <c r="J344" s="29" t="b">
        <v>0</v>
      </c>
      <c r="K344" s="29" t="b">
        <v>0</v>
      </c>
      <c r="L344" s="29" t="b">
        <v>0</v>
      </c>
      <c r="M344" s="432" t="b">
        <v>0</v>
      </c>
      <c r="N344" s="432" t="b">
        <v>0</v>
      </c>
      <c r="P344" s="29"/>
      <c r="Q344" s="448"/>
      <c r="R344" s="448"/>
      <c r="S344" s="448"/>
      <c r="T344" s="308"/>
      <c r="U344" s="540"/>
      <c r="V344" s="245"/>
      <c r="W344" s="245"/>
      <c r="X344" s="245"/>
      <c r="Y344" s="245"/>
      <c r="Z344" s="245"/>
      <c r="AA344" s="245"/>
      <c r="AB344" s="475"/>
      <c r="AC344" s="475"/>
      <c r="AD344" s="474"/>
      <c r="AE344" s="474"/>
      <c r="AF344" s="475"/>
      <c r="AG344" s="475"/>
      <c r="AH344" s="483"/>
      <c r="AI344" s="483"/>
      <c r="AJ344" s="252"/>
      <c r="AK344" s="252"/>
      <c r="AL344" s="485"/>
      <c r="AM344" s="485"/>
      <c r="AN344" s="485"/>
      <c r="AO344" s="475"/>
      <c r="AP344" s="475"/>
      <c r="AQ344" s="432" t="b">
        <v>0</v>
      </c>
      <c r="AR344" s="485"/>
      <c r="AS344" s="485"/>
      <c r="AT344" s="485"/>
      <c r="AU344" s="301"/>
      <c r="AV344" s="301"/>
      <c r="AW344" s="29"/>
      <c r="AX344" s="29"/>
      <c r="BB344" s="302"/>
      <c r="BC344" s="301"/>
      <c r="BD344" s="303"/>
      <c r="BE344" s="304"/>
      <c r="BF344" s="307"/>
      <c r="BG344" s="301"/>
      <c r="BH344" s="303"/>
      <c r="BI344" s="304"/>
      <c r="BK344" s="29"/>
      <c r="BL344" s="29"/>
      <c r="BQ344" s="308"/>
      <c r="BR344" s="308"/>
    </row>
    <row r="345" ht="12.75" spans="1:70">
      <c r="A345" s="29"/>
      <c r="B345" s="29"/>
      <c r="D345" s="29"/>
      <c r="F345" s="29" t="b">
        <v>0</v>
      </c>
      <c r="G345" s="29" t="b">
        <v>0</v>
      </c>
      <c r="H345" s="29" t="b">
        <v>0</v>
      </c>
      <c r="I345" s="29" t="b">
        <v>0</v>
      </c>
      <c r="J345" s="29" t="b">
        <v>0</v>
      </c>
      <c r="K345" s="29" t="b">
        <v>0</v>
      </c>
      <c r="L345" s="29" t="b">
        <v>0</v>
      </c>
      <c r="M345" s="432" t="b">
        <v>0</v>
      </c>
      <c r="N345" s="432" t="b">
        <v>0</v>
      </c>
      <c r="P345" s="29"/>
      <c r="Q345" s="448"/>
      <c r="R345" s="448"/>
      <c r="S345" s="448"/>
      <c r="T345" s="308"/>
      <c r="U345" s="540"/>
      <c r="V345" s="245"/>
      <c r="W345" s="245"/>
      <c r="X345" s="245"/>
      <c r="Y345" s="245"/>
      <c r="Z345" s="245"/>
      <c r="AA345" s="245"/>
      <c r="AB345" s="475"/>
      <c r="AC345" s="475"/>
      <c r="AD345" s="474"/>
      <c r="AE345" s="474"/>
      <c r="AF345" s="475"/>
      <c r="AG345" s="475"/>
      <c r="AH345" s="483"/>
      <c r="AI345" s="483"/>
      <c r="AJ345" s="252"/>
      <c r="AK345" s="252"/>
      <c r="AL345" s="485"/>
      <c r="AM345" s="485"/>
      <c r="AN345" s="485"/>
      <c r="AO345" s="475"/>
      <c r="AP345" s="475"/>
      <c r="AQ345" s="432" t="b">
        <v>0</v>
      </c>
      <c r="AR345" s="485"/>
      <c r="AS345" s="485"/>
      <c r="AT345" s="485"/>
      <c r="AU345" s="301"/>
      <c r="AV345" s="301"/>
      <c r="AW345" s="29"/>
      <c r="AX345" s="29"/>
      <c r="BB345" s="302"/>
      <c r="BC345" s="301"/>
      <c r="BD345" s="303"/>
      <c r="BE345" s="304"/>
      <c r="BF345" s="307"/>
      <c r="BG345" s="301"/>
      <c r="BH345" s="303"/>
      <c r="BI345" s="304"/>
      <c r="BK345" s="29"/>
      <c r="BL345" s="29"/>
      <c r="BQ345" s="308"/>
      <c r="BR345" s="308"/>
    </row>
  </sheetData>
  <mergeCells count="15">
    <mergeCell ref="F1:U1"/>
    <mergeCell ref="V1:W1"/>
    <mergeCell ref="X1:Y1"/>
    <mergeCell ref="Z1:AA1"/>
    <mergeCell ref="AD1:AE1"/>
    <mergeCell ref="AF1:AG1"/>
    <mergeCell ref="AH1:AI1"/>
    <mergeCell ref="AJ1:AK1"/>
    <mergeCell ref="AL1:AN1"/>
    <mergeCell ref="AO1:AQ1"/>
    <mergeCell ref="AR1:AT1"/>
    <mergeCell ref="AV1:AX1"/>
    <mergeCell ref="AB2:AC2"/>
    <mergeCell ref="AJ2:AK2"/>
    <mergeCell ref="AO2:AP2"/>
  </mergeCells>
  <conditionalFormatting sqref="G1:H345">
    <cfRule type="cellIs" dxfId="2" priority="12" operator="equal">
      <formula>"TRUE"</formula>
    </cfRule>
  </conditionalFormatting>
  <conditionalFormatting sqref="AD1:AE345">
    <cfRule type="cellIs" dxfId="3" priority="7" operator="between">
      <formula>0.5</formula>
      <formula>0.55</formula>
    </cfRule>
    <cfRule type="cellIs" dxfId="4" priority="8" operator="between">
      <formula>0.5</formula>
      <formula>0.4</formula>
    </cfRule>
    <cfRule type="cellIs" dxfId="5" priority="9" operator="between">
      <formula>0.4</formula>
      <formula>0.3</formula>
    </cfRule>
    <cfRule type="cellIs" dxfId="6" priority="10" operator="between">
      <formula>0.3</formula>
      <formula>0.2</formula>
    </cfRule>
    <cfRule type="cellIs" dxfId="7" priority="11" operator="greaterThan">
      <formula>0.55</formula>
    </cfRule>
  </conditionalFormatting>
  <conditionalFormatting sqref="AH1:AI345 AJ1:AK1 AO1:AP1 AJ3:AK345 AO3:AP345">
    <cfRule type="cellIs" dxfId="8" priority="1" operator="greaterThanOrEqual">
      <formula>0.4</formula>
    </cfRule>
    <cfRule type="cellIs" dxfId="9" priority="2" operator="greaterThanOrEqual">
      <formula>0.35</formula>
    </cfRule>
    <cfRule type="cellIs" dxfId="4" priority="3" operator="greaterThanOrEqual">
      <formula>0.3</formula>
    </cfRule>
    <cfRule type="cellIs" dxfId="5" priority="4" operator="greaterThanOrEqual">
      <formula>0.2</formula>
    </cfRule>
    <cfRule type="cellIs" dxfId="6" priority="5" operator="greaterThanOrEqual">
      <formula>0.1</formula>
    </cfRule>
    <cfRule type="cellIs" dxfId="10" priority="6" operator="lessThanOrEqual">
      <formula>0.1</formula>
    </cfRule>
  </conditionalFormatting>
  <dataValidations count="6">
    <dataValidation type="list" allowBlank="1" showErrorMessage="1" sqref="D78 D87 D90 D116 D120 D131 D199 D81:D82 D172:D175 D239:D345">
      <formula1>"Paint,Primer,Elastomeric,Enamel,Caulk,Protection,Fastener,Lumber,Drywall,Systexx,Specialty,Compound,Stucco,Horizontal surfaces,Stain + Varnish,Roof,Wood Patch,Stripper,Sundries"</formula1>
    </dataValidation>
    <dataValidation type="list" allowBlank="1" showErrorMessage="1" sqref="BQ209 D3:D77 D79:D80 D83:D86 D88:D89 D91:D115 D117:D119 D121:D130 D132:D171 D176:D198 D200:D238 BQ3:BR208 BQ210:BR345">
      <formula1>"Paint,Primer,Elastomeric,Enamel,Caulk,Protection,Fastener,Lumber,Drywall,Systexx,Specialty,Compound,Stucco,Horizontal surfaces,Stain + Varnish,Roof,Wood Patch"</formula1>
    </dataValidation>
    <dataValidation type="list" allowBlank="1" showErrorMessage="1" sqref="BR209">
      <formula1>"Re"</formula1>
    </dataValidation>
    <dataValidation type="list" allowBlank="1" showErrorMessage="1" sqref="A3:A186 A188:A244 A246:A345">
      <formula1>"Interior,Exterior,Int/Ext"</formula1>
    </dataValidation>
    <dataValidation type="list" allowBlank="1" showErrorMessage="1" sqref="P3:P345">
      <formula1>"Improve,All Set,n/a"</formula1>
    </dataValidation>
    <dataValidation type="list" allowBlank="1" showErrorMessage="1" sqref="T3:T345">
      <formula1>"gal,item,5gal,other,quart,roll,cartridge"</formula1>
    </dataValidation>
  </dataValidations>
  <hyperlinks>
    <hyperlink ref="BK44" r:id="rId3" display="https://www.sherwin-williams.com/homeowners/products/concrete-masonry-patch"/>
    <hyperlink ref="BK45" r:id="rId3" display="https://www.sherwin-williams.com/homeowners/products/concrete-masonry-patch"/>
    <hyperlink ref="BK78" r:id="rId4" display="https://www.sherwin-williams.com/homeowners/products/exterior-latex-wood-primer"/>
    <hyperlink ref="BK88" r:id="rId5" display="https://www.sherwin-williams.com/painting-contractors/products/hc-colortop-solventbased-solid-color-concrete-sealer"/>
    <hyperlink ref="BK89" r:id="rId5" display="https://www.sherwin-williams.com/painting-contractors/products/hc-colortop-solventbased-solid-color-concrete-sealer"/>
    <hyperlink ref="BK100" r:id="rId6" display="https://www.homedepot.com/p/KILZ-PVA-5-Gal-White-Interior-Drywall-Primer-PX01005/202665645?source=shoppingads&amp;locale=en-US&amp;pla&amp;mtc=SHOPPING-BF-CDP-GGL-D24-024_022_PRIMERS-NA-Multi-NA-PLALIA-NA-NA-NA-NA-NBR-NA-NA-NA-FY21_Multi_PLALIA&amp;cm_mmc=SHOPPING-BF-CDP-GGL-D24-024_022_PRIMERS-NA-Multi-NA-PLALIA-NA-NA-NA-NA-NBR-NA-NA-NA-FY21_Multi_PLALIA-71700000075826637-58700006498654198-92700058683659550&amp;gad_source=1&amp;gclid=CjwKCAjwuJ2xBhA3EiwAMVjkVI9Xd8eKwkc4nPicYdGu7PUeOAyh8KMKLyceupARCxzA0B1AYKYc4hoCUMMQAvD_BwE&amp;gclsrc=aw.ds"/>
    <hyperlink ref="BK111" r:id="rId7" display="https://www.acehardware.com/departments/paint-and-supplies/specialty-paints/chalk-paint/1814615?store=18506"/>
    <hyperlink ref="BK166" r:id="rId8" display="https://www.sherwin-williams.com/painting-contractors/products/pro-industrial-shercryl-hpa-high-performance-acrylic"/>
    <hyperlink ref="BK173" r:id="rId9" display="https://www.sherwin-williams.com/painting-contractors/products/loxon-s1-one-component-smooth-polyurethane-sealant"/>
    <hyperlink ref="BK228" r:id="rId10" display="https://www.homedepot.com/p/Varathane-1-Gal-Dark-Walnut-Classic-Wood-Interior-Stain-340614/305502034?source=shoppingads&amp;locale=en-US&amp;pla&amp;mtc=SHOPPING-BF-CDP-GGL-D24-024_013_INT_STAIN_CL-NA-Multi-NA-PLALIA-NA-NA-NA-NA-NBR-NA-NA-NA-FY21_Interior_PLALIA&amp;cm_mmc=SHOPPING-BF-CDP-GGL-D24-024_013_INT_STAIN_CL-NA-Multi-NA-PLALIA-NA-NA-NA-NA-NBR-NA-NA-NA-FY21_Interior_PLALIA-71700000075826925-58700006496910117-92700058691144869&amp;gad_source=1&amp;gclid=CjwKCAiA_5WvBhBAEiwAZtCU7zDVzwQDcY7kMFuXHxaWi9BikYhIH_-ATs3UZu0SYQ8z833PmttaYRoCta8QAvD_BwE&amp;gclsrc=aw.ds"/>
    <hyperlink ref="BK236" r:id="rId11" display="https://www.homedepot.com/p/Zinsser-1-gal-Mold-Killing-Interior-Exterior-Primer-276049/204994675"/>
  </hyperlinks>
  <printOptions horizontalCentered="1" gridLines="1"/>
  <pageMargins left="0.7" right="0.7" top="0.75" bottom="0.75" header="0" footer="0"/>
  <pageSetup paperSize="1" fitToHeight="0" pageOrder="overThenDown" orientation="landscape" cellComments="atEnd"/>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FC5E8"/>
    <outlinePr summaryBelow="0" summaryRight="0"/>
  </sheetPr>
  <dimension ref="A1:N28"/>
  <sheetViews>
    <sheetView workbookViewId="0">
      <pane ySplit="1" topLeftCell="A2" activePane="bottomLeft" state="frozen"/>
      <selection/>
      <selection pane="bottomLeft" activeCell="B3" sqref="B3"/>
    </sheetView>
  </sheetViews>
  <sheetFormatPr defaultColWidth="12.6285714285714" defaultRowHeight="15.75" customHeight="1"/>
  <cols>
    <col min="1" max="1" width="33.5047619047619" customWidth="1"/>
    <col min="2" max="2" width="34.5047619047619" customWidth="1"/>
    <col min="3" max="3" width="11.6285714285714" customWidth="1"/>
    <col min="4" max="8" width="9" customWidth="1"/>
    <col min="9" max="9" width="42" customWidth="1"/>
    <col min="10" max="14" width="9" customWidth="1"/>
  </cols>
  <sheetData>
    <row r="1" customHeight="1" spans="1:14">
      <c r="A1" s="419" t="s">
        <v>1549</v>
      </c>
      <c r="B1" s="420" t="s">
        <v>1550</v>
      </c>
      <c r="C1" s="419" t="s">
        <v>1551</v>
      </c>
      <c r="D1" s="421" t="s">
        <v>1552</v>
      </c>
      <c r="E1" s="421" t="s">
        <v>85</v>
      </c>
      <c r="F1" s="421" t="s">
        <v>1553</v>
      </c>
      <c r="G1" s="421" t="s">
        <v>1554</v>
      </c>
      <c r="H1" s="421" t="s">
        <v>911</v>
      </c>
      <c r="I1" s="422" t="s">
        <v>1555</v>
      </c>
      <c r="J1" s="423" t="s">
        <v>6</v>
      </c>
      <c r="K1" s="421" t="s">
        <v>8</v>
      </c>
      <c r="L1" s="424" t="s">
        <v>7</v>
      </c>
      <c r="M1" s="424" t="s">
        <v>1556</v>
      </c>
      <c r="N1" s="421" t="s">
        <v>9</v>
      </c>
    </row>
    <row r="2" customHeight="1" spans="1:14">
      <c r="A2" s="29" t="s">
        <v>1557</v>
      </c>
      <c r="B2" s="245" t="s">
        <v>1558</v>
      </c>
      <c r="C2" s="29" t="s">
        <v>119</v>
      </c>
      <c r="D2" s="29" t="b">
        <v>1</v>
      </c>
      <c r="E2" s="29" t="b">
        <v>1</v>
      </c>
      <c r="F2" s="29" t="b">
        <v>1</v>
      </c>
      <c r="G2" s="29" t="b">
        <v>1</v>
      </c>
      <c r="H2" s="29" t="b">
        <v>1</v>
      </c>
      <c r="J2" s="207" t="b">
        <v>1</v>
      </c>
      <c r="K2" s="29" t="b">
        <v>1</v>
      </c>
      <c r="L2" s="29" t="b">
        <v>0</v>
      </c>
      <c r="M2" s="29" t="b">
        <v>0</v>
      </c>
      <c r="N2" s="29" t="b">
        <v>0</v>
      </c>
    </row>
    <row r="3" customHeight="1" spans="1:14">
      <c r="A3" s="29" t="s">
        <v>1559</v>
      </c>
      <c r="B3" s="29" t="s">
        <v>1560</v>
      </c>
      <c r="C3" s="29" t="s">
        <v>119</v>
      </c>
      <c r="D3" s="29" t="b">
        <v>1</v>
      </c>
      <c r="E3" s="29" t="b">
        <v>1</v>
      </c>
      <c r="F3" s="29" t="b">
        <v>1</v>
      </c>
      <c r="G3" s="29" t="b">
        <v>1</v>
      </c>
      <c r="H3" s="29" t="b">
        <v>1</v>
      </c>
      <c r="J3" s="207" t="b">
        <v>1</v>
      </c>
      <c r="K3" s="29" t="b">
        <v>1</v>
      </c>
      <c r="L3" s="29" t="b">
        <v>0</v>
      </c>
      <c r="M3" s="29" t="b">
        <v>0</v>
      </c>
      <c r="N3" s="29" t="b">
        <v>0</v>
      </c>
    </row>
    <row r="4" customHeight="1" spans="1:14">
      <c r="A4" s="29" t="s">
        <v>1561</v>
      </c>
      <c r="B4" s="245" t="s">
        <v>1562</v>
      </c>
      <c r="C4" s="29" t="s">
        <v>119</v>
      </c>
      <c r="D4" s="29" t="b">
        <v>1</v>
      </c>
      <c r="E4" s="29" t="b">
        <v>1</v>
      </c>
      <c r="F4" s="29" t="b">
        <v>1</v>
      </c>
      <c r="G4" s="29" t="b">
        <v>1</v>
      </c>
      <c r="H4" s="29" t="b">
        <v>1</v>
      </c>
      <c r="J4" s="207" t="b">
        <v>1</v>
      </c>
      <c r="K4" s="29" t="b">
        <v>1</v>
      </c>
      <c r="L4" s="29" t="b">
        <v>0</v>
      </c>
      <c r="M4" s="29" t="b">
        <v>0</v>
      </c>
      <c r="N4" s="29" t="b">
        <v>0</v>
      </c>
    </row>
    <row r="5" customHeight="1" spans="1:14">
      <c r="A5" s="29" t="s">
        <v>1563</v>
      </c>
      <c r="B5" s="245" t="s">
        <v>1564</v>
      </c>
      <c r="C5" s="29" t="s">
        <v>1565</v>
      </c>
      <c r="D5" s="29" t="b">
        <v>1</v>
      </c>
      <c r="E5" s="29" t="b">
        <v>1</v>
      </c>
      <c r="F5" s="29" t="b">
        <v>1</v>
      </c>
      <c r="G5" s="29" t="b">
        <v>1</v>
      </c>
      <c r="H5" s="29" t="b">
        <v>1</v>
      </c>
      <c r="J5" s="207" t="b">
        <v>1</v>
      </c>
      <c r="K5" s="29" t="b">
        <v>1</v>
      </c>
      <c r="L5" s="29" t="b">
        <v>0</v>
      </c>
      <c r="M5" s="29" t="b">
        <v>0</v>
      </c>
      <c r="N5" s="29" t="b">
        <v>0</v>
      </c>
    </row>
    <row r="6" customHeight="1" spans="1:14">
      <c r="A6" s="29" t="s">
        <v>1566</v>
      </c>
      <c r="B6" s="245" t="s">
        <v>1567</v>
      </c>
      <c r="C6" s="29" t="s">
        <v>119</v>
      </c>
      <c r="D6" s="29" t="b">
        <v>1</v>
      </c>
      <c r="E6" s="29" t="b">
        <v>1</v>
      </c>
      <c r="F6" s="29" t="b">
        <v>1</v>
      </c>
      <c r="G6" s="29" t="b">
        <v>1</v>
      </c>
      <c r="H6" s="29" t="b">
        <v>1</v>
      </c>
      <c r="J6" s="207" t="b">
        <v>1</v>
      </c>
      <c r="K6" s="29" t="b">
        <v>1</v>
      </c>
      <c r="L6" s="29" t="b">
        <v>0</v>
      </c>
      <c r="M6" s="29" t="b">
        <v>0</v>
      </c>
      <c r="N6" s="29" t="b">
        <v>0</v>
      </c>
    </row>
    <row r="7" customHeight="1" spans="2:14">
      <c r="B7" s="245"/>
      <c r="C7" s="308"/>
      <c r="D7" s="29" t="b">
        <v>0</v>
      </c>
      <c r="E7" s="29" t="b">
        <v>0</v>
      </c>
      <c r="F7" s="29" t="b">
        <v>0</v>
      </c>
      <c r="G7" s="29" t="b">
        <v>0</v>
      </c>
      <c r="H7" s="29" t="b">
        <v>0</v>
      </c>
      <c r="J7" s="207" t="b">
        <v>1</v>
      </c>
      <c r="K7" s="29" t="b">
        <v>0</v>
      </c>
      <c r="L7" s="29" t="b">
        <v>0</v>
      </c>
      <c r="M7" s="29" t="b">
        <v>0</v>
      </c>
      <c r="N7" s="29" t="b">
        <v>0</v>
      </c>
    </row>
    <row r="8" customHeight="1" spans="2:14">
      <c r="B8" s="245"/>
      <c r="C8" s="308"/>
      <c r="D8" s="29" t="b">
        <v>0</v>
      </c>
      <c r="E8" s="29" t="b">
        <v>0</v>
      </c>
      <c r="F8" s="29" t="b">
        <v>0</v>
      </c>
      <c r="G8" s="29" t="b">
        <v>0</v>
      </c>
      <c r="H8" s="29" t="b">
        <v>0</v>
      </c>
      <c r="J8" s="207" t="b">
        <v>1</v>
      </c>
      <c r="K8" s="29" t="b">
        <v>0</v>
      </c>
      <c r="L8" s="29" t="b">
        <v>0</v>
      </c>
      <c r="M8" s="29" t="b">
        <v>0</v>
      </c>
      <c r="N8" s="29" t="b">
        <v>0</v>
      </c>
    </row>
    <row r="9" customHeight="1" spans="2:14">
      <c r="B9" s="245"/>
      <c r="C9" s="308"/>
      <c r="D9" s="29" t="b">
        <v>0</v>
      </c>
      <c r="E9" s="29" t="b">
        <v>0</v>
      </c>
      <c r="F9" s="29" t="b">
        <v>0</v>
      </c>
      <c r="G9" s="29" t="b">
        <v>0</v>
      </c>
      <c r="H9" s="29" t="b">
        <v>0</v>
      </c>
      <c r="J9" s="207" t="b">
        <v>1</v>
      </c>
      <c r="K9" s="29" t="b">
        <v>0</v>
      </c>
      <c r="L9" s="29" t="b">
        <v>0</v>
      </c>
      <c r="M9" s="29" t="b">
        <v>0</v>
      </c>
      <c r="N9" s="29" t="b">
        <v>0</v>
      </c>
    </row>
    <row r="10" customHeight="1" spans="2:14">
      <c r="B10" s="245"/>
      <c r="C10" s="308"/>
      <c r="D10" s="29" t="b">
        <v>0</v>
      </c>
      <c r="E10" s="29" t="b">
        <v>0</v>
      </c>
      <c r="F10" s="29" t="b">
        <v>0</v>
      </c>
      <c r="G10" s="29" t="b">
        <v>0</v>
      </c>
      <c r="H10" s="29" t="b">
        <v>0</v>
      </c>
      <c r="J10" s="207" t="b">
        <v>1</v>
      </c>
      <c r="K10" s="29" t="b">
        <v>0</v>
      </c>
      <c r="L10" s="29" t="b">
        <v>0</v>
      </c>
      <c r="M10" s="29" t="b">
        <v>0</v>
      </c>
      <c r="N10" s="29" t="b">
        <v>0</v>
      </c>
    </row>
    <row r="11" customHeight="1" spans="2:14">
      <c r="B11" s="245"/>
      <c r="C11" s="308"/>
      <c r="D11" s="29" t="b">
        <v>0</v>
      </c>
      <c r="E11" s="29" t="b">
        <v>0</v>
      </c>
      <c r="F11" s="29" t="b">
        <v>0</v>
      </c>
      <c r="G11" s="29" t="b">
        <v>0</v>
      </c>
      <c r="H11" s="29" t="b">
        <v>0</v>
      </c>
      <c r="J11" s="207" t="b">
        <v>1</v>
      </c>
      <c r="K11" s="29" t="b">
        <v>0</v>
      </c>
      <c r="L11" s="29" t="b">
        <v>0</v>
      </c>
      <c r="M11" s="29" t="b">
        <v>0</v>
      </c>
      <c r="N11" s="29" t="b">
        <v>0</v>
      </c>
    </row>
    <row r="12" customHeight="1" spans="2:14">
      <c r="B12" s="245"/>
      <c r="C12" s="308"/>
      <c r="D12" s="29" t="b">
        <v>0</v>
      </c>
      <c r="E12" s="29" t="b">
        <v>0</v>
      </c>
      <c r="F12" s="29" t="b">
        <v>0</v>
      </c>
      <c r="G12" s="29" t="b">
        <v>0</v>
      </c>
      <c r="H12" s="29" t="b">
        <v>0</v>
      </c>
      <c r="J12" s="207" t="b">
        <v>1</v>
      </c>
      <c r="K12" s="29" t="b">
        <v>0</v>
      </c>
      <c r="L12" s="29" t="b">
        <v>0</v>
      </c>
      <c r="M12" s="29" t="b">
        <v>0</v>
      </c>
      <c r="N12" s="29" t="b">
        <v>0</v>
      </c>
    </row>
    <row r="13" customHeight="1" spans="2:14">
      <c r="B13" s="245"/>
      <c r="C13" s="308"/>
      <c r="D13" s="29" t="b">
        <v>0</v>
      </c>
      <c r="E13" s="29" t="b">
        <v>0</v>
      </c>
      <c r="F13" s="29" t="b">
        <v>0</v>
      </c>
      <c r="G13" s="29" t="b">
        <v>0</v>
      </c>
      <c r="H13" s="29" t="b">
        <v>0</v>
      </c>
      <c r="J13" s="207" t="b">
        <v>1</v>
      </c>
      <c r="K13" s="29" t="b">
        <v>0</v>
      </c>
      <c r="L13" s="29" t="b">
        <v>0</v>
      </c>
      <c r="M13" s="29" t="b">
        <v>0</v>
      </c>
      <c r="N13" s="29" t="b">
        <v>0</v>
      </c>
    </row>
    <row r="14" customHeight="1" spans="2:14">
      <c r="B14" s="245"/>
      <c r="C14" s="308"/>
      <c r="D14" s="29" t="b">
        <v>0</v>
      </c>
      <c r="E14" s="29" t="b">
        <v>0</v>
      </c>
      <c r="F14" s="29" t="b">
        <v>0</v>
      </c>
      <c r="G14" s="29" t="b">
        <v>0</v>
      </c>
      <c r="H14" s="29" t="b">
        <v>0</v>
      </c>
      <c r="J14" s="207" t="b">
        <v>0</v>
      </c>
      <c r="K14" s="29" t="b">
        <v>0</v>
      </c>
      <c r="L14" s="29" t="b">
        <v>0</v>
      </c>
      <c r="M14" s="29" t="b">
        <v>0</v>
      </c>
      <c r="N14" s="29" t="b">
        <v>0</v>
      </c>
    </row>
    <row r="15" customHeight="1" spans="2:14">
      <c r="B15" s="245"/>
      <c r="C15" s="308"/>
      <c r="D15" s="29" t="b">
        <v>0</v>
      </c>
      <c r="E15" s="29" t="b">
        <v>0</v>
      </c>
      <c r="F15" s="29" t="b">
        <v>0</v>
      </c>
      <c r="G15" s="29" t="b">
        <v>0</v>
      </c>
      <c r="H15" s="29" t="b">
        <v>0</v>
      </c>
      <c r="J15" s="207" t="b">
        <v>0</v>
      </c>
      <c r="K15" s="29" t="b">
        <v>0</v>
      </c>
      <c r="L15" s="29" t="b">
        <v>0</v>
      </c>
      <c r="M15" s="29" t="b">
        <v>0</v>
      </c>
      <c r="N15" s="29" t="b">
        <v>0</v>
      </c>
    </row>
    <row r="16" customHeight="1" spans="2:14">
      <c r="B16" s="245"/>
      <c r="C16" s="308"/>
      <c r="D16" s="29" t="b">
        <v>0</v>
      </c>
      <c r="E16" s="29" t="b">
        <v>0</v>
      </c>
      <c r="F16" s="29" t="b">
        <v>0</v>
      </c>
      <c r="G16" s="29" t="b">
        <v>0</v>
      </c>
      <c r="H16" s="29" t="b">
        <v>0</v>
      </c>
      <c r="J16" s="207" t="b">
        <v>0</v>
      </c>
      <c r="K16" s="29" t="b">
        <v>0</v>
      </c>
      <c r="L16" s="29" t="b">
        <v>0</v>
      </c>
      <c r="M16" s="29" t="b">
        <v>0</v>
      </c>
      <c r="N16" s="29" t="b">
        <v>0</v>
      </c>
    </row>
    <row r="17" customHeight="1" spans="2:14">
      <c r="B17" s="245"/>
      <c r="C17" s="308"/>
      <c r="D17" s="29" t="b">
        <v>0</v>
      </c>
      <c r="E17" s="29" t="b">
        <v>0</v>
      </c>
      <c r="F17" s="29" t="b">
        <v>0</v>
      </c>
      <c r="G17" s="29" t="b">
        <v>0</v>
      </c>
      <c r="H17" s="29" t="b">
        <v>0</v>
      </c>
      <c r="J17" s="207" t="b">
        <v>0</v>
      </c>
      <c r="K17" s="29" t="b">
        <v>0</v>
      </c>
      <c r="L17" s="29" t="b">
        <v>0</v>
      </c>
      <c r="M17" s="29" t="b">
        <v>0</v>
      </c>
      <c r="N17" s="29" t="b">
        <v>0</v>
      </c>
    </row>
    <row r="18" customHeight="1" spans="2:14">
      <c r="B18" s="245"/>
      <c r="C18" s="308"/>
      <c r="D18" s="29" t="b">
        <v>0</v>
      </c>
      <c r="E18" s="29" t="b">
        <v>0</v>
      </c>
      <c r="F18" s="29" t="b">
        <v>0</v>
      </c>
      <c r="G18" s="29" t="b">
        <v>0</v>
      </c>
      <c r="H18" s="29" t="b">
        <v>0</v>
      </c>
      <c r="J18" s="207" t="b">
        <v>0</v>
      </c>
      <c r="K18" s="29" t="b">
        <v>0</v>
      </c>
      <c r="L18" s="29" t="b">
        <v>0</v>
      </c>
      <c r="M18" s="29" t="b">
        <v>0</v>
      </c>
      <c r="N18" s="29" t="b">
        <v>0</v>
      </c>
    </row>
    <row r="19" customHeight="1" spans="2:14">
      <c r="B19" s="360"/>
      <c r="C19" s="308"/>
      <c r="D19" s="29" t="b">
        <v>0</v>
      </c>
      <c r="E19" s="29" t="b">
        <v>0</v>
      </c>
      <c r="F19" s="29" t="b">
        <v>0</v>
      </c>
      <c r="G19" s="29" t="b">
        <v>0</v>
      </c>
      <c r="H19" s="29" t="b">
        <v>0</v>
      </c>
      <c r="J19" s="207" t="b">
        <v>0</v>
      </c>
      <c r="K19" s="29" t="b">
        <v>0</v>
      </c>
      <c r="L19" s="29" t="b">
        <v>0</v>
      </c>
      <c r="M19" s="29" t="b">
        <v>0</v>
      </c>
      <c r="N19" s="29" t="b">
        <v>0</v>
      </c>
    </row>
    <row r="20" customHeight="1" spans="2:14">
      <c r="B20" s="360"/>
      <c r="C20" s="308"/>
      <c r="D20" s="29" t="b">
        <v>0</v>
      </c>
      <c r="E20" s="29" t="b">
        <v>0</v>
      </c>
      <c r="F20" s="29" t="b">
        <v>0</v>
      </c>
      <c r="G20" s="29" t="b">
        <v>0</v>
      </c>
      <c r="H20" s="29" t="b">
        <v>0</v>
      </c>
      <c r="J20" s="207" t="b">
        <v>0</v>
      </c>
      <c r="K20" s="29" t="b">
        <v>0</v>
      </c>
      <c r="L20" s="29" t="b">
        <v>0</v>
      </c>
      <c r="M20" s="29" t="b">
        <v>0</v>
      </c>
      <c r="N20" s="29" t="b">
        <v>0</v>
      </c>
    </row>
    <row r="21" customHeight="1" spans="2:14">
      <c r="B21" s="360"/>
      <c r="C21" s="308"/>
      <c r="D21" s="29" t="b">
        <v>0</v>
      </c>
      <c r="E21" s="29" t="b">
        <v>0</v>
      </c>
      <c r="F21" s="29" t="b">
        <v>0</v>
      </c>
      <c r="G21" s="29" t="b">
        <v>0</v>
      </c>
      <c r="H21" s="29" t="b">
        <v>0</v>
      </c>
      <c r="J21" s="207" t="b">
        <v>0</v>
      </c>
      <c r="K21" s="29" t="b">
        <v>0</v>
      </c>
      <c r="L21" s="29" t="b">
        <v>0</v>
      </c>
      <c r="M21" s="29" t="b">
        <v>0</v>
      </c>
      <c r="N21" s="29" t="b">
        <v>0</v>
      </c>
    </row>
    <row r="22" customHeight="1" spans="2:14">
      <c r="B22" s="360"/>
      <c r="C22" s="308"/>
      <c r="D22" s="29" t="b">
        <v>0</v>
      </c>
      <c r="E22" s="29" t="b">
        <v>0</v>
      </c>
      <c r="F22" s="29" t="b">
        <v>0</v>
      </c>
      <c r="G22" s="29" t="b">
        <v>0</v>
      </c>
      <c r="H22" s="29" t="b">
        <v>0</v>
      </c>
      <c r="J22" s="207" t="b">
        <v>0</v>
      </c>
      <c r="K22" s="29" t="b">
        <v>0</v>
      </c>
      <c r="L22" s="29" t="b">
        <v>0</v>
      </c>
      <c r="M22" s="29" t="b">
        <v>0</v>
      </c>
      <c r="N22" s="29" t="b">
        <v>0</v>
      </c>
    </row>
    <row r="23" customHeight="1" spans="2:14">
      <c r="B23" s="360"/>
      <c r="C23" s="308"/>
      <c r="D23" s="29" t="b">
        <v>0</v>
      </c>
      <c r="E23" s="29" t="b">
        <v>0</v>
      </c>
      <c r="F23" s="29" t="b">
        <v>0</v>
      </c>
      <c r="G23" s="29" t="b">
        <v>0</v>
      </c>
      <c r="H23" s="29" t="b">
        <v>0</v>
      </c>
      <c r="J23" s="207" t="b">
        <v>0</v>
      </c>
      <c r="K23" s="29" t="b">
        <v>0</v>
      </c>
      <c r="L23" s="29" t="b">
        <v>0</v>
      </c>
      <c r="M23" s="29" t="b">
        <v>0</v>
      </c>
      <c r="N23" s="29" t="b">
        <v>0</v>
      </c>
    </row>
    <row r="24" customHeight="1" spans="2:14">
      <c r="B24" s="360"/>
      <c r="C24" s="308"/>
      <c r="D24" s="29" t="b">
        <v>0</v>
      </c>
      <c r="E24" s="29" t="b">
        <v>0</v>
      </c>
      <c r="F24" s="29" t="b">
        <v>0</v>
      </c>
      <c r="G24" s="29" t="b">
        <v>0</v>
      </c>
      <c r="H24" s="29" t="b">
        <v>0</v>
      </c>
      <c r="J24" s="207" t="b">
        <v>0</v>
      </c>
      <c r="K24" s="29" t="b">
        <v>0</v>
      </c>
      <c r="L24" s="29" t="b">
        <v>0</v>
      </c>
      <c r="M24" s="29" t="b">
        <v>0</v>
      </c>
      <c r="N24" s="29" t="b">
        <v>0</v>
      </c>
    </row>
    <row r="25" customHeight="1" spans="2:14">
      <c r="B25" s="360"/>
      <c r="C25" s="308"/>
      <c r="D25" s="29" t="b">
        <v>0</v>
      </c>
      <c r="E25" s="29" t="b">
        <v>0</v>
      </c>
      <c r="F25" s="29" t="b">
        <v>0</v>
      </c>
      <c r="G25" s="29" t="b">
        <v>0</v>
      </c>
      <c r="H25" s="29" t="b">
        <v>0</v>
      </c>
      <c r="J25" s="207" t="b">
        <v>0</v>
      </c>
      <c r="K25" s="29" t="b">
        <v>0</v>
      </c>
      <c r="L25" s="29" t="b">
        <v>0</v>
      </c>
      <c r="M25" s="29" t="b">
        <v>0</v>
      </c>
      <c r="N25" s="29" t="b">
        <v>0</v>
      </c>
    </row>
    <row r="26" customHeight="1" spans="2:14">
      <c r="B26" s="360"/>
      <c r="C26" s="308"/>
      <c r="D26" s="29" t="b">
        <v>0</v>
      </c>
      <c r="E26" s="29" t="b">
        <v>0</v>
      </c>
      <c r="F26" s="29" t="b">
        <v>0</v>
      </c>
      <c r="G26" s="29" t="b">
        <v>0</v>
      </c>
      <c r="H26" s="29" t="b">
        <v>0</v>
      </c>
      <c r="J26" s="207" t="b">
        <v>0</v>
      </c>
      <c r="K26" s="29" t="b">
        <v>0</v>
      </c>
      <c r="L26" s="29" t="b">
        <v>0</v>
      </c>
      <c r="M26" s="29" t="b">
        <v>0</v>
      </c>
      <c r="N26" s="29" t="b">
        <v>0</v>
      </c>
    </row>
    <row r="27" customHeight="1" spans="2:14">
      <c r="B27" s="360"/>
      <c r="C27" s="308"/>
      <c r="D27" s="29" t="b">
        <v>0</v>
      </c>
      <c r="E27" s="29" t="b">
        <v>0</v>
      </c>
      <c r="F27" s="29" t="b">
        <v>0</v>
      </c>
      <c r="G27" s="29" t="b">
        <v>0</v>
      </c>
      <c r="H27" s="29" t="b">
        <v>0</v>
      </c>
      <c r="J27" s="207" t="b">
        <v>0</v>
      </c>
      <c r="K27" s="29" t="b">
        <v>0</v>
      </c>
      <c r="L27" s="29" t="b">
        <v>0</v>
      </c>
      <c r="M27" s="29" t="b">
        <v>0</v>
      </c>
      <c r="N27" s="29" t="b">
        <v>0</v>
      </c>
    </row>
    <row r="28" customHeight="1" spans="2:14">
      <c r="B28" s="360"/>
      <c r="C28" s="308"/>
      <c r="D28" s="29" t="b">
        <v>0</v>
      </c>
      <c r="E28" s="29" t="b">
        <v>0</v>
      </c>
      <c r="F28" s="29" t="b">
        <v>0</v>
      </c>
      <c r="G28" s="29" t="b">
        <v>0</v>
      </c>
      <c r="H28" s="29" t="b">
        <v>0</v>
      </c>
      <c r="I28" s="29" t="s">
        <v>1568</v>
      </c>
      <c r="J28" s="207" t="b">
        <v>0</v>
      </c>
      <c r="K28" s="29" t="b">
        <v>0</v>
      </c>
      <c r="L28" s="29" t="b">
        <v>0</v>
      </c>
      <c r="M28" s="29" t="b">
        <v>0</v>
      </c>
      <c r="N28" s="29" t="b">
        <v>0</v>
      </c>
    </row>
  </sheetData>
  <dataValidations count="1">
    <dataValidation type="list" allowBlank="1" showErrorMessage="1" sqref="C2:C28">
      <formula1>"Hourly,Quantity,Custom,n/a"</formula1>
    </dataValidation>
  </dataValidation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989"/>
  <sheetViews>
    <sheetView workbookViewId="0">
      <selection activeCell="A1" sqref="A1"/>
    </sheetView>
  </sheetViews>
  <sheetFormatPr defaultColWidth="12.6285714285714" defaultRowHeight="15.75" customHeight="1" outlineLevelCol="6"/>
  <cols>
    <col min="1" max="1" width="19.247619047619" customWidth="1"/>
    <col min="3" max="3" width="16.752380952381" customWidth="1"/>
    <col min="4" max="4" width="16.6285714285714" customWidth="1"/>
    <col min="5" max="5" width="17.6285714285714" customWidth="1"/>
  </cols>
  <sheetData>
    <row r="1" customHeight="1" spans="1:7">
      <c r="A1" s="29" t="s">
        <v>1147</v>
      </c>
      <c r="B1" s="29" t="s">
        <v>1569</v>
      </c>
      <c r="C1" s="245" t="s">
        <v>1570</v>
      </c>
      <c r="D1" s="245" t="s">
        <v>1571</v>
      </c>
      <c r="E1" s="245" t="s">
        <v>1572</v>
      </c>
      <c r="F1" s="305" t="s">
        <v>1573</v>
      </c>
      <c r="G1" s="29" t="s">
        <v>1574</v>
      </c>
    </row>
    <row r="2" customHeight="1" spans="1:7">
      <c r="A2" s="29" t="s">
        <v>1575</v>
      </c>
      <c r="B2" s="29" t="s">
        <v>1576</v>
      </c>
      <c r="C2" s="245">
        <v>2.5</v>
      </c>
      <c r="D2" s="245">
        <v>7.5</v>
      </c>
      <c r="E2" s="360">
        <f t="shared" ref="E2:E7" si="0">SUM(C2:D2)</f>
        <v>10</v>
      </c>
      <c r="F2" s="305">
        <v>0.4</v>
      </c>
      <c r="G2" s="360">
        <f t="shared" ref="G2:G7" si="1">E2/(1-F2)</f>
        <v>16.6666666666667</v>
      </c>
    </row>
    <row r="3" customHeight="1" spans="1:7">
      <c r="A3" s="29" t="s">
        <v>1575</v>
      </c>
      <c r="B3" s="29" t="s">
        <v>1577</v>
      </c>
      <c r="C3" s="245">
        <v>3.5</v>
      </c>
      <c r="D3" s="245">
        <v>10</v>
      </c>
      <c r="E3" s="360">
        <f t="shared" si="0"/>
        <v>13.5</v>
      </c>
      <c r="F3" s="305">
        <v>0.4</v>
      </c>
      <c r="G3" s="360">
        <f t="shared" si="1"/>
        <v>22.5</v>
      </c>
    </row>
    <row r="4" customHeight="1" spans="1:7">
      <c r="A4" s="29" t="s">
        <v>1575</v>
      </c>
      <c r="B4" s="29" t="s">
        <v>1578</v>
      </c>
      <c r="C4" s="245">
        <v>2</v>
      </c>
      <c r="D4" s="245">
        <v>8</v>
      </c>
      <c r="E4" s="360">
        <f t="shared" si="0"/>
        <v>10</v>
      </c>
      <c r="F4" s="305">
        <v>0.4</v>
      </c>
      <c r="G4" s="360">
        <f t="shared" si="1"/>
        <v>16.6666666666667</v>
      </c>
    </row>
    <row r="5" customHeight="1" spans="1:7">
      <c r="A5" s="29" t="s">
        <v>1579</v>
      </c>
      <c r="B5" s="29" t="s">
        <v>1580</v>
      </c>
      <c r="C5" s="245">
        <v>2.5</v>
      </c>
      <c r="D5" s="245">
        <v>7.5</v>
      </c>
      <c r="E5" s="360">
        <f t="shared" si="0"/>
        <v>10</v>
      </c>
      <c r="F5" s="305">
        <v>0.4</v>
      </c>
      <c r="G5" s="360">
        <f t="shared" si="1"/>
        <v>16.6666666666667</v>
      </c>
    </row>
    <row r="6" customHeight="1" spans="1:7">
      <c r="A6" s="29" t="s">
        <v>1579</v>
      </c>
      <c r="B6" s="29" t="s">
        <v>1581</v>
      </c>
      <c r="C6" s="245">
        <v>1.5</v>
      </c>
      <c r="D6" s="245">
        <v>6</v>
      </c>
      <c r="E6" s="360">
        <f t="shared" si="0"/>
        <v>7.5</v>
      </c>
      <c r="F6" s="305">
        <v>0.4</v>
      </c>
      <c r="G6" s="360">
        <f t="shared" si="1"/>
        <v>12.5</v>
      </c>
    </row>
    <row r="7" customHeight="1" spans="1:7">
      <c r="A7" s="29" t="s">
        <v>1579</v>
      </c>
      <c r="B7" s="29" t="s">
        <v>1582</v>
      </c>
      <c r="C7" s="245">
        <v>3.5</v>
      </c>
      <c r="D7" s="245">
        <v>10</v>
      </c>
      <c r="E7" s="360">
        <f t="shared" si="0"/>
        <v>13.5</v>
      </c>
      <c r="F7" s="305">
        <v>0.4</v>
      </c>
      <c r="G7" s="360">
        <f t="shared" si="1"/>
        <v>22.5</v>
      </c>
    </row>
    <row r="8" customHeight="1" spans="3:6">
      <c r="C8" s="360"/>
      <c r="D8" s="360"/>
      <c r="E8" s="360"/>
      <c r="F8" s="298"/>
    </row>
    <row r="9" customHeight="1" spans="3:6">
      <c r="C9" s="360"/>
      <c r="D9" s="360"/>
      <c r="E9" s="360"/>
      <c r="F9" s="298"/>
    </row>
    <row r="10" customHeight="1" spans="3:6">
      <c r="C10" s="360"/>
      <c r="D10" s="360"/>
      <c r="E10" s="360"/>
      <c r="F10" s="298"/>
    </row>
    <row r="11" customHeight="1" spans="3:6">
      <c r="C11" s="360"/>
      <c r="D11" s="360"/>
      <c r="E11" s="360"/>
      <c r="F11" s="298"/>
    </row>
    <row r="12" customHeight="1" spans="3:6">
      <c r="C12" s="360"/>
      <c r="D12" s="360"/>
      <c r="E12" s="360"/>
      <c r="F12" s="298"/>
    </row>
    <row r="13" customHeight="1" spans="3:6">
      <c r="C13" s="360"/>
      <c r="D13" s="360"/>
      <c r="E13" s="360"/>
      <c r="F13" s="298"/>
    </row>
    <row r="14" customHeight="1" spans="3:6">
      <c r="C14" s="360"/>
      <c r="D14" s="360"/>
      <c r="E14" s="360"/>
      <c r="F14" s="298"/>
    </row>
    <row r="15" customHeight="1" spans="3:6">
      <c r="C15" s="360"/>
      <c r="D15" s="360"/>
      <c r="E15" s="360"/>
      <c r="F15" s="298"/>
    </row>
    <row r="16" customHeight="1" spans="3:6">
      <c r="C16" s="360"/>
      <c r="D16" s="360"/>
      <c r="E16" s="360"/>
      <c r="F16" s="298"/>
    </row>
    <row r="17" customHeight="1" spans="3:6">
      <c r="C17" s="360"/>
      <c r="D17" s="360"/>
      <c r="E17" s="360"/>
      <c r="F17" s="298"/>
    </row>
    <row r="18" customHeight="1" spans="3:6">
      <c r="C18" s="360"/>
      <c r="D18" s="360"/>
      <c r="E18" s="360"/>
      <c r="F18" s="298"/>
    </row>
    <row r="19" customHeight="1" spans="3:6">
      <c r="C19" s="360"/>
      <c r="D19" s="360"/>
      <c r="E19" s="360"/>
      <c r="F19" s="298"/>
    </row>
    <row r="20" customHeight="1" spans="3:6">
      <c r="C20" s="360"/>
      <c r="D20" s="360"/>
      <c r="E20" s="360"/>
      <c r="F20" s="298"/>
    </row>
    <row r="21" customHeight="1" spans="3:6">
      <c r="C21" s="360"/>
      <c r="D21" s="360"/>
      <c r="E21" s="360"/>
      <c r="F21" s="298"/>
    </row>
    <row r="22" customHeight="1" spans="3:6">
      <c r="C22" s="360"/>
      <c r="D22" s="360"/>
      <c r="E22" s="360"/>
      <c r="F22" s="298"/>
    </row>
    <row r="23" customHeight="1" spans="3:6">
      <c r="C23" s="360"/>
      <c r="D23" s="360"/>
      <c r="E23" s="360"/>
      <c r="F23" s="298"/>
    </row>
    <row r="24" customHeight="1" spans="3:6">
      <c r="C24" s="360"/>
      <c r="D24" s="360"/>
      <c r="E24" s="360"/>
      <c r="F24" s="298"/>
    </row>
    <row r="25" customHeight="1" spans="3:6">
      <c r="C25" s="360"/>
      <c r="D25" s="360"/>
      <c r="E25" s="360"/>
      <c r="F25" s="298"/>
    </row>
    <row r="26" customHeight="1" spans="3:6">
      <c r="C26" s="360"/>
      <c r="D26" s="360"/>
      <c r="E26" s="360"/>
      <c r="F26" s="298"/>
    </row>
    <row r="27" customHeight="1" spans="3:6">
      <c r="C27" s="360"/>
      <c r="D27" s="360"/>
      <c r="E27" s="360"/>
      <c r="F27" s="298"/>
    </row>
    <row r="28" customHeight="1" spans="3:6">
      <c r="C28" s="360"/>
      <c r="D28" s="360"/>
      <c r="E28" s="360"/>
      <c r="F28" s="298"/>
    </row>
    <row r="29" customHeight="1" spans="3:6">
      <c r="C29" s="360"/>
      <c r="D29" s="360"/>
      <c r="E29" s="360"/>
      <c r="F29" s="298"/>
    </row>
    <row r="30" customHeight="1" spans="3:6">
      <c r="C30" s="360"/>
      <c r="D30" s="360"/>
      <c r="E30" s="360"/>
      <c r="F30" s="298"/>
    </row>
    <row r="31" customHeight="1" spans="3:6">
      <c r="C31" s="360"/>
      <c r="D31" s="360"/>
      <c r="E31" s="360"/>
      <c r="F31" s="298"/>
    </row>
    <row r="32" customHeight="1" spans="3:6">
      <c r="C32" s="360"/>
      <c r="D32" s="360"/>
      <c r="E32" s="360"/>
      <c r="F32" s="298"/>
    </row>
    <row r="33" customHeight="1" spans="3:6">
      <c r="C33" s="360"/>
      <c r="D33" s="360"/>
      <c r="E33" s="360"/>
      <c r="F33" s="298"/>
    </row>
    <row r="34" customHeight="1" spans="3:6">
      <c r="C34" s="360"/>
      <c r="D34" s="360"/>
      <c r="E34" s="360"/>
      <c r="F34" s="298"/>
    </row>
    <row r="35" customHeight="1" spans="3:6">
      <c r="C35" s="360"/>
      <c r="D35" s="360"/>
      <c r="E35" s="360"/>
      <c r="F35" s="298"/>
    </row>
    <row r="36" customHeight="1" spans="3:6">
      <c r="C36" s="360"/>
      <c r="D36" s="360"/>
      <c r="E36" s="360"/>
      <c r="F36" s="298"/>
    </row>
    <row r="37" customHeight="1" spans="3:6">
      <c r="C37" s="360"/>
      <c r="D37" s="360"/>
      <c r="E37" s="360"/>
      <c r="F37" s="298"/>
    </row>
    <row r="38" customHeight="1" spans="3:6">
      <c r="C38" s="360"/>
      <c r="D38" s="360"/>
      <c r="E38" s="360"/>
      <c r="F38" s="298"/>
    </row>
    <row r="39" customHeight="1" spans="3:6">
      <c r="C39" s="360"/>
      <c r="D39" s="360"/>
      <c r="E39" s="360"/>
      <c r="F39" s="298"/>
    </row>
    <row r="40" customHeight="1" spans="3:6">
      <c r="C40" s="360"/>
      <c r="D40" s="360"/>
      <c r="E40" s="360"/>
      <c r="F40" s="298"/>
    </row>
    <row r="41" customHeight="1" spans="3:6">
      <c r="C41" s="360"/>
      <c r="D41" s="360"/>
      <c r="E41" s="360"/>
      <c r="F41" s="298"/>
    </row>
    <row r="42" customHeight="1" spans="3:6">
      <c r="C42" s="360"/>
      <c r="D42" s="360"/>
      <c r="E42" s="360"/>
      <c r="F42" s="298"/>
    </row>
    <row r="43" customHeight="1" spans="3:6">
      <c r="C43" s="360"/>
      <c r="D43" s="360"/>
      <c r="E43" s="360"/>
      <c r="F43" s="298"/>
    </row>
    <row r="44" customHeight="1" spans="3:6">
      <c r="C44" s="360"/>
      <c r="D44" s="360"/>
      <c r="E44" s="360"/>
      <c r="F44" s="298"/>
    </row>
    <row r="45" customHeight="1" spans="3:6">
      <c r="C45" s="360"/>
      <c r="D45" s="360"/>
      <c r="E45" s="360"/>
      <c r="F45" s="298"/>
    </row>
    <row r="46" customHeight="1" spans="3:6">
      <c r="C46" s="360"/>
      <c r="D46" s="360"/>
      <c r="E46" s="360"/>
      <c r="F46" s="298"/>
    </row>
    <row r="47" customHeight="1" spans="3:6">
      <c r="C47" s="360"/>
      <c r="D47" s="360"/>
      <c r="E47" s="360"/>
      <c r="F47" s="298"/>
    </row>
    <row r="48" customHeight="1" spans="3:6">
      <c r="C48" s="360"/>
      <c r="D48" s="360"/>
      <c r="E48" s="360"/>
      <c r="F48" s="298"/>
    </row>
    <row r="49" customHeight="1" spans="3:6">
      <c r="C49" s="360"/>
      <c r="D49" s="360"/>
      <c r="E49" s="360"/>
      <c r="F49" s="298"/>
    </row>
    <row r="50" customHeight="1" spans="3:6">
      <c r="C50" s="360"/>
      <c r="D50" s="360"/>
      <c r="E50" s="360"/>
      <c r="F50" s="298"/>
    </row>
    <row r="51" customHeight="1" spans="3:6">
      <c r="C51" s="360"/>
      <c r="D51" s="360"/>
      <c r="E51" s="360"/>
      <c r="F51" s="298"/>
    </row>
    <row r="52" customHeight="1" spans="3:6">
      <c r="C52" s="360"/>
      <c r="D52" s="360"/>
      <c r="E52" s="360"/>
      <c r="F52" s="298"/>
    </row>
    <row r="53" customHeight="1" spans="3:6">
      <c r="C53" s="360"/>
      <c r="D53" s="360"/>
      <c r="E53" s="360"/>
      <c r="F53" s="298"/>
    </row>
    <row r="54" customHeight="1" spans="3:6">
      <c r="C54" s="360"/>
      <c r="D54" s="360"/>
      <c r="E54" s="360"/>
      <c r="F54" s="298"/>
    </row>
    <row r="55" customHeight="1" spans="3:6">
      <c r="C55" s="360"/>
      <c r="D55" s="360"/>
      <c r="E55" s="360"/>
      <c r="F55" s="298"/>
    </row>
    <row r="56" customHeight="1" spans="3:6">
      <c r="C56" s="360"/>
      <c r="D56" s="360"/>
      <c r="E56" s="360"/>
      <c r="F56" s="298"/>
    </row>
    <row r="57" customHeight="1" spans="3:6">
      <c r="C57" s="360"/>
      <c r="D57" s="360"/>
      <c r="E57" s="360"/>
      <c r="F57" s="298"/>
    </row>
    <row r="58" customHeight="1" spans="3:6">
      <c r="C58" s="360"/>
      <c r="D58" s="360"/>
      <c r="E58" s="360"/>
      <c r="F58" s="298"/>
    </row>
    <row r="59" customHeight="1" spans="3:6">
      <c r="C59" s="360"/>
      <c r="D59" s="360"/>
      <c r="E59" s="360"/>
      <c r="F59" s="298"/>
    </row>
    <row r="60" customHeight="1" spans="3:6">
      <c r="C60" s="360"/>
      <c r="D60" s="360"/>
      <c r="E60" s="360"/>
      <c r="F60" s="298"/>
    </row>
    <row r="61" customHeight="1" spans="3:6">
      <c r="C61" s="360"/>
      <c r="D61" s="360"/>
      <c r="E61" s="360"/>
      <c r="F61" s="298"/>
    </row>
    <row r="62" customHeight="1" spans="3:6">
      <c r="C62" s="360"/>
      <c r="D62" s="360"/>
      <c r="E62" s="360"/>
      <c r="F62" s="298"/>
    </row>
    <row r="63" customHeight="1" spans="3:6">
      <c r="C63" s="360"/>
      <c r="D63" s="360"/>
      <c r="E63" s="360"/>
      <c r="F63" s="298"/>
    </row>
    <row r="64" customHeight="1" spans="3:6">
      <c r="C64" s="360"/>
      <c r="D64" s="360"/>
      <c r="E64" s="360"/>
      <c r="F64" s="298"/>
    </row>
    <row r="65" customHeight="1" spans="3:6">
      <c r="C65" s="360"/>
      <c r="D65" s="360"/>
      <c r="E65" s="360"/>
      <c r="F65" s="298"/>
    </row>
    <row r="66" customHeight="1" spans="3:6">
      <c r="C66" s="360"/>
      <c r="D66" s="360"/>
      <c r="E66" s="360"/>
      <c r="F66" s="298"/>
    </row>
    <row r="67" customHeight="1" spans="3:6">
      <c r="C67" s="360"/>
      <c r="D67" s="360"/>
      <c r="E67" s="360"/>
      <c r="F67" s="298"/>
    </row>
    <row r="68" customHeight="1" spans="3:6">
      <c r="C68" s="360"/>
      <c r="D68" s="360"/>
      <c r="E68" s="360"/>
      <c r="F68" s="298"/>
    </row>
    <row r="69" customHeight="1" spans="3:6">
      <c r="C69" s="360"/>
      <c r="D69" s="360"/>
      <c r="E69" s="360"/>
      <c r="F69" s="298"/>
    </row>
    <row r="70" customHeight="1" spans="3:6">
      <c r="C70" s="360"/>
      <c r="D70" s="360"/>
      <c r="E70" s="360"/>
      <c r="F70" s="298"/>
    </row>
    <row r="71" customHeight="1" spans="3:6">
      <c r="C71" s="360"/>
      <c r="D71" s="360"/>
      <c r="E71" s="360"/>
      <c r="F71" s="298"/>
    </row>
    <row r="72" customHeight="1" spans="3:6">
      <c r="C72" s="360"/>
      <c r="D72" s="360"/>
      <c r="E72" s="360"/>
      <c r="F72" s="298"/>
    </row>
    <row r="73" customHeight="1" spans="3:6">
      <c r="C73" s="360"/>
      <c r="D73" s="360"/>
      <c r="E73" s="360"/>
      <c r="F73" s="298"/>
    </row>
    <row r="74" customHeight="1" spans="3:6">
      <c r="C74" s="360"/>
      <c r="D74" s="360"/>
      <c r="E74" s="360"/>
      <c r="F74" s="298"/>
    </row>
    <row r="75" customHeight="1" spans="3:6">
      <c r="C75" s="360"/>
      <c r="D75" s="360"/>
      <c r="E75" s="360"/>
      <c r="F75" s="298"/>
    </row>
    <row r="76" customHeight="1" spans="3:6">
      <c r="C76" s="360"/>
      <c r="D76" s="360"/>
      <c r="E76" s="360"/>
      <c r="F76" s="298"/>
    </row>
    <row r="77" customHeight="1" spans="3:6">
      <c r="C77" s="360"/>
      <c r="D77" s="360"/>
      <c r="E77" s="360"/>
      <c r="F77" s="298"/>
    </row>
    <row r="78" customHeight="1" spans="3:6">
      <c r="C78" s="360"/>
      <c r="D78" s="360"/>
      <c r="E78" s="360"/>
      <c r="F78" s="298"/>
    </row>
    <row r="79" customHeight="1" spans="3:6">
      <c r="C79" s="360"/>
      <c r="D79" s="360"/>
      <c r="E79" s="360"/>
      <c r="F79" s="298"/>
    </row>
    <row r="80" customHeight="1" spans="3:6">
      <c r="C80" s="360"/>
      <c r="D80" s="360"/>
      <c r="E80" s="360"/>
      <c r="F80" s="298"/>
    </row>
    <row r="81" customHeight="1" spans="3:6">
      <c r="C81" s="360"/>
      <c r="D81" s="360"/>
      <c r="E81" s="360"/>
      <c r="F81" s="298"/>
    </row>
    <row r="82" customHeight="1" spans="3:6">
      <c r="C82" s="360"/>
      <c r="D82" s="360"/>
      <c r="E82" s="360"/>
      <c r="F82" s="298"/>
    </row>
    <row r="83" customHeight="1" spans="3:6">
      <c r="C83" s="360"/>
      <c r="D83" s="360"/>
      <c r="E83" s="360"/>
      <c r="F83" s="298"/>
    </row>
    <row r="84" customHeight="1" spans="3:6">
      <c r="C84" s="360"/>
      <c r="D84" s="360"/>
      <c r="E84" s="360"/>
      <c r="F84" s="298"/>
    </row>
    <row r="85" customHeight="1" spans="3:6">
      <c r="C85" s="360"/>
      <c r="D85" s="360"/>
      <c r="E85" s="360"/>
      <c r="F85" s="298"/>
    </row>
    <row r="86" customHeight="1" spans="3:6">
      <c r="C86" s="360"/>
      <c r="D86" s="360"/>
      <c r="E86" s="360"/>
      <c r="F86" s="298"/>
    </row>
    <row r="87" customHeight="1" spans="3:6">
      <c r="C87" s="360"/>
      <c r="D87" s="360"/>
      <c r="E87" s="360"/>
      <c r="F87" s="298"/>
    </row>
    <row r="88" customHeight="1" spans="3:6">
      <c r="C88" s="360"/>
      <c r="D88" s="360"/>
      <c r="E88" s="360"/>
      <c r="F88" s="298"/>
    </row>
    <row r="89" customHeight="1" spans="3:6">
      <c r="C89" s="360"/>
      <c r="D89" s="360"/>
      <c r="E89" s="360"/>
      <c r="F89" s="298"/>
    </row>
    <row r="90" customHeight="1" spans="3:6">
      <c r="C90" s="360"/>
      <c r="D90" s="360"/>
      <c r="E90" s="360"/>
      <c r="F90" s="298"/>
    </row>
    <row r="91" customHeight="1" spans="3:6">
      <c r="C91" s="360"/>
      <c r="D91" s="360"/>
      <c r="E91" s="360"/>
      <c r="F91" s="298"/>
    </row>
    <row r="92" customHeight="1" spans="3:6">
      <c r="C92" s="360"/>
      <c r="D92" s="360"/>
      <c r="E92" s="360"/>
      <c r="F92" s="298"/>
    </row>
    <row r="93" customHeight="1" spans="3:6">
      <c r="C93" s="360"/>
      <c r="D93" s="360"/>
      <c r="E93" s="360"/>
      <c r="F93" s="298"/>
    </row>
    <row r="94" customHeight="1" spans="3:6">
      <c r="C94" s="360"/>
      <c r="D94" s="360"/>
      <c r="E94" s="360"/>
      <c r="F94" s="298"/>
    </row>
    <row r="95" customHeight="1" spans="3:6">
      <c r="C95" s="360"/>
      <c r="D95" s="360"/>
      <c r="E95" s="360"/>
      <c r="F95" s="298"/>
    </row>
    <row r="96" customHeight="1" spans="3:6">
      <c r="C96" s="360"/>
      <c r="D96" s="360"/>
      <c r="E96" s="360"/>
      <c r="F96" s="298"/>
    </row>
    <row r="97" customHeight="1" spans="3:6">
      <c r="C97" s="360"/>
      <c r="D97" s="360"/>
      <c r="E97" s="360"/>
      <c r="F97" s="298"/>
    </row>
    <row r="98" customHeight="1" spans="3:6">
      <c r="C98" s="360"/>
      <c r="D98" s="360"/>
      <c r="E98" s="360"/>
      <c r="F98" s="298"/>
    </row>
    <row r="99" customHeight="1" spans="3:6">
      <c r="C99" s="360"/>
      <c r="D99" s="360"/>
      <c r="E99" s="360"/>
      <c r="F99" s="298"/>
    </row>
    <row r="100" customHeight="1" spans="3:6">
      <c r="C100" s="360"/>
      <c r="D100" s="360"/>
      <c r="E100" s="360"/>
      <c r="F100" s="298"/>
    </row>
    <row r="101" customHeight="1" spans="3:6">
      <c r="C101" s="360"/>
      <c r="D101" s="360"/>
      <c r="E101" s="360"/>
      <c r="F101" s="298"/>
    </row>
    <row r="102" customHeight="1" spans="3:6">
      <c r="C102" s="360"/>
      <c r="D102" s="360"/>
      <c r="E102" s="360"/>
      <c r="F102" s="298"/>
    </row>
    <row r="103" customHeight="1" spans="3:6">
      <c r="C103" s="360"/>
      <c r="D103" s="360"/>
      <c r="E103" s="360"/>
      <c r="F103" s="298"/>
    </row>
    <row r="104" customHeight="1" spans="3:6">
      <c r="C104" s="360"/>
      <c r="D104" s="360"/>
      <c r="E104" s="360"/>
      <c r="F104" s="298"/>
    </row>
    <row r="105" customHeight="1" spans="3:6">
      <c r="C105" s="360"/>
      <c r="D105" s="360"/>
      <c r="E105" s="360"/>
      <c r="F105" s="298"/>
    </row>
    <row r="106" customHeight="1" spans="3:6">
      <c r="C106" s="360"/>
      <c r="D106" s="360"/>
      <c r="E106" s="360"/>
      <c r="F106" s="298"/>
    </row>
    <row r="107" customHeight="1" spans="3:6">
      <c r="C107" s="360"/>
      <c r="D107" s="360"/>
      <c r="E107" s="360"/>
      <c r="F107" s="298"/>
    </row>
    <row r="108" customHeight="1" spans="3:6">
      <c r="C108" s="360"/>
      <c r="D108" s="360"/>
      <c r="E108" s="360"/>
      <c r="F108" s="298"/>
    </row>
    <row r="109" customHeight="1" spans="3:6">
      <c r="C109" s="360"/>
      <c r="D109" s="360"/>
      <c r="E109" s="360"/>
      <c r="F109" s="298"/>
    </row>
    <row r="110" customHeight="1" spans="3:6">
      <c r="C110" s="360"/>
      <c r="D110" s="360"/>
      <c r="E110" s="360"/>
      <c r="F110" s="298"/>
    </row>
    <row r="111" customHeight="1" spans="3:6">
      <c r="C111" s="360"/>
      <c r="D111" s="360"/>
      <c r="E111" s="360"/>
      <c r="F111" s="298"/>
    </row>
    <row r="112" customHeight="1" spans="3:6">
      <c r="C112" s="360"/>
      <c r="D112" s="360"/>
      <c r="E112" s="360"/>
      <c r="F112" s="298"/>
    </row>
    <row r="113" customHeight="1" spans="3:6">
      <c r="C113" s="360"/>
      <c r="D113" s="360"/>
      <c r="E113" s="360"/>
      <c r="F113" s="298"/>
    </row>
    <row r="114" customHeight="1" spans="3:6">
      <c r="C114" s="360"/>
      <c r="D114" s="360"/>
      <c r="E114" s="360"/>
      <c r="F114" s="298"/>
    </row>
    <row r="115" customHeight="1" spans="3:6">
      <c r="C115" s="360"/>
      <c r="D115" s="360"/>
      <c r="E115" s="360"/>
      <c r="F115" s="298"/>
    </row>
    <row r="116" customHeight="1" spans="3:6">
      <c r="C116" s="360"/>
      <c r="D116" s="360"/>
      <c r="E116" s="360"/>
      <c r="F116" s="298"/>
    </row>
    <row r="117" customHeight="1" spans="3:6">
      <c r="C117" s="360"/>
      <c r="D117" s="360"/>
      <c r="E117" s="360"/>
      <c r="F117" s="298"/>
    </row>
    <row r="118" customHeight="1" spans="3:6">
      <c r="C118" s="360"/>
      <c r="D118" s="360"/>
      <c r="E118" s="360"/>
      <c r="F118" s="298"/>
    </row>
    <row r="119" customHeight="1" spans="3:6">
      <c r="C119" s="360"/>
      <c r="D119" s="360"/>
      <c r="E119" s="360"/>
      <c r="F119" s="298"/>
    </row>
    <row r="120" customHeight="1" spans="3:6">
      <c r="C120" s="360"/>
      <c r="D120" s="360"/>
      <c r="E120" s="360"/>
      <c r="F120" s="298"/>
    </row>
    <row r="121" customHeight="1" spans="3:6">
      <c r="C121" s="360"/>
      <c r="D121" s="360"/>
      <c r="E121" s="360"/>
      <c r="F121" s="298"/>
    </row>
    <row r="122" customHeight="1" spans="3:6">
      <c r="C122" s="360"/>
      <c r="D122" s="360"/>
      <c r="E122" s="360"/>
      <c r="F122" s="298"/>
    </row>
    <row r="123" customHeight="1" spans="3:6">
      <c r="C123" s="360"/>
      <c r="D123" s="360"/>
      <c r="E123" s="360"/>
      <c r="F123" s="298"/>
    </row>
    <row r="124" customHeight="1" spans="3:6">
      <c r="C124" s="360"/>
      <c r="D124" s="360"/>
      <c r="E124" s="360"/>
      <c r="F124" s="298"/>
    </row>
    <row r="125" customHeight="1" spans="3:6">
      <c r="C125" s="360"/>
      <c r="D125" s="360"/>
      <c r="E125" s="360"/>
      <c r="F125" s="298"/>
    </row>
    <row r="126" customHeight="1" spans="3:6">
      <c r="C126" s="360"/>
      <c r="D126" s="360"/>
      <c r="E126" s="360"/>
      <c r="F126" s="298"/>
    </row>
    <row r="127" customHeight="1" spans="3:6">
      <c r="C127" s="360"/>
      <c r="D127" s="360"/>
      <c r="E127" s="360"/>
      <c r="F127" s="298"/>
    </row>
    <row r="128" customHeight="1" spans="3:6">
      <c r="C128" s="360"/>
      <c r="D128" s="360"/>
      <c r="E128" s="360"/>
      <c r="F128" s="298"/>
    </row>
    <row r="129" customHeight="1" spans="3:6">
      <c r="C129" s="360"/>
      <c r="D129" s="360"/>
      <c r="E129" s="360"/>
      <c r="F129" s="298"/>
    </row>
    <row r="130" customHeight="1" spans="3:6">
      <c r="C130" s="360"/>
      <c r="D130" s="360"/>
      <c r="E130" s="360"/>
      <c r="F130" s="298"/>
    </row>
    <row r="131" customHeight="1" spans="3:6">
      <c r="C131" s="360"/>
      <c r="D131" s="360"/>
      <c r="E131" s="360"/>
      <c r="F131" s="298"/>
    </row>
    <row r="132" customHeight="1" spans="3:6">
      <c r="C132" s="360"/>
      <c r="D132" s="360"/>
      <c r="E132" s="360"/>
      <c r="F132" s="298"/>
    </row>
    <row r="133" customHeight="1" spans="3:6">
      <c r="C133" s="360"/>
      <c r="D133" s="360"/>
      <c r="E133" s="360"/>
      <c r="F133" s="298"/>
    </row>
    <row r="134" customHeight="1" spans="3:6">
      <c r="C134" s="360"/>
      <c r="D134" s="360"/>
      <c r="E134" s="360"/>
      <c r="F134" s="298"/>
    </row>
    <row r="135" customHeight="1" spans="3:6">
      <c r="C135" s="360"/>
      <c r="D135" s="360"/>
      <c r="E135" s="360"/>
      <c r="F135" s="298"/>
    </row>
    <row r="136" customHeight="1" spans="3:6">
      <c r="C136" s="360"/>
      <c r="D136" s="360"/>
      <c r="E136" s="360"/>
      <c r="F136" s="298"/>
    </row>
    <row r="137" customHeight="1" spans="3:6">
      <c r="C137" s="360"/>
      <c r="D137" s="360"/>
      <c r="E137" s="360"/>
      <c r="F137" s="298"/>
    </row>
    <row r="138" customHeight="1" spans="3:6">
      <c r="C138" s="360"/>
      <c r="D138" s="360"/>
      <c r="E138" s="360"/>
      <c r="F138" s="298"/>
    </row>
    <row r="139" customHeight="1" spans="3:6">
      <c r="C139" s="360"/>
      <c r="D139" s="360"/>
      <c r="E139" s="360"/>
      <c r="F139" s="298"/>
    </row>
    <row r="140" customHeight="1" spans="3:6">
      <c r="C140" s="360"/>
      <c r="D140" s="360"/>
      <c r="E140" s="360"/>
      <c r="F140" s="298"/>
    </row>
    <row r="141" customHeight="1" spans="3:6">
      <c r="C141" s="360"/>
      <c r="D141" s="360"/>
      <c r="E141" s="360"/>
      <c r="F141" s="298"/>
    </row>
    <row r="142" customHeight="1" spans="3:6">
      <c r="C142" s="360"/>
      <c r="D142" s="360"/>
      <c r="E142" s="360"/>
      <c r="F142" s="298"/>
    </row>
    <row r="143" customHeight="1" spans="3:6">
      <c r="C143" s="360"/>
      <c r="D143" s="360"/>
      <c r="E143" s="360"/>
      <c r="F143" s="298"/>
    </row>
    <row r="144" customHeight="1" spans="3:6">
      <c r="C144" s="360"/>
      <c r="D144" s="360"/>
      <c r="E144" s="360"/>
      <c r="F144" s="298"/>
    </row>
    <row r="145" customHeight="1" spans="3:6">
      <c r="C145" s="360"/>
      <c r="D145" s="360"/>
      <c r="E145" s="360"/>
      <c r="F145" s="298"/>
    </row>
    <row r="146" customHeight="1" spans="3:6">
      <c r="C146" s="360"/>
      <c r="D146" s="360"/>
      <c r="E146" s="360"/>
      <c r="F146" s="298"/>
    </row>
    <row r="147" customHeight="1" spans="3:6">
      <c r="C147" s="360"/>
      <c r="D147" s="360"/>
      <c r="E147" s="360"/>
      <c r="F147" s="298"/>
    </row>
    <row r="148" customHeight="1" spans="3:6">
      <c r="C148" s="360"/>
      <c r="D148" s="360"/>
      <c r="E148" s="360"/>
      <c r="F148" s="298"/>
    </row>
    <row r="149" customHeight="1" spans="3:6">
      <c r="C149" s="360"/>
      <c r="D149" s="360"/>
      <c r="E149" s="360"/>
      <c r="F149" s="298"/>
    </row>
    <row r="150" customHeight="1" spans="3:6">
      <c r="C150" s="360"/>
      <c r="D150" s="360"/>
      <c r="E150" s="360"/>
      <c r="F150" s="298"/>
    </row>
    <row r="151" customHeight="1" spans="3:6">
      <c r="C151" s="360"/>
      <c r="D151" s="360"/>
      <c r="E151" s="360"/>
      <c r="F151" s="298"/>
    </row>
    <row r="152" customHeight="1" spans="3:6">
      <c r="C152" s="360"/>
      <c r="D152" s="360"/>
      <c r="E152" s="360"/>
      <c r="F152" s="298"/>
    </row>
    <row r="153" customHeight="1" spans="3:6">
      <c r="C153" s="360"/>
      <c r="D153" s="360"/>
      <c r="E153" s="360"/>
      <c r="F153" s="298"/>
    </row>
    <row r="154" customHeight="1" spans="3:6">
      <c r="C154" s="360"/>
      <c r="D154" s="360"/>
      <c r="E154" s="360"/>
      <c r="F154" s="298"/>
    </row>
    <row r="155" customHeight="1" spans="3:6">
      <c r="C155" s="360"/>
      <c r="D155" s="360"/>
      <c r="E155" s="360"/>
      <c r="F155" s="298"/>
    </row>
    <row r="156" customHeight="1" spans="3:6">
      <c r="C156" s="360"/>
      <c r="D156" s="360"/>
      <c r="E156" s="360"/>
      <c r="F156" s="298"/>
    </row>
    <row r="157" customHeight="1" spans="3:6">
      <c r="C157" s="360"/>
      <c r="D157" s="360"/>
      <c r="E157" s="360"/>
      <c r="F157" s="298"/>
    </row>
    <row r="158" customHeight="1" spans="3:6">
      <c r="C158" s="360"/>
      <c r="D158" s="360"/>
      <c r="E158" s="360"/>
      <c r="F158" s="298"/>
    </row>
    <row r="159" customHeight="1" spans="3:6">
      <c r="C159" s="360"/>
      <c r="D159" s="360"/>
      <c r="E159" s="360"/>
      <c r="F159" s="298"/>
    </row>
    <row r="160" customHeight="1" spans="3:6">
      <c r="C160" s="360"/>
      <c r="D160" s="360"/>
      <c r="E160" s="360"/>
      <c r="F160" s="298"/>
    </row>
    <row r="161" customHeight="1" spans="3:6">
      <c r="C161" s="360"/>
      <c r="D161" s="360"/>
      <c r="E161" s="360"/>
      <c r="F161" s="298"/>
    </row>
    <row r="162" customHeight="1" spans="3:6">
      <c r="C162" s="360"/>
      <c r="D162" s="360"/>
      <c r="E162" s="360"/>
      <c r="F162" s="298"/>
    </row>
    <row r="163" customHeight="1" spans="3:6">
      <c r="C163" s="360"/>
      <c r="D163" s="360"/>
      <c r="E163" s="360"/>
      <c r="F163" s="298"/>
    </row>
    <row r="164" customHeight="1" spans="3:6">
      <c r="C164" s="360"/>
      <c r="D164" s="360"/>
      <c r="E164" s="360"/>
      <c r="F164" s="298"/>
    </row>
    <row r="165" customHeight="1" spans="3:6">
      <c r="C165" s="360"/>
      <c r="D165" s="360"/>
      <c r="E165" s="360"/>
      <c r="F165" s="298"/>
    </row>
    <row r="166" customHeight="1" spans="3:6">
      <c r="C166" s="360"/>
      <c r="D166" s="360"/>
      <c r="E166" s="360"/>
      <c r="F166" s="298"/>
    </row>
    <row r="167" customHeight="1" spans="3:6">
      <c r="C167" s="360"/>
      <c r="D167" s="360"/>
      <c r="E167" s="360"/>
      <c r="F167" s="298"/>
    </row>
    <row r="168" customHeight="1" spans="3:6">
      <c r="C168" s="360"/>
      <c r="D168" s="360"/>
      <c r="E168" s="360"/>
      <c r="F168" s="298"/>
    </row>
    <row r="169" customHeight="1" spans="3:6">
      <c r="C169" s="360"/>
      <c r="D169" s="360"/>
      <c r="E169" s="360"/>
      <c r="F169" s="298"/>
    </row>
    <row r="170" customHeight="1" spans="3:6">
      <c r="C170" s="360"/>
      <c r="D170" s="360"/>
      <c r="E170" s="360"/>
      <c r="F170" s="298"/>
    </row>
    <row r="171" customHeight="1" spans="3:6">
      <c r="C171" s="360"/>
      <c r="D171" s="360"/>
      <c r="E171" s="360"/>
      <c r="F171" s="298"/>
    </row>
    <row r="172" customHeight="1" spans="3:6">
      <c r="C172" s="360"/>
      <c r="D172" s="360"/>
      <c r="E172" s="360"/>
      <c r="F172" s="298"/>
    </row>
    <row r="173" customHeight="1" spans="3:6">
      <c r="C173" s="360"/>
      <c r="D173" s="360"/>
      <c r="E173" s="360"/>
      <c r="F173" s="298"/>
    </row>
    <row r="174" customHeight="1" spans="3:6">
      <c r="C174" s="360"/>
      <c r="D174" s="360"/>
      <c r="E174" s="360"/>
      <c r="F174" s="298"/>
    </row>
    <row r="175" customHeight="1" spans="3:6">
      <c r="C175" s="360"/>
      <c r="D175" s="360"/>
      <c r="E175" s="360"/>
      <c r="F175" s="298"/>
    </row>
    <row r="176" customHeight="1" spans="3:6">
      <c r="C176" s="360"/>
      <c r="D176" s="360"/>
      <c r="E176" s="360"/>
      <c r="F176" s="298"/>
    </row>
    <row r="177" customHeight="1" spans="3:6">
      <c r="C177" s="360"/>
      <c r="D177" s="360"/>
      <c r="E177" s="360"/>
      <c r="F177" s="298"/>
    </row>
    <row r="178" customHeight="1" spans="3:6">
      <c r="C178" s="360"/>
      <c r="D178" s="360"/>
      <c r="E178" s="360"/>
      <c r="F178" s="298"/>
    </row>
    <row r="179" customHeight="1" spans="3:6">
      <c r="C179" s="360"/>
      <c r="D179" s="360"/>
      <c r="E179" s="360"/>
      <c r="F179" s="298"/>
    </row>
    <row r="180" customHeight="1" spans="3:6">
      <c r="C180" s="360"/>
      <c r="D180" s="360"/>
      <c r="E180" s="360"/>
      <c r="F180" s="298"/>
    </row>
    <row r="181" customHeight="1" spans="3:6">
      <c r="C181" s="360"/>
      <c r="D181" s="360"/>
      <c r="E181" s="360"/>
      <c r="F181" s="298"/>
    </row>
    <row r="182" customHeight="1" spans="3:6">
      <c r="C182" s="360"/>
      <c r="D182" s="360"/>
      <c r="E182" s="360"/>
      <c r="F182" s="298"/>
    </row>
    <row r="183" customHeight="1" spans="3:6">
      <c r="C183" s="360"/>
      <c r="D183" s="360"/>
      <c r="E183" s="360"/>
      <c r="F183" s="298"/>
    </row>
    <row r="184" customHeight="1" spans="3:6">
      <c r="C184" s="360"/>
      <c r="D184" s="360"/>
      <c r="E184" s="360"/>
      <c r="F184" s="298"/>
    </row>
    <row r="185" customHeight="1" spans="3:6">
      <c r="C185" s="360"/>
      <c r="D185" s="360"/>
      <c r="E185" s="360"/>
      <c r="F185" s="298"/>
    </row>
    <row r="186" customHeight="1" spans="3:6">
      <c r="C186" s="360"/>
      <c r="D186" s="360"/>
      <c r="E186" s="360"/>
      <c r="F186" s="298"/>
    </row>
    <row r="187" customHeight="1" spans="3:6">
      <c r="C187" s="360"/>
      <c r="D187" s="360"/>
      <c r="E187" s="360"/>
      <c r="F187" s="298"/>
    </row>
    <row r="188" customHeight="1" spans="3:6">
      <c r="C188" s="360"/>
      <c r="D188" s="360"/>
      <c r="E188" s="360"/>
      <c r="F188" s="298"/>
    </row>
    <row r="189" customHeight="1" spans="3:6">
      <c r="C189" s="360"/>
      <c r="D189" s="360"/>
      <c r="E189" s="360"/>
      <c r="F189" s="298"/>
    </row>
    <row r="190" customHeight="1" spans="3:6">
      <c r="C190" s="360"/>
      <c r="D190" s="360"/>
      <c r="E190" s="360"/>
      <c r="F190" s="298"/>
    </row>
    <row r="191" customHeight="1" spans="3:6">
      <c r="C191" s="360"/>
      <c r="D191" s="360"/>
      <c r="E191" s="360"/>
      <c r="F191" s="298"/>
    </row>
    <row r="192" customHeight="1" spans="3:6">
      <c r="C192" s="360"/>
      <c r="D192" s="360"/>
      <c r="E192" s="360"/>
      <c r="F192" s="298"/>
    </row>
    <row r="193" customHeight="1" spans="3:6">
      <c r="C193" s="360"/>
      <c r="D193" s="360"/>
      <c r="E193" s="360"/>
      <c r="F193" s="298"/>
    </row>
    <row r="194" customHeight="1" spans="3:6">
      <c r="C194" s="360"/>
      <c r="D194" s="360"/>
      <c r="E194" s="360"/>
      <c r="F194" s="298"/>
    </row>
    <row r="195" customHeight="1" spans="3:6">
      <c r="C195" s="360"/>
      <c r="D195" s="360"/>
      <c r="E195" s="360"/>
      <c r="F195" s="298"/>
    </row>
    <row r="196" customHeight="1" spans="3:6">
      <c r="C196" s="360"/>
      <c r="D196" s="360"/>
      <c r="E196" s="360"/>
      <c r="F196" s="298"/>
    </row>
    <row r="197" customHeight="1" spans="3:6">
      <c r="C197" s="360"/>
      <c r="D197" s="360"/>
      <c r="E197" s="360"/>
      <c r="F197" s="298"/>
    </row>
    <row r="198" customHeight="1" spans="3:6">
      <c r="C198" s="360"/>
      <c r="D198" s="360"/>
      <c r="E198" s="360"/>
      <c r="F198" s="298"/>
    </row>
    <row r="199" customHeight="1" spans="3:6">
      <c r="C199" s="360"/>
      <c r="D199" s="360"/>
      <c r="E199" s="360"/>
      <c r="F199" s="298"/>
    </row>
    <row r="200" customHeight="1" spans="3:6">
      <c r="C200" s="360"/>
      <c r="D200" s="360"/>
      <c r="E200" s="360"/>
      <c r="F200" s="298"/>
    </row>
    <row r="201" customHeight="1" spans="3:6">
      <c r="C201" s="360"/>
      <c r="D201" s="360"/>
      <c r="E201" s="360"/>
      <c r="F201" s="298"/>
    </row>
    <row r="202" customHeight="1" spans="3:6">
      <c r="C202" s="360"/>
      <c r="D202" s="360"/>
      <c r="E202" s="360"/>
      <c r="F202" s="298"/>
    </row>
    <row r="203" customHeight="1" spans="3:6">
      <c r="C203" s="360"/>
      <c r="D203" s="360"/>
      <c r="E203" s="360"/>
      <c r="F203" s="298"/>
    </row>
    <row r="204" customHeight="1" spans="3:6">
      <c r="C204" s="360"/>
      <c r="D204" s="360"/>
      <c r="E204" s="360"/>
      <c r="F204" s="298"/>
    </row>
    <row r="205" customHeight="1" spans="3:6">
      <c r="C205" s="360"/>
      <c r="D205" s="360"/>
      <c r="E205" s="360"/>
      <c r="F205" s="298"/>
    </row>
    <row r="206" customHeight="1" spans="3:6">
      <c r="C206" s="360"/>
      <c r="D206" s="360"/>
      <c r="E206" s="360"/>
      <c r="F206" s="298"/>
    </row>
    <row r="207" customHeight="1" spans="3:6">
      <c r="C207" s="360"/>
      <c r="D207" s="360"/>
      <c r="E207" s="360"/>
      <c r="F207" s="298"/>
    </row>
    <row r="208" customHeight="1" spans="3:6">
      <c r="C208" s="360"/>
      <c r="D208" s="360"/>
      <c r="E208" s="360"/>
      <c r="F208" s="298"/>
    </row>
    <row r="209" customHeight="1" spans="3:6">
      <c r="C209" s="360"/>
      <c r="D209" s="360"/>
      <c r="E209" s="360"/>
      <c r="F209" s="298"/>
    </row>
    <row r="210" customHeight="1" spans="3:6">
      <c r="C210" s="360"/>
      <c r="D210" s="360"/>
      <c r="E210" s="360"/>
      <c r="F210" s="298"/>
    </row>
    <row r="211" customHeight="1" spans="3:6">
      <c r="C211" s="360"/>
      <c r="D211" s="360"/>
      <c r="E211" s="360"/>
      <c r="F211" s="298"/>
    </row>
    <row r="212" customHeight="1" spans="3:6">
      <c r="C212" s="360"/>
      <c r="D212" s="360"/>
      <c r="E212" s="360"/>
      <c r="F212" s="298"/>
    </row>
    <row r="213" customHeight="1" spans="3:6">
      <c r="C213" s="360"/>
      <c r="D213" s="360"/>
      <c r="E213" s="360"/>
      <c r="F213" s="298"/>
    </row>
    <row r="214" customHeight="1" spans="3:6">
      <c r="C214" s="360"/>
      <c r="D214" s="360"/>
      <c r="E214" s="360"/>
      <c r="F214" s="298"/>
    </row>
    <row r="215" customHeight="1" spans="3:6">
      <c r="C215" s="360"/>
      <c r="D215" s="360"/>
      <c r="E215" s="360"/>
      <c r="F215" s="298"/>
    </row>
    <row r="216" customHeight="1" spans="3:6">
      <c r="C216" s="360"/>
      <c r="D216" s="360"/>
      <c r="E216" s="360"/>
      <c r="F216" s="298"/>
    </row>
    <row r="217" customHeight="1" spans="3:6">
      <c r="C217" s="360"/>
      <c r="D217" s="360"/>
      <c r="E217" s="360"/>
      <c r="F217" s="298"/>
    </row>
    <row r="218" customHeight="1" spans="3:6">
      <c r="C218" s="360"/>
      <c r="D218" s="360"/>
      <c r="E218" s="360"/>
      <c r="F218" s="298"/>
    </row>
    <row r="219" customHeight="1" spans="3:6">
      <c r="C219" s="360"/>
      <c r="D219" s="360"/>
      <c r="E219" s="360"/>
      <c r="F219" s="298"/>
    </row>
    <row r="220" customHeight="1" spans="3:6">
      <c r="C220" s="360"/>
      <c r="D220" s="360"/>
      <c r="E220" s="360"/>
      <c r="F220" s="298"/>
    </row>
    <row r="221" customHeight="1" spans="3:6">
      <c r="C221" s="360"/>
      <c r="D221" s="360"/>
      <c r="E221" s="360"/>
      <c r="F221" s="298"/>
    </row>
    <row r="222" customHeight="1" spans="3:6">
      <c r="C222" s="360"/>
      <c r="D222" s="360"/>
      <c r="E222" s="360"/>
      <c r="F222" s="298"/>
    </row>
    <row r="223" customHeight="1" spans="3:6">
      <c r="C223" s="360"/>
      <c r="D223" s="360"/>
      <c r="E223" s="360"/>
      <c r="F223" s="298"/>
    </row>
    <row r="224" customHeight="1" spans="3:6">
      <c r="C224" s="360"/>
      <c r="D224" s="360"/>
      <c r="E224" s="360"/>
      <c r="F224" s="298"/>
    </row>
    <row r="225" customHeight="1" spans="3:6">
      <c r="C225" s="360"/>
      <c r="D225" s="360"/>
      <c r="E225" s="360"/>
      <c r="F225" s="298"/>
    </row>
    <row r="226" customHeight="1" spans="3:6">
      <c r="C226" s="360"/>
      <c r="D226" s="360"/>
      <c r="E226" s="360"/>
      <c r="F226" s="298"/>
    </row>
    <row r="227" customHeight="1" spans="3:6">
      <c r="C227" s="360"/>
      <c r="D227" s="360"/>
      <c r="E227" s="360"/>
      <c r="F227" s="298"/>
    </row>
    <row r="228" customHeight="1" spans="3:6">
      <c r="C228" s="360"/>
      <c r="D228" s="360"/>
      <c r="E228" s="360"/>
      <c r="F228" s="298"/>
    </row>
    <row r="229" customHeight="1" spans="3:6">
      <c r="C229" s="360"/>
      <c r="D229" s="360"/>
      <c r="E229" s="360"/>
      <c r="F229" s="298"/>
    </row>
    <row r="230" customHeight="1" spans="3:6">
      <c r="C230" s="360"/>
      <c r="D230" s="360"/>
      <c r="E230" s="360"/>
      <c r="F230" s="298"/>
    </row>
    <row r="231" customHeight="1" spans="3:6">
      <c r="C231" s="360"/>
      <c r="D231" s="360"/>
      <c r="E231" s="360"/>
      <c r="F231" s="298"/>
    </row>
    <row r="232" customHeight="1" spans="3:6">
      <c r="C232" s="360"/>
      <c r="D232" s="360"/>
      <c r="E232" s="360"/>
      <c r="F232" s="298"/>
    </row>
    <row r="233" customHeight="1" spans="3:6">
      <c r="C233" s="360"/>
      <c r="D233" s="360"/>
      <c r="E233" s="360"/>
      <c r="F233" s="298"/>
    </row>
    <row r="234" customHeight="1" spans="3:6">
      <c r="C234" s="360"/>
      <c r="D234" s="360"/>
      <c r="E234" s="360"/>
      <c r="F234" s="298"/>
    </row>
    <row r="235" customHeight="1" spans="3:6">
      <c r="C235" s="360"/>
      <c r="D235" s="360"/>
      <c r="E235" s="360"/>
      <c r="F235" s="298"/>
    </row>
    <row r="236" customHeight="1" spans="3:6">
      <c r="C236" s="360"/>
      <c r="D236" s="360"/>
      <c r="E236" s="360"/>
      <c r="F236" s="298"/>
    </row>
    <row r="237" customHeight="1" spans="3:6">
      <c r="C237" s="360"/>
      <c r="D237" s="360"/>
      <c r="E237" s="360"/>
      <c r="F237" s="298"/>
    </row>
    <row r="238" customHeight="1" spans="3:6">
      <c r="C238" s="360"/>
      <c r="D238" s="360"/>
      <c r="E238" s="360"/>
      <c r="F238" s="298"/>
    </row>
    <row r="239" customHeight="1" spans="3:6">
      <c r="C239" s="360"/>
      <c r="D239" s="360"/>
      <c r="E239" s="360"/>
      <c r="F239" s="298"/>
    </row>
    <row r="240" customHeight="1" spans="3:6">
      <c r="C240" s="360"/>
      <c r="D240" s="360"/>
      <c r="E240" s="360"/>
      <c r="F240" s="298"/>
    </row>
    <row r="241" customHeight="1" spans="3:6">
      <c r="C241" s="360"/>
      <c r="D241" s="360"/>
      <c r="E241" s="360"/>
      <c r="F241" s="298"/>
    </row>
    <row r="242" customHeight="1" spans="3:6">
      <c r="C242" s="360"/>
      <c r="D242" s="360"/>
      <c r="E242" s="360"/>
      <c r="F242" s="298"/>
    </row>
    <row r="243" customHeight="1" spans="3:6">
      <c r="C243" s="360"/>
      <c r="D243" s="360"/>
      <c r="E243" s="360"/>
      <c r="F243" s="298"/>
    </row>
    <row r="244" customHeight="1" spans="3:6">
      <c r="C244" s="360"/>
      <c r="D244" s="360"/>
      <c r="E244" s="360"/>
      <c r="F244" s="298"/>
    </row>
    <row r="245" customHeight="1" spans="3:6">
      <c r="C245" s="360"/>
      <c r="D245" s="360"/>
      <c r="E245" s="360"/>
      <c r="F245" s="298"/>
    </row>
    <row r="246" customHeight="1" spans="3:6">
      <c r="C246" s="360"/>
      <c r="D246" s="360"/>
      <c r="E246" s="360"/>
      <c r="F246" s="298"/>
    </row>
    <row r="247" customHeight="1" spans="3:6">
      <c r="C247" s="360"/>
      <c r="D247" s="360"/>
      <c r="E247" s="360"/>
      <c r="F247" s="298"/>
    </row>
    <row r="248" customHeight="1" spans="3:6">
      <c r="C248" s="360"/>
      <c r="D248" s="360"/>
      <c r="E248" s="360"/>
      <c r="F248" s="298"/>
    </row>
    <row r="249" customHeight="1" spans="3:6">
      <c r="C249" s="360"/>
      <c r="D249" s="360"/>
      <c r="E249" s="360"/>
      <c r="F249" s="298"/>
    </row>
    <row r="250" customHeight="1" spans="3:6">
      <c r="C250" s="360"/>
      <c r="D250" s="360"/>
      <c r="E250" s="360"/>
      <c r="F250" s="298"/>
    </row>
    <row r="251" customHeight="1" spans="3:6">
      <c r="C251" s="360"/>
      <c r="D251" s="360"/>
      <c r="E251" s="360"/>
      <c r="F251" s="298"/>
    </row>
    <row r="252" customHeight="1" spans="3:6">
      <c r="C252" s="360"/>
      <c r="D252" s="360"/>
      <c r="E252" s="360"/>
      <c r="F252" s="298"/>
    </row>
    <row r="253" customHeight="1" spans="3:6">
      <c r="C253" s="360"/>
      <c r="D253" s="360"/>
      <c r="E253" s="360"/>
      <c r="F253" s="298"/>
    </row>
    <row r="254" customHeight="1" spans="3:6">
      <c r="C254" s="360"/>
      <c r="D254" s="360"/>
      <c r="E254" s="360"/>
      <c r="F254" s="298"/>
    </row>
    <row r="255" customHeight="1" spans="3:6">
      <c r="C255" s="360"/>
      <c r="D255" s="360"/>
      <c r="E255" s="360"/>
      <c r="F255" s="298"/>
    </row>
    <row r="256" customHeight="1" spans="3:6">
      <c r="C256" s="360"/>
      <c r="D256" s="360"/>
      <c r="E256" s="360"/>
      <c r="F256" s="298"/>
    </row>
    <row r="257" customHeight="1" spans="3:6">
      <c r="C257" s="360"/>
      <c r="D257" s="360"/>
      <c r="E257" s="360"/>
      <c r="F257" s="298"/>
    </row>
    <row r="258" customHeight="1" spans="3:6">
      <c r="C258" s="360"/>
      <c r="D258" s="360"/>
      <c r="E258" s="360"/>
      <c r="F258" s="298"/>
    </row>
    <row r="259" customHeight="1" spans="3:6">
      <c r="C259" s="360"/>
      <c r="D259" s="360"/>
      <c r="E259" s="360"/>
      <c r="F259" s="298"/>
    </row>
    <row r="260" customHeight="1" spans="3:6">
      <c r="C260" s="360"/>
      <c r="D260" s="360"/>
      <c r="E260" s="360"/>
      <c r="F260" s="298"/>
    </row>
    <row r="261" customHeight="1" spans="3:6">
      <c r="C261" s="360"/>
      <c r="D261" s="360"/>
      <c r="E261" s="360"/>
      <c r="F261" s="298"/>
    </row>
    <row r="262" customHeight="1" spans="3:6">
      <c r="C262" s="360"/>
      <c r="D262" s="360"/>
      <c r="E262" s="360"/>
      <c r="F262" s="298"/>
    </row>
    <row r="263" customHeight="1" spans="3:6">
      <c r="C263" s="360"/>
      <c r="D263" s="360"/>
      <c r="E263" s="360"/>
      <c r="F263" s="298"/>
    </row>
    <row r="264" customHeight="1" spans="3:6">
      <c r="C264" s="360"/>
      <c r="D264" s="360"/>
      <c r="E264" s="360"/>
      <c r="F264" s="298"/>
    </row>
    <row r="265" customHeight="1" spans="3:6">
      <c r="C265" s="360"/>
      <c r="D265" s="360"/>
      <c r="E265" s="360"/>
      <c r="F265" s="298"/>
    </row>
    <row r="266" customHeight="1" spans="3:6">
      <c r="C266" s="360"/>
      <c r="D266" s="360"/>
      <c r="E266" s="360"/>
      <c r="F266" s="298"/>
    </row>
    <row r="267" customHeight="1" spans="3:6">
      <c r="C267" s="360"/>
      <c r="D267" s="360"/>
      <c r="E267" s="360"/>
      <c r="F267" s="298"/>
    </row>
    <row r="268" customHeight="1" spans="3:6">
      <c r="C268" s="360"/>
      <c r="D268" s="360"/>
      <c r="E268" s="360"/>
      <c r="F268" s="298"/>
    </row>
    <row r="269" customHeight="1" spans="3:6">
      <c r="C269" s="360"/>
      <c r="D269" s="360"/>
      <c r="E269" s="360"/>
      <c r="F269" s="298"/>
    </row>
    <row r="270" customHeight="1" spans="3:6">
      <c r="C270" s="360"/>
      <c r="D270" s="360"/>
      <c r="E270" s="360"/>
      <c r="F270" s="298"/>
    </row>
    <row r="271" customHeight="1" spans="3:6">
      <c r="C271" s="360"/>
      <c r="D271" s="360"/>
      <c r="E271" s="360"/>
      <c r="F271" s="298"/>
    </row>
    <row r="272" customHeight="1" spans="3:6">
      <c r="C272" s="360"/>
      <c r="D272" s="360"/>
      <c r="E272" s="360"/>
      <c r="F272" s="298"/>
    </row>
    <row r="273" customHeight="1" spans="3:6">
      <c r="C273" s="360"/>
      <c r="D273" s="360"/>
      <c r="E273" s="360"/>
      <c r="F273" s="298"/>
    </row>
    <row r="274" customHeight="1" spans="3:6">
      <c r="C274" s="360"/>
      <c r="D274" s="360"/>
      <c r="E274" s="360"/>
      <c r="F274" s="298"/>
    </row>
    <row r="275" customHeight="1" spans="3:6">
      <c r="C275" s="360"/>
      <c r="D275" s="360"/>
      <c r="E275" s="360"/>
      <c r="F275" s="298"/>
    </row>
    <row r="276" customHeight="1" spans="3:6">
      <c r="C276" s="360"/>
      <c r="D276" s="360"/>
      <c r="E276" s="360"/>
      <c r="F276" s="298"/>
    </row>
    <row r="277" customHeight="1" spans="3:6">
      <c r="C277" s="360"/>
      <c r="D277" s="360"/>
      <c r="E277" s="360"/>
      <c r="F277" s="298"/>
    </row>
    <row r="278" customHeight="1" spans="3:6">
      <c r="C278" s="360"/>
      <c r="D278" s="360"/>
      <c r="E278" s="360"/>
      <c r="F278" s="298"/>
    </row>
    <row r="279" customHeight="1" spans="3:6">
      <c r="C279" s="360"/>
      <c r="D279" s="360"/>
      <c r="E279" s="360"/>
      <c r="F279" s="298"/>
    </row>
    <row r="280" customHeight="1" spans="3:6">
      <c r="C280" s="360"/>
      <c r="D280" s="360"/>
      <c r="E280" s="360"/>
      <c r="F280" s="298"/>
    </row>
    <row r="281" customHeight="1" spans="3:6">
      <c r="C281" s="360"/>
      <c r="D281" s="360"/>
      <c r="E281" s="360"/>
      <c r="F281" s="298"/>
    </row>
    <row r="282" customHeight="1" spans="3:6">
      <c r="C282" s="360"/>
      <c r="D282" s="360"/>
      <c r="E282" s="360"/>
      <c r="F282" s="298"/>
    </row>
    <row r="283" customHeight="1" spans="3:6">
      <c r="C283" s="360"/>
      <c r="D283" s="360"/>
      <c r="E283" s="360"/>
      <c r="F283" s="298"/>
    </row>
    <row r="284" customHeight="1" spans="3:6">
      <c r="C284" s="360"/>
      <c r="D284" s="360"/>
      <c r="E284" s="360"/>
      <c r="F284" s="298"/>
    </row>
    <row r="285" customHeight="1" spans="3:6">
      <c r="C285" s="360"/>
      <c r="D285" s="360"/>
      <c r="E285" s="360"/>
      <c r="F285" s="298"/>
    </row>
    <row r="286" customHeight="1" spans="3:6">
      <c r="C286" s="360"/>
      <c r="D286" s="360"/>
      <c r="E286" s="360"/>
      <c r="F286" s="298"/>
    </row>
    <row r="287" customHeight="1" spans="3:6">
      <c r="C287" s="360"/>
      <c r="D287" s="360"/>
      <c r="E287" s="360"/>
      <c r="F287" s="298"/>
    </row>
    <row r="288" customHeight="1" spans="3:6">
      <c r="C288" s="360"/>
      <c r="D288" s="360"/>
      <c r="E288" s="360"/>
      <c r="F288" s="298"/>
    </row>
    <row r="289" customHeight="1" spans="3:6">
      <c r="C289" s="360"/>
      <c r="D289" s="360"/>
      <c r="E289" s="360"/>
      <c r="F289" s="298"/>
    </row>
    <row r="290" customHeight="1" spans="3:6">
      <c r="C290" s="360"/>
      <c r="D290" s="360"/>
      <c r="E290" s="360"/>
      <c r="F290" s="298"/>
    </row>
    <row r="291" customHeight="1" spans="3:6">
      <c r="C291" s="360"/>
      <c r="D291" s="360"/>
      <c r="E291" s="360"/>
      <c r="F291" s="298"/>
    </row>
    <row r="292" customHeight="1" spans="3:6">
      <c r="C292" s="360"/>
      <c r="D292" s="360"/>
      <c r="E292" s="360"/>
      <c r="F292" s="298"/>
    </row>
    <row r="293" customHeight="1" spans="3:6">
      <c r="C293" s="360"/>
      <c r="D293" s="360"/>
      <c r="E293" s="360"/>
      <c r="F293" s="298"/>
    </row>
    <row r="294" customHeight="1" spans="3:6">
      <c r="C294" s="360"/>
      <c r="D294" s="360"/>
      <c r="E294" s="360"/>
      <c r="F294" s="298"/>
    </row>
    <row r="295" customHeight="1" spans="3:6">
      <c r="C295" s="360"/>
      <c r="D295" s="360"/>
      <c r="E295" s="360"/>
      <c r="F295" s="298"/>
    </row>
    <row r="296" customHeight="1" spans="3:6">
      <c r="C296" s="360"/>
      <c r="D296" s="360"/>
      <c r="E296" s="360"/>
      <c r="F296" s="298"/>
    </row>
    <row r="297" customHeight="1" spans="3:6">
      <c r="C297" s="360"/>
      <c r="D297" s="360"/>
      <c r="E297" s="360"/>
      <c r="F297" s="298"/>
    </row>
    <row r="298" customHeight="1" spans="3:6">
      <c r="C298" s="360"/>
      <c r="D298" s="360"/>
      <c r="E298" s="360"/>
      <c r="F298" s="298"/>
    </row>
    <row r="299" customHeight="1" spans="3:6">
      <c r="C299" s="360"/>
      <c r="D299" s="360"/>
      <c r="E299" s="360"/>
      <c r="F299" s="298"/>
    </row>
    <row r="300" customHeight="1" spans="3:6">
      <c r="C300" s="360"/>
      <c r="D300" s="360"/>
      <c r="E300" s="360"/>
      <c r="F300" s="298"/>
    </row>
    <row r="301" customHeight="1" spans="3:6">
      <c r="C301" s="360"/>
      <c r="D301" s="360"/>
      <c r="E301" s="360"/>
      <c r="F301" s="298"/>
    </row>
    <row r="302" customHeight="1" spans="3:6">
      <c r="C302" s="360"/>
      <c r="D302" s="360"/>
      <c r="E302" s="360"/>
      <c r="F302" s="298"/>
    </row>
    <row r="303" customHeight="1" spans="3:6">
      <c r="C303" s="360"/>
      <c r="D303" s="360"/>
      <c r="E303" s="360"/>
      <c r="F303" s="298"/>
    </row>
    <row r="304" customHeight="1" spans="3:6">
      <c r="C304" s="360"/>
      <c r="D304" s="360"/>
      <c r="E304" s="360"/>
      <c r="F304" s="298"/>
    </row>
    <row r="305" customHeight="1" spans="3:6">
      <c r="C305" s="360"/>
      <c r="D305" s="360"/>
      <c r="E305" s="360"/>
      <c r="F305" s="298"/>
    </row>
    <row r="306" customHeight="1" spans="3:6">
      <c r="C306" s="360"/>
      <c r="D306" s="360"/>
      <c r="E306" s="360"/>
      <c r="F306" s="298"/>
    </row>
    <row r="307" customHeight="1" spans="3:6">
      <c r="C307" s="360"/>
      <c r="D307" s="360"/>
      <c r="E307" s="360"/>
      <c r="F307" s="298"/>
    </row>
    <row r="308" customHeight="1" spans="3:6">
      <c r="C308" s="360"/>
      <c r="D308" s="360"/>
      <c r="E308" s="360"/>
      <c r="F308" s="298"/>
    </row>
    <row r="309" customHeight="1" spans="3:6">
      <c r="C309" s="360"/>
      <c r="D309" s="360"/>
      <c r="E309" s="360"/>
      <c r="F309" s="298"/>
    </row>
    <row r="310" customHeight="1" spans="3:6">
      <c r="C310" s="360"/>
      <c r="D310" s="360"/>
      <c r="E310" s="360"/>
      <c r="F310" s="298"/>
    </row>
    <row r="311" customHeight="1" spans="3:6">
      <c r="C311" s="360"/>
      <c r="D311" s="360"/>
      <c r="E311" s="360"/>
      <c r="F311" s="298"/>
    </row>
    <row r="312" customHeight="1" spans="3:6">
      <c r="C312" s="360"/>
      <c r="D312" s="360"/>
      <c r="E312" s="360"/>
      <c r="F312" s="298"/>
    </row>
    <row r="313" customHeight="1" spans="3:6">
      <c r="C313" s="360"/>
      <c r="D313" s="360"/>
      <c r="E313" s="360"/>
      <c r="F313" s="298"/>
    </row>
    <row r="314" customHeight="1" spans="3:6">
      <c r="C314" s="360"/>
      <c r="D314" s="360"/>
      <c r="E314" s="360"/>
      <c r="F314" s="298"/>
    </row>
    <row r="315" customHeight="1" spans="3:6">
      <c r="C315" s="360"/>
      <c r="D315" s="360"/>
      <c r="E315" s="360"/>
      <c r="F315" s="298"/>
    </row>
    <row r="316" customHeight="1" spans="3:6">
      <c r="C316" s="360"/>
      <c r="D316" s="360"/>
      <c r="E316" s="360"/>
      <c r="F316" s="298"/>
    </row>
    <row r="317" customHeight="1" spans="3:6">
      <c r="C317" s="360"/>
      <c r="D317" s="360"/>
      <c r="E317" s="360"/>
      <c r="F317" s="298"/>
    </row>
    <row r="318" customHeight="1" spans="3:6">
      <c r="C318" s="360"/>
      <c r="D318" s="360"/>
      <c r="E318" s="360"/>
      <c r="F318" s="298"/>
    </row>
    <row r="319" customHeight="1" spans="3:6">
      <c r="C319" s="360"/>
      <c r="D319" s="360"/>
      <c r="E319" s="360"/>
      <c r="F319" s="298"/>
    </row>
    <row r="320" customHeight="1" spans="3:6">
      <c r="C320" s="360"/>
      <c r="D320" s="360"/>
      <c r="E320" s="360"/>
      <c r="F320" s="298"/>
    </row>
    <row r="321" customHeight="1" spans="3:6">
      <c r="C321" s="360"/>
      <c r="D321" s="360"/>
      <c r="E321" s="360"/>
      <c r="F321" s="298"/>
    </row>
    <row r="322" customHeight="1" spans="3:6">
      <c r="C322" s="360"/>
      <c r="D322" s="360"/>
      <c r="E322" s="360"/>
      <c r="F322" s="298"/>
    </row>
    <row r="323" customHeight="1" spans="3:6">
      <c r="C323" s="360"/>
      <c r="D323" s="360"/>
      <c r="E323" s="360"/>
      <c r="F323" s="298"/>
    </row>
    <row r="324" customHeight="1" spans="3:6">
      <c r="C324" s="360"/>
      <c r="D324" s="360"/>
      <c r="E324" s="360"/>
      <c r="F324" s="298"/>
    </row>
    <row r="325" customHeight="1" spans="3:6">
      <c r="C325" s="360"/>
      <c r="D325" s="360"/>
      <c r="E325" s="360"/>
      <c r="F325" s="298"/>
    </row>
    <row r="326" customHeight="1" spans="3:6">
      <c r="C326" s="360"/>
      <c r="D326" s="360"/>
      <c r="E326" s="360"/>
      <c r="F326" s="298"/>
    </row>
    <row r="327" customHeight="1" spans="3:6">
      <c r="C327" s="360"/>
      <c r="D327" s="360"/>
      <c r="E327" s="360"/>
      <c r="F327" s="298"/>
    </row>
    <row r="328" customHeight="1" spans="3:6">
      <c r="C328" s="360"/>
      <c r="D328" s="360"/>
      <c r="E328" s="360"/>
      <c r="F328" s="298"/>
    </row>
    <row r="329" customHeight="1" spans="3:6">
      <c r="C329" s="360"/>
      <c r="D329" s="360"/>
      <c r="E329" s="360"/>
      <c r="F329" s="298"/>
    </row>
    <row r="330" customHeight="1" spans="3:6">
      <c r="C330" s="360"/>
      <c r="D330" s="360"/>
      <c r="E330" s="360"/>
      <c r="F330" s="298"/>
    </row>
    <row r="331" customHeight="1" spans="3:6">
      <c r="C331" s="360"/>
      <c r="D331" s="360"/>
      <c r="E331" s="360"/>
      <c r="F331" s="298"/>
    </row>
    <row r="332" customHeight="1" spans="3:6">
      <c r="C332" s="360"/>
      <c r="D332" s="360"/>
      <c r="E332" s="360"/>
      <c r="F332" s="298"/>
    </row>
    <row r="333" customHeight="1" spans="3:6">
      <c r="C333" s="360"/>
      <c r="D333" s="360"/>
      <c r="E333" s="360"/>
      <c r="F333" s="298"/>
    </row>
    <row r="334" customHeight="1" spans="3:6">
      <c r="C334" s="360"/>
      <c r="D334" s="360"/>
      <c r="E334" s="360"/>
      <c r="F334" s="298"/>
    </row>
    <row r="335" customHeight="1" spans="3:6">
      <c r="C335" s="360"/>
      <c r="D335" s="360"/>
      <c r="E335" s="360"/>
      <c r="F335" s="298"/>
    </row>
    <row r="336" customHeight="1" spans="3:6">
      <c r="C336" s="360"/>
      <c r="D336" s="360"/>
      <c r="E336" s="360"/>
      <c r="F336" s="298"/>
    </row>
    <row r="337" customHeight="1" spans="3:6">
      <c r="C337" s="360"/>
      <c r="D337" s="360"/>
      <c r="E337" s="360"/>
      <c r="F337" s="298"/>
    </row>
    <row r="338" customHeight="1" spans="3:6">
      <c r="C338" s="360"/>
      <c r="D338" s="360"/>
      <c r="E338" s="360"/>
      <c r="F338" s="298"/>
    </row>
    <row r="339" customHeight="1" spans="3:6">
      <c r="C339" s="360"/>
      <c r="D339" s="360"/>
      <c r="E339" s="360"/>
      <c r="F339" s="298"/>
    </row>
    <row r="340" customHeight="1" spans="3:6">
      <c r="C340" s="360"/>
      <c r="D340" s="360"/>
      <c r="E340" s="360"/>
      <c r="F340" s="298"/>
    </row>
    <row r="341" customHeight="1" spans="3:6">
      <c r="C341" s="360"/>
      <c r="D341" s="360"/>
      <c r="E341" s="360"/>
      <c r="F341" s="298"/>
    </row>
    <row r="342" customHeight="1" spans="3:6">
      <c r="C342" s="360"/>
      <c r="D342" s="360"/>
      <c r="E342" s="360"/>
      <c r="F342" s="298"/>
    </row>
    <row r="343" customHeight="1" spans="3:6">
      <c r="C343" s="360"/>
      <c r="D343" s="360"/>
      <c r="E343" s="360"/>
      <c r="F343" s="298"/>
    </row>
    <row r="344" customHeight="1" spans="3:6">
      <c r="C344" s="360"/>
      <c r="D344" s="360"/>
      <c r="E344" s="360"/>
      <c r="F344" s="298"/>
    </row>
    <row r="345" customHeight="1" spans="3:6">
      <c r="C345" s="360"/>
      <c r="D345" s="360"/>
      <c r="E345" s="360"/>
      <c r="F345" s="298"/>
    </row>
    <row r="346" customHeight="1" spans="3:6">
      <c r="C346" s="360"/>
      <c r="D346" s="360"/>
      <c r="E346" s="360"/>
      <c r="F346" s="298"/>
    </row>
    <row r="347" customHeight="1" spans="3:6">
      <c r="C347" s="360"/>
      <c r="D347" s="360"/>
      <c r="E347" s="360"/>
      <c r="F347" s="298"/>
    </row>
    <row r="348" customHeight="1" spans="3:6">
      <c r="C348" s="360"/>
      <c r="D348" s="360"/>
      <c r="E348" s="360"/>
      <c r="F348" s="298"/>
    </row>
    <row r="349" customHeight="1" spans="3:6">
      <c r="C349" s="360"/>
      <c r="D349" s="360"/>
      <c r="E349" s="360"/>
      <c r="F349" s="298"/>
    </row>
    <row r="350" customHeight="1" spans="3:6">
      <c r="C350" s="360"/>
      <c r="D350" s="360"/>
      <c r="E350" s="360"/>
      <c r="F350" s="298"/>
    </row>
    <row r="351" customHeight="1" spans="3:6">
      <c r="C351" s="360"/>
      <c r="D351" s="360"/>
      <c r="E351" s="360"/>
      <c r="F351" s="298"/>
    </row>
    <row r="352" customHeight="1" spans="3:6">
      <c r="C352" s="360"/>
      <c r="D352" s="360"/>
      <c r="E352" s="360"/>
      <c r="F352" s="298"/>
    </row>
    <row r="353" customHeight="1" spans="3:6">
      <c r="C353" s="360"/>
      <c r="D353" s="360"/>
      <c r="E353" s="360"/>
      <c r="F353" s="298"/>
    </row>
    <row r="354" customHeight="1" spans="3:6">
      <c r="C354" s="360"/>
      <c r="D354" s="360"/>
      <c r="E354" s="360"/>
      <c r="F354" s="298"/>
    </row>
    <row r="355" customHeight="1" spans="3:6">
      <c r="C355" s="360"/>
      <c r="D355" s="360"/>
      <c r="E355" s="360"/>
      <c r="F355" s="298"/>
    </row>
    <row r="356" customHeight="1" spans="3:6">
      <c r="C356" s="360"/>
      <c r="D356" s="360"/>
      <c r="E356" s="360"/>
      <c r="F356" s="298"/>
    </row>
    <row r="357" customHeight="1" spans="3:6">
      <c r="C357" s="360"/>
      <c r="D357" s="360"/>
      <c r="E357" s="360"/>
      <c r="F357" s="298"/>
    </row>
    <row r="358" customHeight="1" spans="3:6">
      <c r="C358" s="360"/>
      <c r="D358" s="360"/>
      <c r="E358" s="360"/>
      <c r="F358" s="298"/>
    </row>
    <row r="359" customHeight="1" spans="3:6">
      <c r="C359" s="360"/>
      <c r="D359" s="360"/>
      <c r="E359" s="360"/>
      <c r="F359" s="298"/>
    </row>
    <row r="360" customHeight="1" spans="3:6">
      <c r="C360" s="360"/>
      <c r="D360" s="360"/>
      <c r="E360" s="360"/>
      <c r="F360" s="298"/>
    </row>
    <row r="361" customHeight="1" spans="3:6">
      <c r="C361" s="360"/>
      <c r="D361" s="360"/>
      <c r="E361" s="360"/>
      <c r="F361" s="298"/>
    </row>
    <row r="362" customHeight="1" spans="3:6">
      <c r="C362" s="360"/>
      <c r="D362" s="360"/>
      <c r="E362" s="360"/>
      <c r="F362" s="298"/>
    </row>
    <row r="363" customHeight="1" spans="3:6">
      <c r="C363" s="360"/>
      <c r="D363" s="360"/>
      <c r="E363" s="360"/>
      <c r="F363" s="298"/>
    </row>
    <row r="364" customHeight="1" spans="3:6">
      <c r="C364" s="360"/>
      <c r="D364" s="360"/>
      <c r="E364" s="360"/>
      <c r="F364" s="298"/>
    </row>
    <row r="365" customHeight="1" spans="3:6">
      <c r="C365" s="360"/>
      <c r="D365" s="360"/>
      <c r="E365" s="360"/>
      <c r="F365" s="298"/>
    </row>
    <row r="366" customHeight="1" spans="3:6">
      <c r="C366" s="360"/>
      <c r="D366" s="360"/>
      <c r="E366" s="360"/>
      <c r="F366" s="298"/>
    </row>
    <row r="367" customHeight="1" spans="3:6">
      <c r="C367" s="360"/>
      <c r="D367" s="360"/>
      <c r="E367" s="360"/>
      <c r="F367" s="298"/>
    </row>
    <row r="368" customHeight="1" spans="3:6">
      <c r="C368" s="360"/>
      <c r="D368" s="360"/>
      <c r="E368" s="360"/>
      <c r="F368" s="298"/>
    </row>
    <row r="369" customHeight="1" spans="3:6">
      <c r="C369" s="360"/>
      <c r="D369" s="360"/>
      <c r="E369" s="360"/>
      <c r="F369" s="298"/>
    </row>
    <row r="370" customHeight="1" spans="3:6">
      <c r="C370" s="360"/>
      <c r="D370" s="360"/>
      <c r="E370" s="360"/>
      <c r="F370" s="298"/>
    </row>
    <row r="371" customHeight="1" spans="3:6">
      <c r="C371" s="360"/>
      <c r="D371" s="360"/>
      <c r="E371" s="360"/>
      <c r="F371" s="298"/>
    </row>
    <row r="372" customHeight="1" spans="3:6">
      <c r="C372" s="360"/>
      <c r="D372" s="360"/>
      <c r="E372" s="360"/>
      <c r="F372" s="298"/>
    </row>
    <row r="373" customHeight="1" spans="3:6">
      <c r="C373" s="360"/>
      <c r="D373" s="360"/>
      <c r="E373" s="360"/>
      <c r="F373" s="298"/>
    </row>
    <row r="374" customHeight="1" spans="3:6">
      <c r="C374" s="360"/>
      <c r="D374" s="360"/>
      <c r="E374" s="360"/>
      <c r="F374" s="298"/>
    </row>
    <row r="375" customHeight="1" spans="3:6">
      <c r="C375" s="360"/>
      <c r="D375" s="360"/>
      <c r="E375" s="360"/>
      <c r="F375" s="298"/>
    </row>
    <row r="376" customHeight="1" spans="3:6">
      <c r="C376" s="360"/>
      <c r="D376" s="360"/>
      <c r="E376" s="360"/>
      <c r="F376" s="298"/>
    </row>
    <row r="377" customHeight="1" spans="3:6">
      <c r="C377" s="360"/>
      <c r="D377" s="360"/>
      <c r="E377" s="360"/>
      <c r="F377" s="298"/>
    </row>
    <row r="378" customHeight="1" spans="3:6">
      <c r="C378" s="360"/>
      <c r="D378" s="360"/>
      <c r="E378" s="360"/>
      <c r="F378" s="298"/>
    </row>
    <row r="379" customHeight="1" spans="3:6">
      <c r="C379" s="360"/>
      <c r="D379" s="360"/>
      <c r="E379" s="360"/>
      <c r="F379" s="298"/>
    </row>
    <row r="380" customHeight="1" spans="3:6">
      <c r="C380" s="360"/>
      <c r="D380" s="360"/>
      <c r="E380" s="360"/>
      <c r="F380" s="298"/>
    </row>
    <row r="381" customHeight="1" spans="3:6">
      <c r="C381" s="360"/>
      <c r="D381" s="360"/>
      <c r="E381" s="360"/>
      <c r="F381" s="298"/>
    </row>
    <row r="382" customHeight="1" spans="3:6">
      <c r="C382" s="360"/>
      <c r="D382" s="360"/>
      <c r="E382" s="360"/>
      <c r="F382" s="298"/>
    </row>
    <row r="383" customHeight="1" spans="3:6">
      <c r="C383" s="360"/>
      <c r="D383" s="360"/>
      <c r="E383" s="360"/>
      <c r="F383" s="298"/>
    </row>
    <row r="384" customHeight="1" spans="3:6">
      <c r="C384" s="360"/>
      <c r="D384" s="360"/>
      <c r="E384" s="360"/>
      <c r="F384" s="298"/>
    </row>
    <row r="385" customHeight="1" spans="3:6">
      <c r="C385" s="360"/>
      <c r="D385" s="360"/>
      <c r="E385" s="360"/>
      <c r="F385" s="298"/>
    </row>
    <row r="386" customHeight="1" spans="3:6">
      <c r="C386" s="360"/>
      <c r="D386" s="360"/>
      <c r="E386" s="360"/>
      <c r="F386" s="298"/>
    </row>
    <row r="387" customHeight="1" spans="3:6">
      <c r="C387" s="360"/>
      <c r="D387" s="360"/>
      <c r="E387" s="360"/>
      <c r="F387" s="298"/>
    </row>
    <row r="388" customHeight="1" spans="3:6">
      <c r="C388" s="360"/>
      <c r="D388" s="360"/>
      <c r="E388" s="360"/>
      <c r="F388" s="298"/>
    </row>
    <row r="389" customHeight="1" spans="3:6">
      <c r="C389" s="360"/>
      <c r="D389" s="360"/>
      <c r="E389" s="360"/>
      <c r="F389" s="298"/>
    </row>
    <row r="390" customHeight="1" spans="3:6">
      <c r="C390" s="360"/>
      <c r="D390" s="360"/>
      <c r="E390" s="360"/>
      <c r="F390" s="298"/>
    </row>
    <row r="391" customHeight="1" spans="3:6">
      <c r="C391" s="360"/>
      <c r="D391" s="360"/>
      <c r="E391" s="360"/>
      <c r="F391" s="298"/>
    </row>
    <row r="392" customHeight="1" spans="3:6">
      <c r="C392" s="360"/>
      <c r="D392" s="360"/>
      <c r="E392" s="360"/>
      <c r="F392" s="298"/>
    </row>
    <row r="393" customHeight="1" spans="3:6">
      <c r="C393" s="360"/>
      <c r="D393" s="360"/>
      <c r="E393" s="360"/>
      <c r="F393" s="298"/>
    </row>
    <row r="394" customHeight="1" spans="3:6">
      <c r="C394" s="360"/>
      <c r="D394" s="360"/>
      <c r="E394" s="360"/>
      <c r="F394" s="298"/>
    </row>
    <row r="395" customHeight="1" spans="3:6">
      <c r="C395" s="360"/>
      <c r="D395" s="360"/>
      <c r="E395" s="360"/>
      <c r="F395" s="298"/>
    </row>
    <row r="396" customHeight="1" spans="3:6">
      <c r="C396" s="360"/>
      <c r="D396" s="360"/>
      <c r="E396" s="360"/>
      <c r="F396" s="298"/>
    </row>
    <row r="397" customHeight="1" spans="3:6">
      <c r="C397" s="360"/>
      <c r="D397" s="360"/>
      <c r="E397" s="360"/>
      <c r="F397" s="298"/>
    </row>
    <row r="398" customHeight="1" spans="3:6">
      <c r="C398" s="360"/>
      <c r="D398" s="360"/>
      <c r="E398" s="360"/>
      <c r="F398" s="298"/>
    </row>
    <row r="399" customHeight="1" spans="3:6">
      <c r="C399" s="360"/>
      <c r="D399" s="360"/>
      <c r="E399" s="360"/>
      <c r="F399" s="298"/>
    </row>
    <row r="400" customHeight="1" spans="3:6">
      <c r="C400" s="360"/>
      <c r="D400" s="360"/>
      <c r="E400" s="360"/>
      <c r="F400" s="298"/>
    </row>
    <row r="401" customHeight="1" spans="3:6">
      <c r="C401" s="360"/>
      <c r="D401" s="360"/>
      <c r="E401" s="360"/>
      <c r="F401" s="298"/>
    </row>
    <row r="402" customHeight="1" spans="3:6">
      <c r="C402" s="360"/>
      <c r="D402" s="360"/>
      <c r="E402" s="360"/>
      <c r="F402" s="298"/>
    </row>
    <row r="403" customHeight="1" spans="3:6">
      <c r="C403" s="360"/>
      <c r="D403" s="360"/>
      <c r="E403" s="360"/>
      <c r="F403" s="298"/>
    </row>
    <row r="404" customHeight="1" spans="3:6">
      <c r="C404" s="360"/>
      <c r="D404" s="360"/>
      <c r="E404" s="360"/>
      <c r="F404" s="298"/>
    </row>
    <row r="405" customHeight="1" spans="3:6">
      <c r="C405" s="360"/>
      <c r="D405" s="360"/>
      <c r="E405" s="360"/>
      <c r="F405" s="298"/>
    </row>
    <row r="406" customHeight="1" spans="3:6">
      <c r="C406" s="360"/>
      <c r="D406" s="360"/>
      <c r="E406" s="360"/>
      <c r="F406" s="298"/>
    </row>
    <row r="407" customHeight="1" spans="3:6">
      <c r="C407" s="360"/>
      <c r="D407" s="360"/>
      <c r="E407" s="360"/>
      <c r="F407" s="298"/>
    </row>
    <row r="408" customHeight="1" spans="3:6">
      <c r="C408" s="360"/>
      <c r="D408" s="360"/>
      <c r="E408" s="360"/>
      <c r="F408" s="298"/>
    </row>
    <row r="409" customHeight="1" spans="3:6">
      <c r="C409" s="360"/>
      <c r="D409" s="360"/>
      <c r="E409" s="360"/>
      <c r="F409" s="298"/>
    </row>
    <row r="410" customHeight="1" spans="3:6">
      <c r="C410" s="360"/>
      <c r="D410" s="360"/>
      <c r="E410" s="360"/>
      <c r="F410" s="298"/>
    </row>
    <row r="411" customHeight="1" spans="3:6">
      <c r="C411" s="360"/>
      <c r="D411" s="360"/>
      <c r="E411" s="360"/>
      <c r="F411" s="298"/>
    </row>
    <row r="412" customHeight="1" spans="3:6">
      <c r="C412" s="360"/>
      <c r="D412" s="360"/>
      <c r="E412" s="360"/>
      <c r="F412" s="298"/>
    </row>
    <row r="413" customHeight="1" spans="3:6">
      <c r="C413" s="360"/>
      <c r="D413" s="360"/>
      <c r="E413" s="360"/>
      <c r="F413" s="298"/>
    </row>
    <row r="414" customHeight="1" spans="3:6">
      <c r="C414" s="360"/>
      <c r="D414" s="360"/>
      <c r="E414" s="360"/>
      <c r="F414" s="298"/>
    </row>
    <row r="415" customHeight="1" spans="3:6">
      <c r="C415" s="360"/>
      <c r="D415" s="360"/>
      <c r="E415" s="360"/>
      <c r="F415" s="298"/>
    </row>
    <row r="416" customHeight="1" spans="3:6">
      <c r="C416" s="360"/>
      <c r="D416" s="360"/>
      <c r="E416" s="360"/>
      <c r="F416" s="298"/>
    </row>
    <row r="417" customHeight="1" spans="3:6">
      <c r="C417" s="360"/>
      <c r="D417" s="360"/>
      <c r="E417" s="360"/>
      <c r="F417" s="298"/>
    </row>
    <row r="418" customHeight="1" spans="3:6">
      <c r="C418" s="360"/>
      <c r="D418" s="360"/>
      <c r="E418" s="360"/>
      <c r="F418" s="298"/>
    </row>
    <row r="419" customHeight="1" spans="3:6">
      <c r="C419" s="360"/>
      <c r="D419" s="360"/>
      <c r="E419" s="360"/>
      <c r="F419" s="298"/>
    </row>
    <row r="420" customHeight="1" spans="3:6">
      <c r="C420" s="360"/>
      <c r="D420" s="360"/>
      <c r="E420" s="360"/>
      <c r="F420" s="298"/>
    </row>
    <row r="421" customHeight="1" spans="3:6">
      <c r="C421" s="360"/>
      <c r="D421" s="360"/>
      <c r="E421" s="360"/>
      <c r="F421" s="298"/>
    </row>
    <row r="422" customHeight="1" spans="3:6">
      <c r="C422" s="360"/>
      <c r="D422" s="360"/>
      <c r="E422" s="360"/>
      <c r="F422" s="298"/>
    </row>
    <row r="423" customHeight="1" spans="3:6">
      <c r="C423" s="360"/>
      <c r="D423" s="360"/>
      <c r="E423" s="360"/>
      <c r="F423" s="298"/>
    </row>
    <row r="424" customHeight="1" spans="3:6">
      <c r="C424" s="360"/>
      <c r="D424" s="360"/>
      <c r="E424" s="360"/>
      <c r="F424" s="298"/>
    </row>
    <row r="425" customHeight="1" spans="3:6">
      <c r="C425" s="360"/>
      <c r="D425" s="360"/>
      <c r="E425" s="360"/>
      <c r="F425" s="298"/>
    </row>
    <row r="426" customHeight="1" spans="3:6">
      <c r="C426" s="360"/>
      <c r="D426" s="360"/>
      <c r="E426" s="360"/>
      <c r="F426" s="298"/>
    </row>
    <row r="427" customHeight="1" spans="3:6">
      <c r="C427" s="360"/>
      <c r="D427" s="360"/>
      <c r="E427" s="360"/>
      <c r="F427" s="298"/>
    </row>
    <row r="428" customHeight="1" spans="3:6">
      <c r="C428" s="360"/>
      <c r="D428" s="360"/>
      <c r="E428" s="360"/>
      <c r="F428" s="298"/>
    </row>
    <row r="429" customHeight="1" spans="3:6">
      <c r="C429" s="360"/>
      <c r="D429" s="360"/>
      <c r="E429" s="360"/>
      <c r="F429" s="298"/>
    </row>
    <row r="430" customHeight="1" spans="3:6">
      <c r="C430" s="360"/>
      <c r="D430" s="360"/>
      <c r="E430" s="360"/>
      <c r="F430" s="298"/>
    </row>
    <row r="431" customHeight="1" spans="3:6">
      <c r="C431" s="360"/>
      <c r="D431" s="360"/>
      <c r="E431" s="360"/>
      <c r="F431" s="298"/>
    </row>
    <row r="432" customHeight="1" spans="3:6">
      <c r="C432" s="360"/>
      <c r="D432" s="360"/>
      <c r="E432" s="360"/>
      <c r="F432" s="298"/>
    </row>
    <row r="433" customHeight="1" spans="3:6">
      <c r="C433" s="360"/>
      <c r="D433" s="360"/>
      <c r="E433" s="360"/>
      <c r="F433" s="298"/>
    </row>
    <row r="434" customHeight="1" spans="3:6">
      <c r="C434" s="360"/>
      <c r="D434" s="360"/>
      <c r="E434" s="360"/>
      <c r="F434" s="298"/>
    </row>
    <row r="435" customHeight="1" spans="3:6">
      <c r="C435" s="360"/>
      <c r="D435" s="360"/>
      <c r="E435" s="360"/>
      <c r="F435" s="298"/>
    </row>
    <row r="436" customHeight="1" spans="3:6">
      <c r="C436" s="360"/>
      <c r="D436" s="360"/>
      <c r="E436" s="360"/>
      <c r="F436" s="298"/>
    </row>
    <row r="437" customHeight="1" spans="3:6">
      <c r="C437" s="360"/>
      <c r="D437" s="360"/>
      <c r="E437" s="360"/>
      <c r="F437" s="298"/>
    </row>
    <row r="438" customHeight="1" spans="3:6">
      <c r="C438" s="360"/>
      <c r="D438" s="360"/>
      <c r="E438" s="360"/>
      <c r="F438" s="298"/>
    </row>
    <row r="439" customHeight="1" spans="3:6">
      <c r="C439" s="360"/>
      <c r="D439" s="360"/>
      <c r="E439" s="360"/>
      <c r="F439" s="298"/>
    </row>
    <row r="440" customHeight="1" spans="3:6">
      <c r="C440" s="360"/>
      <c r="D440" s="360"/>
      <c r="E440" s="360"/>
      <c r="F440" s="298"/>
    </row>
    <row r="441" customHeight="1" spans="3:6">
      <c r="C441" s="360"/>
      <c r="D441" s="360"/>
      <c r="E441" s="360"/>
      <c r="F441" s="298"/>
    </row>
    <row r="442" customHeight="1" spans="3:6">
      <c r="C442" s="360"/>
      <c r="D442" s="360"/>
      <c r="E442" s="360"/>
      <c r="F442" s="298"/>
    </row>
    <row r="443" customHeight="1" spans="3:6">
      <c r="C443" s="360"/>
      <c r="D443" s="360"/>
      <c r="E443" s="360"/>
      <c r="F443" s="298"/>
    </row>
    <row r="444" customHeight="1" spans="3:6">
      <c r="C444" s="360"/>
      <c r="D444" s="360"/>
      <c r="E444" s="360"/>
      <c r="F444" s="298"/>
    </row>
    <row r="445" customHeight="1" spans="3:6">
      <c r="C445" s="360"/>
      <c r="D445" s="360"/>
      <c r="E445" s="360"/>
      <c r="F445" s="298"/>
    </row>
    <row r="446" customHeight="1" spans="3:6">
      <c r="C446" s="360"/>
      <c r="D446" s="360"/>
      <c r="E446" s="360"/>
      <c r="F446" s="298"/>
    </row>
    <row r="447" customHeight="1" spans="3:6">
      <c r="C447" s="360"/>
      <c r="D447" s="360"/>
      <c r="E447" s="360"/>
      <c r="F447" s="298"/>
    </row>
    <row r="448" customHeight="1" spans="3:6">
      <c r="C448" s="360"/>
      <c r="D448" s="360"/>
      <c r="E448" s="360"/>
      <c r="F448" s="298"/>
    </row>
    <row r="449" customHeight="1" spans="3:6">
      <c r="C449" s="360"/>
      <c r="D449" s="360"/>
      <c r="E449" s="360"/>
      <c r="F449" s="298"/>
    </row>
    <row r="450" customHeight="1" spans="3:6">
      <c r="C450" s="360"/>
      <c r="D450" s="360"/>
      <c r="E450" s="360"/>
      <c r="F450" s="298"/>
    </row>
    <row r="451" customHeight="1" spans="3:6">
      <c r="C451" s="360"/>
      <c r="D451" s="360"/>
      <c r="E451" s="360"/>
      <c r="F451" s="298"/>
    </row>
    <row r="452" customHeight="1" spans="3:6">
      <c r="C452" s="360"/>
      <c r="D452" s="360"/>
      <c r="E452" s="360"/>
      <c r="F452" s="298"/>
    </row>
    <row r="453" customHeight="1" spans="3:6">
      <c r="C453" s="360"/>
      <c r="D453" s="360"/>
      <c r="E453" s="360"/>
      <c r="F453" s="298"/>
    </row>
    <row r="454" customHeight="1" spans="3:6">
      <c r="C454" s="360"/>
      <c r="D454" s="360"/>
      <c r="E454" s="360"/>
      <c r="F454" s="298"/>
    </row>
    <row r="455" customHeight="1" spans="3:6">
      <c r="C455" s="360"/>
      <c r="D455" s="360"/>
      <c r="E455" s="360"/>
      <c r="F455" s="298"/>
    </row>
    <row r="456" customHeight="1" spans="3:6">
      <c r="C456" s="360"/>
      <c r="D456" s="360"/>
      <c r="E456" s="360"/>
      <c r="F456" s="298"/>
    </row>
    <row r="457" customHeight="1" spans="3:6">
      <c r="C457" s="360"/>
      <c r="D457" s="360"/>
      <c r="E457" s="360"/>
      <c r="F457" s="298"/>
    </row>
    <row r="458" customHeight="1" spans="3:6">
      <c r="C458" s="360"/>
      <c r="D458" s="360"/>
      <c r="E458" s="360"/>
      <c r="F458" s="298"/>
    </row>
    <row r="459" customHeight="1" spans="3:6">
      <c r="C459" s="360"/>
      <c r="D459" s="360"/>
      <c r="E459" s="360"/>
      <c r="F459" s="298"/>
    </row>
    <row r="460" customHeight="1" spans="3:6">
      <c r="C460" s="360"/>
      <c r="D460" s="360"/>
      <c r="E460" s="360"/>
      <c r="F460" s="298"/>
    </row>
    <row r="461" customHeight="1" spans="3:6">
      <c r="C461" s="360"/>
      <c r="D461" s="360"/>
      <c r="E461" s="360"/>
      <c r="F461" s="298"/>
    </row>
    <row r="462" customHeight="1" spans="3:6">
      <c r="C462" s="360"/>
      <c r="D462" s="360"/>
      <c r="E462" s="360"/>
      <c r="F462" s="298"/>
    </row>
    <row r="463" customHeight="1" spans="3:6">
      <c r="C463" s="360"/>
      <c r="D463" s="360"/>
      <c r="E463" s="360"/>
      <c r="F463" s="298"/>
    </row>
    <row r="464" customHeight="1" spans="3:6">
      <c r="C464" s="360"/>
      <c r="D464" s="360"/>
      <c r="E464" s="360"/>
      <c r="F464" s="298"/>
    </row>
    <row r="465" customHeight="1" spans="3:6">
      <c r="C465" s="360"/>
      <c r="D465" s="360"/>
      <c r="E465" s="360"/>
      <c r="F465" s="298"/>
    </row>
    <row r="466" customHeight="1" spans="3:6">
      <c r="C466" s="360"/>
      <c r="D466" s="360"/>
      <c r="E466" s="360"/>
      <c r="F466" s="298"/>
    </row>
    <row r="467" customHeight="1" spans="3:6">
      <c r="C467" s="360"/>
      <c r="D467" s="360"/>
      <c r="E467" s="360"/>
      <c r="F467" s="298"/>
    </row>
    <row r="468" customHeight="1" spans="3:6">
      <c r="C468" s="360"/>
      <c r="D468" s="360"/>
      <c r="E468" s="360"/>
      <c r="F468" s="298"/>
    </row>
    <row r="469" customHeight="1" spans="3:6">
      <c r="C469" s="360"/>
      <c r="D469" s="360"/>
      <c r="E469" s="360"/>
      <c r="F469" s="298"/>
    </row>
    <row r="470" customHeight="1" spans="3:6">
      <c r="C470" s="360"/>
      <c r="D470" s="360"/>
      <c r="E470" s="360"/>
      <c r="F470" s="298"/>
    </row>
    <row r="471" customHeight="1" spans="3:6">
      <c r="C471" s="360"/>
      <c r="D471" s="360"/>
      <c r="E471" s="360"/>
      <c r="F471" s="298"/>
    </row>
    <row r="472" customHeight="1" spans="3:6">
      <c r="C472" s="360"/>
      <c r="D472" s="360"/>
      <c r="E472" s="360"/>
      <c r="F472" s="298"/>
    </row>
    <row r="473" customHeight="1" spans="3:6">
      <c r="C473" s="360"/>
      <c r="D473" s="360"/>
      <c r="E473" s="360"/>
      <c r="F473" s="298"/>
    </row>
    <row r="474" customHeight="1" spans="3:6">
      <c r="C474" s="360"/>
      <c r="D474" s="360"/>
      <c r="E474" s="360"/>
      <c r="F474" s="298"/>
    </row>
    <row r="475" customHeight="1" spans="3:6">
      <c r="C475" s="360"/>
      <c r="D475" s="360"/>
      <c r="E475" s="360"/>
      <c r="F475" s="298"/>
    </row>
    <row r="476" customHeight="1" spans="3:6">
      <c r="C476" s="360"/>
      <c r="D476" s="360"/>
      <c r="E476" s="360"/>
      <c r="F476" s="298"/>
    </row>
    <row r="477" customHeight="1" spans="3:6">
      <c r="C477" s="360"/>
      <c r="D477" s="360"/>
      <c r="E477" s="360"/>
      <c r="F477" s="298"/>
    </row>
    <row r="478" customHeight="1" spans="3:6">
      <c r="C478" s="360"/>
      <c r="D478" s="360"/>
      <c r="E478" s="360"/>
      <c r="F478" s="298"/>
    </row>
    <row r="479" customHeight="1" spans="3:6">
      <c r="C479" s="360"/>
      <c r="D479" s="360"/>
      <c r="E479" s="360"/>
      <c r="F479" s="298"/>
    </row>
    <row r="480" customHeight="1" spans="3:6">
      <c r="C480" s="360"/>
      <c r="D480" s="360"/>
      <c r="E480" s="360"/>
      <c r="F480" s="298"/>
    </row>
    <row r="481" customHeight="1" spans="3:6">
      <c r="C481" s="360"/>
      <c r="D481" s="360"/>
      <c r="E481" s="360"/>
      <c r="F481" s="298"/>
    </row>
    <row r="482" customHeight="1" spans="3:6">
      <c r="C482" s="360"/>
      <c r="D482" s="360"/>
      <c r="E482" s="360"/>
      <c r="F482" s="298"/>
    </row>
    <row r="483" customHeight="1" spans="3:6">
      <c r="C483" s="360"/>
      <c r="D483" s="360"/>
      <c r="E483" s="360"/>
      <c r="F483" s="298"/>
    </row>
    <row r="484" customHeight="1" spans="3:6">
      <c r="C484" s="360"/>
      <c r="D484" s="360"/>
      <c r="E484" s="360"/>
      <c r="F484" s="298"/>
    </row>
    <row r="485" customHeight="1" spans="3:6">
      <c r="C485" s="360"/>
      <c r="D485" s="360"/>
      <c r="E485" s="360"/>
      <c r="F485" s="298"/>
    </row>
    <row r="486" customHeight="1" spans="3:6">
      <c r="C486" s="360"/>
      <c r="D486" s="360"/>
      <c r="E486" s="360"/>
      <c r="F486" s="298"/>
    </row>
    <row r="487" customHeight="1" spans="3:6">
      <c r="C487" s="360"/>
      <c r="D487" s="360"/>
      <c r="E487" s="360"/>
      <c r="F487" s="298"/>
    </row>
    <row r="488" customHeight="1" spans="3:6">
      <c r="C488" s="360"/>
      <c r="D488" s="360"/>
      <c r="E488" s="360"/>
      <c r="F488" s="298"/>
    </row>
    <row r="489" customHeight="1" spans="3:6">
      <c r="C489" s="360"/>
      <c r="D489" s="360"/>
      <c r="E489" s="360"/>
      <c r="F489" s="298"/>
    </row>
    <row r="490" customHeight="1" spans="3:6">
      <c r="C490" s="360"/>
      <c r="D490" s="360"/>
      <c r="E490" s="360"/>
      <c r="F490" s="298"/>
    </row>
    <row r="491" customHeight="1" spans="3:6">
      <c r="C491" s="360"/>
      <c r="D491" s="360"/>
      <c r="E491" s="360"/>
      <c r="F491" s="298"/>
    </row>
    <row r="492" customHeight="1" spans="3:6">
      <c r="C492" s="360"/>
      <c r="D492" s="360"/>
      <c r="E492" s="360"/>
      <c r="F492" s="298"/>
    </row>
    <row r="493" customHeight="1" spans="3:6">
      <c r="C493" s="360"/>
      <c r="D493" s="360"/>
      <c r="E493" s="360"/>
      <c r="F493" s="298"/>
    </row>
    <row r="494" customHeight="1" spans="3:6">
      <c r="C494" s="360"/>
      <c r="D494" s="360"/>
      <c r="E494" s="360"/>
      <c r="F494" s="298"/>
    </row>
    <row r="495" customHeight="1" spans="3:6">
      <c r="C495" s="360"/>
      <c r="D495" s="360"/>
      <c r="E495" s="360"/>
      <c r="F495" s="298"/>
    </row>
    <row r="496" customHeight="1" spans="3:6">
      <c r="C496" s="360"/>
      <c r="D496" s="360"/>
      <c r="E496" s="360"/>
      <c r="F496" s="298"/>
    </row>
    <row r="497" customHeight="1" spans="3:6">
      <c r="C497" s="360"/>
      <c r="D497" s="360"/>
      <c r="E497" s="360"/>
      <c r="F497" s="298"/>
    </row>
    <row r="498" customHeight="1" spans="3:6">
      <c r="C498" s="360"/>
      <c r="D498" s="360"/>
      <c r="E498" s="360"/>
      <c r="F498" s="298"/>
    </row>
    <row r="499" customHeight="1" spans="3:6">
      <c r="C499" s="360"/>
      <c r="D499" s="360"/>
      <c r="E499" s="360"/>
      <c r="F499" s="298"/>
    </row>
    <row r="500" customHeight="1" spans="3:6">
      <c r="C500" s="360"/>
      <c r="D500" s="360"/>
      <c r="E500" s="360"/>
      <c r="F500" s="298"/>
    </row>
    <row r="501" customHeight="1" spans="3:6">
      <c r="C501" s="360"/>
      <c r="D501" s="360"/>
      <c r="E501" s="360"/>
      <c r="F501" s="298"/>
    </row>
    <row r="502" customHeight="1" spans="3:6">
      <c r="C502" s="360"/>
      <c r="D502" s="360"/>
      <c r="E502" s="360"/>
      <c r="F502" s="298"/>
    </row>
    <row r="503" customHeight="1" spans="3:6">
      <c r="C503" s="360"/>
      <c r="D503" s="360"/>
      <c r="E503" s="360"/>
      <c r="F503" s="298"/>
    </row>
    <row r="504" customHeight="1" spans="3:6">
      <c r="C504" s="360"/>
      <c r="D504" s="360"/>
      <c r="E504" s="360"/>
      <c r="F504" s="298"/>
    </row>
    <row r="505" customHeight="1" spans="3:6">
      <c r="C505" s="360"/>
      <c r="D505" s="360"/>
      <c r="E505" s="360"/>
      <c r="F505" s="298"/>
    </row>
    <row r="506" customHeight="1" spans="3:6">
      <c r="C506" s="360"/>
      <c r="D506" s="360"/>
      <c r="E506" s="360"/>
      <c r="F506" s="298"/>
    </row>
    <row r="507" customHeight="1" spans="3:6">
      <c r="C507" s="360"/>
      <c r="D507" s="360"/>
      <c r="E507" s="360"/>
      <c r="F507" s="298"/>
    </row>
    <row r="508" customHeight="1" spans="3:6">
      <c r="C508" s="360"/>
      <c r="D508" s="360"/>
      <c r="E508" s="360"/>
      <c r="F508" s="298"/>
    </row>
    <row r="509" customHeight="1" spans="3:6">
      <c r="C509" s="360"/>
      <c r="D509" s="360"/>
      <c r="E509" s="360"/>
      <c r="F509" s="298"/>
    </row>
    <row r="510" customHeight="1" spans="3:6">
      <c r="C510" s="360"/>
      <c r="D510" s="360"/>
      <c r="E510" s="360"/>
      <c r="F510" s="298"/>
    </row>
    <row r="511" customHeight="1" spans="3:6">
      <c r="C511" s="360"/>
      <c r="D511" s="360"/>
      <c r="E511" s="360"/>
      <c r="F511" s="298"/>
    </row>
    <row r="512" customHeight="1" spans="3:6">
      <c r="C512" s="360"/>
      <c r="D512" s="360"/>
      <c r="E512" s="360"/>
      <c r="F512" s="298"/>
    </row>
    <row r="513" customHeight="1" spans="3:6">
      <c r="C513" s="360"/>
      <c r="D513" s="360"/>
      <c r="E513" s="360"/>
      <c r="F513" s="298"/>
    </row>
    <row r="514" customHeight="1" spans="3:6">
      <c r="C514" s="360"/>
      <c r="D514" s="360"/>
      <c r="E514" s="360"/>
      <c r="F514" s="298"/>
    </row>
    <row r="515" customHeight="1" spans="3:6">
      <c r="C515" s="360"/>
      <c r="D515" s="360"/>
      <c r="E515" s="360"/>
      <c r="F515" s="298"/>
    </row>
    <row r="516" customHeight="1" spans="3:6">
      <c r="C516" s="360"/>
      <c r="D516" s="360"/>
      <c r="E516" s="360"/>
      <c r="F516" s="298"/>
    </row>
    <row r="517" customHeight="1" spans="3:6">
      <c r="C517" s="360"/>
      <c r="D517" s="360"/>
      <c r="E517" s="360"/>
      <c r="F517" s="298"/>
    </row>
    <row r="518" customHeight="1" spans="3:6">
      <c r="C518" s="360"/>
      <c r="D518" s="360"/>
      <c r="E518" s="360"/>
      <c r="F518" s="298"/>
    </row>
    <row r="519" customHeight="1" spans="3:6">
      <c r="C519" s="360"/>
      <c r="D519" s="360"/>
      <c r="E519" s="360"/>
      <c r="F519" s="298"/>
    </row>
    <row r="520" customHeight="1" spans="3:6">
      <c r="C520" s="360"/>
      <c r="D520" s="360"/>
      <c r="E520" s="360"/>
      <c r="F520" s="298"/>
    </row>
    <row r="521" customHeight="1" spans="3:6">
      <c r="C521" s="360"/>
      <c r="D521" s="360"/>
      <c r="E521" s="360"/>
      <c r="F521" s="298"/>
    </row>
    <row r="522" customHeight="1" spans="3:6">
      <c r="C522" s="360"/>
      <c r="D522" s="360"/>
      <c r="E522" s="360"/>
      <c r="F522" s="298"/>
    </row>
    <row r="523" customHeight="1" spans="3:6">
      <c r="C523" s="360"/>
      <c r="D523" s="360"/>
      <c r="E523" s="360"/>
      <c r="F523" s="298"/>
    </row>
    <row r="524" customHeight="1" spans="3:6">
      <c r="C524" s="360"/>
      <c r="D524" s="360"/>
      <c r="E524" s="360"/>
      <c r="F524" s="298"/>
    </row>
    <row r="525" customHeight="1" spans="3:6">
      <c r="C525" s="360"/>
      <c r="D525" s="360"/>
      <c r="E525" s="360"/>
      <c r="F525" s="298"/>
    </row>
    <row r="526" customHeight="1" spans="3:6">
      <c r="C526" s="360"/>
      <c r="D526" s="360"/>
      <c r="E526" s="360"/>
      <c r="F526" s="298"/>
    </row>
    <row r="527" customHeight="1" spans="3:6">
      <c r="C527" s="360"/>
      <c r="D527" s="360"/>
      <c r="E527" s="360"/>
      <c r="F527" s="298"/>
    </row>
    <row r="528" customHeight="1" spans="3:6">
      <c r="C528" s="360"/>
      <c r="D528" s="360"/>
      <c r="E528" s="360"/>
      <c r="F528" s="298"/>
    </row>
    <row r="529" customHeight="1" spans="3:6">
      <c r="C529" s="360"/>
      <c r="D529" s="360"/>
      <c r="E529" s="360"/>
      <c r="F529" s="298"/>
    </row>
    <row r="530" customHeight="1" spans="3:6">
      <c r="C530" s="360"/>
      <c r="D530" s="360"/>
      <c r="E530" s="360"/>
      <c r="F530" s="298"/>
    </row>
    <row r="531" customHeight="1" spans="3:6">
      <c r="C531" s="360"/>
      <c r="D531" s="360"/>
      <c r="E531" s="360"/>
      <c r="F531" s="298"/>
    </row>
    <row r="532" customHeight="1" spans="3:6">
      <c r="C532" s="360"/>
      <c r="D532" s="360"/>
      <c r="E532" s="360"/>
      <c r="F532" s="298"/>
    </row>
    <row r="533" customHeight="1" spans="3:6">
      <c r="C533" s="360"/>
      <c r="D533" s="360"/>
      <c r="E533" s="360"/>
      <c r="F533" s="298"/>
    </row>
    <row r="534" customHeight="1" spans="3:6">
      <c r="C534" s="360"/>
      <c r="D534" s="360"/>
      <c r="E534" s="360"/>
      <c r="F534" s="298"/>
    </row>
    <row r="535" customHeight="1" spans="3:6">
      <c r="C535" s="360"/>
      <c r="D535" s="360"/>
      <c r="E535" s="360"/>
      <c r="F535" s="298"/>
    </row>
    <row r="536" customHeight="1" spans="3:6">
      <c r="C536" s="360"/>
      <c r="D536" s="360"/>
      <c r="E536" s="360"/>
      <c r="F536" s="298"/>
    </row>
    <row r="537" customHeight="1" spans="3:6">
      <c r="C537" s="360"/>
      <c r="D537" s="360"/>
      <c r="E537" s="360"/>
      <c r="F537" s="298"/>
    </row>
    <row r="538" customHeight="1" spans="3:6">
      <c r="C538" s="360"/>
      <c r="D538" s="360"/>
      <c r="E538" s="360"/>
      <c r="F538" s="298"/>
    </row>
    <row r="539" customHeight="1" spans="3:6">
      <c r="C539" s="360"/>
      <c r="D539" s="360"/>
      <c r="E539" s="360"/>
      <c r="F539" s="298"/>
    </row>
    <row r="540" customHeight="1" spans="3:6">
      <c r="C540" s="360"/>
      <c r="D540" s="360"/>
      <c r="E540" s="360"/>
      <c r="F540" s="298"/>
    </row>
    <row r="541" customHeight="1" spans="3:6">
      <c r="C541" s="360"/>
      <c r="D541" s="360"/>
      <c r="E541" s="360"/>
      <c r="F541" s="298"/>
    </row>
    <row r="542" customHeight="1" spans="3:6">
      <c r="C542" s="360"/>
      <c r="D542" s="360"/>
      <c r="E542" s="360"/>
      <c r="F542" s="298"/>
    </row>
    <row r="543" customHeight="1" spans="3:6">
      <c r="C543" s="360"/>
      <c r="D543" s="360"/>
      <c r="E543" s="360"/>
      <c r="F543" s="298"/>
    </row>
    <row r="544" customHeight="1" spans="3:6">
      <c r="C544" s="360"/>
      <c r="D544" s="360"/>
      <c r="E544" s="360"/>
      <c r="F544" s="298"/>
    </row>
    <row r="545" customHeight="1" spans="3:6">
      <c r="C545" s="360"/>
      <c r="D545" s="360"/>
      <c r="E545" s="360"/>
      <c r="F545" s="298"/>
    </row>
    <row r="546" customHeight="1" spans="3:6">
      <c r="C546" s="360"/>
      <c r="D546" s="360"/>
      <c r="E546" s="360"/>
      <c r="F546" s="298"/>
    </row>
    <row r="547" customHeight="1" spans="3:6">
      <c r="C547" s="360"/>
      <c r="D547" s="360"/>
      <c r="E547" s="360"/>
      <c r="F547" s="298"/>
    </row>
    <row r="548" customHeight="1" spans="3:6">
      <c r="C548" s="360"/>
      <c r="D548" s="360"/>
      <c r="E548" s="360"/>
      <c r="F548" s="298"/>
    </row>
    <row r="549" customHeight="1" spans="3:6">
      <c r="C549" s="360"/>
      <c r="D549" s="360"/>
      <c r="E549" s="360"/>
      <c r="F549" s="298"/>
    </row>
    <row r="550" customHeight="1" spans="3:6">
      <c r="C550" s="360"/>
      <c r="D550" s="360"/>
      <c r="E550" s="360"/>
      <c r="F550" s="298"/>
    </row>
    <row r="551" customHeight="1" spans="3:6">
      <c r="C551" s="360"/>
      <c r="D551" s="360"/>
      <c r="E551" s="360"/>
      <c r="F551" s="298"/>
    </row>
    <row r="552" customHeight="1" spans="3:6">
      <c r="C552" s="360"/>
      <c r="D552" s="360"/>
      <c r="E552" s="360"/>
      <c r="F552" s="298"/>
    </row>
    <row r="553" customHeight="1" spans="3:6">
      <c r="C553" s="360"/>
      <c r="D553" s="360"/>
      <c r="E553" s="360"/>
      <c r="F553" s="298"/>
    </row>
    <row r="554" customHeight="1" spans="3:6">
      <c r="C554" s="360"/>
      <c r="D554" s="360"/>
      <c r="E554" s="360"/>
      <c r="F554" s="298"/>
    </row>
    <row r="555" customHeight="1" spans="3:6">
      <c r="C555" s="360"/>
      <c r="D555" s="360"/>
      <c r="E555" s="360"/>
      <c r="F555" s="298"/>
    </row>
    <row r="556" customHeight="1" spans="3:6">
      <c r="C556" s="360"/>
      <c r="D556" s="360"/>
      <c r="E556" s="360"/>
      <c r="F556" s="298"/>
    </row>
    <row r="557" customHeight="1" spans="3:6">
      <c r="C557" s="360"/>
      <c r="D557" s="360"/>
      <c r="E557" s="360"/>
      <c r="F557" s="298"/>
    </row>
    <row r="558" customHeight="1" spans="3:6">
      <c r="C558" s="360"/>
      <c r="D558" s="360"/>
      <c r="E558" s="360"/>
      <c r="F558" s="298"/>
    </row>
    <row r="559" customHeight="1" spans="3:6">
      <c r="C559" s="360"/>
      <c r="D559" s="360"/>
      <c r="E559" s="360"/>
      <c r="F559" s="298"/>
    </row>
    <row r="560" customHeight="1" spans="3:6">
      <c r="C560" s="360"/>
      <c r="D560" s="360"/>
      <c r="E560" s="360"/>
      <c r="F560" s="298"/>
    </row>
    <row r="561" customHeight="1" spans="3:6">
      <c r="C561" s="360"/>
      <c r="D561" s="360"/>
      <c r="E561" s="360"/>
      <c r="F561" s="298"/>
    </row>
    <row r="562" customHeight="1" spans="3:6">
      <c r="C562" s="360"/>
      <c r="D562" s="360"/>
      <c r="E562" s="360"/>
      <c r="F562" s="298"/>
    </row>
    <row r="563" customHeight="1" spans="3:6">
      <c r="C563" s="360"/>
      <c r="D563" s="360"/>
      <c r="E563" s="360"/>
      <c r="F563" s="298"/>
    </row>
    <row r="564" customHeight="1" spans="3:6">
      <c r="C564" s="360"/>
      <c r="D564" s="360"/>
      <c r="E564" s="360"/>
      <c r="F564" s="298"/>
    </row>
    <row r="565" customHeight="1" spans="3:6">
      <c r="C565" s="360"/>
      <c r="D565" s="360"/>
      <c r="E565" s="360"/>
      <c r="F565" s="298"/>
    </row>
    <row r="566" customHeight="1" spans="3:6">
      <c r="C566" s="360"/>
      <c r="D566" s="360"/>
      <c r="E566" s="360"/>
      <c r="F566" s="298"/>
    </row>
    <row r="567" customHeight="1" spans="3:6">
      <c r="C567" s="360"/>
      <c r="D567" s="360"/>
      <c r="E567" s="360"/>
      <c r="F567" s="298"/>
    </row>
    <row r="568" customHeight="1" spans="3:6">
      <c r="C568" s="360"/>
      <c r="D568" s="360"/>
      <c r="E568" s="360"/>
      <c r="F568" s="298"/>
    </row>
    <row r="569" customHeight="1" spans="3:6">
      <c r="C569" s="360"/>
      <c r="D569" s="360"/>
      <c r="E569" s="360"/>
      <c r="F569" s="298"/>
    </row>
    <row r="570" customHeight="1" spans="3:6">
      <c r="C570" s="360"/>
      <c r="D570" s="360"/>
      <c r="E570" s="360"/>
      <c r="F570" s="298"/>
    </row>
    <row r="571" customHeight="1" spans="3:6">
      <c r="C571" s="360"/>
      <c r="D571" s="360"/>
      <c r="E571" s="360"/>
      <c r="F571" s="298"/>
    </row>
    <row r="572" customHeight="1" spans="3:6">
      <c r="C572" s="360"/>
      <c r="D572" s="360"/>
      <c r="E572" s="360"/>
      <c r="F572" s="298"/>
    </row>
    <row r="573" customHeight="1" spans="3:6">
      <c r="C573" s="360"/>
      <c r="D573" s="360"/>
      <c r="E573" s="360"/>
      <c r="F573" s="298"/>
    </row>
    <row r="574" customHeight="1" spans="3:6">
      <c r="C574" s="360"/>
      <c r="D574" s="360"/>
      <c r="E574" s="360"/>
      <c r="F574" s="298"/>
    </row>
    <row r="575" customHeight="1" spans="3:6">
      <c r="C575" s="360"/>
      <c r="D575" s="360"/>
      <c r="E575" s="360"/>
      <c r="F575" s="298"/>
    </row>
    <row r="576" customHeight="1" spans="3:6">
      <c r="C576" s="360"/>
      <c r="D576" s="360"/>
      <c r="E576" s="360"/>
      <c r="F576" s="298"/>
    </row>
    <row r="577" customHeight="1" spans="3:6">
      <c r="C577" s="360"/>
      <c r="D577" s="360"/>
      <c r="E577" s="360"/>
      <c r="F577" s="298"/>
    </row>
    <row r="578" customHeight="1" spans="3:6">
      <c r="C578" s="360"/>
      <c r="D578" s="360"/>
      <c r="E578" s="360"/>
      <c r="F578" s="298"/>
    </row>
    <row r="579" customHeight="1" spans="3:6">
      <c r="C579" s="360"/>
      <c r="D579" s="360"/>
      <c r="E579" s="360"/>
      <c r="F579" s="298"/>
    </row>
    <row r="580" customHeight="1" spans="3:6">
      <c r="C580" s="360"/>
      <c r="D580" s="360"/>
      <c r="E580" s="360"/>
      <c r="F580" s="298"/>
    </row>
    <row r="581" customHeight="1" spans="3:6">
      <c r="C581" s="360"/>
      <c r="D581" s="360"/>
      <c r="E581" s="360"/>
      <c r="F581" s="298"/>
    </row>
    <row r="582" customHeight="1" spans="3:6">
      <c r="C582" s="360"/>
      <c r="D582" s="360"/>
      <c r="E582" s="360"/>
      <c r="F582" s="298"/>
    </row>
    <row r="583" customHeight="1" spans="3:6">
      <c r="C583" s="360"/>
      <c r="D583" s="360"/>
      <c r="E583" s="360"/>
      <c r="F583" s="298"/>
    </row>
    <row r="584" customHeight="1" spans="3:6">
      <c r="C584" s="360"/>
      <c r="D584" s="360"/>
      <c r="E584" s="360"/>
      <c r="F584" s="298"/>
    </row>
    <row r="585" customHeight="1" spans="3:6">
      <c r="C585" s="360"/>
      <c r="D585" s="360"/>
      <c r="E585" s="360"/>
      <c r="F585" s="298"/>
    </row>
    <row r="586" customHeight="1" spans="3:6">
      <c r="C586" s="360"/>
      <c r="D586" s="360"/>
      <c r="E586" s="360"/>
      <c r="F586" s="298"/>
    </row>
    <row r="587" customHeight="1" spans="3:6">
      <c r="C587" s="360"/>
      <c r="D587" s="360"/>
      <c r="E587" s="360"/>
      <c r="F587" s="298"/>
    </row>
    <row r="588" customHeight="1" spans="3:6">
      <c r="C588" s="360"/>
      <c r="D588" s="360"/>
      <c r="E588" s="360"/>
      <c r="F588" s="298"/>
    </row>
    <row r="589" customHeight="1" spans="3:6">
      <c r="C589" s="360"/>
      <c r="D589" s="360"/>
      <c r="E589" s="360"/>
      <c r="F589" s="298"/>
    </row>
    <row r="590" customHeight="1" spans="3:6">
      <c r="C590" s="360"/>
      <c r="D590" s="360"/>
      <c r="E590" s="360"/>
      <c r="F590" s="298"/>
    </row>
    <row r="591" customHeight="1" spans="3:6">
      <c r="C591" s="360"/>
      <c r="D591" s="360"/>
      <c r="E591" s="360"/>
      <c r="F591" s="298"/>
    </row>
    <row r="592" customHeight="1" spans="3:6">
      <c r="C592" s="360"/>
      <c r="D592" s="360"/>
      <c r="E592" s="360"/>
      <c r="F592" s="298"/>
    </row>
    <row r="593" customHeight="1" spans="3:6">
      <c r="C593" s="360"/>
      <c r="D593" s="360"/>
      <c r="E593" s="360"/>
      <c r="F593" s="298"/>
    </row>
    <row r="594" customHeight="1" spans="3:6">
      <c r="C594" s="360"/>
      <c r="D594" s="360"/>
      <c r="E594" s="360"/>
      <c r="F594" s="298"/>
    </row>
    <row r="595" customHeight="1" spans="3:6">
      <c r="C595" s="360"/>
      <c r="D595" s="360"/>
      <c r="E595" s="360"/>
      <c r="F595" s="298"/>
    </row>
    <row r="596" customHeight="1" spans="3:6">
      <c r="C596" s="360"/>
      <c r="D596" s="360"/>
      <c r="E596" s="360"/>
      <c r="F596" s="298"/>
    </row>
    <row r="597" customHeight="1" spans="3:6">
      <c r="C597" s="360"/>
      <c r="D597" s="360"/>
      <c r="E597" s="360"/>
      <c r="F597" s="298"/>
    </row>
    <row r="598" customHeight="1" spans="3:6">
      <c r="C598" s="360"/>
      <c r="D598" s="360"/>
      <c r="E598" s="360"/>
      <c r="F598" s="298"/>
    </row>
    <row r="599" customHeight="1" spans="3:6">
      <c r="C599" s="360"/>
      <c r="D599" s="360"/>
      <c r="E599" s="360"/>
      <c r="F599" s="298"/>
    </row>
    <row r="600" customHeight="1" spans="3:6">
      <c r="C600" s="360"/>
      <c r="D600" s="360"/>
      <c r="E600" s="360"/>
      <c r="F600" s="298"/>
    </row>
    <row r="601" customHeight="1" spans="3:6">
      <c r="C601" s="360"/>
      <c r="D601" s="360"/>
      <c r="E601" s="360"/>
      <c r="F601" s="298"/>
    </row>
    <row r="602" customHeight="1" spans="3:6">
      <c r="C602" s="360"/>
      <c r="D602" s="360"/>
      <c r="E602" s="360"/>
      <c r="F602" s="298"/>
    </row>
    <row r="603" customHeight="1" spans="3:6">
      <c r="C603" s="360"/>
      <c r="D603" s="360"/>
      <c r="E603" s="360"/>
      <c r="F603" s="298"/>
    </row>
    <row r="604" customHeight="1" spans="3:6">
      <c r="C604" s="360"/>
      <c r="D604" s="360"/>
      <c r="E604" s="360"/>
      <c r="F604" s="298"/>
    </row>
    <row r="605" customHeight="1" spans="3:6">
      <c r="C605" s="360"/>
      <c r="D605" s="360"/>
      <c r="E605" s="360"/>
      <c r="F605" s="298"/>
    </row>
    <row r="606" customHeight="1" spans="3:6">
      <c r="C606" s="360"/>
      <c r="D606" s="360"/>
      <c r="E606" s="360"/>
      <c r="F606" s="298"/>
    </row>
    <row r="607" customHeight="1" spans="3:6">
      <c r="C607" s="360"/>
      <c r="D607" s="360"/>
      <c r="E607" s="360"/>
      <c r="F607" s="298"/>
    </row>
    <row r="608" customHeight="1" spans="3:6">
      <c r="C608" s="360"/>
      <c r="D608" s="360"/>
      <c r="E608" s="360"/>
      <c r="F608" s="298"/>
    </row>
    <row r="609" customHeight="1" spans="3:6">
      <c r="C609" s="360"/>
      <c r="D609" s="360"/>
      <c r="E609" s="360"/>
      <c r="F609" s="298"/>
    </row>
    <row r="610" customHeight="1" spans="3:6">
      <c r="C610" s="360"/>
      <c r="D610" s="360"/>
      <c r="E610" s="360"/>
      <c r="F610" s="298"/>
    </row>
    <row r="611" customHeight="1" spans="3:6">
      <c r="C611" s="360"/>
      <c r="D611" s="360"/>
      <c r="E611" s="360"/>
      <c r="F611" s="298"/>
    </row>
    <row r="612" customHeight="1" spans="3:6">
      <c r="C612" s="360"/>
      <c r="D612" s="360"/>
      <c r="E612" s="360"/>
      <c r="F612" s="298"/>
    </row>
    <row r="613" customHeight="1" spans="3:6">
      <c r="C613" s="360"/>
      <c r="D613" s="360"/>
      <c r="E613" s="360"/>
      <c r="F613" s="298"/>
    </row>
    <row r="614" customHeight="1" spans="3:6">
      <c r="C614" s="360"/>
      <c r="D614" s="360"/>
      <c r="E614" s="360"/>
      <c r="F614" s="298"/>
    </row>
    <row r="615" customHeight="1" spans="3:6">
      <c r="C615" s="360"/>
      <c r="D615" s="360"/>
      <c r="E615" s="360"/>
      <c r="F615" s="298"/>
    </row>
    <row r="616" customHeight="1" spans="3:6">
      <c r="C616" s="360"/>
      <c r="D616" s="360"/>
      <c r="E616" s="360"/>
      <c r="F616" s="298"/>
    </row>
    <row r="617" customHeight="1" spans="3:6">
      <c r="C617" s="360"/>
      <c r="D617" s="360"/>
      <c r="E617" s="360"/>
      <c r="F617" s="298"/>
    </row>
    <row r="618" customHeight="1" spans="3:6">
      <c r="C618" s="360"/>
      <c r="D618" s="360"/>
      <c r="E618" s="360"/>
      <c r="F618" s="298"/>
    </row>
    <row r="619" customHeight="1" spans="3:6">
      <c r="C619" s="360"/>
      <c r="D619" s="360"/>
      <c r="E619" s="360"/>
      <c r="F619" s="298"/>
    </row>
    <row r="620" customHeight="1" spans="3:6">
      <c r="C620" s="360"/>
      <c r="D620" s="360"/>
      <c r="E620" s="360"/>
      <c r="F620" s="298"/>
    </row>
    <row r="621" customHeight="1" spans="3:6">
      <c r="C621" s="360"/>
      <c r="D621" s="360"/>
      <c r="E621" s="360"/>
      <c r="F621" s="298"/>
    </row>
    <row r="622" customHeight="1" spans="3:6">
      <c r="C622" s="360"/>
      <c r="D622" s="360"/>
      <c r="E622" s="360"/>
      <c r="F622" s="298"/>
    </row>
    <row r="623" customHeight="1" spans="3:6">
      <c r="C623" s="360"/>
      <c r="D623" s="360"/>
      <c r="E623" s="360"/>
      <c r="F623" s="298"/>
    </row>
    <row r="624" customHeight="1" spans="3:6">
      <c r="C624" s="360"/>
      <c r="D624" s="360"/>
      <c r="E624" s="360"/>
      <c r="F624" s="298"/>
    </row>
    <row r="625" customHeight="1" spans="3:6">
      <c r="C625" s="360"/>
      <c r="D625" s="360"/>
      <c r="E625" s="360"/>
      <c r="F625" s="298"/>
    </row>
    <row r="626" customHeight="1" spans="3:6">
      <c r="C626" s="360"/>
      <c r="D626" s="360"/>
      <c r="E626" s="360"/>
      <c r="F626" s="298"/>
    </row>
    <row r="627" customHeight="1" spans="3:6">
      <c r="C627" s="360"/>
      <c r="D627" s="360"/>
      <c r="E627" s="360"/>
      <c r="F627" s="298"/>
    </row>
    <row r="628" customHeight="1" spans="3:6">
      <c r="C628" s="360"/>
      <c r="D628" s="360"/>
      <c r="E628" s="360"/>
      <c r="F628" s="298"/>
    </row>
    <row r="629" customHeight="1" spans="3:6">
      <c r="C629" s="360"/>
      <c r="D629" s="360"/>
      <c r="E629" s="360"/>
      <c r="F629" s="298"/>
    </row>
    <row r="630" customHeight="1" spans="3:6">
      <c r="C630" s="360"/>
      <c r="D630" s="360"/>
      <c r="E630" s="360"/>
      <c r="F630" s="298"/>
    </row>
    <row r="631" customHeight="1" spans="3:6">
      <c r="C631" s="360"/>
      <c r="D631" s="360"/>
      <c r="E631" s="360"/>
      <c r="F631" s="298"/>
    </row>
    <row r="632" customHeight="1" spans="3:6">
      <c r="C632" s="360"/>
      <c r="D632" s="360"/>
      <c r="E632" s="360"/>
      <c r="F632" s="298"/>
    </row>
    <row r="633" customHeight="1" spans="3:6">
      <c r="C633" s="360"/>
      <c r="D633" s="360"/>
      <c r="E633" s="360"/>
      <c r="F633" s="298"/>
    </row>
    <row r="634" customHeight="1" spans="3:6">
      <c r="C634" s="360"/>
      <c r="D634" s="360"/>
      <c r="E634" s="360"/>
      <c r="F634" s="298"/>
    </row>
    <row r="635" customHeight="1" spans="3:6">
      <c r="C635" s="360"/>
      <c r="D635" s="360"/>
      <c r="E635" s="360"/>
      <c r="F635" s="298"/>
    </row>
    <row r="636" customHeight="1" spans="3:6">
      <c r="C636" s="360"/>
      <c r="D636" s="360"/>
      <c r="E636" s="360"/>
      <c r="F636" s="298"/>
    </row>
    <row r="637" customHeight="1" spans="3:6">
      <c r="C637" s="360"/>
      <c r="D637" s="360"/>
      <c r="E637" s="360"/>
      <c r="F637" s="298"/>
    </row>
    <row r="638" customHeight="1" spans="3:6">
      <c r="C638" s="360"/>
      <c r="D638" s="360"/>
      <c r="E638" s="360"/>
      <c r="F638" s="298"/>
    </row>
    <row r="639" customHeight="1" spans="3:6">
      <c r="C639" s="360"/>
      <c r="D639" s="360"/>
      <c r="E639" s="360"/>
      <c r="F639" s="298"/>
    </row>
    <row r="640" customHeight="1" spans="3:6">
      <c r="C640" s="360"/>
      <c r="D640" s="360"/>
      <c r="E640" s="360"/>
      <c r="F640" s="298"/>
    </row>
    <row r="641" customHeight="1" spans="3:6">
      <c r="C641" s="360"/>
      <c r="D641" s="360"/>
      <c r="E641" s="360"/>
      <c r="F641" s="298"/>
    </row>
    <row r="642" customHeight="1" spans="3:6">
      <c r="C642" s="360"/>
      <c r="D642" s="360"/>
      <c r="E642" s="360"/>
      <c r="F642" s="298"/>
    </row>
    <row r="643" customHeight="1" spans="3:6">
      <c r="C643" s="360"/>
      <c r="D643" s="360"/>
      <c r="E643" s="360"/>
      <c r="F643" s="298"/>
    </row>
    <row r="644" customHeight="1" spans="3:6">
      <c r="C644" s="360"/>
      <c r="D644" s="360"/>
      <c r="E644" s="360"/>
      <c r="F644" s="298"/>
    </row>
    <row r="645" customHeight="1" spans="3:6">
      <c r="C645" s="360"/>
      <c r="D645" s="360"/>
      <c r="E645" s="360"/>
      <c r="F645" s="298"/>
    </row>
    <row r="646" customHeight="1" spans="3:6">
      <c r="C646" s="360"/>
      <c r="D646" s="360"/>
      <c r="E646" s="360"/>
      <c r="F646" s="298"/>
    </row>
    <row r="647" customHeight="1" spans="3:6">
      <c r="C647" s="360"/>
      <c r="D647" s="360"/>
      <c r="E647" s="360"/>
      <c r="F647" s="298"/>
    </row>
    <row r="648" customHeight="1" spans="3:6">
      <c r="C648" s="360"/>
      <c r="D648" s="360"/>
      <c r="E648" s="360"/>
      <c r="F648" s="298"/>
    </row>
    <row r="649" customHeight="1" spans="3:6">
      <c r="C649" s="360"/>
      <c r="D649" s="360"/>
      <c r="E649" s="360"/>
      <c r="F649" s="298"/>
    </row>
    <row r="650" customHeight="1" spans="3:6">
      <c r="C650" s="360"/>
      <c r="D650" s="360"/>
      <c r="E650" s="360"/>
      <c r="F650" s="298"/>
    </row>
    <row r="651" customHeight="1" spans="3:6">
      <c r="C651" s="360"/>
      <c r="D651" s="360"/>
      <c r="E651" s="360"/>
      <c r="F651" s="298"/>
    </row>
    <row r="652" customHeight="1" spans="3:6">
      <c r="C652" s="360"/>
      <c r="D652" s="360"/>
      <c r="E652" s="360"/>
      <c r="F652" s="298"/>
    </row>
    <row r="653" customHeight="1" spans="3:6">
      <c r="C653" s="360"/>
      <c r="D653" s="360"/>
      <c r="E653" s="360"/>
      <c r="F653" s="298"/>
    </row>
    <row r="654" customHeight="1" spans="3:6">
      <c r="C654" s="360"/>
      <c r="D654" s="360"/>
      <c r="E654" s="360"/>
      <c r="F654" s="298"/>
    </row>
    <row r="655" customHeight="1" spans="3:6">
      <c r="C655" s="360"/>
      <c r="D655" s="360"/>
      <c r="E655" s="360"/>
      <c r="F655" s="298"/>
    </row>
    <row r="656" customHeight="1" spans="3:6">
      <c r="C656" s="360"/>
      <c r="D656" s="360"/>
      <c r="E656" s="360"/>
      <c r="F656" s="298"/>
    </row>
    <row r="657" customHeight="1" spans="3:6">
      <c r="C657" s="360"/>
      <c r="D657" s="360"/>
      <c r="E657" s="360"/>
      <c r="F657" s="298"/>
    </row>
    <row r="658" customHeight="1" spans="3:6">
      <c r="C658" s="360"/>
      <c r="D658" s="360"/>
      <c r="E658" s="360"/>
      <c r="F658" s="298"/>
    </row>
    <row r="659" customHeight="1" spans="3:6">
      <c r="C659" s="360"/>
      <c r="D659" s="360"/>
      <c r="E659" s="360"/>
      <c r="F659" s="298"/>
    </row>
    <row r="660" customHeight="1" spans="3:6">
      <c r="C660" s="360"/>
      <c r="D660" s="360"/>
      <c r="E660" s="360"/>
      <c r="F660" s="298"/>
    </row>
    <row r="661" customHeight="1" spans="3:6">
      <c r="C661" s="360"/>
      <c r="D661" s="360"/>
      <c r="E661" s="360"/>
      <c r="F661" s="298"/>
    </row>
    <row r="662" customHeight="1" spans="3:6">
      <c r="C662" s="360"/>
      <c r="D662" s="360"/>
      <c r="E662" s="360"/>
      <c r="F662" s="298"/>
    </row>
    <row r="663" customHeight="1" spans="3:6">
      <c r="C663" s="360"/>
      <c r="D663" s="360"/>
      <c r="E663" s="360"/>
      <c r="F663" s="298"/>
    </row>
    <row r="664" customHeight="1" spans="3:6">
      <c r="C664" s="360"/>
      <c r="D664" s="360"/>
      <c r="E664" s="360"/>
      <c r="F664" s="298"/>
    </row>
    <row r="665" customHeight="1" spans="3:6">
      <c r="C665" s="360"/>
      <c r="D665" s="360"/>
      <c r="E665" s="360"/>
      <c r="F665" s="298"/>
    </row>
    <row r="666" customHeight="1" spans="3:6">
      <c r="C666" s="360"/>
      <c r="D666" s="360"/>
      <c r="E666" s="360"/>
      <c r="F666" s="298"/>
    </row>
    <row r="667" customHeight="1" spans="3:6">
      <c r="C667" s="360"/>
      <c r="D667" s="360"/>
      <c r="E667" s="360"/>
      <c r="F667" s="298"/>
    </row>
    <row r="668" customHeight="1" spans="3:6">
      <c r="C668" s="360"/>
      <c r="D668" s="360"/>
      <c r="E668" s="360"/>
      <c r="F668" s="298"/>
    </row>
    <row r="669" customHeight="1" spans="3:6">
      <c r="C669" s="360"/>
      <c r="D669" s="360"/>
      <c r="E669" s="360"/>
      <c r="F669" s="298"/>
    </row>
    <row r="670" customHeight="1" spans="3:6">
      <c r="C670" s="360"/>
      <c r="D670" s="360"/>
      <c r="E670" s="360"/>
      <c r="F670" s="298"/>
    </row>
    <row r="671" customHeight="1" spans="3:6">
      <c r="C671" s="360"/>
      <c r="D671" s="360"/>
      <c r="E671" s="360"/>
      <c r="F671" s="298"/>
    </row>
    <row r="672" customHeight="1" spans="3:6">
      <c r="C672" s="360"/>
      <c r="D672" s="360"/>
      <c r="E672" s="360"/>
      <c r="F672" s="298"/>
    </row>
    <row r="673" customHeight="1" spans="3:6">
      <c r="C673" s="360"/>
      <c r="D673" s="360"/>
      <c r="E673" s="360"/>
      <c r="F673" s="298"/>
    </row>
    <row r="674" customHeight="1" spans="3:6">
      <c r="C674" s="360"/>
      <c r="D674" s="360"/>
      <c r="E674" s="360"/>
      <c r="F674" s="298"/>
    </row>
    <row r="675" customHeight="1" spans="3:6">
      <c r="C675" s="360"/>
      <c r="D675" s="360"/>
      <c r="E675" s="360"/>
      <c r="F675" s="298"/>
    </row>
    <row r="676" customHeight="1" spans="3:6">
      <c r="C676" s="360"/>
      <c r="D676" s="360"/>
      <c r="E676" s="360"/>
      <c r="F676" s="298"/>
    </row>
    <row r="677" customHeight="1" spans="3:6">
      <c r="C677" s="360"/>
      <c r="D677" s="360"/>
      <c r="E677" s="360"/>
      <c r="F677" s="298"/>
    </row>
    <row r="678" customHeight="1" spans="3:6">
      <c r="C678" s="360"/>
      <c r="D678" s="360"/>
      <c r="E678" s="360"/>
      <c r="F678" s="298"/>
    </row>
    <row r="679" customHeight="1" spans="3:6">
      <c r="C679" s="360"/>
      <c r="D679" s="360"/>
      <c r="E679" s="360"/>
      <c r="F679" s="298"/>
    </row>
    <row r="680" customHeight="1" spans="3:6">
      <c r="C680" s="360"/>
      <c r="D680" s="360"/>
      <c r="E680" s="360"/>
      <c r="F680" s="298"/>
    </row>
    <row r="681" customHeight="1" spans="3:6">
      <c r="C681" s="360"/>
      <c r="D681" s="360"/>
      <c r="E681" s="360"/>
      <c r="F681" s="298"/>
    </row>
    <row r="682" customHeight="1" spans="3:6">
      <c r="C682" s="360"/>
      <c r="D682" s="360"/>
      <c r="E682" s="360"/>
      <c r="F682" s="298"/>
    </row>
    <row r="683" customHeight="1" spans="3:6">
      <c r="C683" s="360"/>
      <c r="D683" s="360"/>
      <c r="E683" s="360"/>
      <c r="F683" s="298"/>
    </row>
    <row r="684" customHeight="1" spans="3:6">
      <c r="C684" s="360"/>
      <c r="D684" s="360"/>
      <c r="E684" s="360"/>
      <c r="F684" s="298"/>
    </row>
    <row r="685" customHeight="1" spans="3:6">
      <c r="C685" s="360"/>
      <c r="D685" s="360"/>
      <c r="E685" s="360"/>
      <c r="F685" s="298"/>
    </row>
    <row r="686" customHeight="1" spans="3:6">
      <c r="C686" s="360"/>
      <c r="D686" s="360"/>
      <c r="E686" s="360"/>
      <c r="F686" s="298"/>
    </row>
    <row r="687" customHeight="1" spans="3:6">
      <c r="C687" s="360"/>
      <c r="D687" s="360"/>
      <c r="E687" s="360"/>
      <c r="F687" s="298"/>
    </row>
    <row r="688" customHeight="1" spans="3:6">
      <c r="C688" s="360"/>
      <c r="D688" s="360"/>
      <c r="E688" s="360"/>
      <c r="F688" s="298"/>
    </row>
    <row r="689" customHeight="1" spans="3:6">
      <c r="C689" s="360"/>
      <c r="D689" s="360"/>
      <c r="E689" s="360"/>
      <c r="F689" s="298"/>
    </row>
    <row r="690" customHeight="1" spans="3:6">
      <c r="C690" s="360"/>
      <c r="D690" s="360"/>
      <c r="E690" s="360"/>
      <c r="F690" s="298"/>
    </row>
    <row r="691" customHeight="1" spans="3:6">
      <c r="C691" s="360"/>
      <c r="D691" s="360"/>
      <c r="E691" s="360"/>
      <c r="F691" s="298"/>
    </row>
    <row r="692" customHeight="1" spans="3:6">
      <c r="C692" s="360"/>
      <c r="D692" s="360"/>
      <c r="E692" s="360"/>
      <c r="F692" s="298"/>
    </row>
    <row r="693" customHeight="1" spans="3:6">
      <c r="C693" s="360"/>
      <c r="D693" s="360"/>
      <c r="E693" s="360"/>
      <c r="F693" s="298"/>
    </row>
    <row r="694" customHeight="1" spans="3:6">
      <c r="C694" s="360"/>
      <c r="D694" s="360"/>
      <c r="E694" s="360"/>
      <c r="F694" s="298"/>
    </row>
    <row r="695" customHeight="1" spans="3:6">
      <c r="C695" s="360"/>
      <c r="D695" s="360"/>
      <c r="E695" s="360"/>
      <c r="F695" s="298"/>
    </row>
    <row r="696" customHeight="1" spans="3:6">
      <c r="C696" s="360"/>
      <c r="D696" s="360"/>
      <c r="E696" s="360"/>
      <c r="F696" s="298"/>
    </row>
    <row r="697" customHeight="1" spans="3:6">
      <c r="C697" s="360"/>
      <c r="D697" s="360"/>
      <c r="E697" s="360"/>
      <c r="F697" s="298"/>
    </row>
    <row r="698" customHeight="1" spans="3:6">
      <c r="C698" s="360"/>
      <c r="D698" s="360"/>
      <c r="E698" s="360"/>
      <c r="F698" s="298"/>
    </row>
    <row r="699" customHeight="1" spans="3:6">
      <c r="C699" s="360"/>
      <c r="D699" s="360"/>
      <c r="E699" s="360"/>
      <c r="F699" s="298"/>
    </row>
    <row r="700" customHeight="1" spans="3:6">
      <c r="C700" s="360"/>
      <c r="D700" s="360"/>
      <c r="E700" s="360"/>
      <c r="F700" s="298"/>
    </row>
    <row r="701" customHeight="1" spans="3:6">
      <c r="C701" s="360"/>
      <c r="D701" s="360"/>
      <c r="E701" s="360"/>
      <c r="F701" s="298"/>
    </row>
    <row r="702" customHeight="1" spans="3:6">
      <c r="C702" s="360"/>
      <c r="D702" s="360"/>
      <c r="E702" s="360"/>
      <c r="F702" s="298"/>
    </row>
    <row r="703" customHeight="1" spans="3:6">
      <c r="C703" s="360"/>
      <c r="D703" s="360"/>
      <c r="E703" s="360"/>
      <c r="F703" s="298"/>
    </row>
    <row r="704" customHeight="1" spans="3:6">
      <c r="C704" s="360"/>
      <c r="D704" s="360"/>
      <c r="E704" s="360"/>
      <c r="F704" s="298"/>
    </row>
    <row r="705" customHeight="1" spans="3:6">
      <c r="C705" s="360"/>
      <c r="D705" s="360"/>
      <c r="E705" s="360"/>
      <c r="F705" s="298"/>
    </row>
    <row r="706" customHeight="1" spans="3:6">
      <c r="C706" s="360"/>
      <c r="D706" s="360"/>
      <c r="E706" s="360"/>
      <c r="F706" s="298"/>
    </row>
    <row r="707" customHeight="1" spans="3:6">
      <c r="C707" s="360"/>
      <c r="D707" s="360"/>
      <c r="E707" s="360"/>
      <c r="F707" s="298"/>
    </row>
    <row r="708" customHeight="1" spans="3:6">
      <c r="C708" s="360"/>
      <c r="D708" s="360"/>
      <c r="E708" s="360"/>
      <c r="F708" s="298"/>
    </row>
    <row r="709" customHeight="1" spans="3:6">
      <c r="C709" s="360"/>
      <c r="D709" s="360"/>
      <c r="E709" s="360"/>
      <c r="F709" s="298"/>
    </row>
    <row r="710" customHeight="1" spans="3:6">
      <c r="C710" s="360"/>
      <c r="D710" s="360"/>
      <c r="E710" s="360"/>
      <c r="F710" s="298"/>
    </row>
    <row r="711" customHeight="1" spans="3:6">
      <c r="C711" s="360"/>
      <c r="D711" s="360"/>
      <c r="E711" s="360"/>
      <c r="F711" s="298"/>
    </row>
    <row r="712" customHeight="1" spans="3:6">
      <c r="C712" s="360"/>
      <c r="D712" s="360"/>
      <c r="E712" s="360"/>
      <c r="F712" s="298"/>
    </row>
    <row r="713" customHeight="1" spans="3:6">
      <c r="C713" s="360"/>
      <c r="D713" s="360"/>
      <c r="E713" s="360"/>
      <c r="F713" s="298"/>
    </row>
    <row r="714" customHeight="1" spans="3:6">
      <c r="C714" s="360"/>
      <c r="D714" s="360"/>
      <c r="E714" s="360"/>
      <c r="F714" s="298"/>
    </row>
    <row r="715" customHeight="1" spans="3:6">
      <c r="C715" s="360"/>
      <c r="D715" s="360"/>
      <c r="E715" s="360"/>
      <c r="F715" s="298"/>
    </row>
    <row r="716" customHeight="1" spans="3:6">
      <c r="C716" s="360"/>
      <c r="D716" s="360"/>
      <c r="E716" s="360"/>
      <c r="F716" s="298"/>
    </row>
    <row r="717" customHeight="1" spans="3:6">
      <c r="C717" s="360"/>
      <c r="D717" s="360"/>
      <c r="E717" s="360"/>
      <c r="F717" s="298"/>
    </row>
    <row r="718" customHeight="1" spans="3:6">
      <c r="C718" s="360"/>
      <c r="D718" s="360"/>
      <c r="E718" s="360"/>
      <c r="F718" s="298"/>
    </row>
    <row r="719" customHeight="1" spans="3:6">
      <c r="C719" s="360"/>
      <c r="D719" s="360"/>
      <c r="E719" s="360"/>
      <c r="F719" s="298"/>
    </row>
    <row r="720" customHeight="1" spans="3:6">
      <c r="C720" s="360"/>
      <c r="D720" s="360"/>
      <c r="E720" s="360"/>
      <c r="F720" s="298"/>
    </row>
    <row r="721" customHeight="1" spans="3:6">
      <c r="C721" s="360"/>
      <c r="D721" s="360"/>
      <c r="E721" s="360"/>
      <c r="F721" s="298"/>
    </row>
    <row r="722" customHeight="1" spans="3:6">
      <c r="C722" s="360"/>
      <c r="D722" s="360"/>
      <c r="E722" s="360"/>
      <c r="F722" s="298"/>
    </row>
    <row r="723" customHeight="1" spans="3:6">
      <c r="C723" s="360"/>
      <c r="D723" s="360"/>
      <c r="E723" s="360"/>
      <c r="F723" s="298"/>
    </row>
    <row r="724" customHeight="1" spans="3:6">
      <c r="C724" s="360"/>
      <c r="D724" s="360"/>
      <c r="E724" s="360"/>
      <c r="F724" s="298"/>
    </row>
    <row r="725" customHeight="1" spans="3:6">
      <c r="C725" s="360"/>
      <c r="D725" s="360"/>
      <c r="E725" s="360"/>
      <c r="F725" s="298"/>
    </row>
    <row r="726" customHeight="1" spans="3:6">
      <c r="C726" s="360"/>
      <c r="D726" s="360"/>
      <c r="E726" s="360"/>
      <c r="F726" s="298"/>
    </row>
    <row r="727" customHeight="1" spans="3:6">
      <c r="C727" s="360"/>
      <c r="D727" s="360"/>
      <c r="E727" s="360"/>
      <c r="F727" s="298"/>
    </row>
    <row r="728" customHeight="1" spans="3:6">
      <c r="C728" s="360"/>
      <c r="D728" s="360"/>
      <c r="E728" s="360"/>
      <c r="F728" s="298"/>
    </row>
    <row r="729" customHeight="1" spans="3:6">
      <c r="C729" s="360"/>
      <c r="D729" s="360"/>
      <c r="E729" s="360"/>
      <c r="F729" s="298"/>
    </row>
    <row r="730" customHeight="1" spans="3:6">
      <c r="C730" s="360"/>
      <c r="D730" s="360"/>
      <c r="E730" s="360"/>
      <c r="F730" s="298"/>
    </row>
    <row r="731" customHeight="1" spans="3:6">
      <c r="C731" s="360"/>
      <c r="D731" s="360"/>
      <c r="E731" s="360"/>
      <c r="F731" s="298"/>
    </row>
    <row r="732" customHeight="1" spans="3:6">
      <c r="C732" s="360"/>
      <c r="D732" s="360"/>
      <c r="E732" s="360"/>
      <c r="F732" s="298"/>
    </row>
    <row r="733" customHeight="1" spans="3:6">
      <c r="C733" s="360"/>
      <c r="D733" s="360"/>
      <c r="E733" s="360"/>
      <c r="F733" s="298"/>
    </row>
    <row r="734" customHeight="1" spans="3:6">
      <c r="C734" s="360"/>
      <c r="D734" s="360"/>
      <c r="E734" s="360"/>
      <c r="F734" s="298"/>
    </row>
    <row r="735" customHeight="1" spans="3:6">
      <c r="C735" s="360"/>
      <c r="D735" s="360"/>
      <c r="E735" s="360"/>
      <c r="F735" s="298"/>
    </row>
    <row r="736" customHeight="1" spans="3:6">
      <c r="C736" s="360"/>
      <c r="D736" s="360"/>
      <c r="E736" s="360"/>
      <c r="F736" s="298"/>
    </row>
    <row r="737" customHeight="1" spans="3:6">
      <c r="C737" s="360"/>
      <c r="D737" s="360"/>
      <c r="E737" s="360"/>
      <c r="F737" s="298"/>
    </row>
    <row r="738" customHeight="1" spans="3:6">
      <c r="C738" s="360"/>
      <c r="D738" s="360"/>
      <c r="E738" s="360"/>
      <c r="F738" s="298"/>
    </row>
    <row r="739" customHeight="1" spans="3:6">
      <c r="C739" s="360"/>
      <c r="D739" s="360"/>
      <c r="E739" s="360"/>
      <c r="F739" s="298"/>
    </row>
    <row r="740" customHeight="1" spans="3:6">
      <c r="C740" s="360"/>
      <c r="D740" s="360"/>
      <c r="E740" s="360"/>
      <c r="F740" s="298"/>
    </row>
    <row r="741" customHeight="1" spans="3:6">
      <c r="C741" s="360"/>
      <c r="D741" s="360"/>
      <c r="E741" s="360"/>
      <c r="F741" s="298"/>
    </row>
    <row r="742" customHeight="1" spans="3:6">
      <c r="C742" s="360"/>
      <c r="D742" s="360"/>
      <c r="E742" s="360"/>
      <c r="F742" s="298"/>
    </row>
    <row r="743" customHeight="1" spans="3:6">
      <c r="C743" s="360"/>
      <c r="D743" s="360"/>
      <c r="E743" s="360"/>
      <c r="F743" s="298"/>
    </row>
    <row r="744" customHeight="1" spans="3:6">
      <c r="C744" s="360"/>
      <c r="D744" s="360"/>
      <c r="E744" s="360"/>
      <c r="F744" s="298"/>
    </row>
    <row r="745" customHeight="1" spans="3:6">
      <c r="C745" s="360"/>
      <c r="D745" s="360"/>
      <c r="E745" s="360"/>
      <c r="F745" s="298"/>
    </row>
    <row r="746" customHeight="1" spans="3:6">
      <c r="C746" s="360"/>
      <c r="D746" s="360"/>
      <c r="E746" s="360"/>
      <c r="F746" s="298"/>
    </row>
    <row r="747" customHeight="1" spans="3:6">
      <c r="C747" s="360"/>
      <c r="D747" s="360"/>
      <c r="E747" s="360"/>
      <c r="F747" s="298"/>
    </row>
    <row r="748" customHeight="1" spans="3:6">
      <c r="C748" s="360"/>
      <c r="D748" s="360"/>
      <c r="E748" s="360"/>
      <c r="F748" s="298"/>
    </row>
    <row r="749" customHeight="1" spans="3:6">
      <c r="C749" s="360"/>
      <c r="D749" s="360"/>
      <c r="E749" s="360"/>
      <c r="F749" s="298"/>
    </row>
    <row r="750" customHeight="1" spans="3:6">
      <c r="C750" s="360"/>
      <c r="D750" s="360"/>
      <c r="E750" s="360"/>
      <c r="F750" s="298"/>
    </row>
    <row r="751" customHeight="1" spans="3:6">
      <c r="C751" s="360"/>
      <c r="D751" s="360"/>
      <c r="E751" s="360"/>
      <c r="F751" s="298"/>
    </row>
    <row r="752" customHeight="1" spans="3:6">
      <c r="C752" s="360"/>
      <c r="D752" s="360"/>
      <c r="E752" s="360"/>
      <c r="F752" s="298"/>
    </row>
    <row r="753" customHeight="1" spans="3:6">
      <c r="C753" s="360"/>
      <c r="D753" s="360"/>
      <c r="E753" s="360"/>
      <c r="F753" s="298"/>
    </row>
    <row r="754" customHeight="1" spans="3:6">
      <c r="C754" s="360"/>
      <c r="D754" s="360"/>
      <c r="E754" s="360"/>
      <c r="F754" s="298"/>
    </row>
    <row r="755" customHeight="1" spans="3:6">
      <c r="C755" s="360"/>
      <c r="D755" s="360"/>
      <c r="E755" s="360"/>
      <c r="F755" s="298"/>
    </row>
    <row r="756" customHeight="1" spans="3:6">
      <c r="C756" s="360"/>
      <c r="D756" s="360"/>
      <c r="E756" s="360"/>
      <c r="F756" s="298"/>
    </row>
    <row r="757" customHeight="1" spans="3:6">
      <c r="C757" s="360"/>
      <c r="D757" s="360"/>
      <c r="E757" s="360"/>
      <c r="F757" s="298"/>
    </row>
    <row r="758" customHeight="1" spans="3:6">
      <c r="C758" s="360"/>
      <c r="D758" s="360"/>
      <c r="E758" s="360"/>
      <c r="F758" s="298"/>
    </row>
    <row r="759" customHeight="1" spans="3:6">
      <c r="C759" s="360"/>
      <c r="D759" s="360"/>
      <c r="E759" s="360"/>
      <c r="F759" s="298"/>
    </row>
    <row r="760" customHeight="1" spans="3:6">
      <c r="C760" s="360"/>
      <c r="D760" s="360"/>
      <c r="E760" s="360"/>
      <c r="F760" s="298"/>
    </row>
    <row r="761" customHeight="1" spans="3:6">
      <c r="C761" s="360"/>
      <c r="D761" s="360"/>
      <c r="E761" s="360"/>
      <c r="F761" s="298"/>
    </row>
    <row r="762" customHeight="1" spans="3:6">
      <c r="C762" s="360"/>
      <c r="D762" s="360"/>
      <c r="E762" s="360"/>
      <c r="F762" s="298"/>
    </row>
    <row r="763" customHeight="1" spans="3:6">
      <c r="C763" s="360"/>
      <c r="D763" s="360"/>
      <c r="E763" s="360"/>
      <c r="F763" s="298"/>
    </row>
    <row r="764" customHeight="1" spans="3:6">
      <c r="C764" s="360"/>
      <c r="D764" s="360"/>
      <c r="E764" s="360"/>
      <c r="F764" s="298"/>
    </row>
    <row r="765" customHeight="1" spans="3:6">
      <c r="C765" s="360"/>
      <c r="D765" s="360"/>
      <c r="E765" s="360"/>
      <c r="F765" s="298"/>
    </row>
    <row r="766" customHeight="1" spans="3:6">
      <c r="C766" s="360"/>
      <c r="D766" s="360"/>
      <c r="E766" s="360"/>
      <c r="F766" s="298"/>
    </row>
    <row r="767" customHeight="1" spans="3:6">
      <c r="C767" s="360"/>
      <c r="D767" s="360"/>
      <c r="E767" s="360"/>
      <c r="F767" s="298"/>
    </row>
    <row r="768" customHeight="1" spans="3:6">
      <c r="C768" s="360"/>
      <c r="D768" s="360"/>
      <c r="E768" s="360"/>
      <c r="F768" s="298"/>
    </row>
    <row r="769" customHeight="1" spans="3:6">
      <c r="C769" s="360"/>
      <c r="D769" s="360"/>
      <c r="E769" s="360"/>
      <c r="F769" s="298"/>
    </row>
    <row r="770" customHeight="1" spans="3:6">
      <c r="C770" s="360"/>
      <c r="D770" s="360"/>
      <c r="E770" s="360"/>
      <c r="F770" s="298"/>
    </row>
    <row r="771" customHeight="1" spans="3:6">
      <c r="C771" s="360"/>
      <c r="D771" s="360"/>
      <c r="E771" s="360"/>
      <c r="F771" s="298"/>
    </row>
    <row r="772" customHeight="1" spans="3:6">
      <c r="C772" s="360"/>
      <c r="D772" s="360"/>
      <c r="E772" s="360"/>
      <c r="F772" s="298"/>
    </row>
    <row r="773" customHeight="1" spans="3:6">
      <c r="C773" s="360"/>
      <c r="D773" s="360"/>
      <c r="E773" s="360"/>
      <c r="F773" s="298"/>
    </row>
    <row r="774" customHeight="1" spans="3:6">
      <c r="C774" s="360"/>
      <c r="D774" s="360"/>
      <c r="E774" s="360"/>
      <c r="F774" s="298"/>
    </row>
    <row r="775" customHeight="1" spans="3:6">
      <c r="C775" s="360"/>
      <c r="D775" s="360"/>
      <c r="E775" s="360"/>
      <c r="F775" s="298"/>
    </row>
    <row r="776" customHeight="1" spans="3:6">
      <c r="C776" s="360"/>
      <c r="D776" s="360"/>
      <c r="E776" s="360"/>
      <c r="F776" s="298"/>
    </row>
    <row r="777" customHeight="1" spans="3:6">
      <c r="C777" s="360"/>
      <c r="D777" s="360"/>
      <c r="E777" s="360"/>
      <c r="F777" s="298"/>
    </row>
    <row r="778" customHeight="1" spans="3:6">
      <c r="C778" s="360"/>
      <c r="D778" s="360"/>
      <c r="E778" s="360"/>
      <c r="F778" s="298"/>
    </row>
    <row r="779" customHeight="1" spans="3:6">
      <c r="C779" s="360"/>
      <c r="D779" s="360"/>
      <c r="E779" s="360"/>
      <c r="F779" s="298"/>
    </row>
    <row r="780" customHeight="1" spans="3:6">
      <c r="C780" s="360"/>
      <c r="D780" s="360"/>
      <c r="E780" s="360"/>
      <c r="F780" s="298"/>
    </row>
    <row r="781" customHeight="1" spans="3:6">
      <c r="C781" s="360"/>
      <c r="D781" s="360"/>
      <c r="E781" s="360"/>
      <c r="F781" s="298"/>
    </row>
    <row r="782" customHeight="1" spans="3:6">
      <c r="C782" s="360"/>
      <c r="D782" s="360"/>
      <c r="E782" s="360"/>
      <c r="F782" s="298"/>
    </row>
    <row r="783" customHeight="1" spans="3:6">
      <c r="C783" s="360"/>
      <c r="D783" s="360"/>
      <c r="E783" s="360"/>
      <c r="F783" s="298"/>
    </row>
    <row r="784" customHeight="1" spans="3:6">
      <c r="C784" s="360"/>
      <c r="D784" s="360"/>
      <c r="E784" s="360"/>
      <c r="F784" s="298"/>
    </row>
    <row r="785" customHeight="1" spans="3:6">
      <c r="C785" s="360"/>
      <c r="D785" s="360"/>
      <c r="E785" s="360"/>
      <c r="F785" s="298"/>
    </row>
    <row r="786" customHeight="1" spans="3:6">
      <c r="C786" s="360"/>
      <c r="D786" s="360"/>
      <c r="E786" s="360"/>
      <c r="F786" s="298"/>
    </row>
    <row r="787" customHeight="1" spans="3:6">
      <c r="C787" s="360"/>
      <c r="D787" s="360"/>
      <c r="E787" s="360"/>
      <c r="F787" s="298"/>
    </row>
    <row r="788" customHeight="1" spans="3:6">
      <c r="C788" s="360"/>
      <c r="D788" s="360"/>
      <c r="E788" s="360"/>
      <c r="F788" s="298"/>
    </row>
    <row r="789" customHeight="1" spans="3:6">
      <c r="C789" s="360"/>
      <c r="D789" s="360"/>
      <c r="E789" s="360"/>
      <c r="F789" s="298"/>
    </row>
    <row r="790" customHeight="1" spans="3:6">
      <c r="C790" s="360"/>
      <c r="D790" s="360"/>
      <c r="E790" s="360"/>
      <c r="F790" s="298"/>
    </row>
    <row r="791" customHeight="1" spans="3:6">
      <c r="C791" s="360"/>
      <c r="D791" s="360"/>
      <c r="E791" s="360"/>
      <c r="F791" s="298"/>
    </row>
    <row r="792" customHeight="1" spans="3:6">
      <c r="C792" s="360"/>
      <c r="D792" s="360"/>
      <c r="E792" s="360"/>
      <c r="F792" s="298"/>
    </row>
    <row r="793" customHeight="1" spans="3:6">
      <c r="C793" s="360"/>
      <c r="D793" s="360"/>
      <c r="E793" s="360"/>
      <c r="F793" s="298"/>
    </row>
    <row r="794" customHeight="1" spans="3:6">
      <c r="C794" s="360"/>
      <c r="D794" s="360"/>
      <c r="E794" s="360"/>
      <c r="F794" s="298"/>
    </row>
    <row r="795" customHeight="1" spans="3:6">
      <c r="C795" s="360"/>
      <c r="D795" s="360"/>
      <c r="E795" s="360"/>
      <c r="F795" s="298"/>
    </row>
    <row r="796" customHeight="1" spans="3:6">
      <c r="C796" s="360"/>
      <c r="D796" s="360"/>
      <c r="E796" s="360"/>
      <c r="F796" s="298"/>
    </row>
    <row r="797" customHeight="1" spans="3:6">
      <c r="C797" s="360"/>
      <c r="D797" s="360"/>
      <c r="E797" s="360"/>
      <c r="F797" s="298"/>
    </row>
    <row r="798" customHeight="1" spans="3:6">
      <c r="C798" s="360"/>
      <c r="D798" s="360"/>
      <c r="E798" s="360"/>
      <c r="F798" s="298"/>
    </row>
    <row r="799" customHeight="1" spans="3:6">
      <c r="C799" s="360"/>
      <c r="D799" s="360"/>
      <c r="E799" s="360"/>
      <c r="F799" s="298"/>
    </row>
    <row r="800" customHeight="1" spans="3:6">
      <c r="C800" s="360"/>
      <c r="D800" s="360"/>
      <c r="E800" s="360"/>
      <c r="F800" s="298"/>
    </row>
    <row r="801" customHeight="1" spans="3:6">
      <c r="C801" s="360"/>
      <c r="D801" s="360"/>
      <c r="E801" s="360"/>
      <c r="F801" s="298"/>
    </row>
    <row r="802" customHeight="1" spans="3:6">
      <c r="C802" s="360"/>
      <c r="D802" s="360"/>
      <c r="E802" s="360"/>
      <c r="F802" s="298"/>
    </row>
    <row r="803" customHeight="1" spans="3:6">
      <c r="C803" s="360"/>
      <c r="D803" s="360"/>
      <c r="E803" s="360"/>
      <c r="F803" s="298"/>
    </row>
    <row r="804" customHeight="1" spans="3:6">
      <c r="C804" s="360"/>
      <c r="D804" s="360"/>
      <c r="E804" s="360"/>
      <c r="F804" s="298"/>
    </row>
    <row r="805" customHeight="1" spans="3:6">
      <c r="C805" s="360"/>
      <c r="D805" s="360"/>
      <c r="E805" s="360"/>
      <c r="F805" s="298"/>
    </row>
    <row r="806" customHeight="1" spans="3:6">
      <c r="C806" s="360"/>
      <c r="D806" s="360"/>
      <c r="E806" s="360"/>
      <c r="F806" s="298"/>
    </row>
    <row r="807" customHeight="1" spans="3:6">
      <c r="C807" s="360"/>
      <c r="D807" s="360"/>
      <c r="E807" s="360"/>
      <c r="F807" s="298"/>
    </row>
    <row r="808" customHeight="1" spans="3:6">
      <c r="C808" s="360"/>
      <c r="D808" s="360"/>
      <c r="E808" s="360"/>
      <c r="F808" s="298"/>
    </row>
    <row r="809" customHeight="1" spans="3:6">
      <c r="C809" s="360"/>
      <c r="D809" s="360"/>
      <c r="E809" s="360"/>
      <c r="F809" s="298"/>
    </row>
    <row r="810" customHeight="1" spans="3:6">
      <c r="C810" s="360"/>
      <c r="D810" s="360"/>
      <c r="E810" s="360"/>
      <c r="F810" s="298"/>
    </row>
    <row r="811" customHeight="1" spans="3:6">
      <c r="C811" s="360"/>
      <c r="D811" s="360"/>
      <c r="E811" s="360"/>
      <c r="F811" s="298"/>
    </row>
    <row r="812" customHeight="1" spans="3:6">
      <c r="C812" s="360"/>
      <c r="D812" s="360"/>
      <c r="E812" s="360"/>
      <c r="F812" s="298"/>
    </row>
    <row r="813" customHeight="1" spans="3:6">
      <c r="C813" s="360"/>
      <c r="D813" s="360"/>
      <c r="E813" s="360"/>
      <c r="F813" s="298"/>
    </row>
    <row r="814" customHeight="1" spans="3:6">
      <c r="C814" s="360"/>
      <c r="D814" s="360"/>
      <c r="E814" s="360"/>
      <c r="F814" s="298"/>
    </row>
    <row r="815" customHeight="1" spans="3:6">
      <c r="C815" s="360"/>
      <c r="D815" s="360"/>
      <c r="E815" s="360"/>
      <c r="F815" s="298"/>
    </row>
    <row r="816" customHeight="1" spans="3:6">
      <c r="C816" s="360"/>
      <c r="D816" s="360"/>
      <c r="E816" s="360"/>
      <c r="F816" s="298"/>
    </row>
    <row r="817" customHeight="1" spans="3:6">
      <c r="C817" s="360"/>
      <c r="D817" s="360"/>
      <c r="E817" s="360"/>
      <c r="F817" s="298"/>
    </row>
    <row r="818" customHeight="1" spans="3:6">
      <c r="C818" s="360"/>
      <c r="D818" s="360"/>
      <c r="E818" s="360"/>
      <c r="F818" s="298"/>
    </row>
    <row r="819" customHeight="1" spans="3:6">
      <c r="C819" s="360"/>
      <c r="D819" s="360"/>
      <c r="E819" s="360"/>
      <c r="F819" s="298"/>
    </row>
    <row r="820" customHeight="1" spans="3:6">
      <c r="C820" s="360"/>
      <c r="D820" s="360"/>
      <c r="E820" s="360"/>
      <c r="F820" s="298"/>
    </row>
    <row r="821" customHeight="1" spans="3:6">
      <c r="C821" s="360"/>
      <c r="D821" s="360"/>
      <c r="E821" s="360"/>
      <c r="F821" s="298"/>
    </row>
    <row r="822" customHeight="1" spans="3:6">
      <c r="C822" s="360"/>
      <c r="D822" s="360"/>
      <c r="E822" s="360"/>
      <c r="F822" s="298"/>
    </row>
    <row r="823" customHeight="1" spans="3:6">
      <c r="C823" s="360"/>
      <c r="D823" s="360"/>
      <c r="E823" s="360"/>
      <c r="F823" s="298"/>
    </row>
    <row r="824" customHeight="1" spans="3:6">
      <c r="C824" s="360"/>
      <c r="D824" s="360"/>
      <c r="E824" s="360"/>
      <c r="F824" s="298"/>
    </row>
    <row r="825" customHeight="1" spans="3:6">
      <c r="C825" s="360"/>
      <c r="D825" s="360"/>
      <c r="E825" s="360"/>
      <c r="F825" s="298"/>
    </row>
    <row r="826" customHeight="1" spans="3:6">
      <c r="C826" s="360"/>
      <c r="D826" s="360"/>
      <c r="E826" s="360"/>
      <c r="F826" s="298"/>
    </row>
    <row r="827" customHeight="1" spans="3:6">
      <c r="C827" s="360"/>
      <c r="D827" s="360"/>
      <c r="E827" s="360"/>
      <c r="F827" s="298"/>
    </row>
    <row r="828" customHeight="1" spans="3:6">
      <c r="C828" s="360"/>
      <c r="D828" s="360"/>
      <c r="E828" s="360"/>
      <c r="F828" s="298"/>
    </row>
    <row r="829" customHeight="1" spans="3:6">
      <c r="C829" s="360"/>
      <c r="D829" s="360"/>
      <c r="E829" s="360"/>
      <c r="F829" s="298"/>
    </row>
    <row r="830" customHeight="1" spans="3:6">
      <c r="C830" s="360"/>
      <c r="D830" s="360"/>
      <c r="E830" s="360"/>
      <c r="F830" s="298"/>
    </row>
    <row r="831" customHeight="1" spans="3:6">
      <c r="C831" s="360"/>
      <c r="D831" s="360"/>
      <c r="E831" s="360"/>
      <c r="F831" s="298"/>
    </row>
    <row r="832" customHeight="1" spans="3:6">
      <c r="C832" s="360"/>
      <c r="D832" s="360"/>
      <c r="E832" s="360"/>
      <c r="F832" s="298"/>
    </row>
    <row r="833" customHeight="1" spans="3:6">
      <c r="C833" s="360"/>
      <c r="D833" s="360"/>
      <c r="E833" s="360"/>
      <c r="F833" s="298"/>
    </row>
    <row r="834" customHeight="1" spans="3:6">
      <c r="C834" s="360"/>
      <c r="D834" s="360"/>
      <c r="E834" s="360"/>
      <c r="F834" s="298"/>
    </row>
    <row r="835" customHeight="1" spans="3:6">
      <c r="C835" s="360"/>
      <c r="D835" s="360"/>
      <c r="E835" s="360"/>
      <c r="F835" s="298"/>
    </row>
    <row r="836" customHeight="1" spans="3:6">
      <c r="C836" s="360"/>
      <c r="D836" s="360"/>
      <c r="E836" s="360"/>
      <c r="F836" s="298"/>
    </row>
    <row r="837" customHeight="1" spans="3:6">
      <c r="C837" s="360"/>
      <c r="D837" s="360"/>
      <c r="E837" s="360"/>
      <c r="F837" s="298"/>
    </row>
    <row r="838" customHeight="1" spans="3:6">
      <c r="C838" s="360"/>
      <c r="D838" s="360"/>
      <c r="E838" s="360"/>
      <c r="F838" s="298"/>
    </row>
    <row r="839" customHeight="1" spans="3:6">
      <c r="C839" s="360"/>
      <c r="D839" s="360"/>
      <c r="E839" s="360"/>
      <c r="F839" s="298"/>
    </row>
    <row r="840" customHeight="1" spans="3:6">
      <c r="C840" s="360"/>
      <c r="D840" s="360"/>
      <c r="E840" s="360"/>
      <c r="F840" s="298"/>
    </row>
    <row r="841" customHeight="1" spans="3:6">
      <c r="C841" s="360"/>
      <c r="D841" s="360"/>
      <c r="E841" s="360"/>
      <c r="F841" s="298"/>
    </row>
    <row r="842" customHeight="1" spans="3:6">
      <c r="C842" s="360"/>
      <c r="D842" s="360"/>
      <c r="E842" s="360"/>
      <c r="F842" s="298"/>
    </row>
    <row r="843" customHeight="1" spans="3:6">
      <c r="C843" s="360"/>
      <c r="D843" s="360"/>
      <c r="E843" s="360"/>
      <c r="F843" s="298"/>
    </row>
    <row r="844" customHeight="1" spans="3:6">
      <c r="C844" s="360"/>
      <c r="D844" s="360"/>
      <c r="E844" s="360"/>
      <c r="F844" s="298"/>
    </row>
    <row r="845" customHeight="1" spans="3:6">
      <c r="C845" s="360"/>
      <c r="D845" s="360"/>
      <c r="E845" s="360"/>
      <c r="F845" s="298"/>
    </row>
    <row r="846" customHeight="1" spans="3:6">
      <c r="C846" s="360"/>
      <c r="D846" s="360"/>
      <c r="E846" s="360"/>
      <c r="F846" s="298"/>
    </row>
    <row r="847" customHeight="1" spans="3:6">
      <c r="C847" s="360"/>
      <c r="D847" s="360"/>
      <c r="E847" s="360"/>
      <c r="F847" s="298"/>
    </row>
    <row r="848" customHeight="1" spans="3:6">
      <c r="C848" s="360"/>
      <c r="D848" s="360"/>
      <c r="E848" s="360"/>
      <c r="F848" s="298"/>
    </row>
    <row r="849" customHeight="1" spans="3:6">
      <c r="C849" s="360"/>
      <c r="D849" s="360"/>
      <c r="E849" s="360"/>
      <c r="F849" s="298"/>
    </row>
    <row r="850" customHeight="1" spans="3:6">
      <c r="C850" s="360"/>
      <c r="D850" s="360"/>
      <c r="E850" s="360"/>
      <c r="F850" s="298"/>
    </row>
    <row r="851" customHeight="1" spans="3:6">
      <c r="C851" s="360"/>
      <c r="D851" s="360"/>
      <c r="E851" s="360"/>
      <c r="F851" s="298"/>
    </row>
    <row r="852" customHeight="1" spans="3:6">
      <c r="C852" s="360"/>
      <c r="D852" s="360"/>
      <c r="E852" s="360"/>
      <c r="F852" s="298"/>
    </row>
    <row r="853" customHeight="1" spans="3:6">
      <c r="C853" s="360"/>
      <c r="D853" s="360"/>
      <c r="E853" s="360"/>
      <c r="F853" s="298"/>
    </row>
    <row r="854" customHeight="1" spans="3:6">
      <c r="C854" s="360"/>
      <c r="D854" s="360"/>
      <c r="E854" s="360"/>
      <c r="F854" s="298"/>
    </row>
    <row r="855" customHeight="1" spans="3:6">
      <c r="C855" s="360"/>
      <c r="D855" s="360"/>
      <c r="E855" s="360"/>
      <c r="F855" s="298"/>
    </row>
    <row r="856" customHeight="1" spans="3:6">
      <c r="C856" s="360"/>
      <c r="D856" s="360"/>
      <c r="E856" s="360"/>
      <c r="F856" s="298"/>
    </row>
    <row r="857" customHeight="1" spans="3:6">
      <c r="C857" s="360"/>
      <c r="D857" s="360"/>
      <c r="E857" s="360"/>
      <c r="F857" s="298"/>
    </row>
    <row r="858" customHeight="1" spans="3:6">
      <c r="C858" s="360"/>
      <c r="D858" s="360"/>
      <c r="E858" s="360"/>
      <c r="F858" s="298"/>
    </row>
    <row r="859" customHeight="1" spans="3:6">
      <c r="C859" s="360"/>
      <c r="D859" s="360"/>
      <c r="E859" s="360"/>
      <c r="F859" s="298"/>
    </row>
    <row r="860" customHeight="1" spans="3:6">
      <c r="C860" s="360"/>
      <c r="D860" s="360"/>
      <c r="E860" s="360"/>
      <c r="F860" s="298"/>
    </row>
    <row r="861" customHeight="1" spans="3:6">
      <c r="C861" s="360"/>
      <c r="D861" s="360"/>
      <c r="E861" s="360"/>
      <c r="F861" s="298"/>
    </row>
    <row r="862" customHeight="1" spans="3:6">
      <c r="C862" s="360"/>
      <c r="D862" s="360"/>
      <c r="E862" s="360"/>
      <c r="F862" s="298"/>
    </row>
    <row r="863" customHeight="1" spans="3:6">
      <c r="C863" s="360"/>
      <c r="D863" s="360"/>
      <c r="E863" s="360"/>
      <c r="F863" s="298"/>
    </row>
    <row r="864" customHeight="1" spans="3:6">
      <c r="C864" s="360"/>
      <c r="D864" s="360"/>
      <c r="E864" s="360"/>
      <c r="F864" s="298"/>
    </row>
    <row r="865" customHeight="1" spans="3:6">
      <c r="C865" s="360"/>
      <c r="D865" s="360"/>
      <c r="E865" s="360"/>
      <c r="F865" s="298"/>
    </row>
    <row r="866" customHeight="1" spans="3:6">
      <c r="C866" s="360"/>
      <c r="D866" s="360"/>
      <c r="E866" s="360"/>
      <c r="F866" s="298"/>
    </row>
    <row r="867" customHeight="1" spans="3:6">
      <c r="C867" s="360"/>
      <c r="D867" s="360"/>
      <c r="E867" s="360"/>
      <c r="F867" s="298"/>
    </row>
    <row r="868" customHeight="1" spans="3:6">
      <c r="C868" s="360"/>
      <c r="D868" s="360"/>
      <c r="E868" s="360"/>
      <c r="F868" s="298"/>
    </row>
    <row r="869" customHeight="1" spans="3:6">
      <c r="C869" s="360"/>
      <c r="D869" s="360"/>
      <c r="E869" s="360"/>
      <c r="F869" s="298"/>
    </row>
    <row r="870" customHeight="1" spans="3:6">
      <c r="C870" s="360"/>
      <c r="D870" s="360"/>
      <c r="E870" s="360"/>
      <c r="F870" s="298"/>
    </row>
    <row r="871" customHeight="1" spans="3:6">
      <c r="C871" s="360"/>
      <c r="D871" s="360"/>
      <c r="E871" s="360"/>
      <c r="F871" s="298"/>
    </row>
    <row r="872" customHeight="1" spans="3:6">
      <c r="C872" s="360"/>
      <c r="D872" s="360"/>
      <c r="E872" s="360"/>
      <c r="F872" s="298"/>
    </row>
    <row r="873" customHeight="1" spans="3:6">
      <c r="C873" s="360"/>
      <c r="D873" s="360"/>
      <c r="E873" s="360"/>
      <c r="F873" s="298"/>
    </row>
    <row r="874" customHeight="1" spans="3:6">
      <c r="C874" s="360"/>
      <c r="D874" s="360"/>
      <c r="E874" s="360"/>
      <c r="F874" s="298"/>
    </row>
    <row r="875" customHeight="1" spans="3:6">
      <c r="C875" s="360"/>
      <c r="D875" s="360"/>
      <c r="E875" s="360"/>
      <c r="F875" s="298"/>
    </row>
    <row r="876" customHeight="1" spans="3:6">
      <c r="C876" s="360"/>
      <c r="D876" s="360"/>
      <c r="E876" s="360"/>
      <c r="F876" s="298"/>
    </row>
    <row r="877" customHeight="1" spans="3:6">
      <c r="C877" s="360"/>
      <c r="D877" s="360"/>
      <c r="E877" s="360"/>
      <c r="F877" s="298"/>
    </row>
    <row r="878" customHeight="1" spans="3:6">
      <c r="C878" s="360"/>
      <c r="D878" s="360"/>
      <c r="E878" s="360"/>
      <c r="F878" s="298"/>
    </row>
    <row r="879" customHeight="1" spans="3:6">
      <c r="C879" s="360"/>
      <c r="D879" s="360"/>
      <c r="E879" s="360"/>
      <c r="F879" s="298"/>
    </row>
    <row r="880" customHeight="1" spans="3:6">
      <c r="C880" s="360"/>
      <c r="D880" s="360"/>
      <c r="E880" s="360"/>
      <c r="F880" s="298"/>
    </row>
    <row r="881" customHeight="1" spans="3:6">
      <c r="C881" s="360"/>
      <c r="D881" s="360"/>
      <c r="E881" s="360"/>
      <c r="F881" s="298"/>
    </row>
    <row r="882" customHeight="1" spans="3:6">
      <c r="C882" s="360"/>
      <c r="D882" s="360"/>
      <c r="E882" s="360"/>
      <c r="F882" s="298"/>
    </row>
    <row r="883" customHeight="1" spans="3:6">
      <c r="C883" s="360"/>
      <c r="D883" s="360"/>
      <c r="E883" s="360"/>
      <c r="F883" s="298"/>
    </row>
    <row r="884" customHeight="1" spans="3:6">
      <c r="C884" s="360"/>
      <c r="D884" s="360"/>
      <c r="E884" s="360"/>
      <c r="F884" s="298"/>
    </row>
    <row r="885" customHeight="1" spans="3:6">
      <c r="C885" s="360"/>
      <c r="D885" s="360"/>
      <c r="E885" s="360"/>
      <c r="F885" s="298"/>
    </row>
    <row r="886" customHeight="1" spans="3:6">
      <c r="C886" s="360"/>
      <c r="D886" s="360"/>
      <c r="E886" s="360"/>
      <c r="F886" s="298"/>
    </row>
    <row r="887" customHeight="1" spans="3:6">
      <c r="C887" s="360"/>
      <c r="D887" s="360"/>
      <c r="E887" s="360"/>
      <c r="F887" s="298"/>
    </row>
    <row r="888" customHeight="1" spans="3:6">
      <c r="C888" s="360"/>
      <c r="D888" s="360"/>
      <c r="E888" s="360"/>
      <c r="F888" s="298"/>
    </row>
    <row r="889" customHeight="1" spans="3:6">
      <c r="C889" s="360"/>
      <c r="D889" s="360"/>
      <c r="E889" s="360"/>
      <c r="F889" s="298"/>
    </row>
    <row r="890" customHeight="1" spans="3:6">
      <c r="C890" s="360"/>
      <c r="D890" s="360"/>
      <c r="E890" s="360"/>
      <c r="F890" s="298"/>
    </row>
    <row r="891" customHeight="1" spans="3:6">
      <c r="C891" s="360"/>
      <c r="D891" s="360"/>
      <c r="E891" s="360"/>
      <c r="F891" s="298"/>
    </row>
    <row r="892" customHeight="1" spans="3:6">
      <c r="C892" s="360"/>
      <c r="D892" s="360"/>
      <c r="E892" s="360"/>
      <c r="F892" s="298"/>
    </row>
    <row r="893" customHeight="1" spans="3:6">
      <c r="C893" s="360"/>
      <c r="D893" s="360"/>
      <c r="E893" s="360"/>
      <c r="F893" s="298"/>
    </row>
    <row r="894" customHeight="1" spans="3:6">
      <c r="C894" s="360"/>
      <c r="D894" s="360"/>
      <c r="E894" s="360"/>
      <c r="F894" s="298"/>
    </row>
    <row r="895" customHeight="1" spans="3:6">
      <c r="C895" s="360"/>
      <c r="D895" s="360"/>
      <c r="E895" s="360"/>
      <c r="F895" s="298"/>
    </row>
    <row r="896" customHeight="1" spans="3:6">
      <c r="C896" s="360"/>
      <c r="D896" s="360"/>
      <c r="E896" s="360"/>
      <c r="F896" s="298"/>
    </row>
    <row r="897" customHeight="1" spans="3:6">
      <c r="C897" s="360"/>
      <c r="D897" s="360"/>
      <c r="E897" s="360"/>
      <c r="F897" s="298"/>
    </row>
    <row r="898" customHeight="1" spans="3:6">
      <c r="C898" s="360"/>
      <c r="D898" s="360"/>
      <c r="E898" s="360"/>
      <c r="F898" s="298"/>
    </row>
    <row r="899" customHeight="1" spans="3:6">
      <c r="C899" s="360"/>
      <c r="D899" s="360"/>
      <c r="E899" s="360"/>
      <c r="F899" s="298"/>
    </row>
    <row r="900" customHeight="1" spans="3:6">
      <c r="C900" s="360"/>
      <c r="D900" s="360"/>
      <c r="E900" s="360"/>
      <c r="F900" s="298"/>
    </row>
    <row r="901" customHeight="1" spans="3:6">
      <c r="C901" s="360"/>
      <c r="D901" s="360"/>
      <c r="E901" s="360"/>
      <c r="F901" s="298"/>
    </row>
    <row r="902" customHeight="1" spans="3:6">
      <c r="C902" s="360"/>
      <c r="D902" s="360"/>
      <c r="E902" s="360"/>
      <c r="F902" s="298"/>
    </row>
    <row r="903" customHeight="1" spans="3:6">
      <c r="C903" s="360"/>
      <c r="D903" s="360"/>
      <c r="E903" s="360"/>
      <c r="F903" s="298"/>
    </row>
    <row r="904" customHeight="1" spans="3:6">
      <c r="C904" s="360"/>
      <c r="D904" s="360"/>
      <c r="E904" s="360"/>
      <c r="F904" s="298"/>
    </row>
    <row r="905" customHeight="1" spans="3:6">
      <c r="C905" s="360"/>
      <c r="D905" s="360"/>
      <c r="E905" s="360"/>
      <c r="F905" s="298"/>
    </row>
    <row r="906" customHeight="1" spans="3:6">
      <c r="C906" s="360"/>
      <c r="D906" s="360"/>
      <c r="E906" s="360"/>
      <c r="F906" s="298"/>
    </row>
    <row r="907" customHeight="1" spans="3:6">
      <c r="C907" s="360"/>
      <c r="D907" s="360"/>
      <c r="E907" s="360"/>
      <c r="F907" s="298"/>
    </row>
    <row r="908" customHeight="1" spans="3:6">
      <c r="C908" s="360"/>
      <c r="D908" s="360"/>
      <c r="E908" s="360"/>
      <c r="F908" s="298"/>
    </row>
    <row r="909" customHeight="1" spans="3:6">
      <c r="C909" s="360"/>
      <c r="D909" s="360"/>
      <c r="E909" s="360"/>
      <c r="F909" s="298"/>
    </row>
    <row r="910" customHeight="1" spans="3:6">
      <c r="C910" s="360"/>
      <c r="D910" s="360"/>
      <c r="E910" s="360"/>
      <c r="F910" s="298"/>
    </row>
    <row r="911" customHeight="1" spans="3:6">
      <c r="C911" s="360"/>
      <c r="D911" s="360"/>
      <c r="E911" s="360"/>
      <c r="F911" s="298"/>
    </row>
    <row r="912" customHeight="1" spans="3:6">
      <c r="C912" s="360"/>
      <c r="D912" s="360"/>
      <c r="E912" s="360"/>
      <c r="F912" s="298"/>
    </row>
    <row r="913" customHeight="1" spans="3:6">
      <c r="C913" s="360"/>
      <c r="D913" s="360"/>
      <c r="E913" s="360"/>
      <c r="F913" s="298"/>
    </row>
    <row r="914" customHeight="1" spans="3:6">
      <c r="C914" s="360"/>
      <c r="D914" s="360"/>
      <c r="E914" s="360"/>
      <c r="F914" s="298"/>
    </row>
    <row r="915" customHeight="1" spans="3:6">
      <c r="C915" s="360"/>
      <c r="D915" s="360"/>
      <c r="E915" s="360"/>
      <c r="F915" s="298"/>
    </row>
    <row r="916" customHeight="1" spans="3:6">
      <c r="C916" s="360"/>
      <c r="D916" s="360"/>
      <c r="E916" s="360"/>
      <c r="F916" s="298"/>
    </row>
    <row r="917" customHeight="1" spans="3:6">
      <c r="C917" s="360"/>
      <c r="D917" s="360"/>
      <c r="E917" s="360"/>
      <c r="F917" s="298"/>
    </row>
    <row r="918" customHeight="1" spans="3:6">
      <c r="C918" s="360"/>
      <c r="D918" s="360"/>
      <c r="E918" s="360"/>
      <c r="F918" s="298"/>
    </row>
    <row r="919" customHeight="1" spans="3:6">
      <c r="C919" s="360"/>
      <c r="D919" s="360"/>
      <c r="E919" s="360"/>
      <c r="F919" s="298"/>
    </row>
    <row r="920" customHeight="1" spans="3:6">
      <c r="C920" s="360"/>
      <c r="D920" s="360"/>
      <c r="E920" s="360"/>
      <c r="F920" s="298"/>
    </row>
    <row r="921" customHeight="1" spans="3:6">
      <c r="C921" s="360"/>
      <c r="D921" s="360"/>
      <c r="E921" s="360"/>
      <c r="F921" s="298"/>
    </row>
    <row r="922" customHeight="1" spans="3:6">
      <c r="C922" s="360"/>
      <c r="D922" s="360"/>
      <c r="E922" s="360"/>
      <c r="F922" s="298"/>
    </row>
    <row r="923" customHeight="1" spans="3:6">
      <c r="C923" s="360"/>
      <c r="D923" s="360"/>
      <c r="E923" s="360"/>
      <c r="F923" s="298"/>
    </row>
    <row r="924" customHeight="1" spans="3:6">
      <c r="C924" s="360"/>
      <c r="D924" s="360"/>
      <c r="E924" s="360"/>
      <c r="F924" s="298"/>
    </row>
    <row r="925" customHeight="1" spans="3:6">
      <c r="C925" s="360"/>
      <c r="D925" s="360"/>
      <c r="E925" s="360"/>
      <c r="F925" s="298"/>
    </row>
    <row r="926" customHeight="1" spans="3:6">
      <c r="C926" s="360"/>
      <c r="D926" s="360"/>
      <c r="E926" s="360"/>
      <c r="F926" s="298"/>
    </row>
    <row r="927" customHeight="1" spans="3:6">
      <c r="C927" s="360"/>
      <c r="D927" s="360"/>
      <c r="E927" s="360"/>
      <c r="F927" s="298"/>
    </row>
    <row r="928" customHeight="1" spans="3:6">
      <c r="C928" s="360"/>
      <c r="D928" s="360"/>
      <c r="E928" s="360"/>
      <c r="F928" s="298"/>
    </row>
    <row r="929" customHeight="1" spans="3:6">
      <c r="C929" s="360"/>
      <c r="D929" s="360"/>
      <c r="E929" s="360"/>
      <c r="F929" s="298"/>
    </row>
    <row r="930" customHeight="1" spans="3:6">
      <c r="C930" s="360"/>
      <c r="D930" s="360"/>
      <c r="E930" s="360"/>
      <c r="F930" s="298"/>
    </row>
    <row r="931" customHeight="1" spans="3:6">
      <c r="C931" s="360"/>
      <c r="D931" s="360"/>
      <c r="E931" s="360"/>
      <c r="F931" s="298"/>
    </row>
    <row r="932" customHeight="1" spans="3:6">
      <c r="C932" s="360"/>
      <c r="D932" s="360"/>
      <c r="E932" s="360"/>
      <c r="F932" s="298"/>
    </row>
    <row r="933" customHeight="1" spans="3:6">
      <c r="C933" s="360"/>
      <c r="D933" s="360"/>
      <c r="E933" s="360"/>
      <c r="F933" s="298"/>
    </row>
    <row r="934" customHeight="1" spans="3:6">
      <c r="C934" s="360"/>
      <c r="D934" s="360"/>
      <c r="E934" s="360"/>
      <c r="F934" s="298"/>
    </row>
    <row r="935" customHeight="1" spans="3:6">
      <c r="C935" s="360"/>
      <c r="D935" s="360"/>
      <c r="E935" s="360"/>
      <c r="F935" s="298"/>
    </row>
    <row r="936" customHeight="1" spans="3:6">
      <c r="C936" s="360"/>
      <c r="D936" s="360"/>
      <c r="E936" s="360"/>
      <c r="F936" s="298"/>
    </row>
    <row r="937" customHeight="1" spans="3:6">
      <c r="C937" s="360"/>
      <c r="D937" s="360"/>
      <c r="E937" s="360"/>
      <c r="F937" s="298"/>
    </row>
    <row r="938" customHeight="1" spans="3:6">
      <c r="C938" s="360"/>
      <c r="D938" s="360"/>
      <c r="E938" s="360"/>
      <c r="F938" s="298"/>
    </row>
    <row r="939" customHeight="1" spans="3:6">
      <c r="C939" s="360"/>
      <c r="D939" s="360"/>
      <c r="E939" s="360"/>
      <c r="F939" s="298"/>
    </row>
    <row r="940" customHeight="1" spans="3:6">
      <c r="C940" s="360"/>
      <c r="D940" s="360"/>
      <c r="E940" s="360"/>
      <c r="F940" s="298"/>
    </row>
    <row r="941" customHeight="1" spans="3:6">
      <c r="C941" s="360"/>
      <c r="D941" s="360"/>
      <c r="E941" s="360"/>
      <c r="F941" s="298"/>
    </row>
    <row r="942" customHeight="1" spans="3:6">
      <c r="C942" s="360"/>
      <c r="D942" s="360"/>
      <c r="E942" s="360"/>
      <c r="F942" s="298"/>
    </row>
    <row r="943" customHeight="1" spans="3:6">
      <c r="C943" s="360"/>
      <c r="D943" s="360"/>
      <c r="E943" s="360"/>
      <c r="F943" s="298"/>
    </row>
    <row r="944" customHeight="1" spans="3:6">
      <c r="C944" s="360"/>
      <c r="D944" s="360"/>
      <c r="E944" s="360"/>
      <c r="F944" s="298"/>
    </row>
    <row r="945" customHeight="1" spans="3:6">
      <c r="C945" s="360"/>
      <c r="D945" s="360"/>
      <c r="E945" s="360"/>
      <c r="F945" s="298"/>
    </row>
    <row r="946" customHeight="1" spans="3:6">
      <c r="C946" s="360"/>
      <c r="D946" s="360"/>
      <c r="E946" s="360"/>
      <c r="F946" s="298"/>
    </row>
    <row r="947" customHeight="1" spans="3:6">
      <c r="C947" s="360"/>
      <c r="D947" s="360"/>
      <c r="E947" s="360"/>
      <c r="F947" s="298"/>
    </row>
    <row r="948" customHeight="1" spans="3:6">
      <c r="C948" s="360"/>
      <c r="D948" s="360"/>
      <c r="E948" s="360"/>
      <c r="F948" s="298"/>
    </row>
    <row r="949" customHeight="1" spans="3:6">
      <c r="C949" s="360"/>
      <c r="D949" s="360"/>
      <c r="E949" s="360"/>
      <c r="F949" s="298"/>
    </row>
    <row r="950" customHeight="1" spans="3:6">
      <c r="C950" s="360"/>
      <c r="D950" s="360"/>
      <c r="E950" s="360"/>
      <c r="F950" s="298"/>
    </row>
    <row r="951" customHeight="1" spans="3:6">
      <c r="C951" s="360"/>
      <c r="D951" s="360"/>
      <c r="E951" s="360"/>
      <c r="F951" s="298"/>
    </row>
    <row r="952" customHeight="1" spans="3:6">
      <c r="C952" s="360"/>
      <c r="D952" s="360"/>
      <c r="E952" s="360"/>
      <c r="F952" s="298"/>
    </row>
    <row r="953" customHeight="1" spans="3:6">
      <c r="C953" s="360"/>
      <c r="D953" s="360"/>
      <c r="E953" s="360"/>
      <c r="F953" s="298"/>
    </row>
    <row r="954" customHeight="1" spans="3:6">
      <c r="C954" s="360"/>
      <c r="D954" s="360"/>
      <c r="E954" s="360"/>
      <c r="F954" s="298"/>
    </row>
    <row r="955" customHeight="1" spans="3:6">
      <c r="C955" s="360"/>
      <c r="D955" s="360"/>
      <c r="E955" s="360"/>
      <c r="F955" s="298"/>
    </row>
    <row r="956" customHeight="1" spans="3:6">
      <c r="C956" s="360"/>
      <c r="D956" s="360"/>
      <c r="E956" s="360"/>
      <c r="F956" s="298"/>
    </row>
    <row r="957" customHeight="1" spans="3:6">
      <c r="C957" s="360"/>
      <c r="D957" s="360"/>
      <c r="E957" s="360"/>
      <c r="F957" s="298"/>
    </row>
    <row r="958" customHeight="1" spans="3:6">
      <c r="C958" s="360"/>
      <c r="D958" s="360"/>
      <c r="E958" s="360"/>
      <c r="F958" s="298"/>
    </row>
    <row r="959" customHeight="1" spans="3:6">
      <c r="C959" s="360"/>
      <c r="D959" s="360"/>
      <c r="E959" s="360"/>
      <c r="F959" s="298"/>
    </row>
    <row r="960" customHeight="1" spans="3:6">
      <c r="C960" s="360"/>
      <c r="D960" s="360"/>
      <c r="E960" s="360"/>
      <c r="F960" s="298"/>
    </row>
    <row r="961" customHeight="1" spans="3:6">
      <c r="C961" s="360"/>
      <c r="D961" s="360"/>
      <c r="E961" s="360"/>
      <c r="F961" s="298"/>
    </row>
    <row r="962" customHeight="1" spans="3:6">
      <c r="C962" s="360"/>
      <c r="D962" s="360"/>
      <c r="E962" s="360"/>
      <c r="F962" s="298"/>
    </row>
    <row r="963" customHeight="1" spans="3:6">
      <c r="C963" s="360"/>
      <c r="D963" s="360"/>
      <c r="E963" s="360"/>
      <c r="F963" s="298"/>
    </row>
    <row r="964" customHeight="1" spans="3:6">
      <c r="C964" s="360"/>
      <c r="D964" s="360"/>
      <c r="E964" s="360"/>
      <c r="F964" s="298"/>
    </row>
    <row r="965" customHeight="1" spans="3:6">
      <c r="C965" s="360"/>
      <c r="D965" s="360"/>
      <c r="E965" s="360"/>
      <c r="F965" s="298"/>
    </row>
    <row r="966" customHeight="1" spans="3:6">
      <c r="C966" s="360"/>
      <c r="D966" s="360"/>
      <c r="E966" s="360"/>
      <c r="F966" s="298"/>
    </row>
    <row r="967" customHeight="1" spans="3:6">
      <c r="C967" s="360"/>
      <c r="D967" s="360"/>
      <c r="E967" s="360"/>
      <c r="F967" s="298"/>
    </row>
    <row r="968" customHeight="1" spans="3:6">
      <c r="C968" s="360"/>
      <c r="D968" s="360"/>
      <c r="E968" s="360"/>
      <c r="F968" s="298"/>
    </row>
    <row r="969" customHeight="1" spans="3:6">
      <c r="C969" s="360"/>
      <c r="D969" s="360"/>
      <c r="E969" s="360"/>
      <c r="F969" s="298"/>
    </row>
    <row r="970" customHeight="1" spans="3:6">
      <c r="C970" s="360"/>
      <c r="D970" s="360"/>
      <c r="E970" s="360"/>
      <c r="F970" s="298"/>
    </row>
    <row r="971" customHeight="1" spans="3:6">
      <c r="C971" s="360"/>
      <c r="D971" s="360"/>
      <c r="E971" s="360"/>
      <c r="F971" s="298"/>
    </row>
    <row r="972" customHeight="1" spans="3:6">
      <c r="C972" s="360"/>
      <c r="D972" s="360"/>
      <c r="E972" s="360"/>
      <c r="F972" s="298"/>
    </row>
    <row r="973" customHeight="1" spans="3:6">
      <c r="C973" s="360"/>
      <c r="D973" s="360"/>
      <c r="E973" s="360"/>
      <c r="F973" s="298"/>
    </row>
    <row r="974" customHeight="1" spans="3:6">
      <c r="C974" s="360"/>
      <c r="D974" s="360"/>
      <c r="E974" s="360"/>
      <c r="F974" s="298"/>
    </row>
    <row r="975" customHeight="1" spans="3:6">
      <c r="C975" s="360"/>
      <c r="D975" s="360"/>
      <c r="E975" s="360"/>
      <c r="F975" s="298"/>
    </row>
    <row r="976" customHeight="1" spans="3:6">
      <c r="C976" s="360"/>
      <c r="D976" s="360"/>
      <c r="E976" s="360"/>
      <c r="F976" s="298"/>
    </row>
    <row r="977" customHeight="1" spans="3:6">
      <c r="C977" s="360"/>
      <c r="D977" s="360"/>
      <c r="E977" s="360"/>
      <c r="F977" s="298"/>
    </row>
    <row r="978" customHeight="1" spans="3:6">
      <c r="C978" s="360"/>
      <c r="D978" s="360"/>
      <c r="E978" s="360"/>
      <c r="F978" s="298"/>
    </row>
    <row r="979" customHeight="1" spans="3:6">
      <c r="C979" s="360"/>
      <c r="D979" s="360"/>
      <c r="E979" s="360"/>
      <c r="F979" s="298"/>
    </row>
    <row r="980" customHeight="1" spans="3:6">
      <c r="C980" s="360"/>
      <c r="D980" s="360"/>
      <c r="E980" s="360"/>
      <c r="F980" s="298"/>
    </row>
    <row r="981" customHeight="1" spans="3:6">
      <c r="C981" s="360"/>
      <c r="D981" s="360"/>
      <c r="E981" s="360"/>
      <c r="F981" s="298"/>
    </row>
    <row r="982" customHeight="1" spans="3:6">
      <c r="C982" s="360"/>
      <c r="D982" s="360"/>
      <c r="E982" s="360"/>
      <c r="F982" s="298"/>
    </row>
    <row r="983" customHeight="1" spans="3:6">
      <c r="C983" s="360"/>
      <c r="D983" s="360"/>
      <c r="E983" s="360"/>
      <c r="F983" s="298"/>
    </row>
    <row r="984" customHeight="1" spans="3:6">
      <c r="C984" s="360"/>
      <c r="D984" s="360"/>
      <c r="E984" s="360"/>
      <c r="F984" s="298"/>
    </row>
    <row r="985" customHeight="1" spans="3:6">
      <c r="C985" s="360"/>
      <c r="D985" s="360"/>
      <c r="E985" s="360"/>
      <c r="F985" s="298"/>
    </row>
    <row r="986" customHeight="1" spans="3:6">
      <c r="C986" s="360"/>
      <c r="D986" s="360"/>
      <c r="E986" s="360"/>
      <c r="F986" s="298"/>
    </row>
    <row r="987" customHeight="1" spans="3:6">
      <c r="C987" s="360"/>
      <c r="D987" s="360"/>
      <c r="E987" s="360"/>
      <c r="F987" s="298"/>
    </row>
    <row r="988" customHeight="1" spans="3:6">
      <c r="C988" s="360"/>
      <c r="D988" s="360"/>
      <c r="E988" s="360"/>
      <c r="F988" s="298"/>
    </row>
    <row r="989" customHeight="1" spans="3:6">
      <c r="C989" s="360"/>
      <c r="D989" s="360"/>
      <c r="E989" s="360"/>
      <c r="F989" s="298"/>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2:Q36"/>
  <sheetViews>
    <sheetView workbookViewId="0">
      <selection activeCell="A1" sqref="A1"/>
    </sheetView>
  </sheetViews>
  <sheetFormatPr defaultColWidth="12.6285714285714" defaultRowHeight="15.75" customHeight="1"/>
  <sheetData>
    <row r="2" customHeight="1" spans="2:17">
      <c r="B2" s="29" t="s">
        <v>1583</v>
      </c>
      <c r="C2" s="29" t="s">
        <v>1584</v>
      </c>
      <c r="D2" s="29" t="s">
        <v>1584</v>
      </c>
      <c r="E2" s="29" t="s">
        <v>1584</v>
      </c>
      <c r="F2" s="29" t="s">
        <v>1584</v>
      </c>
      <c r="G2" s="29" t="s">
        <v>1584</v>
      </c>
      <c r="H2" s="29" t="s">
        <v>1584</v>
      </c>
      <c r="I2" s="29" t="s">
        <v>1584</v>
      </c>
      <c r="J2" s="29" t="s">
        <v>1584</v>
      </c>
      <c r="K2" s="29" t="s">
        <v>1584</v>
      </c>
      <c r="L2" s="29" t="s">
        <v>1584</v>
      </c>
      <c r="M2" s="29" t="s">
        <v>1584</v>
      </c>
      <c r="N2" s="29" t="s">
        <v>1584</v>
      </c>
      <c r="O2" s="29" t="s">
        <v>1584</v>
      </c>
      <c r="P2" s="29" t="s">
        <v>1584</v>
      </c>
      <c r="Q2" s="29" t="s">
        <v>1584</v>
      </c>
    </row>
    <row r="4" customHeight="1" spans="2:7">
      <c r="B4" s="29" t="s">
        <v>1585</v>
      </c>
      <c r="G4" s="29" t="s">
        <v>1586</v>
      </c>
    </row>
    <row r="5" customHeight="1" spans="2:7">
      <c r="B5" s="29" t="s">
        <v>1587</v>
      </c>
      <c r="G5" s="29" t="s">
        <v>1588</v>
      </c>
    </row>
    <row r="6" customHeight="1" spans="7:7">
      <c r="G6" s="29" t="s">
        <v>1587</v>
      </c>
    </row>
    <row r="7" customHeight="1" spans="7:7">
      <c r="G7" s="29" t="s">
        <v>1589</v>
      </c>
    </row>
    <row r="8" customHeight="1" spans="7:7">
      <c r="G8" s="418" t="s">
        <v>1590</v>
      </c>
    </row>
    <row r="9" customHeight="1" spans="7:15">
      <c r="G9" s="29" t="s">
        <v>1591</v>
      </c>
      <c r="M9" s="29">
        <v>10</v>
      </c>
      <c r="N9" s="29">
        <v>9</v>
      </c>
      <c r="O9" s="308">
        <f t="shared" ref="O9:O31" si="0">M9*N9</f>
        <v>90</v>
      </c>
    </row>
    <row r="10" customHeight="1" spans="15:15">
      <c r="O10" s="308">
        <f t="shared" si="0"/>
        <v>0</v>
      </c>
    </row>
    <row r="11" customHeight="1" spans="13:15">
      <c r="M11" s="29">
        <v>12</v>
      </c>
      <c r="N11" s="29">
        <v>14</v>
      </c>
      <c r="O11" s="308">
        <f t="shared" si="0"/>
        <v>168</v>
      </c>
    </row>
    <row r="12" customHeight="1" spans="15:15">
      <c r="O12" s="308">
        <f t="shared" si="0"/>
        <v>0</v>
      </c>
    </row>
    <row r="13" customHeight="1" spans="13:15">
      <c r="M13" s="29">
        <v>11</v>
      </c>
      <c r="N13" s="29">
        <v>4</v>
      </c>
      <c r="O13" s="308">
        <f t="shared" si="0"/>
        <v>44</v>
      </c>
    </row>
    <row r="14" customHeight="1" spans="15:15">
      <c r="O14" s="308">
        <f t="shared" si="0"/>
        <v>0</v>
      </c>
    </row>
    <row r="15" customHeight="1" spans="13:15">
      <c r="M15" s="29">
        <v>3</v>
      </c>
      <c r="N15" s="29">
        <v>9</v>
      </c>
      <c r="O15" s="308">
        <f t="shared" si="0"/>
        <v>27</v>
      </c>
    </row>
    <row r="16" customHeight="1" spans="15:15">
      <c r="O16" s="308">
        <f t="shared" si="0"/>
        <v>0</v>
      </c>
    </row>
    <row r="17" customHeight="1" spans="13:15">
      <c r="M17" s="29">
        <v>13</v>
      </c>
      <c r="N17" s="29">
        <v>11</v>
      </c>
      <c r="O17" s="308">
        <f t="shared" si="0"/>
        <v>143</v>
      </c>
    </row>
    <row r="18" customHeight="1" spans="15:15">
      <c r="O18" s="308">
        <f t="shared" si="0"/>
        <v>0</v>
      </c>
    </row>
    <row r="19" customHeight="1" spans="13:15">
      <c r="M19" s="29">
        <v>14</v>
      </c>
      <c r="N19" s="29">
        <v>28</v>
      </c>
      <c r="O19" s="308">
        <f t="shared" si="0"/>
        <v>392</v>
      </c>
    </row>
    <row r="20" customHeight="1" spans="15:15">
      <c r="O20" s="308">
        <f t="shared" si="0"/>
        <v>0</v>
      </c>
    </row>
    <row r="21" customHeight="1" spans="13:15">
      <c r="M21" s="29">
        <v>12</v>
      </c>
      <c r="N21" s="29">
        <v>8</v>
      </c>
      <c r="O21" s="308">
        <f t="shared" si="0"/>
        <v>96</v>
      </c>
    </row>
    <row r="22" customHeight="1" spans="15:15">
      <c r="O22" s="308">
        <f t="shared" si="0"/>
        <v>0</v>
      </c>
    </row>
    <row r="23" customHeight="1" spans="13:15">
      <c r="M23" s="29">
        <v>10</v>
      </c>
      <c r="N23" s="29">
        <v>16</v>
      </c>
      <c r="O23" s="308">
        <f t="shared" si="0"/>
        <v>160</v>
      </c>
    </row>
    <row r="24" customHeight="1" spans="15:15">
      <c r="O24" s="308">
        <f t="shared" si="0"/>
        <v>0</v>
      </c>
    </row>
    <row r="25" customHeight="1" spans="13:15">
      <c r="M25" s="29">
        <v>14</v>
      </c>
      <c r="N25" s="29">
        <v>10</v>
      </c>
      <c r="O25" s="308">
        <f t="shared" si="0"/>
        <v>140</v>
      </c>
    </row>
    <row r="26" customHeight="1" spans="15:15">
      <c r="O26" s="308">
        <f t="shared" si="0"/>
        <v>0</v>
      </c>
    </row>
    <row r="27" customHeight="1" spans="13:15">
      <c r="M27" s="29">
        <v>9</v>
      </c>
      <c r="N27" s="29">
        <v>15</v>
      </c>
      <c r="O27" s="308">
        <f t="shared" si="0"/>
        <v>135</v>
      </c>
    </row>
    <row r="28" customHeight="1" spans="15:15">
      <c r="O28" s="308">
        <f t="shared" si="0"/>
        <v>0</v>
      </c>
    </row>
    <row r="29" customHeight="1" spans="13:15">
      <c r="M29" s="29">
        <v>15</v>
      </c>
      <c r="N29" s="29">
        <v>9</v>
      </c>
      <c r="O29" s="308">
        <f t="shared" si="0"/>
        <v>135</v>
      </c>
    </row>
    <row r="30" customHeight="1" spans="15:15">
      <c r="O30" s="308">
        <f t="shared" si="0"/>
        <v>0</v>
      </c>
    </row>
    <row r="31" customHeight="1" spans="13:15">
      <c r="M31" s="29">
        <v>9</v>
      </c>
      <c r="N31" s="29">
        <v>12</v>
      </c>
      <c r="O31" s="308">
        <f t="shared" si="0"/>
        <v>108</v>
      </c>
    </row>
    <row r="33" customHeight="1" spans="13:15">
      <c r="M33" s="308">
        <f t="shared" ref="M33:O33" si="1">SUM(M9:M32)</f>
        <v>132</v>
      </c>
      <c r="N33" s="308">
        <f t="shared" si="1"/>
        <v>145</v>
      </c>
      <c r="O33" s="308">
        <f t="shared" si="1"/>
        <v>1638</v>
      </c>
    </row>
    <row r="34" customHeight="1" spans="13:14">
      <c r="M34" s="308">
        <f t="shared" ref="M34:N34" si="2">M33*2</f>
        <v>264</v>
      </c>
      <c r="N34" s="308">
        <f t="shared" si="2"/>
        <v>290</v>
      </c>
    </row>
    <row r="35" customHeight="1" spans="14:14">
      <c r="N35" s="308">
        <f>N34+M34</f>
        <v>554</v>
      </c>
    </row>
    <row r="36" customHeight="1" spans="14:14">
      <c r="N36" s="308">
        <f>N35*8</f>
        <v>4432</v>
      </c>
    </row>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63"/>
  <sheetViews>
    <sheetView workbookViewId="0">
      <selection activeCell="A1" sqref="A1"/>
    </sheetView>
  </sheetViews>
  <sheetFormatPr defaultColWidth="12.6285714285714" defaultRowHeight="15.75" customHeight="1"/>
  <cols>
    <col min="1" max="1" width="38.3809523809524" customWidth="1"/>
    <col min="2" max="2" width="55.247619047619" customWidth="1"/>
  </cols>
  <sheetData>
    <row r="1" customHeight="1" spans="1:12">
      <c r="A1" s="29" t="s">
        <v>0</v>
      </c>
      <c r="B1" s="29" t="s">
        <v>1550</v>
      </c>
      <c r="C1" s="29" t="s">
        <v>1592</v>
      </c>
      <c r="D1" s="29" t="s">
        <v>1064</v>
      </c>
      <c r="E1" s="29" t="s">
        <v>1593</v>
      </c>
      <c r="F1" s="29" t="s">
        <v>1565</v>
      </c>
      <c r="G1" s="29" t="s">
        <v>1594</v>
      </c>
      <c r="H1" s="29" t="s">
        <v>1595</v>
      </c>
      <c r="I1" s="29" t="s">
        <v>85</v>
      </c>
      <c r="J1" s="29" t="s">
        <v>1596</v>
      </c>
      <c r="K1" s="29" t="s">
        <v>1554</v>
      </c>
      <c r="L1" s="29" t="s">
        <v>1597</v>
      </c>
    </row>
    <row r="2" customHeight="1" spans="1:12">
      <c r="A2" s="29" t="s">
        <v>1598</v>
      </c>
      <c r="B2" s="29" t="s">
        <v>1599</v>
      </c>
      <c r="C2" s="29">
        <v>0</v>
      </c>
      <c r="D2" s="29">
        <v>0</v>
      </c>
      <c r="E2" s="29">
        <v>0</v>
      </c>
      <c r="F2" s="29">
        <v>0</v>
      </c>
      <c r="G2" s="29">
        <v>0</v>
      </c>
      <c r="H2" s="29">
        <v>0</v>
      </c>
      <c r="L2" s="29" t="s">
        <v>1600</v>
      </c>
    </row>
    <row r="3" customHeight="1" spans="1:12">
      <c r="A3" s="29" t="s">
        <v>1601</v>
      </c>
      <c r="B3" s="29" t="s">
        <v>1602</v>
      </c>
      <c r="C3" s="29">
        <v>0</v>
      </c>
      <c r="D3" s="29">
        <v>0</v>
      </c>
      <c r="E3" s="29">
        <v>0</v>
      </c>
      <c r="F3" s="29">
        <v>0</v>
      </c>
      <c r="G3" s="29">
        <v>0</v>
      </c>
      <c r="H3" s="29">
        <v>0</v>
      </c>
      <c r="L3" s="29" t="s">
        <v>1600</v>
      </c>
    </row>
    <row r="4" customHeight="1" spans="1:12">
      <c r="A4" s="29" t="s">
        <v>1603</v>
      </c>
      <c r="B4" s="29" t="s">
        <v>1604</v>
      </c>
      <c r="C4" s="29">
        <v>0</v>
      </c>
      <c r="D4" s="29">
        <v>0</v>
      </c>
      <c r="E4" s="29">
        <v>0</v>
      </c>
      <c r="F4" s="29">
        <v>0</v>
      </c>
      <c r="G4" s="29">
        <v>0</v>
      </c>
      <c r="H4" s="29">
        <v>0</v>
      </c>
      <c r="L4" s="29" t="s">
        <v>1600</v>
      </c>
    </row>
    <row r="5" customHeight="1" spans="1:12">
      <c r="A5" s="29" t="s">
        <v>1605</v>
      </c>
      <c r="B5" s="29" t="s">
        <v>1606</v>
      </c>
      <c r="C5" s="29">
        <v>0</v>
      </c>
      <c r="D5" s="29">
        <v>0</v>
      </c>
      <c r="E5" s="29">
        <v>0</v>
      </c>
      <c r="F5" s="29">
        <v>0</v>
      </c>
      <c r="G5" s="29">
        <v>0</v>
      </c>
      <c r="H5" s="29">
        <v>0</v>
      </c>
      <c r="L5" s="29" t="s">
        <v>1600</v>
      </c>
    </row>
    <row r="6" customHeight="1" spans="1:12">
      <c r="A6" s="29" t="s">
        <v>1607</v>
      </c>
      <c r="B6" s="29" t="s">
        <v>1608</v>
      </c>
      <c r="C6" s="29">
        <v>95</v>
      </c>
      <c r="D6" s="29">
        <v>1</v>
      </c>
      <c r="E6" s="29">
        <v>0</v>
      </c>
      <c r="F6" s="29">
        <v>1</v>
      </c>
      <c r="G6" s="29">
        <v>0</v>
      </c>
      <c r="H6" s="29">
        <v>0</v>
      </c>
      <c r="L6" s="29" t="s">
        <v>1600</v>
      </c>
    </row>
    <row r="7" customHeight="1" spans="1:12">
      <c r="A7" s="29" t="s">
        <v>1607</v>
      </c>
      <c r="B7" s="29" t="s">
        <v>1609</v>
      </c>
      <c r="C7" s="29">
        <v>0</v>
      </c>
      <c r="D7" s="29">
        <v>0</v>
      </c>
      <c r="E7" s="29">
        <v>0</v>
      </c>
      <c r="F7" s="29">
        <v>0</v>
      </c>
      <c r="G7" s="29">
        <v>0</v>
      </c>
      <c r="H7" s="29">
        <v>0</v>
      </c>
      <c r="L7" s="29" t="s">
        <v>1600</v>
      </c>
    </row>
    <row r="8" customHeight="1" spans="1:12">
      <c r="A8" s="29" t="s">
        <v>1610</v>
      </c>
      <c r="B8" s="29" t="s">
        <v>1611</v>
      </c>
      <c r="C8" s="29">
        <v>95</v>
      </c>
      <c r="D8" s="29">
        <v>2</v>
      </c>
      <c r="E8" s="29">
        <v>0</v>
      </c>
      <c r="F8" s="29">
        <v>1</v>
      </c>
      <c r="G8" s="29">
        <v>0</v>
      </c>
      <c r="H8" s="29">
        <v>0</v>
      </c>
      <c r="L8" s="29" t="s">
        <v>1600</v>
      </c>
    </row>
    <row r="9" customHeight="1" spans="1:8">
      <c r="A9" s="29" t="s">
        <v>1612</v>
      </c>
      <c r="B9" s="29" t="s">
        <v>1613</v>
      </c>
      <c r="C9" s="29">
        <v>0</v>
      </c>
      <c r="D9" s="29">
        <v>0</v>
      </c>
      <c r="E9" s="29">
        <v>0</v>
      </c>
      <c r="F9" s="29">
        <v>0</v>
      </c>
      <c r="G9" s="29">
        <v>0</v>
      </c>
      <c r="H9" s="29">
        <v>0</v>
      </c>
    </row>
    <row r="10" customHeight="1" spans="1:12">
      <c r="A10" s="29" t="s">
        <v>1614</v>
      </c>
      <c r="B10" s="29" t="s">
        <v>1615</v>
      </c>
      <c r="C10" s="29">
        <v>0</v>
      </c>
      <c r="D10" s="29">
        <v>0</v>
      </c>
      <c r="E10" s="29">
        <v>0</v>
      </c>
      <c r="F10" s="29">
        <v>0</v>
      </c>
      <c r="G10" s="29">
        <v>0</v>
      </c>
      <c r="H10" s="29">
        <v>0</v>
      </c>
      <c r="L10" s="29" t="s">
        <v>1600</v>
      </c>
    </row>
    <row r="11" customHeight="1" spans="1:12">
      <c r="A11" s="29" t="s">
        <v>1616</v>
      </c>
      <c r="B11" s="29" t="s">
        <v>1617</v>
      </c>
      <c r="C11" s="29">
        <v>0</v>
      </c>
      <c r="D11" s="29">
        <v>0</v>
      </c>
      <c r="E11" s="29">
        <v>0</v>
      </c>
      <c r="F11" s="29">
        <v>0</v>
      </c>
      <c r="G11" s="29">
        <v>0</v>
      </c>
      <c r="H11" s="29">
        <v>0</v>
      </c>
      <c r="L11" s="29" t="s">
        <v>1600</v>
      </c>
    </row>
    <row r="12" customHeight="1" spans="1:12">
      <c r="A12" s="29" t="s">
        <v>1618</v>
      </c>
      <c r="B12" s="29" t="s">
        <v>1619</v>
      </c>
      <c r="C12" s="29">
        <v>0</v>
      </c>
      <c r="D12" s="29">
        <v>0</v>
      </c>
      <c r="E12" s="29">
        <v>0</v>
      </c>
      <c r="F12" s="29">
        <v>0</v>
      </c>
      <c r="G12" s="29">
        <v>0</v>
      </c>
      <c r="H12" s="29">
        <v>0</v>
      </c>
      <c r="L12" s="29" t="s">
        <v>10</v>
      </c>
    </row>
    <row r="13" customHeight="1" spans="1:12">
      <c r="A13" s="29" t="s">
        <v>1620</v>
      </c>
      <c r="B13" s="29" t="s">
        <v>1621</v>
      </c>
      <c r="C13" s="29">
        <v>0</v>
      </c>
      <c r="D13" s="29">
        <v>0</v>
      </c>
      <c r="E13" s="29">
        <v>0</v>
      </c>
      <c r="F13" s="29">
        <v>0</v>
      </c>
      <c r="G13" s="29">
        <v>0</v>
      </c>
      <c r="H13" s="29">
        <v>0</v>
      </c>
      <c r="L13" s="29" t="s">
        <v>1600</v>
      </c>
    </row>
    <row r="14" customHeight="1" spans="1:12">
      <c r="A14" s="29" t="s">
        <v>1622</v>
      </c>
      <c r="B14" s="29" t="s">
        <v>1623</v>
      </c>
      <c r="C14" s="29">
        <v>0</v>
      </c>
      <c r="D14" s="29">
        <v>8</v>
      </c>
      <c r="E14" s="29">
        <v>0</v>
      </c>
      <c r="F14" s="29">
        <v>0</v>
      </c>
      <c r="G14" s="29">
        <v>0</v>
      </c>
      <c r="H14" s="29">
        <v>0</v>
      </c>
      <c r="L14" s="29" t="s">
        <v>1624</v>
      </c>
    </row>
    <row r="15" customHeight="1" spans="1:12">
      <c r="A15" s="29" t="s">
        <v>1625</v>
      </c>
      <c r="B15" s="29" t="s">
        <v>1626</v>
      </c>
      <c r="C15" s="29">
        <v>0</v>
      </c>
      <c r="D15" s="29">
        <v>0</v>
      </c>
      <c r="E15" s="29">
        <v>0</v>
      </c>
      <c r="F15" s="29">
        <v>0</v>
      </c>
      <c r="G15" s="29">
        <v>0</v>
      </c>
      <c r="H15" s="29">
        <v>0</v>
      </c>
      <c r="L15" s="29" t="s">
        <v>10</v>
      </c>
    </row>
    <row r="16" customHeight="1" spans="1:12">
      <c r="A16" s="29" t="s">
        <v>1627</v>
      </c>
      <c r="B16" s="29" t="s">
        <v>1628</v>
      </c>
      <c r="C16" s="29">
        <v>0</v>
      </c>
      <c r="D16" s="29">
        <v>0</v>
      </c>
      <c r="E16" s="29">
        <v>0</v>
      </c>
      <c r="F16" s="29">
        <v>0</v>
      </c>
      <c r="G16" s="29">
        <v>0</v>
      </c>
      <c r="H16" s="29">
        <v>0</v>
      </c>
      <c r="L16" s="29" t="s">
        <v>1600</v>
      </c>
    </row>
    <row r="17" customHeight="1" spans="1:12">
      <c r="A17" s="29" t="s">
        <v>1629</v>
      </c>
      <c r="B17" s="29" t="s">
        <v>1630</v>
      </c>
      <c r="C17" s="29">
        <v>0</v>
      </c>
      <c r="D17" s="29">
        <v>0</v>
      </c>
      <c r="E17" s="29">
        <v>0</v>
      </c>
      <c r="F17" s="29">
        <v>0</v>
      </c>
      <c r="G17" s="29">
        <v>0</v>
      </c>
      <c r="H17" s="29">
        <v>0</v>
      </c>
      <c r="K17" s="29" t="s">
        <v>1631</v>
      </c>
      <c r="L17" s="29" t="s">
        <v>1600</v>
      </c>
    </row>
    <row r="18" customHeight="1" spans="1:12">
      <c r="A18" s="29" t="s">
        <v>1632</v>
      </c>
      <c r="B18" s="29" t="s">
        <v>1633</v>
      </c>
      <c r="C18" s="29">
        <v>0</v>
      </c>
      <c r="D18" s="29">
        <v>0</v>
      </c>
      <c r="E18" s="29">
        <v>0</v>
      </c>
      <c r="F18" s="29">
        <v>0</v>
      </c>
      <c r="G18" s="29">
        <v>0</v>
      </c>
      <c r="H18" s="29">
        <v>0</v>
      </c>
      <c r="L18" s="29" t="s">
        <v>1600</v>
      </c>
    </row>
    <row r="19" customHeight="1" spans="1:12">
      <c r="A19" s="29" t="s">
        <v>1634</v>
      </c>
      <c r="B19" s="29" t="s">
        <v>1635</v>
      </c>
      <c r="C19" s="29">
        <v>0</v>
      </c>
      <c r="D19" s="29">
        <v>0</v>
      </c>
      <c r="E19" s="29">
        <v>0</v>
      </c>
      <c r="F19" s="29">
        <v>0</v>
      </c>
      <c r="G19" s="29">
        <v>0</v>
      </c>
      <c r="H19" s="29">
        <v>0</v>
      </c>
      <c r="L19" s="29" t="s">
        <v>1600</v>
      </c>
    </row>
    <row r="20" customHeight="1" spans="1:12">
      <c r="A20" s="29" t="s">
        <v>1636</v>
      </c>
      <c r="B20" s="29" t="s">
        <v>1637</v>
      </c>
      <c r="C20" s="29">
        <v>200</v>
      </c>
      <c r="D20" s="29">
        <v>2.2</v>
      </c>
      <c r="E20" s="29">
        <v>0</v>
      </c>
      <c r="F20" s="29">
        <v>1</v>
      </c>
      <c r="G20" s="29">
        <v>0</v>
      </c>
      <c r="H20" s="29">
        <v>0</v>
      </c>
      <c r="L20" s="29" t="s">
        <v>1600</v>
      </c>
    </row>
    <row r="21" customHeight="1" spans="1:12">
      <c r="A21" s="29" t="s">
        <v>1638</v>
      </c>
      <c r="B21" s="29" t="s">
        <v>1639</v>
      </c>
      <c r="C21" s="29">
        <v>6.5</v>
      </c>
      <c r="D21" s="29">
        <v>0.06</v>
      </c>
      <c r="E21" s="29">
        <v>0</v>
      </c>
      <c r="F21" s="29">
        <v>1</v>
      </c>
      <c r="G21" s="29">
        <v>0</v>
      </c>
      <c r="H21" s="29">
        <v>0</v>
      </c>
      <c r="L21" s="29" t="s">
        <v>1600</v>
      </c>
    </row>
    <row r="22" customHeight="1" spans="1:12">
      <c r="A22" s="29" t="s">
        <v>1640</v>
      </c>
      <c r="B22" s="29" t="s">
        <v>1641</v>
      </c>
      <c r="C22" s="29">
        <v>70</v>
      </c>
      <c r="D22" s="29">
        <v>0.75</v>
      </c>
      <c r="E22" s="29">
        <v>0</v>
      </c>
      <c r="F22" s="29">
        <v>1</v>
      </c>
      <c r="G22" s="29">
        <v>0</v>
      </c>
      <c r="H22" s="29">
        <v>0</v>
      </c>
      <c r="L22" s="29" t="s">
        <v>1600</v>
      </c>
    </row>
    <row r="23" customHeight="1" spans="1:12">
      <c r="A23" s="29" t="s">
        <v>1616</v>
      </c>
      <c r="B23" s="29" t="s">
        <v>1617</v>
      </c>
      <c r="C23" s="29">
        <v>0</v>
      </c>
      <c r="D23" s="29">
        <v>0</v>
      </c>
      <c r="E23" s="29">
        <v>0</v>
      </c>
      <c r="F23" s="29">
        <v>0</v>
      </c>
      <c r="G23" s="29">
        <v>0</v>
      </c>
      <c r="H23" s="29">
        <v>0</v>
      </c>
      <c r="L23" s="29" t="s">
        <v>1600</v>
      </c>
    </row>
    <row r="24" customHeight="1" spans="1:12">
      <c r="A24" s="29" t="s">
        <v>1642</v>
      </c>
      <c r="B24" s="29" t="s">
        <v>1643</v>
      </c>
      <c r="C24" s="29">
        <v>0</v>
      </c>
      <c r="D24" s="29">
        <v>0</v>
      </c>
      <c r="E24" s="29">
        <v>0</v>
      </c>
      <c r="F24" s="29">
        <v>0</v>
      </c>
      <c r="G24" s="29">
        <v>0</v>
      </c>
      <c r="H24" s="29">
        <v>0</v>
      </c>
      <c r="L24" s="29" t="s">
        <v>10</v>
      </c>
    </row>
    <row r="25" customHeight="1" spans="1:12">
      <c r="A25" s="29" t="s">
        <v>1644</v>
      </c>
      <c r="B25" s="29" t="s">
        <v>1623</v>
      </c>
      <c r="C25" s="29">
        <v>0</v>
      </c>
      <c r="D25" s="29">
        <v>8</v>
      </c>
      <c r="E25" s="29">
        <v>0</v>
      </c>
      <c r="F25" s="29">
        <v>0</v>
      </c>
      <c r="G25" s="29">
        <v>0</v>
      </c>
      <c r="H25" s="29">
        <v>0</v>
      </c>
      <c r="L25" s="29" t="s">
        <v>1600</v>
      </c>
    </row>
    <row r="26" customHeight="1" spans="1:12">
      <c r="A26" s="29" t="s">
        <v>1645</v>
      </c>
      <c r="B26" s="29" t="s">
        <v>1621</v>
      </c>
      <c r="C26" s="29">
        <v>0</v>
      </c>
      <c r="D26" s="29">
        <v>0</v>
      </c>
      <c r="E26" s="29">
        <v>0</v>
      </c>
      <c r="F26" s="29">
        <v>0</v>
      </c>
      <c r="G26" s="29">
        <v>0</v>
      </c>
      <c r="H26" s="29">
        <v>0</v>
      </c>
      <c r="L26" s="29" t="s">
        <v>1600</v>
      </c>
    </row>
    <row r="27" customHeight="1" spans="1:12">
      <c r="A27" s="29" t="s">
        <v>1610</v>
      </c>
      <c r="B27" s="29" t="s">
        <v>1611</v>
      </c>
      <c r="C27" s="29">
        <v>95</v>
      </c>
      <c r="D27" s="29">
        <v>2</v>
      </c>
      <c r="E27" s="29">
        <v>0</v>
      </c>
      <c r="F27" s="29">
        <v>1</v>
      </c>
      <c r="G27" s="29">
        <v>0</v>
      </c>
      <c r="H27" s="29">
        <v>0</v>
      </c>
      <c r="L27" s="29" t="s">
        <v>1600</v>
      </c>
    </row>
    <row r="28" customHeight="1" spans="1:12">
      <c r="A28" s="29" t="s">
        <v>1646</v>
      </c>
      <c r="B28" s="29" t="s">
        <v>1626</v>
      </c>
      <c r="C28" s="29">
        <v>0</v>
      </c>
      <c r="D28" s="29">
        <v>0</v>
      </c>
      <c r="E28" s="29">
        <v>0</v>
      </c>
      <c r="F28" s="29">
        <v>0</v>
      </c>
      <c r="G28" s="29">
        <v>0</v>
      </c>
      <c r="H28" s="29">
        <v>0</v>
      </c>
      <c r="L28" s="29" t="s">
        <v>1600</v>
      </c>
    </row>
    <row r="29" customHeight="1" spans="1:12">
      <c r="A29" s="29" t="s">
        <v>1598</v>
      </c>
      <c r="B29" s="29" t="s">
        <v>1599</v>
      </c>
      <c r="C29" s="29">
        <v>0</v>
      </c>
      <c r="D29" s="29">
        <v>0</v>
      </c>
      <c r="E29" s="29">
        <v>0</v>
      </c>
      <c r="F29" s="29">
        <v>0</v>
      </c>
      <c r="G29" s="29">
        <v>0</v>
      </c>
      <c r="H29" s="29">
        <v>0</v>
      </c>
      <c r="L29" s="29" t="s">
        <v>1600</v>
      </c>
    </row>
    <row r="30" customHeight="1" spans="1:12">
      <c r="A30" s="29" t="s">
        <v>1647</v>
      </c>
      <c r="B30" s="29" t="s">
        <v>1613</v>
      </c>
      <c r="C30" s="29">
        <v>0</v>
      </c>
      <c r="D30" s="29">
        <v>0</v>
      </c>
      <c r="E30" s="29">
        <v>0</v>
      </c>
      <c r="F30" s="29">
        <v>0</v>
      </c>
      <c r="G30" s="29">
        <v>0</v>
      </c>
      <c r="H30" s="29">
        <v>0</v>
      </c>
      <c r="L30" s="29" t="s">
        <v>1600</v>
      </c>
    </row>
    <row r="31" customHeight="1" spans="1:12">
      <c r="A31" s="29" t="s">
        <v>1648</v>
      </c>
      <c r="B31" s="29" t="s">
        <v>1649</v>
      </c>
      <c r="C31" s="29">
        <v>0</v>
      </c>
      <c r="D31" s="29">
        <v>0</v>
      </c>
      <c r="E31" s="29">
        <v>0</v>
      </c>
      <c r="F31" s="29">
        <v>0</v>
      </c>
      <c r="G31" s="29">
        <v>0</v>
      </c>
      <c r="H31" s="29">
        <v>0</v>
      </c>
      <c r="L31" s="29" t="s">
        <v>10</v>
      </c>
    </row>
    <row r="32" customHeight="1" spans="1:12">
      <c r="A32" s="29" t="s">
        <v>1650</v>
      </c>
      <c r="B32" s="29" t="s">
        <v>1651</v>
      </c>
      <c r="C32" s="29">
        <v>0</v>
      </c>
      <c r="D32" s="29">
        <v>0</v>
      </c>
      <c r="E32" s="29">
        <v>0</v>
      </c>
      <c r="F32" s="29">
        <v>0</v>
      </c>
      <c r="G32" s="29">
        <v>0</v>
      </c>
      <c r="H32" s="29">
        <v>0</v>
      </c>
      <c r="L32" s="29" t="s">
        <v>10</v>
      </c>
    </row>
    <row r="33" customHeight="1" spans="1:12">
      <c r="A33" s="29" t="s">
        <v>1652</v>
      </c>
      <c r="B33" s="29" t="s">
        <v>1653</v>
      </c>
      <c r="C33" s="29">
        <v>0</v>
      </c>
      <c r="D33" s="29">
        <v>0</v>
      </c>
      <c r="E33" s="29">
        <v>0</v>
      </c>
      <c r="F33" s="29">
        <v>0</v>
      </c>
      <c r="G33" s="29">
        <v>0</v>
      </c>
      <c r="H33" s="29">
        <v>0</v>
      </c>
      <c r="L33" s="29" t="s">
        <v>10</v>
      </c>
    </row>
    <row r="34" customHeight="1" spans="1:12">
      <c r="A34" s="29" t="s">
        <v>1654</v>
      </c>
      <c r="B34" s="29" t="s">
        <v>1655</v>
      </c>
      <c r="C34" s="29">
        <v>0</v>
      </c>
      <c r="D34" s="29">
        <v>0</v>
      </c>
      <c r="E34" s="29">
        <v>0</v>
      </c>
      <c r="F34" s="29">
        <v>0</v>
      </c>
      <c r="G34" s="29">
        <v>0</v>
      </c>
      <c r="H34" s="29">
        <v>0</v>
      </c>
      <c r="L34" s="29" t="s">
        <v>10</v>
      </c>
    </row>
    <row r="35" customHeight="1" spans="1:12">
      <c r="A35" s="29" t="s">
        <v>1656</v>
      </c>
      <c r="B35" s="29" t="s">
        <v>1657</v>
      </c>
      <c r="C35" s="29">
        <v>0</v>
      </c>
      <c r="D35" s="29">
        <v>0</v>
      </c>
      <c r="E35" s="29">
        <v>0</v>
      </c>
      <c r="F35" s="29">
        <v>0</v>
      </c>
      <c r="G35" s="29">
        <v>0</v>
      </c>
      <c r="H35" s="29">
        <v>0</v>
      </c>
      <c r="L35" s="29" t="s">
        <v>10</v>
      </c>
    </row>
    <row r="36" customHeight="1" spans="1:12">
      <c r="A36" s="29" t="s">
        <v>1658</v>
      </c>
      <c r="B36" s="29" t="s">
        <v>1659</v>
      </c>
      <c r="C36" s="29">
        <v>0</v>
      </c>
      <c r="D36" s="29">
        <v>0</v>
      </c>
      <c r="E36" s="29">
        <v>0</v>
      </c>
      <c r="F36" s="29">
        <v>0</v>
      </c>
      <c r="G36" s="29">
        <v>0</v>
      </c>
      <c r="H36" s="29">
        <v>0</v>
      </c>
      <c r="L36" s="29" t="s">
        <v>1660</v>
      </c>
    </row>
    <row r="37" customHeight="1" spans="1:12">
      <c r="A37" s="29" t="s">
        <v>1661</v>
      </c>
      <c r="B37" s="29" t="s">
        <v>1662</v>
      </c>
      <c r="C37" s="29">
        <v>0</v>
      </c>
      <c r="D37" s="29">
        <v>0</v>
      </c>
      <c r="E37" s="29">
        <v>0</v>
      </c>
      <c r="F37" s="29">
        <v>0</v>
      </c>
      <c r="G37" s="29">
        <v>0</v>
      </c>
      <c r="H37" s="29">
        <v>0</v>
      </c>
      <c r="L37" s="29" t="s">
        <v>1663</v>
      </c>
    </row>
    <row r="38" customHeight="1" spans="1:12">
      <c r="A38" s="29" t="s">
        <v>1664</v>
      </c>
      <c r="B38" s="29" t="s">
        <v>1665</v>
      </c>
      <c r="C38" s="29">
        <v>0</v>
      </c>
      <c r="D38" s="29">
        <v>0</v>
      </c>
      <c r="E38" s="29">
        <v>0</v>
      </c>
      <c r="F38" s="29">
        <v>0</v>
      </c>
      <c r="G38" s="29">
        <v>0</v>
      </c>
      <c r="H38" s="29">
        <v>0</v>
      </c>
      <c r="L38" s="29" t="s">
        <v>1666</v>
      </c>
    </row>
    <row r="39" customHeight="1" spans="1:12">
      <c r="A39" s="29" t="s">
        <v>1557</v>
      </c>
      <c r="B39" s="29" t="s">
        <v>1667</v>
      </c>
      <c r="C39" s="29">
        <v>0</v>
      </c>
      <c r="D39" s="29">
        <v>0</v>
      </c>
      <c r="E39" s="29">
        <v>0</v>
      </c>
      <c r="F39" s="29">
        <v>0</v>
      </c>
      <c r="G39" s="29">
        <v>0</v>
      </c>
      <c r="H39" s="29">
        <v>0</v>
      </c>
      <c r="L39" s="29" t="s">
        <v>1668</v>
      </c>
    </row>
    <row r="40" customHeight="1" spans="1:12">
      <c r="A40" s="29" t="s">
        <v>1669</v>
      </c>
      <c r="B40" s="29" t="s">
        <v>1670</v>
      </c>
      <c r="C40" s="29">
        <v>0</v>
      </c>
      <c r="D40" s="29">
        <v>0</v>
      </c>
      <c r="E40" s="29">
        <v>0</v>
      </c>
      <c r="F40" s="29">
        <v>0</v>
      </c>
      <c r="G40" s="29">
        <v>0</v>
      </c>
      <c r="H40" s="29">
        <v>0</v>
      </c>
      <c r="L40" s="29" t="s">
        <v>1668</v>
      </c>
    </row>
    <row r="41" customHeight="1" spans="1:12">
      <c r="A41" s="29" t="s">
        <v>1671</v>
      </c>
      <c r="B41" s="29" t="s">
        <v>1672</v>
      </c>
      <c r="C41" s="29">
        <v>0</v>
      </c>
      <c r="D41" s="29">
        <v>0</v>
      </c>
      <c r="E41" s="29">
        <v>0</v>
      </c>
      <c r="F41" s="29">
        <v>0</v>
      </c>
      <c r="G41" s="29">
        <v>0</v>
      </c>
      <c r="H41" s="29">
        <v>0</v>
      </c>
      <c r="L41" s="29" t="s">
        <v>1668</v>
      </c>
    </row>
    <row r="42" customHeight="1" spans="1:12">
      <c r="A42" s="29" t="s">
        <v>1673</v>
      </c>
      <c r="B42" s="29" t="s">
        <v>1674</v>
      </c>
      <c r="C42" s="29">
        <v>0</v>
      </c>
      <c r="D42" s="29">
        <v>0</v>
      </c>
      <c r="E42" s="29">
        <v>0</v>
      </c>
      <c r="F42" s="29">
        <v>0</v>
      </c>
      <c r="G42" s="29">
        <v>0</v>
      </c>
      <c r="H42" s="29">
        <v>0</v>
      </c>
      <c r="L42" s="29" t="s">
        <v>1675</v>
      </c>
    </row>
    <row r="43" customHeight="1" spans="1:12">
      <c r="A43" s="29" t="s">
        <v>1676</v>
      </c>
      <c r="B43" s="29" t="s">
        <v>1677</v>
      </c>
      <c r="C43" s="29">
        <v>0</v>
      </c>
      <c r="D43" s="29">
        <v>0</v>
      </c>
      <c r="E43" s="29">
        <v>0</v>
      </c>
      <c r="F43" s="29">
        <v>0</v>
      </c>
      <c r="G43" s="29">
        <v>0</v>
      </c>
      <c r="H43" s="29">
        <v>0</v>
      </c>
      <c r="L43" s="29" t="s">
        <v>1668</v>
      </c>
    </row>
    <row r="44" customHeight="1" spans="1:12">
      <c r="A44" s="29" t="s">
        <v>1678</v>
      </c>
      <c r="B44" s="29" t="s">
        <v>1679</v>
      </c>
      <c r="C44" s="29">
        <v>0</v>
      </c>
      <c r="D44" s="29">
        <v>0</v>
      </c>
      <c r="E44" s="29">
        <v>0</v>
      </c>
      <c r="F44" s="29">
        <v>0</v>
      </c>
      <c r="G44" s="29">
        <v>0</v>
      </c>
      <c r="H44" s="29">
        <v>0</v>
      </c>
      <c r="L44" s="29" t="s">
        <v>1680</v>
      </c>
    </row>
    <row r="45" customHeight="1" spans="1:12">
      <c r="A45" s="29" t="s">
        <v>1681</v>
      </c>
      <c r="B45" s="29" t="s">
        <v>1682</v>
      </c>
      <c r="C45" s="29">
        <v>0</v>
      </c>
      <c r="D45" s="29">
        <v>0</v>
      </c>
      <c r="E45" s="29">
        <v>0</v>
      </c>
      <c r="F45" s="29">
        <v>0</v>
      </c>
      <c r="G45" s="29">
        <v>0</v>
      </c>
      <c r="H45" s="29">
        <v>0</v>
      </c>
      <c r="L45" s="29" t="s">
        <v>1683</v>
      </c>
    </row>
    <row r="46" customHeight="1" spans="1:12">
      <c r="A46" s="29" t="s">
        <v>1684</v>
      </c>
      <c r="B46" s="29" t="s">
        <v>1685</v>
      </c>
      <c r="C46" s="29">
        <v>0</v>
      </c>
      <c r="D46" s="29">
        <v>0</v>
      </c>
      <c r="E46" s="29">
        <v>0</v>
      </c>
      <c r="F46" s="29">
        <v>0</v>
      </c>
      <c r="G46" s="29">
        <v>0</v>
      </c>
      <c r="H46" s="29">
        <v>0</v>
      </c>
      <c r="L46" s="29" t="s">
        <v>1683</v>
      </c>
    </row>
    <row r="47" customHeight="1" spans="1:12">
      <c r="A47" s="29" t="s">
        <v>1686</v>
      </c>
      <c r="B47" s="29" t="s">
        <v>1687</v>
      </c>
      <c r="C47" s="29">
        <v>0</v>
      </c>
      <c r="D47" s="29">
        <v>0</v>
      </c>
      <c r="E47" s="29">
        <v>0</v>
      </c>
      <c r="F47" s="29">
        <v>0</v>
      </c>
      <c r="G47" s="29">
        <v>0</v>
      </c>
      <c r="H47" s="29">
        <v>0</v>
      </c>
      <c r="L47" s="29" t="s">
        <v>1666</v>
      </c>
    </row>
    <row r="48" customHeight="1" spans="1:12">
      <c r="A48" s="29" t="s">
        <v>1688</v>
      </c>
      <c r="C48" s="29">
        <v>0</v>
      </c>
      <c r="D48" s="29">
        <v>0</v>
      </c>
      <c r="E48" s="29">
        <v>0</v>
      </c>
      <c r="F48" s="29">
        <v>0</v>
      </c>
      <c r="G48" s="29">
        <v>0</v>
      </c>
      <c r="H48" s="29">
        <v>0</v>
      </c>
      <c r="K48" s="29" t="s">
        <v>1689</v>
      </c>
      <c r="L48" s="29" t="s">
        <v>980</v>
      </c>
    </row>
    <row r="49" customHeight="1" spans="1:12">
      <c r="A49" s="29" t="s">
        <v>1690</v>
      </c>
      <c r="C49" s="29">
        <v>0</v>
      </c>
      <c r="D49" s="29">
        <v>0</v>
      </c>
      <c r="E49" s="29">
        <v>0</v>
      </c>
      <c r="F49" s="29">
        <v>0</v>
      </c>
      <c r="G49" s="29">
        <v>0</v>
      </c>
      <c r="H49" s="29">
        <v>0</v>
      </c>
      <c r="L49" s="29" t="s">
        <v>1666</v>
      </c>
    </row>
    <row r="50" customHeight="1" spans="1:12">
      <c r="A50" s="29" t="s">
        <v>1691</v>
      </c>
      <c r="B50" s="29" t="s">
        <v>1692</v>
      </c>
      <c r="C50" s="29">
        <v>200</v>
      </c>
      <c r="D50" s="29">
        <v>0</v>
      </c>
      <c r="E50" s="29">
        <v>0</v>
      </c>
      <c r="F50" s="29">
        <v>0</v>
      </c>
      <c r="G50" s="29">
        <v>0</v>
      </c>
      <c r="H50" s="29">
        <v>0</v>
      </c>
      <c r="L50" s="29" t="s">
        <v>10</v>
      </c>
    </row>
    <row r="51" customHeight="1" spans="1:12">
      <c r="A51" s="29" t="s">
        <v>1693</v>
      </c>
      <c r="B51" s="29" t="s">
        <v>1694</v>
      </c>
      <c r="C51" s="29">
        <v>0</v>
      </c>
      <c r="D51" s="29">
        <v>0</v>
      </c>
      <c r="E51" s="29">
        <v>0</v>
      </c>
      <c r="F51" s="29">
        <v>0</v>
      </c>
      <c r="G51" s="29">
        <v>0</v>
      </c>
      <c r="H51" s="29">
        <v>0</v>
      </c>
      <c r="L51" s="29" t="s">
        <v>10</v>
      </c>
    </row>
    <row r="52" customHeight="1" spans="1:12">
      <c r="A52" s="29" t="s">
        <v>1695</v>
      </c>
      <c r="C52" s="29">
        <v>0</v>
      </c>
      <c r="D52" s="29">
        <v>0</v>
      </c>
      <c r="E52" s="29">
        <v>0</v>
      </c>
      <c r="F52" s="29">
        <v>0</v>
      </c>
      <c r="G52" s="29">
        <v>0</v>
      </c>
      <c r="H52" s="29">
        <v>0</v>
      </c>
      <c r="L52" s="29" t="s">
        <v>10</v>
      </c>
    </row>
    <row r="53" customHeight="1" spans="1:12">
      <c r="A53" s="29" t="s">
        <v>1696</v>
      </c>
      <c r="C53" s="29">
        <v>0</v>
      </c>
      <c r="D53" s="29">
        <v>0</v>
      </c>
      <c r="E53" s="29">
        <v>0</v>
      </c>
      <c r="F53" s="29">
        <v>0</v>
      </c>
      <c r="G53" s="29">
        <v>0</v>
      </c>
      <c r="H53" s="29">
        <v>0</v>
      </c>
      <c r="L53" s="29" t="s">
        <v>10</v>
      </c>
    </row>
    <row r="54" customHeight="1" spans="1:12">
      <c r="A54" s="29" t="s">
        <v>1697</v>
      </c>
      <c r="B54" s="29" t="s">
        <v>1698</v>
      </c>
      <c r="C54" s="29">
        <v>0</v>
      </c>
      <c r="D54" s="29">
        <v>0</v>
      </c>
      <c r="E54" s="29">
        <v>0</v>
      </c>
      <c r="F54" s="29">
        <v>0</v>
      </c>
      <c r="G54" s="29">
        <v>0</v>
      </c>
      <c r="H54" s="29">
        <v>0</v>
      </c>
      <c r="L54" s="29" t="s">
        <v>10</v>
      </c>
    </row>
    <row r="55" customHeight="1" spans="1:12">
      <c r="A55" s="29" t="s">
        <v>1699</v>
      </c>
      <c r="C55" s="29">
        <v>0</v>
      </c>
      <c r="D55" s="29">
        <v>0</v>
      </c>
      <c r="E55" s="29">
        <v>0</v>
      </c>
      <c r="F55" s="29">
        <v>0</v>
      </c>
      <c r="G55" s="29">
        <v>0</v>
      </c>
      <c r="H55" s="29">
        <v>0</v>
      </c>
      <c r="L55" s="29" t="s">
        <v>10</v>
      </c>
    </row>
    <row r="56" customHeight="1" spans="1:12">
      <c r="A56" s="29" t="s">
        <v>1700</v>
      </c>
      <c r="C56" s="29">
        <v>0</v>
      </c>
      <c r="D56" s="29">
        <v>0</v>
      </c>
      <c r="E56" s="29">
        <v>0</v>
      </c>
      <c r="F56" s="29">
        <v>0</v>
      </c>
      <c r="G56" s="29">
        <v>0</v>
      </c>
      <c r="H56" s="29">
        <v>0</v>
      </c>
      <c r="L56" s="29" t="s">
        <v>10</v>
      </c>
    </row>
    <row r="57" customHeight="1" spans="1:12">
      <c r="A57" s="29" t="s">
        <v>1701</v>
      </c>
      <c r="B57" s="29" t="s">
        <v>1702</v>
      </c>
      <c r="C57" s="29">
        <v>-500</v>
      </c>
      <c r="D57" s="29">
        <v>0</v>
      </c>
      <c r="E57" s="29">
        <v>0</v>
      </c>
      <c r="F57" s="29">
        <v>0</v>
      </c>
      <c r="G57" s="29">
        <v>0</v>
      </c>
      <c r="H57" s="29">
        <v>0</v>
      </c>
      <c r="L57" s="29" t="s">
        <v>10</v>
      </c>
    </row>
    <row r="58" customHeight="1" spans="1:12">
      <c r="A58" s="29" t="s">
        <v>1703</v>
      </c>
      <c r="B58" s="29" t="s">
        <v>1704</v>
      </c>
      <c r="C58" s="29">
        <v>0</v>
      </c>
      <c r="D58" s="29">
        <v>0</v>
      </c>
      <c r="E58" s="29">
        <v>0</v>
      </c>
      <c r="F58" s="29">
        <v>0</v>
      </c>
      <c r="G58" s="29">
        <v>0</v>
      </c>
      <c r="H58" s="29">
        <v>0</v>
      </c>
      <c r="L58" s="29" t="s">
        <v>10</v>
      </c>
    </row>
    <row r="59" customHeight="1" spans="1:12">
      <c r="A59" s="29" t="s">
        <v>1705</v>
      </c>
      <c r="B59" s="29" t="s">
        <v>1706</v>
      </c>
      <c r="C59" s="29">
        <v>0</v>
      </c>
      <c r="D59" s="29">
        <v>0</v>
      </c>
      <c r="E59" s="29">
        <v>0</v>
      </c>
      <c r="F59" s="29">
        <v>0</v>
      </c>
      <c r="G59" s="29">
        <v>0</v>
      </c>
      <c r="H59" s="29">
        <v>0</v>
      </c>
      <c r="L59" s="29" t="s">
        <v>10</v>
      </c>
    </row>
    <row r="60" customHeight="1" spans="1:12">
      <c r="A60" s="29" t="s">
        <v>1707</v>
      </c>
      <c r="B60" s="29" t="s">
        <v>1708</v>
      </c>
      <c r="C60" s="29">
        <v>0</v>
      </c>
      <c r="D60" s="29">
        <v>0</v>
      </c>
      <c r="E60" s="29">
        <v>0</v>
      </c>
      <c r="F60" s="29">
        <v>0</v>
      </c>
      <c r="G60" s="29">
        <v>0</v>
      </c>
      <c r="H60" s="29">
        <v>0</v>
      </c>
      <c r="L60" s="29" t="s">
        <v>10</v>
      </c>
    </row>
    <row r="61" customHeight="1" spans="1:12">
      <c r="A61" s="29" t="s">
        <v>1709</v>
      </c>
      <c r="B61" s="29" t="s">
        <v>1710</v>
      </c>
      <c r="C61" s="29">
        <v>0</v>
      </c>
      <c r="D61" s="29">
        <v>0</v>
      </c>
      <c r="E61" s="29">
        <v>0</v>
      </c>
      <c r="F61" s="29">
        <v>0</v>
      </c>
      <c r="G61" s="29">
        <v>0</v>
      </c>
      <c r="H61" s="29">
        <v>0</v>
      </c>
      <c r="L61" s="29" t="s">
        <v>10</v>
      </c>
    </row>
    <row r="62" customHeight="1" spans="1:12">
      <c r="A62" s="29" t="s">
        <v>1711</v>
      </c>
      <c r="B62" s="29" t="s">
        <v>1712</v>
      </c>
      <c r="C62" s="29">
        <v>0</v>
      </c>
      <c r="D62" s="29">
        <v>0</v>
      </c>
      <c r="E62" s="29">
        <v>0</v>
      </c>
      <c r="F62" s="29">
        <v>0</v>
      </c>
      <c r="G62" s="29">
        <v>0</v>
      </c>
      <c r="H62" s="29">
        <v>0</v>
      </c>
      <c r="L62" s="29" t="s">
        <v>10</v>
      </c>
    </row>
    <row r="63" customHeight="1" spans="1:12">
      <c r="A63" s="29" t="s">
        <v>1713</v>
      </c>
      <c r="B63" s="29" t="s">
        <v>1714</v>
      </c>
      <c r="C63" s="29">
        <v>0</v>
      </c>
      <c r="D63" s="29">
        <v>0</v>
      </c>
      <c r="E63" s="29">
        <v>0</v>
      </c>
      <c r="F63" s="29">
        <v>0</v>
      </c>
      <c r="G63" s="29">
        <v>0</v>
      </c>
      <c r="H63" s="29">
        <v>0</v>
      </c>
      <c r="L63" s="29" t="s">
        <v>10</v>
      </c>
    </row>
  </sheetData>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0:F14"/>
  <sheetViews>
    <sheetView workbookViewId="0">
      <selection activeCell="A1" sqref="A1"/>
    </sheetView>
  </sheetViews>
  <sheetFormatPr defaultColWidth="12.6285714285714" defaultRowHeight="15.75" customHeight="1" outlineLevelCol="5"/>
  <sheetData>
    <row r="10" customHeight="1" spans="2:6">
      <c r="B10" s="29" t="s">
        <v>1715</v>
      </c>
      <c r="F10" s="29" t="s">
        <v>1716</v>
      </c>
    </row>
    <row r="11" customHeight="1" spans="2:6">
      <c r="B11" s="29" t="s">
        <v>1717</v>
      </c>
      <c r="F11" s="29" t="s">
        <v>1718</v>
      </c>
    </row>
    <row r="12" customHeight="1" spans="6:6">
      <c r="F12" s="29" t="s">
        <v>1719</v>
      </c>
    </row>
    <row r="13" customHeight="1" spans="6:6">
      <c r="F13" s="29" t="s">
        <v>1720</v>
      </c>
    </row>
    <row r="14" customHeight="1" spans="6:6">
      <c r="F14" s="29" t="s">
        <v>1721</v>
      </c>
    </row>
  </sheetData>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29"/>
  <sheetViews>
    <sheetView workbookViewId="0">
      <selection activeCell="A1" sqref="A1"/>
    </sheetView>
  </sheetViews>
  <sheetFormatPr defaultColWidth="12.6285714285714" defaultRowHeight="15.75" customHeight="1"/>
  <sheetData>
    <row r="1" customHeight="1" spans="11:11">
      <c r="K1" s="29" t="s">
        <v>1722</v>
      </c>
    </row>
    <row r="2" customHeight="1" spans="11:11">
      <c r="K2" s="29" t="s">
        <v>1723</v>
      </c>
    </row>
    <row r="3" customHeight="1" spans="2:7">
      <c r="B3" s="29" t="s">
        <v>1724</v>
      </c>
      <c r="C3" s="416">
        <v>21</v>
      </c>
      <c r="F3" s="29" t="s">
        <v>1724</v>
      </c>
      <c r="G3" s="29">
        <f>C3</f>
        <v>21</v>
      </c>
    </row>
    <row r="4" customHeight="1" spans="2:11">
      <c r="B4" s="245">
        <v>35.99</v>
      </c>
      <c r="C4" s="360">
        <f>B4*C3</f>
        <v>755.79</v>
      </c>
      <c r="F4" s="245">
        <v>35.99</v>
      </c>
      <c r="G4" s="360">
        <f>F4*G3</f>
        <v>755.79</v>
      </c>
      <c r="K4" s="29" t="s">
        <v>1725</v>
      </c>
    </row>
    <row r="6" customHeight="1" spans="11:11">
      <c r="K6" s="29" t="s">
        <v>1726</v>
      </c>
    </row>
    <row r="7" customHeight="1" spans="2:7">
      <c r="B7" s="223" t="s">
        <v>350</v>
      </c>
      <c r="C7" s="416">
        <v>29</v>
      </c>
      <c r="F7" s="223" t="s">
        <v>1266</v>
      </c>
      <c r="G7" s="416">
        <v>20</v>
      </c>
    </row>
    <row r="8" customHeight="1" spans="1:11">
      <c r="A8" s="29" t="s">
        <v>1217</v>
      </c>
      <c r="B8" s="245">
        <v>32.6</v>
      </c>
      <c r="C8" s="360">
        <f t="shared" ref="C8:C9" si="0">B8*$C$7</f>
        <v>945.4</v>
      </c>
      <c r="D8" s="360"/>
      <c r="E8" s="29" t="s">
        <v>1217</v>
      </c>
      <c r="F8" s="245">
        <v>40.38</v>
      </c>
      <c r="G8" s="360">
        <f t="shared" ref="G8:G9" si="1">F8*$G$7</f>
        <v>807.6</v>
      </c>
      <c r="K8" s="29" t="s">
        <v>1727</v>
      </c>
    </row>
    <row r="9" customHeight="1" spans="1:7">
      <c r="A9" s="29" t="s">
        <v>1201</v>
      </c>
      <c r="B9" s="245">
        <v>34.6</v>
      </c>
      <c r="C9" s="360">
        <f t="shared" si="0"/>
        <v>1003.4</v>
      </c>
      <c r="D9" s="360"/>
      <c r="E9" s="29" t="s">
        <v>1201</v>
      </c>
      <c r="F9" s="245">
        <v>42.38</v>
      </c>
      <c r="G9" s="360">
        <f t="shared" si="1"/>
        <v>847.6</v>
      </c>
    </row>
    <row r="10" customHeight="1" spans="11:11">
      <c r="K10" s="29" t="s">
        <v>1728</v>
      </c>
    </row>
    <row r="12" customHeight="1" spans="2:11">
      <c r="B12" s="29" t="s">
        <v>1064</v>
      </c>
      <c r="F12" s="29" t="s">
        <v>1064</v>
      </c>
      <c r="K12" s="29" t="s">
        <v>1729</v>
      </c>
    </row>
    <row r="13" customHeight="1" spans="2:11">
      <c r="B13" s="416">
        <v>68</v>
      </c>
      <c r="C13" s="296">
        <f>B13/7</f>
        <v>9.71428571428571</v>
      </c>
      <c r="D13" s="245">
        <v>250</v>
      </c>
      <c r="F13" s="416">
        <v>53.5</v>
      </c>
      <c r="G13" s="296">
        <f>F13/7</f>
        <v>7.64285714285714</v>
      </c>
      <c r="H13" s="245">
        <v>250</v>
      </c>
      <c r="K13" s="29" t="s">
        <v>1730</v>
      </c>
    </row>
    <row r="14" customHeight="1" spans="2:8">
      <c r="B14" s="29">
        <v>2</v>
      </c>
      <c r="C14" s="296">
        <v>5</v>
      </c>
      <c r="D14" s="360">
        <f>C14*D13*B14</f>
        <v>2500</v>
      </c>
      <c r="F14" s="29">
        <v>2</v>
      </c>
      <c r="G14" s="296">
        <v>4</v>
      </c>
      <c r="H14" s="360">
        <f>G14*H13*F14</f>
        <v>2000</v>
      </c>
    </row>
    <row r="15" customHeight="1" spans="11:11">
      <c r="K15" s="29" t="s">
        <v>1731</v>
      </c>
    </row>
    <row r="16" customHeight="1" spans="11:11">
      <c r="K16" s="29" t="s">
        <v>1732</v>
      </c>
    </row>
    <row r="17" customHeight="1" spans="2:8">
      <c r="B17" s="29" t="s">
        <v>1733</v>
      </c>
      <c r="C17" s="29" t="s">
        <v>1734</v>
      </c>
      <c r="D17" s="29" t="s">
        <v>1735</v>
      </c>
      <c r="F17" s="29" t="s">
        <v>1733</v>
      </c>
      <c r="G17" s="29" t="s">
        <v>1734</v>
      </c>
      <c r="H17" s="29" t="s">
        <v>1735</v>
      </c>
    </row>
    <row r="18" customHeight="1" spans="2:11">
      <c r="B18" s="360">
        <f>C4+C8+D14</f>
        <v>4201.19</v>
      </c>
      <c r="C18" s="360">
        <f>C4+(C4*0.5)+C8+(C8*0.5)+(D14*2)</f>
        <v>7551.785</v>
      </c>
      <c r="D18" s="360">
        <f>C4+(C4)+C8+(C8)+(D14*2)</f>
        <v>8402.38</v>
      </c>
      <c r="F18" s="360">
        <f>G4+G8+H14</f>
        <v>3563.39</v>
      </c>
      <c r="G18" s="360">
        <f>G4+(G4*0.5)+G8+(G8*0.5)+(H14*2)</f>
        <v>6345.085</v>
      </c>
      <c r="H18" s="360">
        <f>G4+(G4)+G8+(G8)+(H14*2)</f>
        <v>7126.78</v>
      </c>
      <c r="K18" s="29" t="s">
        <v>1736</v>
      </c>
    </row>
    <row r="19" customHeight="1" spans="11:11">
      <c r="K19" s="29" t="s">
        <v>1737</v>
      </c>
    </row>
    <row r="21" customHeight="1" spans="11:11">
      <c r="K21" s="29" t="s">
        <v>1738</v>
      </c>
    </row>
    <row r="22" customHeight="1" spans="11:11">
      <c r="K22" s="29" t="s">
        <v>1739</v>
      </c>
    </row>
    <row r="24" customHeight="1" spans="3:11">
      <c r="C24" s="417"/>
      <c r="K24" s="29" t="s">
        <v>1740</v>
      </c>
    </row>
    <row r="25" customHeight="1" spans="11:11">
      <c r="K25" s="245">
        <v>55.08</v>
      </c>
    </row>
    <row r="27" customHeight="1" spans="4:11">
      <c r="D27" s="417"/>
      <c r="K27" s="29" t="s">
        <v>1741</v>
      </c>
    </row>
    <row r="29" customHeight="1" spans="11:11">
      <c r="K29" s="245">
        <v>57.08</v>
      </c>
    </row>
  </sheetData>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Z1000"/>
  <sheetViews>
    <sheetView workbookViewId="0">
      <selection activeCell="A1" sqref="A1"/>
    </sheetView>
  </sheetViews>
  <sheetFormatPr defaultColWidth="12.6285714285714" defaultRowHeight="15.75" customHeight="1"/>
  <cols>
    <col min="1" max="1" width="35.5047619047619" customWidth="1"/>
    <col min="2" max="2" width="18.1333333333333" customWidth="1"/>
    <col min="3" max="3" width="50.8761904761905" customWidth="1"/>
    <col min="4" max="4" width="11.247619047619" customWidth="1"/>
    <col min="5" max="5" width="12" customWidth="1"/>
    <col min="6" max="26" width="9.13333333333333" customWidth="1"/>
  </cols>
  <sheetData>
    <row r="1" ht="12.75" customHeight="1" spans="1:26">
      <c r="A1" s="363"/>
      <c r="B1" s="364"/>
      <c r="C1" s="365"/>
      <c r="D1" s="366"/>
      <c r="E1" s="366"/>
      <c r="F1" s="367"/>
      <c r="G1" s="367"/>
      <c r="H1" s="367"/>
      <c r="I1" s="367"/>
      <c r="J1" s="367"/>
      <c r="K1" s="367"/>
      <c r="L1" s="367"/>
      <c r="M1" s="367"/>
      <c r="N1" s="367"/>
      <c r="O1" s="367"/>
      <c r="P1" s="367"/>
      <c r="Q1" s="367"/>
      <c r="R1" s="367"/>
      <c r="S1" s="367"/>
      <c r="T1" s="367"/>
      <c r="U1" s="367"/>
      <c r="V1" s="367"/>
      <c r="W1" s="367"/>
      <c r="X1" s="367"/>
      <c r="Y1" s="367"/>
      <c r="Z1" s="367"/>
    </row>
    <row r="2" ht="12.75" customHeight="1" spans="1:26">
      <c r="A2" s="368"/>
      <c r="B2" s="364"/>
      <c r="C2" s="365"/>
      <c r="D2" s="366"/>
      <c r="E2" s="366"/>
      <c r="F2" s="367"/>
      <c r="G2" s="367"/>
      <c r="H2" s="367"/>
      <c r="I2" s="367"/>
      <c r="J2" s="367"/>
      <c r="K2" s="367"/>
      <c r="L2" s="367"/>
      <c r="M2" s="367"/>
      <c r="N2" s="367"/>
      <c r="O2" s="367"/>
      <c r="P2" s="367"/>
      <c r="Q2" s="367"/>
      <c r="R2" s="367"/>
      <c r="S2" s="367"/>
      <c r="T2" s="367"/>
      <c r="U2" s="367"/>
      <c r="V2" s="367"/>
      <c r="W2" s="367"/>
      <c r="X2" s="367"/>
      <c r="Y2" s="367"/>
      <c r="Z2" s="367"/>
    </row>
    <row r="3" ht="26.25" customHeight="1" spans="1:26">
      <c r="A3" s="369" t="s">
        <v>1742</v>
      </c>
      <c r="B3" s="370"/>
      <c r="C3" s="371"/>
      <c r="D3" s="372"/>
      <c r="E3" s="372"/>
      <c r="F3" s="367"/>
      <c r="G3" s="367"/>
      <c r="H3" s="367"/>
      <c r="I3" s="367"/>
      <c r="J3" s="367"/>
      <c r="K3" s="367"/>
      <c r="L3" s="367"/>
      <c r="M3" s="367"/>
      <c r="N3" s="367"/>
      <c r="O3" s="367"/>
      <c r="P3" s="367"/>
      <c r="Q3" s="367"/>
      <c r="R3" s="367"/>
      <c r="S3" s="367"/>
      <c r="T3" s="367"/>
      <c r="U3" s="367"/>
      <c r="V3" s="367"/>
      <c r="W3" s="367"/>
      <c r="X3" s="367"/>
      <c r="Y3" s="367"/>
      <c r="Z3" s="367"/>
    </row>
    <row r="4" ht="12.75" customHeight="1" spans="1:26">
      <c r="A4" s="373"/>
      <c r="B4" s="374"/>
      <c r="C4" s="371"/>
      <c r="D4" s="372"/>
      <c r="E4" s="372"/>
      <c r="F4" s="367"/>
      <c r="G4" s="367"/>
      <c r="H4" s="367"/>
      <c r="I4" s="367"/>
      <c r="J4" s="367"/>
      <c r="K4" s="367"/>
      <c r="L4" s="367"/>
      <c r="M4" s="367"/>
      <c r="N4" s="367"/>
      <c r="O4" s="367"/>
      <c r="P4" s="367"/>
      <c r="Q4" s="367"/>
      <c r="R4" s="367"/>
      <c r="S4" s="367"/>
      <c r="T4" s="367"/>
      <c r="U4" s="367"/>
      <c r="V4" s="367"/>
      <c r="W4" s="367"/>
      <c r="X4" s="367"/>
      <c r="Y4" s="367"/>
      <c r="Z4" s="367"/>
    </row>
    <row r="5" ht="12.75" customHeight="1" spans="1:26">
      <c r="A5" s="373" t="s">
        <v>1743</v>
      </c>
      <c r="B5" s="375"/>
      <c r="C5" s="376"/>
      <c r="D5" s="377" t="s">
        <v>1387</v>
      </c>
      <c r="E5" s="117"/>
      <c r="F5" s="367"/>
      <c r="G5" s="367"/>
      <c r="H5" s="367"/>
      <c r="I5" s="367"/>
      <c r="J5" s="367"/>
      <c r="K5" s="367"/>
      <c r="L5" s="367"/>
      <c r="M5" s="367"/>
      <c r="N5" s="367"/>
      <c r="O5" s="367"/>
      <c r="P5" s="367"/>
      <c r="Q5" s="367"/>
      <c r="R5" s="367"/>
      <c r="S5" s="367"/>
      <c r="T5" s="367"/>
      <c r="U5" s="367"/>
      <c r="V5" s="367"/>
      <c r="W5" s="367"/>
      <c r="X5" s="367"/>
      <c r="Y5" s="367"/>
      <c r="Z5" s="367"/>
    </row>
    <row r="6" ht="12.75" customHeight="1" spans="1:26">
      <c r="A6" s="373"/>
      <c r="B6" s="378"/>
      <c r="C6" s="379" t="s">
        <v>1744</v>
      </c>
      <c r="D6" s="380"/>
      <c r="E6" s="381"/>
      <c r="F6" s="367"/>
      <c r="G6" s="382" t="s">
        <v>1745</v>
      </c>
      <c r="H6" s="367"/>
      <c r="I6" s="367"/>
      <c r="J6" s="367"/>
      <c r="K6" s="367"/>
      <c r="L6" s="367"/>
      <c r="M6" s="367"/>
      <c r="N6" s="367"/>
      <c r="O6" s="367"/>
      <c r="P6" s="367"/>
      <c r="Q6" s="367"/>
      <c r="R6" s="367"/>
      <c r="S6" s="367"/>
      <c r="T6" s="367"/>
      <c r="U6" s="367"/>
      <c r="V6" s="367"/>
      <c r="W6" s="367"/>
      <c r="X6" s="367"/>
      <c r="Y6" s="367"/>
      <c r="Z6" s="367"/>
    </row>
    <row r="7" ht="6" hidden="1" customHeight="1" spans="1:26">
      <c r="A7" s="373"/>
      <c r="B7" s="378"/>
      <c r="C7" s="376"/>
      <c r="D7" s="380"/>
      <c r="E7" s="381"/>
      <c r="F7" s="367"/>
      <c r="G7" s="367"/>
      <c r="H7" s="367"/>
      <c r="I7" s="367"/>
      <c r="J7" s="367"/>
      <c r="K7" s="367"/>
      <c r="L7" s="367"/>
      <c r="M7" s="367"/>
      <c r="N7" s="367"/>
      <c r="O7" s="367"/>
      <c r="P7" s="367"/>
      <c r="Q7" s="367"/>
      <c r="R7" s="367"/>
      <c r="S7" s="367"/>
      <c r="T7" s="367"/>
      <c r="U7" s="367"/>
      <c r="V7" s="367"/>
      <c r="W7" s="367"/>
      <c r="X7" s="367"/>
      <c r="Y7" s="367"/>
      <c r="Z7" s="367"/>
    </row>
    <row r="8" ht="19.5" customHeight="1" spans="1:26">
      <c r="A8" s="383"/>
      <c r="B8" s="96"/>
      <c r="C8" s="96"/>
      <c r="D8" s="96"/>
      <c r="E8" s="117"/>
      <c r="F8" s="367"/>
      <c r="G8" s="367"/>
      <c r="H8" s="367"/>
      <c r="I8" s="367"/>
      <c r="J8" s="367"/>
      <c r="K8" s="367"/>
      <c r="L8" s="367"/>
      <c r="M8" s="367"/>
      <c r="N8" s="367"/>
      <c r="O8" s="367"/>
      <c r="P8" s="367"/>
      <c r="Q8" s="367"/>
      <c r="R8" s="367"/>
      <c r="S8" s="367"/>
      <c r="T8" s="367"/>
      <c r="U8" s="367"/>
      <c r="V8" s="367"/>
      <c r="W8" s="367"/>
      <c r="X8" s="367"/>
      <c r="Y8" s="367"/>
      <c r="Z8" s="367"/>
    </row>
    <row r="9" ht="12.75" customHeight="1" spans="1:26">
      <c r="A9" s="384" t="s">
        <v>1746</v>
      </c>
      <c r="B9" s="385" t="s">
        <v>1747</v>
      </c>
      <c r="C9" s="386" t="s">
        <v>1187</v>
      </c>
      <c r="D9" s="387" t="s">
        <v>1748</v>
      </c>
      <c r="E9" s="388" t="s">
        <v>1749</v>
      </c>
      <c r="F9" s="367"/>
      <c r="G9" s="367"/>
      <c r="H9" s="367"/>
      <c r="I9" s="367"/>
      <c r="J9" s="367"/>
      <c r="K9" s="367"/>
      <c r="L9" s="367"/>
      <c r="M9" s="367"/>
      <c r="N9" s="367"/>
      <c r="O9" s="367"/>
      <c r="P9" s="367"/>
      <c r="Q9" s="367"/>
      <c r="R9" s="367"/>
      <c r="S9" s="367"/>
      <c r="T9" s="367"/>
      <c r="U9" s="367"/>
      <c r="V9" s="367"/>
      <c r="W9" s="367"/>
      <c r="X9" s="367"/>
      <c r="Y9" s="367"/>
      <c r="Z9" s="367"/>
    </row>
    <row r="10" ht="12.75" customHeight="1" spans="1:26">
      <c r="A10" s="389" t="s">
        <v>1044</v>
      </c>
      <c r="B10" s="390"/>
      <c r="C10" s="391"/>
      <c r="D10" s="392"/>
      <c r="E10" s="392"/>
      <c r="F10" s="367"/>
      <c r="G10" s="367"/>
      <c r="H10" s="367"/>
      <c r="I10" s="367"/>
      <c r="J10" s="367"/>
      <c r="K10" s="367"/>
      <c r="L10" s="367"/>
      <c r="M10" s="367"/>
      <c r="N10" s="367"/>
      <c r="O10" s="367"/>
      <c r="P10" s="367"/>
      <c r="Q10" s="367"/>
      <c r="R10" s="367"/>
      <c r="S10" s="367"/>
      <c r="T10" s="367"/>
      <c r="U10" s="367"/>
      <c r="V10" s="367"/>
      <c r="W10" s="367"/>
      <c r="X10" s="367"/>
      <c r="Y10" s="367"/>
      <c r="Z10" s="367"/>
    </row>
    <row r="11" ht="12.75" customHeight="1" spans="1:26">
      <c r="A11" s="393"/>
      <c r="B11" s="390"/>
      <c r="C11" s="376"/>
      <c r="D11" s="392"/>
      <c r="E11" s="392"/>
      <c r="F11" s="367"/>
      <c r="G11" s="367"/>
      <c r="H11" s="367"/>
      <c r="I11" s="367"/>
      <c r="J11" s="367"/>
      <c r="K11" s="367"/>
      <c r="L11" s="367"/>
      <c r="M11" s="367"/>
      <c r="N11" s="367"/>
      <c r="O11" s="367"/>
      <c r="P11" s="367"/>
      <c r="Q11" s="367"/>
      <c r="R11" s="367"/>
      <c r="S11" s="367"/>
      <c r="T11" s="367"/>
      <c r="U11" s="367"/>
      <c r="V11" s="367"/>
      <c r="W11" s="367"/>
      <c r="X11" s="367"/>
      <c r="Y11" s="367"/>
      <c r="Z11" s="367"/>
    </row>
    <row r="12" ht="12.75" customHeight="1" spans="1:26">
      <c r="A12" s="391" t="s">
        <v>1750</v>
      </c>
      <c r="B12" s="390" t="s">
        <v>1751</v>
      </c>
      <c r="C12" s="373" t="s">
        <v>1752</v>
      </c>
      <c r="D12" s="392">
        <v>15</v>
      </c>
      <c r="E12" s="392">
        <v>75</v>
      </c>
      <c r="F12" s="367"/>
      <c r="G12" s="367"/>
      <c r="H12" s="367"/>
      <c r="I12" s="367"/>
      <c r="J12" s="367"/>
      <c r="K12" s="367"/>
      <c r="L12" s="367"/>
      <c r="M12" s="367"/>
      <c r="N12" s="367"/>
      <c r="O12" s="367"/>
      <c r="P12" s="367"/>
      <c r="Q12" s="367"/>
      <c r="R12" s="367"/>
      <c r="S12" s="367"/>
      <c r="T12" s="367"/>
      <c r="U12" s="367"/>
      <c r="V12" s="367"/>
      <c r="W12" s="367"/>
      <c r="X12" s="367"/>
      <c r="Y12" s="367"/>
      <c r="Z12" s="367"/>
    </row>
    <row r="13" ht="12.75" customHeight="1" spans="1:26">
      <c r="A13" s="393" t="s">
        <v>1753</v>
      </c>
      <c r="B13" s="390" t="s">
        <v>1754</v>
      </c>
      <c r="C13" s="373" t="s">
        <v>1755</v>
      </c>
      <c r="D13" s="392">
        <v>18</v>
      </c>
      <c r="E13" s="392">
        <v>90</v>
      </c>
      <c r="F13" s="367"/>
      <c r="G13" s="367"/>
      <c r="H13" s="367"/>
      <c r="I13" s="367"/>
      <c r="J13" s="367"/>
      <c r="K13" s="367"/>
      <c r="L13" s="367"/>
      <c r="M13" s="367"/>
      <c r="N13" s="367"/>
      <c r="O13" s="367"/>
      <c r="P13" s="367"/>
      <c r="Q13" s="367"/>
      <c r="R13" s="367"/>
      <c r="S13" s="367"/>
      <c r="T13" s="367"/>
      <c r="U13" s="367"/>
      <c r="V13" s="367"/>
      <c r="W13" s="367"/>
      <c r="X13" s="367"/>
      <c r="Y13" s="367"/>
      <c r="Z13" s="367"/>
    </row>
    <row r="14" ht="12.75" customHeight="1" spans="1:26">
      <c r="A14" s="393" t="s">
        <v>1756</v>
      </c>
      <c r="B14" s="390" t="s">
        <v>1754</v>
      </c>
      <c r="C14" s="376" t="s">
        <v>1757</v>
      </c>
      <c r="D14" s="394">
        <v>19</v>
      </c>
      <c r="E14" s="394">
        <v>95</v>
      </c>
      <c r="F14" s="367" t="s">
        <v>1387</v>
      </c>
      <c r="G14" s="367"/>
      <c r="H14" s="367"/>
      <c r="I14" s="367"/>
      <c r="J14" s="367"/>
      <c r="K14" s="367"/>
      <c r="L14" s="367"/>
      <c r="M14" s="367"/>
      <c r="N14" s="367"/>
      <c r="O14" s="367"/>
      <c r="P14" s="367"/>
      <c r="Q14" s="367"/>
      <c r="R14" s="367"/>
      <c r="S14" s="367"/>
      <c r="T14" s="367"/>
      <c r="U14" s="367"/>
      <c r="V14" s="367"/>
      <c r="W14" s="367"/>
      <c r="X14" s="367"/>
      <c r="Y14" s="367"/>
      <c r="Z14" s="367"/>
    </row>
    <row r="15" ht="12.75" customHeight="1" spans="1:26">
      <c r="A15" s="393" t="s">
        <v>1758</v>
      </c>
      <c r="B15" s="390" t="s">
        <v>1759</v>
      </c>
      <c r="C15" s="376" t="s">
        <v>1760</v>
      </c>
      <c r="D15" s="395">
        <v>23.95</v>
      </c>
      <c r="E15" s="392">
        <v>119.75</v>
      </c>
      <c r="F15" s="367"/>
      <c r="G15" s="367"/>
      <c r="H15" s="367"/>
      <c r="I15" s="367"/>
      <c r="J15" s="367"/>
      <c r="K15" s="367"/>
      <c r="L15" s="367"/>
      <c r="M15" s="367"/>
      <c r="N15" s="367"/>
      <c r="O15" s="367"/>
      <c r="P15" s="367"/>
      <c r="Q15" s="367"/>
      <c r="R15" s="367"/>
      <c r="S15" s="367"/>
      <c r="T15" s="367"/>
      <c r="U15" s="367"/>
      <c r="V15" s="367"/>
      <c r="W15" s="367"/>
      <c r="X15" s="367"/>
      <c r="Y15" s="367"/>
      <c r="Z15" s="367"/>
    </row>
    <row r="16" ht="12.75" customHeight="1" spans="1:26">
      <c r="A16" s="393" t="s">
        <v>1761</v>
      </c>
      <c r="B16" s="390" t="s">
        <v>1759</v>
      </c>
      <c r="C16" s="376" t="s">
        <v>1762</v>
      </c>
      <c r="D16" s="395">
        <v>25.95</v>
      </c>
      <c r="E16" s="392">
        <v>129.75</v>
      </c>
      <c r="F16" s="367"/>
      <c r="G16" s="367"/>
      <c r="H16" s="367"/>
      <c r="I16" s="367"/>
      <c r="J16" s="367"/>
      <c r="K16" s="367"/>
      <c r="L16" s="367"/>
      <c r="M16" s="367"/>
      <c r="N16" s="367"/>
      <c r="O16" s="367"/>
      <c r="P16" s="367"/>
      <c r="Q16" s="367"/>
      <c r="R16" s="367"/>
      <c r="S16" s="367"/>
      <c r="T16" s="367"/>
      <c r="U16" s="367"/>
      <c r="V16" s="367"/>
      <c r="W16" s="367"/>
      <c r="X16" s="367"/>
      <c r="Y16" s="367"/>
      <c r="Z16" s="367"/>
    </row>
    <row r="17" ht="12.75" customHeight="1" spans="1:26">
      <c r="A17" s="393" t="s">
        <v>1763</v>
      </c>
      <c r="B17" s="390" t="s">
        <v>1764</v>
      </c>
      <c r="C17" s="376" t="s">
        <v>1765</v>
      </c>
      <c r="D17" s="395">
        <v>32.95</v>
      </c>
      <c r="E17" s="392">
        <v>164.75</v>
      </c>
      <c r="F17" s="367"/>
      <c r="G17" s="367"/>
      <c r="H17" s="367"/>
      <c r="I17" s="367"/>
      <c r="J17" s="367"/>
      <c r="K17" s="367"/>
      <c r="L17" s="367"/>
      <c r="M17" s="367"/>
      <c r="N17" s="367"/>
      <c r="O17" s="367"/>
      <c r="P17" s="367"/>
      <c r="Q17" s="367"/>
      <c r="R17" s="367"/>
      <c r="S17" s="367"/>
      <c r="T17" s="367"/>
      <c r="U17" s="367"/>
      <c r="V17" s="367"/>
      <c r="W17" s="367"/>
      <c r="X17" s="367"/>
      <c r="Y17" s="367"/>
      <c r="Z17" s="367"/>
    </row>
    <row r="18" ht="12.75" customHeight="1" spans="1:26">
      <c r="A18" s="393" t="s">
        <v>1766</v>
      </c>
      <c r="B18" s="390" t="s">
        <v>1764</v>
      </c>
      <c r="C18" s="376" t="s">
        <v>1767</v>
      </c>
      <c r="D18" s="392">
        <v>39.4</v>
      </c>
      <c r="E18" s="392">
        <v>196.99</v>
      </c>
      <c r="F18" s="367"/>
      <c r="G18" s="367"/>
      <c r="H18" s="367"/>
      <c r="I18" s="367"/>
      <c r="J18" s="367"/>
      <c r="K18" s="367"/>
      <c r="L18" s="367"/>
      <c r="M18" s="367"/>
      <c r="N18" s="367"/>
      <c r="O18" s="367"/>
      <c r="P18" s="367"/>
      <c r="Q18" s="367"/>
      <c r="R18" s="367"/>
      <c r="S18" s="367"/>
      <c r="T18" s="367"/>
      <c r="U18" s="367"/>
      <c r="V18" s="367"/>
      <c r="W18" s="367"/>
      <c r="X18" s="367"/>
      <c r="Y18" s="367"/>
      <c r="Z18" s="367"/>
    </row>
    <row r="19" ht="12.75" customHeight="1" spans="1:26">
      <c r="A19" s="393" t="s">
        <v>1768</v>
      </c>
      <c r="B19" s="390" t="s">
        <v>1769</v>
      </c>
      <c r="C19" s="376" t="s">
        <v>1770</v>
      </c>
      <c r="D19" s="392">
        <v>44.95</v>
      </c>
      <c r="E19" s="392"/>
      <c r="F19" s="367"/>
      <c r="G19" s="367"/>
      <c r="H19" s="367"/>
      <c r="I19" s="367"/>
      <c r="J19" s="367"/>
      <c r="K19" s="367"/>
      <c r="L19" s="367"/>
      <c r="M19" s="367"/>
      <c r="N19" s="367"/>
      <c r="O19" s="367"/>
      <c r="P19" s="367"/>
      <c r="Q19" s="367"/>
      <c r="R19" s="367"/>
      <c r="S19" s="367"/>
      <c r="T19" s="367"/>
      <c r="U19" s="367"/>
      <c r="V19" s="367"/>
      <c r="W19" s="367"/>
      <c r="X19" s="367"/>
      <c r="Y19" s="367"/>
      <c r="Z19" s="367"/>
    </row>
    <row r="20" ht="12.75" customHeight="1" spans="1:26">
      <c r="A20" s="393" t="s">
        <v>1771</v>
      </c>
      <c r="B20" s="390" t="s">
        <v>1772</v>
      </c>
      <c r="C20" s="376" t="s">
        <v>1773</v>
      </c>
      <c r="D20" s="392">
        <v>47.95</v>
      </c>
      <c r="E20" s="392">
        <v>239.75</v>
      </c>
      <c r="F20" s="367"/>
      <c r="G20" s="367"/>
      <c r="H20" s="367"/>
      <c r="I20" s="367"/>
      <c r="J20" s="367"/>
      <c r="K20" s="367"/>
      <c r="L20" s="367"/>
      <c r="M20" s="367"/>
      <c r="N20" s="367"/>
      <c r="O20" s="367"/>
      <c r="P20" s="367"/>
      <c r="Q20" s="367"/>
      <c r="R20" s="367"/>
      <c r="S20" s="367"/>
      <c r="T20" s="367"/>
      <c r="U20" s="367"/>
      <c r="V20" s="367"/>
      <c r="W20" s="367"/>
      <c r="X20" s="367"/>
      <c r="Y20" s="367"/>
      <c r="Z20" s="367"/>
    </row>
    <row r="21" ht="12.75" customHeight="1" spans="1:26">
      <c r="A21" s="393" t="s">
        <v>1774</v>
      </c>
      <c r="B21" s="390"/>
      <c r="C21" s="376" t="s">
        <v>1775</v>
      </c>
      <c r="D21" s="392">
        <v>52.95</v>
      </c>
      <c r="E21" s="392">
        <v>264.75</v>
      </c>
      <c r="F21" s="367"/>
      <c r="G21" s="367"/>
      <c r="H21" s="367"/>
      <c r="I21" s="367"/>
      <c r="J21" s="367"/>
      <c r="K21" s="367"/>
      <c r="L21" s="367"/>
      <c r="M21" s="367"/>
      <c r="N21" s="367"/>
      <c r="O21" s="367"/>
      <c r="P21" s="367"/>
      <c r="Q21" s="367"/>
      <c r="R21" s="367"/>
      <c r="S21" s="367"/>
      <c r="T21" s="367"/>
      <c r="U21" s="367"/>
      <c r="V21" s="367"/>
      <c r="W21" s="367"/>
      <c r="X21" s="367"/>
      <c r="Y21" s="367"/>
      <c r="Z21" s="367"/>
    </row>
    <row r="22" ht="12.75" customHeight="1" spans="1:26">
      <c r="A22" s="373"/>
      <c r="B22" s="390"/>
      <c r="C22" s="376"/>
      <c r="D22" s="392"/>
      <c r="E22" s="392"/>
      <c r="F22" s="367"/>
      <c r="G22" s="367"/>
      <c r="H22" s="367"/>
      <c r="I22" s="367"/>
      <c r="J22" s="367"/>
      <c r="K22" s="367"/>
      <c r="L22" s="367"/>
      <c r="M22" s="367"/>
      <c r="N22" s="367"/>
      <c r="O22" s="367"/>
      <c r="P22" s="367"/>
      <c r="Q22" s="367"/>
      <c r="R22" s="367"/>
      <c r="S22" s="367"/>
      <c r="T22" s="367"/>
      <c r="U22" s="367"/>
      <c r="V22" s="367"/>
      <c r="W22" s="367"/>
      <c r="X22" s="367"/>
      <c r="Y22" s="367"/>
      <c r="Z22" s="367"/>
    </row>
    <row r="23" ht="12.75" customHeight="1" spans="1:26">
      <c r="A23" s="396" t="s">
        <v>1038</v>
      </c>
      <c r="B23" s="390"/>
      <c r="C23" s="376"/>
      <c r="D23" s="392"/>
      <c r="E23" s="392"/>
      <c r="F23" s="367"/>
      <c r="G23" s="367"/>
      <c r="H23" s="367"/>
      <c r="I23" s="367"/>
      <c r="J23" s="367"/>
      <c r="K23" s="367"/>
      <c r="L23" s="367"/>
      <c r="M23" s="367"/>
      <c r="N23" s="367"/>
      <c r="O23" s="367"/>
      <c r="P23" s="367"/>
      <c r="Q23" s="367"/>
      <c r="R23" s="367"/>
      <c r="S23" s="367"/>
      <c r="T23" s="367"/>
      <c r="U23" s="367"/>
      <c r="V23" s="367"/>
      <c r="W23" s="367"/>
      <c r="X23" s="367"/>
      <c r="Y23" s="367"/>
      <c r="Z23" s="367"/>
    </row>
    <row r="24" ht="12.75" customHeight="1" spans="1:26">
      <c r="A24" s="373"/>
      <c r="B24" s="390"/>
      <c r="C24" s="376"/>
      <c r="D24" s="392"/>
      <c r="E24" s="392"/>
      <c r="F24" s="367"/>
      <c r="G24" s="367"/>
      <c r="H24" s="367"/>
      <c r="I24" s="367"/>
      <c r="J24" s="367"/>
      <c r="K24" s="367"/>
      <c r="L24" s="367"/>
      <c r="M24" s="367"/>
      <c r="N24" s="367"/>
      <c r="O24" s="367"/>
      <c r="P24" s="367"/>
      <c r="Q24" s="367"/>
      <c r="R24" s="367"/>
      <c r="S24" s="367"/>
      <c r="T24" s="367"/>
      <c r="U24" s="367"/>
      <c r="V24" s="367"/>
      <c r="W24" s="367"/>
      <c r="X24" s="367"/>
      <c r="Y24" s="367"/>
      <c r="Z24" s="367"/>
    </row>
    <row r="25" ht="12.75" customHeight="1" spans="1:26">
      <c r="A25" s="373" t="s">
        <v>1776</v>
      </c>
      <c r="B25" s="390"/>
      <c r="C25" s="376" t="s">
        <v>1777</v>
      </c>
      <c r="D25" s="392"/>
      <c r="E25" s="392">
        <v>93.01</v>
      </c>
      <c r="F25" s="367"/>
      <c r="G25" s="367"/>
      <c r="H25" s="367"/>
      <c r="I25" s="367"/>
      <c r="J25" s="367"/>
      <c r="K25" s="367"/>
      <c r="L25" s="367"/>
      <c r="M25" s="367"/>
      <c r="N25" s="367"/>
      <c r="O25" s="367"/>
      <c r="P25" s="367"/>
      <c r="Q25" s="367"/>
      <c r="R25" s="367"/>
      <c r="S25" s="367"/>
      <c r="T25" s="367"/>
      <c r="U25" s="367"/>
      <c r="V25" s="367"/>
      <c r="W25" s="367"/>
      <c r="X25" s="367"/>
      <c r="Y25" s="367"/>
      <c r="Z25" s="367"/>
    </row>
    <row r="26" ht="12.75" customHeight="1" spans="1:26">
      <c r="A26" s="373" t="s">
        <v>1778</v>
      </c>
      <c r="B26" s="390" t="s">
        <v>1779</v>
      </c>
      <c r="C26" s="376" t="s">
        <v>1780</v>
      </c>
      <c r="D26" s="392">
        <v>25.95</v>
      </c>
      <c r="E26" s="392">
        <v>129.75</v>
      </c>
      <c r="F26" s="367"/>
      <c r="G26" s="367"/>
      <c r="H26" s="367"/>
      <c r="I26" s="367"/>
      <c r="J26" s="367"/>
      <c r="K26" s="367"/>
      <c r="L26" s="367"/>
      <c r="M26" s="367"/>
      <c r="N26" s="367"/>
      <c r="O26" s="367"/>
      <c r="P26" s="367"/>
      <c r="Q26" s="367"/>
      <c r="R26" s="367"/>
      <c r="S26" s="367"/>
      <c r="T26" s="367"/>
      <c r="U26" s="367"/>
      <c r="V26" s="367"/>
      <c r="W26" s="367"/>
      <c r="X26" s="367"/>
      <c r="Y26" s="367"/>
      <c r="Z26" s="367"/>
    </row>
    <row r="27" ht="12.75" customHeight="1" spans="1:26">
      <c r="A27" s="373" t="s">
        <v>1781</v>
      </c>
      <c r="B27" s="390" t="s">
        <v>1779</v>
      </c>
      <c r="C27" s="376" t="s">
        <v>1782</v>
      </c>
      <c r="D27" s="392">
        <v>26.95</v>
      </c>
      <c r="E27" s="392">
        <v>134.75</v>
      </c>
      <c r="F27" s="367"/>
      <c r="G27" s="367"/>
      <c r="H27" s="367"/>
      <c r="I27" s="367"/>
      <c r="J27" s="367"/>
      <c r="K27" s="367"/>
      <c r="L27" s="367"/>
      <c r="M27" s="367"/>
      <c r="N27" s="367"/>
      <c r="O27" s="367"/>
      <c r="P27" s="367"/>
      <c r="Q27" s="367"/>
      <c r="R27" s="367"/>
      <c r="S27" s="367"/>
      <c r="T27" s="367"/>
      <c r="U27" s="367"/>
      <c r="V27" s="367"/>
      <c r="W27" s="367"/>
      <c r="X27" s="367"/>
      <c r="Y27" s="367"/>
      <c r="Z27" s="367"/>
    </row>
    <row r="28" ht="12.75" customHeight="1" spans="1:26">
      <c r="A28" s="373" t="s">
        <v>1783</v>
      </c>
      <c r="B28" s="390" t="s">
        <v>1784</v>
      </c>
      <c r="C28" s="376" t="s">
        <v>1785</v>
      </c>
      <c r="D28" s="392">
        <v>28.95</v>
      </c>
      <c r="E28" s="392">
        <v>144.75</v>
      </c>
      <c r="F28" s="367"/>
      <c r="G28" s="367"/>
      <c r="H28" s="367"/>
      <c r="I28" s="367"/>
      <c r="J28" s="367"/>
      <c r="K28" s="367"/>
      <c r="L28" s="367"/>
      <c r="M28" s="367"/>
      <c r="N28" s="367"/>
      <c r="O28" s="367"/>
      <c r="P28" s="367"/>
      <c r="Q28" s="367"/>
      <c r="R28" s="367"/>
      <c r="S28" s="367"/>
      <c r="T28" s="367"/>
      <c r="U28" s="367"/>
      <c r="V28" s="367"/>
      <c r="W28" s="367"/>
      <c r="X28" s="367"/>
      <c r="Y28" s="367"/>
      <c r="Z28" s="367"/>
    </row>
    <row r="29" ht="12.75" customHeight="1" spans="1:26">
      <c r="A29" s="373" t="s">
        <v>1786</v>
      </c>
      <c r="B29" s="390" t="s">
        <v>1784</v>
      </c>
      <c r="C29" s="376" t="s">
        <v>1787</v>
      </c>
      <c r="D29" s="392">
        <v>29.95</v>
      </c>
      <c r="E29" s="392">
        <v>149.75</v>
      </c>
      <c r="F29" s="367"/>
      <c r="G29" s="367"/>
      <c r="H29" s="367"/>
      <c r="I29" s="367"/>
      <c r="J29" s="367"/>
      <c r="K29" s="367"/>
      <c r="L29" s="367"/>
      <c r="M29" s="367"/>
      <c r="N29" s="367"/>
      <c r="O29" s="367"/>
      <c r="P29" s="367"/>
      <c r="Q29" s="367"/>
      <c r="R29" s="367"/>
      <c r="S29" s="367"/>
      <c r="T29" s="367"/>
      <c r="U29" s="367"/>
      <c r="V29" s="367"/>
      <c r="W29" s="367"/>
      <c r="X29" s="367"/>
      <c r="Y29" s="367"/>
      <c r="Z29" s="367"/>
    </row>
    <row r="30" ht="12.75" customHeight="1" spans="1:26">
      <c r="A30" s="373" t="s">
        <v>1788</v>
      </c>
      <c r="B30" s="390" t="s">
        <v>1789</v>
      </c>
      <c r="C30" s="376" t="s">
        <v>1790</v>
      </c>
      <c r="D30" s="392">
        <v>41.95</v>
      </c>
      <c r="E30" s="392">
        <v>209.75</v>
      </c>
      <c r="F30" s="367"/>
      <c r="G30" s="367"/>
      <c r="H30" s="367"/>
      <c r="I30" s="367"/>
      <c r="J30" s="367"/>
      <c r="K30" s="367"/>
      <c r="L30" s="367"/>
      <c r="M30" s="367"/>
      <c r="N30" s="367"/>
      <c r="O30" s="367"/>
      <c r="P30" s="367"/>
      <c r="Q30" s="367"/>
      <c r="R30" s="367"/>
      <c r="S30" s="367"/>
      <c r="T30" s="367"/>
      <c r="U30" s="367"/>
      <c r="V30" s="367"/>
      <c r="W30" s="367"/>
      <c r="X30" s="367"/>
      <c r="Y30" s="367"/>
      <c r="Z30" s="367"/>
    </row>
    <row r="31" ht="12.75" customHeight="1" spans="1:26">
      <c r="A31" s="373" t="s">
        <v>1791</v>
      </c>
      <c r="B31" s="390" t="s">
        <v>1789</v>
      </c>
      <c r="C31" s="376" t="s">
        <v>1792</v>
      </c>
      <c r="D31" s="392">
        <v>42.95</v>
      </c>
      <c r="E31" s="392">
        <v>214.75</v>
      </c>
      <c r="F31" s="367"/>
      <c r="G31" s="367"/>
      <c r="H31" s="367"/>
      <c r="I31" s="367"/>
      <c r="J31" s="367"/>
      <c r="K31" s="367"/>
      <c r="L31" s="367"/>
      <c r="M31" s="367"/>
      <c r="N31" s="367"/>
      <c r="O31" s="367"/>
      <c r="P31" s="367"/>
      <c r="Q31" s="367"/>
      <c r="R31" s="367"/>
      <c r="S31" s="367"/>
      <c r="T31" s="367"/>
      <c r="U31" s="367"/>
      <c r="V31" s="367"/>
      <c r="W31" s="367"/>
      <c r="X31" s="367"/>
      <c r="Y31" s="367"/>
      <c r="Z31" s="367"/>
    </row>
    <row r="32" ht="12.75" customHeight="1" spans="1:26">
      <c r="A32" s="373"/>
      <c r="B32" s="390"/>
      <c r="C32" s="376"/>
      <c r="D32" s="392"/>
      <c r="E32" s="392"/>
      <c r="F32" s="367"/>
      <c r="G32" s="367"/>
      <c r="H32" s="367"/>
      <c r="I32" s="367"/>
      <c r="J32" s="367"/>
      <c r="K32" s="367"/>
      <c r="L32" s="367"/>
      <c r="M32" s="367"/>
      <c r="N32" s="367"/>
      <c r="O32" s="367"/>
      <c r="P32" s="367"/>
      <c r="Q32" s="367"/>
      <c r="R32" s="367"/>
      <c r="S32" s="367"/>
      <c r="T32" s="367"/>
      <c r="U32" s="367"/>
      <c r="V32" s="367"/>
      <c r="W32" s="367"/>
      <c r="X32" s="367"/>
      <c r="Y32" s="367"/>
      <c r="Z32" s="367"/>
    </row>
    <row r="33" ht="12.75" customHeight="1" spans="1:26">
      <c r="A33" s="373"/>
      <c r="B33" s="390"/>
      <c r="C33" s="376"/>
      <c r="D33" s="394"/>
      <c r="E33" s="392"/>
      <c r="F33" s="367"/>
      <c r="G33" s="367"/>
      <c r="H33" s="367"/>
      <c r="I33" s="367"/>
      <c r="J33" s="367"/>
      <c r="K33" s="367"/>
      <c r="L33" s="367"/>
      <c r="M33" s="367"/>
      <c r="N33" s="367"/>
      <c r="O33" s="367"/>
      <c r="P33" s="367"/>
      <c r="Q33" s="367"/>
      <c r="R33" s="367"/>
      <c r="S33" s="367"/>
      <c r="T33" s="367"/>
      <c r="U33" s="367"/>
      <c r="V33" s="367"/>
      <c r="W33" s="367"/>
      <c r="X33" s="367"/>
      <c r="Y33" s="367"/>
      <c r="Z33" s="367"/>
    </row>
    <row r="34" ht="12.75" customHeight="1" spans="1:26">
      <c r="A34" s="373"/>
      <c r="B34" s="390"/>
      <c r="C34" s="376"/>
      <c r="D34" s="392"/>
      <c r="E34" s="392"/>
      <c r="F34" s="367"/>
      <c r="G34" s="367"/>
      <c r="H34" s="367"/>
      <c r="I34" s="367"/>
      <c r="J34" s="367"/>
      <c r="K34" s="367"/>
      <c r="L34" s="367"/>
      <c r="M34" s="367"/>
      <c r="N34" s="367"/>
      <c r="O34" s="367"/>
      <c r="P34" s="367"/>
      <c r="Q34" s="367"/>
      <c r="R34" s="367"/>
      <c r="S34" s="367"/>
      <c r="T34" s="367"/>
      <c r="U34" s="367"/>
      <c r="V34" s="367"/>
      <c r="W34" s="367"/>
      <c r="X34" s="367"/>
      <c r="Y34" s="367"/>
      <c r="Z34" s="367"/>
    </row>
    <row r="35" ht="12.75" customHeight="1" spans="1:26">
      <c r="A35" s="373"/>
      <c r="B35" s="390"/>
      <c r="C35" s="376"/>
      <c r="D35" s="392"/>
      <c r="E35" s="394"/>
      <c r="F35" s="367"/>
      <c r="G35" s="367"/>
      <c r="H35" s="367"/>
      <c r="I35" s="367"/>
      <c r="J35" s="367"/>
      <c r="K35" s="367"/>
      <c r="L35" s="367"/>
      <c r="M35" s="367"/>
      <c r="N35" s="367"/>
      <c r="O35" s="367"/>
      <c r="P35" s="367"/>
      <c r="Q35" s="367"/>
      <c r="R35" s="367"/>
      <c r="S35" s="367"/>
      <c r="T35" s="367"/>
      <c r="U35" s="367"/>
      <c r="V35" s="367"/>
      <c r="W35" s="367"/>
      <c r="X35" s="367"/>
      <c r="Y35" s="367"/>
      <c r="Z35" s="367"/>
    </row>
    <row r="36" ht="12.75" customHeight="1" spans="1:26">
      <c r="A36" s="373"/>
      <c r="B36" s="390"/>
      <c r="C36" s="376"/>
      <c r="D36" s="392"/>
      <c r="E36" s="392"/>
      <c r="F36" s="367"/>
      <c r="G36" s="367"/>
      <c r="H36" s="367"/>
      <c r="I36" s="367"/>
      <c r="J36" s="367"/>
      <c r="K36" s="367"/>
      <c r="L36" s="367"/>
      <c r="M36" s="367"/>
      <c r="N36" s="367"/>
      <c r="O36" s="367"/>
      <c r="P36" s="367"/>
      <c r="Q36" s="367"/>
      <c r="R36" s="367"/>
      <c r="S36" s="367"/>
      <c r="T36" s="367"/>
      <c r="U36" s="367"/>
      <c r="V36" s="367"/>
      <c r="W36" s="367"/>
      <c r="X36" s="367"/>
      <c r="Y36" s="367"/>
      <c r="Z36" s="367"/>
    </row>
    <row r="37" ht="12.75" customHeight="1" spans="1:26">
      <c r="A37" s="373"/>
      <c r="B37" s="390"/>
      <c r="C37" s="376"/>
      <c r="D37" s="392"/>
      <c r="E37" s="392"/>
      <c r="F37" s="367"/>
      <c r="G37" s="367"/>
      <c r="H37" s="367"/>
      <c r="I37" s="367"/>
      <c r="J37" s="367"/>
      <c r="K37" s="367"/>
      <c r="L37" s="367"/>
      <c r="M37" s="367"/>
      <c r="N37" s="367"/>
      <c r="O37" s="367"/>
      <c r="P37" s="367"/>
      <c r="Q37" s="367"/>
      <c r="R37" s="367"/>
      <c r="S37" s="367"/>
      <c r="T37" s="367"/>
      <c r="U37" s="367"/>
      <c r="V37" s="367"/>
      <c r="W37" s="367"/>
      <c r="X37" s="367"/>
      <c r="Y37" s="367"/>
      <c r="Z37" s="367"/>
    </row>
    <row r="38" ht="12.75" customHeight="1" spans="1:26">
      <c r="A38" s="373"/>
      <c r="B38" s="390"/>
      <c r="C38" s="376"/>
      <c r="D38" s="392"/>
      <c r="E38" s="392"/>
      <c r="F38" s="367"/>
      <c r="G38" s="367"/>
      <c r="H38" s="367"/>
      <c r="I38" s="367"/>
      <c r="J38" s="367"/>
      <c r="K38" s="367"/>
      <c r="L38" s="367"/>
      <c r="M38" s="367"/>
      <c r="N38" s="367"/>
      <c r="O38" s="367"/>
      <c r="P38" s="367"/>
      <c r="Q38" s="367"/>
      <c r="R38" s="367"/>
      <c r="S38" s="367"/>
      <c r="T38" s="367"/>
      <c r="U38" s="367"/>
      <c r="V38" s="367"/>
      <c r="W38" s="367"/>
      <c r="X38" s="367"/>
      <c r="Y38" s="367"/>
      <c r="Z38" s="367"/>
    </row>
    <row r="39" ht="12.75" customHeight="1" spans="1:26">
      <c r="A39" s="373"/>
      <c r="B39" s="397"/>
      <c r="C39" s="376"/>
      <c r="D39" s="392"/>
      <c r="E39" s="392"/>
      <c r="F39" s="367"/>
      <c r="G39" s="367"/>
      <c r="H39" s="367"/>
      <c r="I39" s="367"/>
      <c r="J39" s="367"/>
      <c r="K39" s="367"/>
      <c r="L39" s="367"/>
      <c r="M39" s="367"/>
      <c r="N39" s="367"/>
      <c r="O39" s="367"/>
      <c r="P39" s="367"/>
      <c r="Q39" s="367"/>
      <c r="R39" s="367"/>
      <c r="S39" s="367"/>
      <c r="T39" s="367"/>
      <c r="U39" s="367"/>
      <c r="V39" s="367"/>
      <c r="W39" s="367"/>
      <c r="X39" s="367"/>
      <c r="Y39" s="367"/>
      <c r="Z39" s="367"/>
    </row>
    <row r="40" ht="12.75" customHeight="1" spans="1:26">
      <c r="A40" s="373"/>
      <c r="B40" s="397"/>
      <c r="C40" s="376"/>
      <c r="D40" s="392"/>
      <c r="E40" s="392"/>
      <c r="F40" s="367"/>
      <c r="G40" s="367"/>
      <c r="H40" s="367"/>
      <c r="I40" s="367"/>
      <c r="J40" s="367"/>
      <c r="K40" s="367"/>
      <c r="L40" s="367"/>
      <c r="M40" s="367"/>
      <c r="N40" s="367"/>
      <c r="O40" s="367"/>
      <c r="P40" s="367"/>
      <c r="Q40" s="367"/>
      <c r="R40" s="367"/>
      <c r="S40" s="367"/>
      <c r="T40" s="367"/>
      <c r="U40" s="367"/>
      <c r="V40" s="367"/>
      <c r="W40" s="367"/>
      <c r="X40" s="367"/>
      <c r="Y40" s="367"/>
      <c r="Z40" s="367"/>
    </row>
    <row r="41" ht="12.75" customHeight="1" spans="1:26">
      <c r="A41" s="373"/>
      <c r="B41" s="397"/>
      <c r="C41" s="376"/>
      <c r="D41" s="392"/>
      <c r="E41" s="392"/>
      <c r="F41" s="367"/>
      <c r="G41" s="367"/>
      <c r="H41" s="367"/>
      <c r="I41" s="367"/>
      <c r="J41" s="367"/>
      <c r="K41" s="367"/>
      <c r="L41" s="367"/>
      <c r="M41" s="367"/>
      <c r="N41" s="367"/>
      <c r="O41" s="367"/>
      <c r="P41" s="367"/>
      <c r="Q41" s="367"/>
      <c r="R41" s="367"/>
      <c r="S41" s="367"/>
      <c r="T41" s="367"/>
      <c r="U41" s="367"/>
      <c r="V41" s="367"/>
      <c r="W41" s="367"/>
      <c r="X41" s="367"/>
      <c r="Y41" s="367"/>
      <c r="Z41" s="367"/>
    </row>
    <row r="42" ht="12.75" customHeight="1" spans="1:26">
      <c r="A42" s="373"/>
      <c r="B42" s="397"/>
      <c r="C42" s="376"/>
      <c r="D42" s="392"/>
      <c r="E42" s="392"/>
      <c r="F42" s="367"/>
      <c r="G42" s="367"/>
      <c r="H42" s="367"/>
      <c r="I42" s="367"/>
      <c r="J42" s="367"/>
      <c r="K42" s="367"/>
      <c r="L42" s="367"/>
      <c r="M42" s="367"/>
      <c r="N42" s="367"/>
      <c r="O42" s="367"/>
      <c r="P42" s="367"/>
      <c r="Q42" s="367"/>
      <c r="R42" s="367"/>
      <c r="S42" s="367"/>
      <c r="T42" s="367"/>
      <c r="U42" s="367"/>
      <c r="V42" s="367"/>
      <c r="W42" s="367"/>
      <c r="X42" s="367"/>
      <c r="Y42" s="367"/>
      <c r="Z42" s="367"/>
    </row>
    <row r="43" ht="12.75" customHeight="1" spans="1:26">
      <c r="A43" s="373"/>
      <c r="B43" s="397"/>
      <c r="C43" s="376"/>
      <c r="D43" s="392"/>
      <c r="E43" s="392"/>
      <c r="F43" s="367"/>
      <c r="G43" s="367"/>
      <c r="H43" s="367"/>
      <c r="I43" s="367"/>
      <c r="J43" s="367"/>
      <c r="K43" s="367"/>
      <c r="L43" s="367"/>
      <c r="M43" s="367"/>
      <c r="N43" s="367"/>
      <c r="O43" s="367"/>
      <c r="P43" s="367"/>
      <c r="Q43" s="367"/>
      <c r="R43" s="367"/>
      <c r="S43" s="367"/>
      <c r="T43" s="367"/>
      <c r="U43" s="367"/>
      <c r="V43" s="367"/>
      <c r="W43" s="367"/>
      <c r="X43" s="367"/>
      <c r="Y43" s="367"/>
      <c r="Z43" s="367"/>
    </row>
    <row r="44" ht="12.75" customHeight="1" spans="1:26">
      <c r="A44" s="373"/>
      <c r="B44" s="397"/>
      <c r="C44" s="376"/>
      <c r="D44" s="392"/>
      <c r="E44" s="392"/>
      <c r="F44" s="367"/>
      <c r="G44" s="367"/>
      <c r="H44" s="367"/>
      <c r="I44" s="367"/>
      <c r="J44" s="367"/>
      <c r="K44" s="367"/>
      <c r="L44" s="367"/>
      <c r="M44" s="367"/>
      <c r="N44" s="367"/>
      <c r="O44" s="367"/>
      <c r="P44" s="367"/>
      <c r="Q44" s="367"/>
      <c r="R44" s="367"/>
      <c r="S44" s="367"/>
      <c r="T44" s="367"/>
      <c r="U44" s="367"/>
      <c r="V44" s="367"/>
      <c r="W44" s="367"/>
      <c r="X44" s="367"/>
      <c r="Y44" s="367"/>
      <c r="Z44" s="367"/>
    </row>
    <row r="45" ht="12.75" customHeight="1" spans="1:26">
      <c r="A45" s="393"/>
      <c r="B45" s="397"/>
      <c r="C45" s="376"/>
      <c r="D45" s="395"/>
      <c r="E45" s="392"/>
      <c r="F45" s="367"/>
      <c r="G45" s="367"/>
      <c r="H45" s="367"/>
      <c r="I45" s="367"/>
      <c r="J45" s="367"/>
      <c r="K45" s="367"/>
      <c r="L45" s="367"/>
      <c r="M45" s="367"/>
      <c r="N45" s="367"/>
      <c r="O45" s="367"/>
      <c r="P45" s="367"/>
      <c r="Q45" s="367"/>
      <c r="R45" s="367"/>
      <c r="S45" s="367"/>
      <c r="T45" s="367"/>
      <c r="U45" s="367"/>
      <c r="V45" s="367"/>
      <c r="W45" s="367"/>
      <c r="X45" s="367"/>
      <c r="Y45" s="367"/>
      <c r="Z45" s="367"/>
    </row>
    <row r="46" ht="12.75" customHeight="1" spans="1:26">
      <c r="A46" s="373"/>
      <c r="B46" s="397"/>
      <c r="C46" s="376"/>
      <c r="D46" s="392"/>
      <c r="E46" s="380"/>
      <c r="F46" s="367"/>
      <c r="G46" s="367"/>
      <c r="H46" s="367"/>
      <c r="I46" s="367"/>
      <c r="J46" s="367"/>
      <c r="K46" s="367"/>
      <c r="L46" s="367"/>
      <c r="M46" s="367"/>
      <c r="N46" s="367"/>
      <c r="O46" s="367"/>
      <c r="P46" s="367"/>
      <c r="Q46" s="367"/>
      <c r="R46" s="367"/>
      <c r="S46" s="367"/>
      <c r="T46" s="367"/>
      <c r="U46" s="367"/>
      <c r="V46" s="367"/>
      <c r="W46" s="367"/>
      <c r="X46" s="367"/>
      <c r="Y46" s="367"/>
      <c r="Z46" s="367"/>
    </row>
    <row r="47" ht="12.75" customHeight="1" spans="1:26">
      <c r="A47" s="373"/>
      <c r="B47" s="397"/>
      <c r="C47" s="376"/>
      <c r="D47" s="392"/>
      <c r="E47" s="380"/>
      <c r="F47" s="367"/>
      <c r="G47" s="367"/>
      <c r="H47" s="367"/>
      <c r="I47" s="367"/>
      <c r="J47" s="367"/>
      <c r="K47" s="367"/>
      <c r="L47" s="367"/>
      <c r="M47" s="367"/>
      <c r="N47" s="367"/>
      <c r="O47" s="367"/>
      <c r="P47" s="367"/>
      <c r="Q47" s="367"/>
      <c r="R47" s="367"/>
      <c r="S47" s="367"/>
      <c r="T47" s="367"/>
      <c r="U47" s="367"/>
      <c r="V47" s="367"/>
      <c r="W47" s="367"/>
      <c r="X47" s="367"/>
      <c r="Y47" s="367"/>
      <c r="Z47" s="367"/>
    </row>
    <row r="48" ht="12.75" customHeight="1" spans="1:26">
      <c r="A48" s="373"/>
      <c r="B48" s="397"/>
      <c r="C48" s="376"/>
      <c r="D48" s="392"/>
      <c r="E48" s="380"/>
      <c r="F48" s="367"/>
      <c r="G48" s="367"/>
      <c r="H48" s="367"/>
      <c r="I48" s="367"/>
      <c r="J48" s="367"/>
      <c r="K48" s="367"/>
      <c r="L48" s="367"/>
      <c r="M48" s="367"/>
      <c r="N48" s="367"/>
      <c r="O48" s="367"/>
      <c r="P48" s="367"/>
      <c r="Q48" s="367"/>
      <c r="R48" s="367"/>
      <c r="S48" s="367"/>
      <c r="T48" s="367"/>
      <c r="U48" s="367"/>
      <c r="V48" s="367"/>
      <c r="W48" s="367"/>
      <c r="X48" s="367"/>
      <c r="Y48" s="367"/>
      <c r="Z48" s="367"/>
    </row>
    <row r="49" ht="12.75" customHeight="1" spans="1:26">
      <c r="A49" s="373"/>
      <c r="B49" s="397"/>
      <c r="C49" s="376"/>
      <c r="D49" s="392"/>
      <c r="E49" s="380"/>
      <c r="F49" s="367"/>
      <c r="G49" s="367"/>
      <c r="H49" s="367"/>
      <c r="I49" s="367"/>
      <c r="J49" s="367"/>
      <c r="K49" s="367"/>
      <c r="L49" s="367"/>
      <c r="M49" s="367"/>
      <c r="N49" s="367"/>
      <c r="O49" s="367"/>
      <c r="P49" s="367"/>
      <c r="Q49" s="367"/>
      <c r="R49" s="367"/>
      <c r="S49" s="367"/>
      <c r="T49" s="367"/>
      <c r="U49" s="367"/>
      <c r="V49" s="367"/>
      <c r="W49" s="367"/>
      <c r="X49" s="367"/>
      <c r="Y49" s="367"/>
      <c r="Z49" s="367"/>
    </row>
    <row r="50" ht="12.75" customHeight="1" spans="1:26">
      <c r="A50" s="373"/>
      <c r="B50" s="397"/>
      <c r="C50" s="376"/>
      <c r="D50" s="392"/>
      <c r="E50" s="380"/>
      <c r="F50" s="367"/>
      <c r="G50" s="367"/>
      <c r="H50" s="367"/>
      <c r="I50" s="367"/>
      <c r="J50" s="367"/>
      <c r="K50" s="367"/>
      <c r="L50" s="367"/>
      <c r="M50" s="367"/>
      <c r="N50" s="367"/>
      <c r="O50" s="367"/>
      <c r="P50" s="367"/>
      <c r="Q50" s="367"/>
      <c r="R50" s="367"/>
      <c r="S50" s="367"/>
      <c r="T50" s="367"/>
      <c r="U50" s="367"/>
      <c r="V50" s="367"/>
      <c r="W50" s="367"/>
      <c r="X50" s="367"/>
      <c r="Y50" s="367"/>
      <c r="Z50" s="367"/>
    </row>
    <row r="51" ht="12.75" customHeight="1" spans="1:26">
      <c r="A51" s="373"/>
      <c r="B51" s="397"/>
      <c r="C51" s="376"/>
      <c r="D51" s="392"/>
      <c r="E51" s="380"/>
      <c r="F51" s="367"/>
      <c r="G51" s="367"/>
      <c r="H51" s="367"/>
      <c r="I51" s="367"/>
      <c r="J51" s="367"/>
      <c r="K51" s="367"/>
      <c r="L51" s="367"/>
      <c r="M51" s="367"/>
      <c r="N51" s="367"/>
      <c r="O51" s="367"/>
      <c r="P51" s="367"/>
      <c r="Q51" s="367"/>
      <c r="R51" s="367"/>
      <c r="S51" s="367"/>
      <c r="T51" s="367"/>
      <c r="U51" s="367"/>
      <c r="V51" s="367"/>
      <c r="W51" s="367"/>
      <c r="X51" s="367"/>
      <c r="Y51" s="367"/>
      <c r="Z51" s="367"/>
    </row>
    <row r="52" ht="12.75" customHeight="1" spans="1:26">
      <c r="A52" s="398"/>
      <c r="B52" s="399"/>
      <c r="C52" s="376"/>
      <c r="D52" s="400"/>
      <c r="E52" s="380"/>
      <c r="F52" s="367"/>
      <c r="G52" s="367"/>
      <c r="H52" s="367"/>
      <c r="I52" s="367"/>
      <c r="J52" s="367"/>
      <c r="K52" s="367"/>
      <c r="L52" s="367"/>
      <c r="M52" s="367"/>
      <c r="N52" s="367"/>
      <c r="O52" s="367"/>
      <c r="P52" s="367"/>
      <c r="Q52" s="367"/>
      <c r="R52" s="367"/>
      <c r="S52" s="367"/>
      <c r="T52" s="367"/>
      <c r="U52" s="367"/>
      <c r="V52" s="367"/>
      <c r="W52" s="367"/>
      <c r="X52" s="367"/>
      <c r="Y52" s="367"/>
      <c r="Z52" s="367"/>
    </row>
    <row r="53" ht="12.75" customHeight="1" spans="1:26">
      <c r="A53" s="401"/>
      <c r="B53" s="402"/>
      <c r="C53" s="376"/>
      <c r="D53" s="403"/>
      <c r="E53" s="404"/>
      <c r="F53" s="367"/>
      <c r="G53" s="367"/>
      <c r="H53" s="367"/>
      <c r="I53" s="367"/>
      <c r="J53" s="367"/>
      <c r="K53" s="367"/>
      <c r="L53" s="367"/>
      <c r="M53" s="367"/>
      <c r="N53" s="367"/>
      <c r="O53" s="367"/>
      <c r="P53" s="367"/>
      <c r="Q53" s="367"/>
      <c r="R53" s="367"/>
      <c r="S53" s="367"/>
      <c r="T53" s="367"/>
      <c r="U53" s="367"/>
      <c r="V53" s="367"/>
      <c r="W53" s="367"/>
      <c r="X53" s="367"/>
      <c r="Y53" s="367"/>
      <c r="Z53" s="367"/>
    </row>
    <row r="54" ht="12.75" customHeight="1" spans="1:26">
      <c r="A54" s="405"/>
      <c r="B54" s="406"/>
      <c r="C54" s="407"/>
      <c r="D54" s="404"/>
      <c r="E54" s="404"/>
      <c r="F54" s="367"/>
      <c r="G54" s="367"/>
      <c r="H54" s="367"/>
      <c r="I54" s="367"/>
      <c r="J54" s="367"/>
      <c r="K54" s="367"/>
      <c r="L54" s="367"/>
      <c r="M54" s="367"/>
      <c r="N54" s="367"/>
      <c r="O54" s="367"/>
      <c r="P54" s="367"/>
      <c r="Q54" s="367"/>
      <c r="R54" s="367"/>
      <c r="S54" s="367"/>
      <c r="T54" s="367"/>
      <c r="U54" s="367"/>
      <c r="V54" s="367"/>
      <c r="W54" s="367"/>
      <c r="X54" s="367"/>
      <c r="Y54" s="367"/>
      <c r="Z54" s="367"/>
    </row>
    <row r="55" ht="12.75" customHeight="1" spans="1:26">
      <c r="A55" s="405"/>
      <c r="B55" s="406"/>
      <c r="C55" s="407"/>
      <c r="D55" s="404"/>
      <c r="E55" s="404"/>
      <c r="F55" s="367"/>
      <c r="G55" s="367"/>
      <c r="H55" s="367"/>
      <c r="I55" s="367"/>
      <c r="J55" s="367"/>
      <c r="K55" s="367"/>
      <c r="L55" s="367"/>
      <c r="M55" s="367"/>
      <c r="N55" s="367"/>
      <c r="O55" s="367"/>
      <c r="P55" s="367"/>
      <c r="Q55" s="367"/>
      <c r="R55" s="367"/>
      <c r="S55" s="367"/>
      <c r="T55" s="367"/>
      <c r="U55" s="367"/>
      <c r="V55" s="367"/>
      <c r="W55" s="367"/>
      <c r="X55" s="367"/>
      <c r="Y55" s="367"/>
      <c r="Z55" s="367"/>
    </row>
    <row r="56" ht="12.75" customHeight="1" spans="1:26">
      <c r="A56" s="405"/>
      <c r="B56" s="406"/>
      <c r="C56" s="407"/>
      <c r="D56" s="404"/>
      <c r="E56" s="404"/>
      <c r="F56" s="367"/>
      <c r="G56" s="367"/>
      <c r="H56" s="367"/>
      <c r="I56" s="367"/>
      <c r="J56" s="367"/>
      <c r="K56" s="367"/>
      <c r="L56" s="367"/>
      <c r="M56" s="367"/>
      <c r="N56" s="367"/>
      <c r="O56" s="367"/>
      <c r="P56" s="367"/>
      <c r="Q56" s="367"/>
      <c r="R56" s="367"/>
      <c r="S56" s="367"/>
      <c r="T56" s="367"/>
      <c r="U56" s="367"/>
      <c r="V56" s="367"/>
      <c r="W56" s="367"/>
      <c r="X56" s="367"/>
      <c r="Y56" s="367"/>
      <c r="Z56" s="367"/>
    </row>
    <row r="57" ht="12.75" customHeight="1" spans="1:26">
      <c r="A57" s="408" t="s">
        <v>1793</v>
      </c>
      <c r="B57" s="409"/>
      <c r="C57" s="410"/>
      <c r="D57" s="404"/>
      <c r="E57" s="404"/>
      <c r="F57" s="367"/>
      <c r="G57" s="367"/>
      <c r="H57" s="367"/>
      <c r="I57" s="367"/>
      <c r="J57" s="367"/>
      <c r="K57" s="367"/>
      <c r="L57" s="367"/>
      <c r="M57" s="367"/>
      <c r="N57" s="367"/>
      <c r="O57" s="367"/>
      <c r="P57" s="367"/>
      <c r="Q57" s="367"/>
      <c r="R57" s="367"/>
      <c r="S57" s="367"/>
      <c r="T57" s="367"/>
      <c r="U57" s="367"/>
      <c r="V57" s="367"/>
      <c r="W57" s="367"/>
      <c r="X57" s="367"/>
      <c r="Y57" s="367"/>
      <c r="Z57" s="367"/>
    </row>
    <row r="58" ht="12.75" customHeight="1" spans="1:26">
      <c r="A58" s="408" t="s">
        <v>1794</v>
      </c>
      <c r="B58" s="406"/>
      <c r="C58" s="407"/>
      <c r="D58" s="404"/>
      <c r="E58" s="404"/>
      <c r="F58" s="367"/>
      <c r="G58" s="367"/>
      <c r="H58" s="367"/>
      <c r="I58" s="367"/>
      <c r="J58" s="367"/>
      <c r="K58" s="367"/>
      <c r="L58" s="367"/>
      <c r="M58" s="367"/>
      <c r="N58" s="367"/>
      <c r="O58" s="367"/>
      <c r="P58" s="367"/>
      <c r="Q58" s="367"/>
      <c r="R58" s="367"/>
      <c r="S58" s="367"/>
      <c r="T58" s="367"/>
      <c r="U58" s="367"/>
      <c r="V58" s="367"/>
      <c r="W58" s="367"/>
      <c r="X58" s="367"/>
      <c r="Y58" s="367"/>
      <c r="Z58" s="367"/>
    </row>
    <row r="59" ht="12.75" customHeight="1" spans="1:26">
      <c r="A59" s="363" t="s">
        <v>1795</v>
      </c>
      <c r="B59" s="411"/>
      <c r="C59" s="363"/>
      <c r="D59" s="363"/>
      <c r="E59" s="363"/>
      <c r="F59" s="367"/>
      <c r="G59" s="367"/>
      <c r="H59" s="367"/>
      <c r="I59" s="367"/>
      <c r="J59" s="367"/>
      <c r="K59" s="367"/>
      <c r="L59" s="367"/>
      <c r="M59" s="367"/>
      <c r="N59" s="367"/>
      <c r="O59" s="367"/>
      <c r="P59" s="367"/>
      <c r="Q59" s="367"/>
      <c r="R59" s="367"/>
      <c r="S59" s="367"/>
      <c r="T59" s="367"/>
      <c r="U59" s="367"/>
      <c r="V59" s="367"/>
      <c r="W59" s="367"/>
      <c r="X59" s="367"/>
      <c r="Y59" s="367"/>
      <c r="Z59" s="367"/>
    </row>
    <row r="60" ht="12.75" customHeight="1" spans="1:26">
      <c r="A60" s="363" t="s">
        <v>1796</v>
      </c>
      <c r="B60" s="412"/>
      <c r="C60" s="367"/>
      <c r="D60" s="413"/>
      <c r="E60" s="413"/>
      <c r="F60" s="367"/>
      <c r="G60" s="367"/>
      <c r="H60" s="367"/>
      <c r="I60" s="367"/>
      <c r="J60" s="367"/>
      <c r="K60" s="367"/>
      <c r="L60" s="367"/>
      <c r="M60" s="367"/>
      <c r="N60" s="367"/>
      <c r="O60" s="367"/>
      <c r="P60" s="367"/>
      <c r="Q60" s="367"/>
      <c r="R60" s="367"/>
      <c r="S60" s="367"/>
      <c r="T60" s="367"/>
      <c r="U60" s="367"/>
      <c r="V60" s="367"/>
      <c r="W60" s="367"/>
      <c r="X60" s="367"/>
      <c r="Y60" s="367"/>
      <c r="Z60" s="367"/>
    </row>
    <row r="61" ht="12.75" customHeight="1" spans="1:26">
      <c r="A61" s="414"/>
      <c r="B61" s="364"/>
      <c r="C61" s="365"/>
      <c r="D61" s="413"/>
      <c r="E61" s="413"/>
      <c r="F61" s="367"/>
      <c r="G61" s="367"/>
      <c r="H61" s="367"/>
      <c r="I61" s="367"/>
      <c r="J61" s="367"/>
      <c r="K61" s="367"/>
      <c r="L61" s="367"/>
      <c r="M61" s="367"/>
      <c r="N61" s="367"/>
      <c r="O61" s="367"/>
      <c r="P61" s="367"/>
      <c r="Q61" s="367"/>
      <c r="R61" s="367"/>
      <c r="S61" s="367"/>
      <c r="T61" s="367"/>
      <c r="U61" s="367"/>
      <c r="V61" s="367"/>
      <c r="W61" s="367"/>
      <c r="X61" s="367"/>
      <c r="Y61" s="367"/>
      <c r="Z61" s="367"/>
    </row>
    <row r="62" ht="12.75" customHeight="1" spans="1:26">
      <c r="A62" s="414"/>
      <c r="B62" s="364"/>
      <c r="C62" s="365"/>
      <c r="D62" s="413"/>
      <c r="E62" s="413"/>
      <c r="F62" s="367"/>
      <c r="G62" s="367"/>
      <c r="H62" s="367"/>
      <c r="I62" s="367"/>
      <c r="J62" s="367"/>
      <c r="K62" s="367"/>
      <c r="L62" s="367"/>
      <c r="M62" s="367"/>
      <c r="N62" s="367"/>
      <c r="O62" s="367"/>
      <c r="P62" s="367"/>
      <c r="Q62" s="367"/>
      <c r="R62" s="367"/>
      <c r="S62" s="367"/>
      <c r="T62" s="367"/>
      <c r="U62" s="367"/>
      <c r="V62" s="367"/>
      <c r="W62" s="367"/>
      <c r="X62" s="367"/>
      <c r="Y62" s="367"/>
      <c r="Z62" s="367"/>
    </row>
    <row r="63" ht="12.75" customHeight="1" spans="1:26">
      <c r="A63" s="414"/>
      <c r="B63" s="364"/>
      <c r="C63" s="365"/>
      <c r="D63" s="413"/>
      <c r="E63" s="413"/>
      <c r="F63" s="367"/>
      <c r="G63" s="367"/>
      <c r="H63" s="367"/>
      <c r="I63" s="367"/>
      <c r="J63" s="367"/>
      <c r="K63" s="367"/>
      <c r="L63" s="367"/>
      <c r="M63" s="367"/>
      <c r="N63" s="367"/>
      <c r="O63" s="367"/>
      <c r="P63" s="367"/>
      <c r="Q63" s="367"/>
      <c r="R63" s="367"/>
      <c r="S63" s="367"/>
      <c r="T63" s="367"/>
      <c r="U63" s="367"/>
      <c r="V63" s="367"/>
      <c r="W63" s="367"/>
      <c r="X63" s="367"/>
      <c r="Y63" s="367"/>
      <c r="Z63" s="367"/>
    </row>
    <row r="64" ht="12.75" customHeight="1" spans="1:26">
      <c r="A64" s="414"/>
      <c r="B64" s="364"/>
      <c r="C64" s="365"/>
      <c r="D64" s="413"/>
      <c r="E64" s="413"/>
      <c r="F64" s="367"/>
      <c r="G64" s="367"/>
      <c r="H64" s="367"/>
      <c r="I64" s="367"/>
      <c r="J64" s="367"/>
      <c r="K64" s="367"/>
      <c r="L64" s="367"/>
      <c r="M64" s="367"/>
      <c r="N64" s="367"/>
      <c r="O64" s="367"/>
      <c r="P64" s="367"/>
      <c r="Q64" s="367"/>
      <c r="R64" s="367"/>
      <c r="S64" s="367"/>
      <c r="T64" s="367"/>
      <c r="U64" s="367"/>
      <c r="V64" s="367"/>
      <c r="W64" s="367"/>
      <c r="X64" s="367"/>
      <c r="Y64" s="367"/>
      <c r="Z64" s="367"/>
    </row>
    <row r="65" ht="12.75" customHeight="1" spans="1:26">
      <c r="A65" s="414"/>
      <c r="B65" s="364"/>
      <c r="C65" s="365"/>
      <c r="D65" s="413"/>
      <c r="E65" s="413"/>
      <c r="F65" s="367"/>
      <c r="G65" s="367"/>
      <c r="H65" s="367"/>
      <c r="I65" s="367"/>
      <c r="J65" s="367"/>
      <c r="K65" s="367"/>
      <c r="L65" s="367"/>
      <c r="M65" s="367"/>
      <c r="N65" s="367"/>
      <c r="O65" s="367"/>
      <c r="P65" s="367"/>
      <c r="Q65" s="367"/>
      <c r="R65" s="367"/>
      <c r="S65" s="367"/>
      <c r="T65" s="367"/>
      <c r="U65" s="367"/>
      <c r="V65" s="367"/>
      <c r="W65" s="367"/>
      <c r="X65" s="367"/>
      <c r="Y65" s="367"/>
      <c r="Z65" s="367"/>
    </row>
    <row r="66" ht="12.75" customHeight="1" spans="1:26">
      <c r="A66" s="414"/>
      <c r="B66" s="364"/>
      <c r="C66" s="365"/>
      <c r="D66" s="413"/>
      <c r="E66" s="413"/>
      <c r="F66" s="367"/>
      <c r="G66" s="367"/>
      <c r="H66" s="367"/>
      <c r="I66" s="367"/>
      <c r="J66" s="367"/>
      <c r="K66" s="367"/>
      <c r="L66" s="367"/>
      <c r="M66" s="367"/>
      <c r="N66" s="367"/>
      <c r="O66" s="367"/>
      <c r="P66" s="367"/>
      <c r="Q66" s="367"/>
      <c r="R66" s="367"/>
      <c r="S66" s="367"/>
      <c r="T66" s="367"/>
      <c r="U66" s="367"/>
      <c r="V66" s="367"/>
      <c r="W66" s="367"/>
      <c r="X66" s="367"/>
      <c r="Y66" s="367"/>
      <c r="Z66" s="367"/>
    </row>
    <row r="67" ht="12.75" customHeight="1" spans="1:26">
      <c r="A67" s="414"/>
      <c r="B67" s="364"/>
      <c r="C67" s="365"/>
      <c r="D67" s="413"/>
      <c r="E67" s="413"/>
      <c r="F67" s="367"/>
      <c r="G67" s="367"/>
      <c r="H67" s="367"/>
      <c r="I67" s="367"/>
      <c r="J67" s="367"/>
      <c r="K67" s="367"/>
      <c r="L67" s="367"/>
      <c r="M67" s="367"/>
      <c r="N67" s="367"/>
      <c r="O67" s="367"/>
      <c r="P67" s="367"/>
      <c r="Q67" s="367"/>
      <c r="R67" s="367"/>
      <c r="S67" s="367"/>
      <c r="T67" s="367"/>
      <c r="U67" s="367"/>
      <c r="V67" s="367"/>
      <c r="W67" s="367"/>
      <c r="X67" s="367"/>
      <c r="Y67" s="367"/>
      <c r="Z67" s="367"/>
    </row>
    <row r="68" ht="12.75" customHeight="1" spans="1:26">
      <c r="A68" s="414"/>
      <c r="B68" s="364"/>
      <c r="C68" s="365"/>
      <c r="D68" s="413"/>
      <c r="E68" s="413"/>
      <c r="F68" s="367"/>
      <c r="G68" s="367"/>
      <c r="H68" s="367"/>
      <c r="I68" s="367"/>
      <c r="J68" s="367"/>
      <c r="K68" s="367"/>
      <c r="L68" s="367"/>
      <c r="M68" s="367"/>
      <c r="N68" s="367"/>
      <c r="O68" s="367"/>
      <c r="P68" s="367"/>
      <c r="Q68" s="367"/>
      <c r="R68" s="367"/>
      <c r="S68" s="367"/>
      <c r="T68" s="367"/>
      <c r="U68" s="367"/>
      <c r="V68" s="367"/>
      <c r="W68" s="367"/>
      <c r="X68" s="367"/>
      <c r="Y68" s="367"/>
      <c r="Z68" s="367"/>
    </row>
    <row r="69" ht="12.75" customHeight="1" spans="1:26">
      <c r="A69" s="414"/>
      <c r="B69" s="364"/>
      <c r="C69" s="365"/>
      <c r="D69" s="413"/>
      <c r="E69" s="413"/>
      <c r="F69" s="367"/>
      <c r="G69" s="367"/>
      <c r="H69" s="367"/>
      <c r="I69" s="367"/>
      <c r="J69" s="367"/>
      <c r="K69" s="367"/>
      <c r="L69" s="367"/>
      <c r="M69" s="367"/>
      <c r="N69" s="367"/>
      <c r="O69" s="367"/>
      <c r="P69" s="367"/>
      <c r="Q69" s="367"/>
      <c r="R69" s="367"/>
      <c r="S69" s="367"/>
      <c r="T69" s="367"/>
      <c r="U69" s="367"/>
      <c r="V69" s="367"/>
      <c r="W69" s="367"/>
      <c r="X69" s="367"/>
      <c r="Y69" s="367"/>
      <c r="Z69" s="367"/>
    </row>
    <row r="70" ht="12.75" customHeight="1" spans="1:26">
      <c r="A70" s="415"/>
      <c r="B70" s="364"/>
      <c r="C70" s="365"/>
      <c r="D70" s="413"/>
      <c r="E70" s="413"/>
      <c r="F70" s="367"/>
      <c r="G70" s="367"/>
      <c r="H70" s="367"/>
      <c r="I70" s="367"/>
      <c r="J70" s="367"/>
      <c r="K70" s="367"/>
      <c r="L70" s="367"/>
      <c r="M70" s="367"/>
      <c r="N70" s="367"/>
      <c r="O70" s="367"/>
      <c r="P70" s="367"/>
      <c r="Q70" s="367"/>
      <c r="R70" s="367"/>
      <c r="S70" s="367"/>
      <c r="T70" s="367"/>
      <c r="U70" s="367"/>
      <c r="V70" s="367"/>
      <c r="W70" s="367"/>
      <c r="X70" s="367"/>
      <c r="Y70" s="367"/>
      <c r="Z70" s="367"/>
    </row>
    <row r="71" ht="12.75" customHeight="1" spans="1:26">
      <c r="A71" s="415"/>
      <c r="B71" s="364"/>
      <c r="C71" s="365"/>
      <c r="D71" s="413"/>
      <c r="E71" s="413"/>
      <c r="F71" s="367"/>
      <c r="G71" s="367"/>
      <c r="H71" s="367"/>
      <c r="I71" s="367"/>
      <c r="J71" s="367"/>
      <c r="K71" s="367"/>
      <c r="L71" s="367"/>
      <c r="M71" s="367"/>
      <c r="N71" s="367"/>
      <c r="O71" s="367"/>
      <c r="P71" s="367"/>
      <c r="Q71" s="367"/>
      <c r="R71" s="367"/>
      <c r="S71" s="367"/>
      <c r="T71" s="367"/>
      <c r="U71" s="367"/>
      <c r="V71" s="367"/>
      <c r="W71" s="367"/>
      <c r="X71" s="367"/>
      <c r="Y71" s="367"/>
      <c r="Z71" s="367"/>
    </row>
    <row r="72" ht="12.75" customHeight="1" spans="1:26">
      <c r="A72" s="415"/>
      <c r="B72" s="364"/>
      <c r="C72" s="365"/>
      <c r="D72" s="413"/>
      <c r="E72" s="413"/>
      <c r="F72" s="367"/>
      <c r="G72" s="367"/>
      <c r="H72" s="367"/>
      <c r="I72" s="367"/>
      <c r="J72" s="367"/>
      <c r="K72" s="367"/>
      <c r="L72" s="367"/>
      <c r="M72" s="367"/>
      <c r="N72" s="367"/>
      <c r="O72" s="367"/>
      <c r="P72" s="367"/>
      <c r="Q72" s="367"/>
      <c r="R72" s="367"/>
      <c r="S72" s="367"/>
      <c r="T72" s="367"/>
      <c r="U72" s="367"/>
      <c r="V72" s="367"/>
      <c r="W72" s="367"/>
      <c r="X72" s="367"/>
      <c r="Y72" s="367"/>
      <c r="Z72" s="367"/>
    </row>
    <row r="73" ht="12.75" customHeight="1" spans="1:26">
      <c r="A73" s="415"/>
      <c r="B73" s="364"/>
      <c r="C73" s="365"/>
      <c r="D73" s="413"/>
      <c r="E73" s="413"/>
      <c r="F73" s="367"/>
      <c r="G73" s="367"/>
      <c r="H73" s="367"/>
      <c r="I73" s="367"/>
      <c r="J73" s="367"/>
      <c r="K73" s="367"/>
      <c r="L73" s="367"/>
      <c r="M73" s="367"/>
      <c r="N73" s="367"/>
      <c r="O73" s="367"/>
      <c r="P73" s="367"/>
      <c r="Q73" s="367"/>
      <c r="R73" s="367"/>
      <c r="S73" s="367"/>
      <c r="T73" s="367"/>
      <c r="U73" s="367"/>
      <c r="V73" s="367"/>
      <c r="W73" s="367"/>
      <c r="X73" s="367"/>
      <c r="Y73" s="367"/>
      <c r="Z73" s="367"/>
    </row>
    <row r="74" ht="12.75" customHeight="1" spans="1:26">
      <c r="A74" s="415"/>
      <c r="B74" s="364"/>
      <c r="C74" s="365"/>
      <c r="D74" s="413"/>
      <c r="E74" s="413"/>
      <c r="F74" s="367"/>
      <c r="G74" s="367"/>
      <c r="H74" s="367"/>
      <c r="I74" s="367"/>
      <c r="J74" s="367"/>
      <c r="K74" s="367"/>
      <c r="L74" s="367"/>
      <c r="M74" s="367"/>
      <c r="N74" s="367"/>
      <c r="O74" s="367"/>
      <c r="P74" s="367"/>
      <c r="Q74" s="367"/>
      <c r="R74" s="367"/>
      <c r="S74" s="367"/>
      <c r="T74" s="367"/>
      <c r="U74" s="367"/>
      <c r="V74" s="367"/>
      <c r="W74" s="367"/>
      <c r="X74" s="367"/>
      <c r="Y74" s="367"/>
      <c r="Z74" s="367"/>
    </row>
    <row r="75" ht="12.75" customHeight="1" spans="1:26">
      <c r="A75" s="415"/>
      <c r="B75" s="364"/>
      <c r="C75" s="365"/>
      <c r="D75" s="413"/>
      <c r="E75" s="413"/>
      <c r="F75" s="367"/>
      <c r="G75" s="367"/>
      <c r="H75" s="367"/>
      <c r="I75" s="367"/>
      <c r="J75" s="367"/>
      <c r="K75" s="367"/>
      <c r="L75" s="367"/>
      <c r="M75" s="367"/>
      <c r="N75" s="367"/>
      <c r="O75" s="367"/>
      <c r="P75" s="367"/>
      <c r="Q75" s="367"/>
      <c r="R75" s="367"/>
      <c r="S75" s="367"/>
      <c r="T75" s="367"/>
      <c r="U75" s="367"/>
      <c r="V75" s="367"/>
      <c r="W75" s="367"/>
      <c r="X75" s="367"/>
      <c r="Y75" s="367"/>
      <c r="Z75" s="367"/>
    </row>
    <row r="76" ht="12.75" customHeight="1" spans="1:26">
      <c r="A76" s="415"/>
      <c r="B76" s="364"/>
      <c r="C76" s="365"/>
      <c r="D76" s="413"/>
      <c r="E76" s="413"/>
      <c r="F76" s="367"/>
      <c r="G76" s="367"/>
      <c r="H76" s="367"/>
      <c r="I76" s="367"/>
      <c r="J76" s="367"/>
      <c r="K76" s="367"/>
      <c r="L76" s="367"/>
      <c r="M76" s="367"/>
      <c r="N76" s="367"/>
      <c r="O76" s="367"/>
      <c r="P76" s="367"/>
      <c r="Q76" s="367"/>
      <c r="R76" s="367"/>
      <c r="S76" s="367"/>
      <c r="T76" s="367"/>
      <c r="U76" s="367"/>
      <c r="V76" s="367"/>
      <c r="W76" s="367"/>
      <c r="X76" s="367"/>
      <c r="Y76" s="367"/>
      <c r="Z76" s="367"/>
    </row>
    <row r="77" ht="12.75" customHeight="1" spans="1:26">
      <c r="A77" s="415"/>
      <c r="B77" s="364"/>
      <c r="C77" s="365"/>
      <c r="D77" s="413"/>
      <c r="E77" s="413"/>
      <c r="F77" s="367"/>
      <c r="G77" s="367"/>
      <c r="H77" s="367"/>
      <c r="I77" s="367"/>
      <c r="J77" s="367"/>
      <c r="K77" s="367"/>
      <c r="L77" s="367"/>
      <c r="M77" s="367"/>
      <c r="N77" s="367"/>
      <c r="O77" s="367"/>
      <c r="P77" s="367"/>
      <c r="Q77" s="367"/>
      <c r="R77" s="367"/>
      <c r="S77" s="367"/>
      <c r="T77" s="367"/>
      <c r="U77" s="367"/>
      <c r="V77" s="367"/>
      <c r="W77" s="367"/>
      <c r="X77" s="367"/>
      <c r="Y77" s="367"/>
      <c r="Z77" s="367"/>
    </row>
    <row r="78" ht="12.75" customHeight="1" spans="1:26">
      <c r="A78" s="415"/>
      <c r="B78" s="364"/>
      <c r="C78" s="365"/>
      <c r="D78" s="413"/>
      <c r="E78" s="413"/>
      <c r="F78" s="367"/>
      <c r="G78" s="367"/>
      <c r="H78" s="367"/>
      <c r="I78" s="367"/>
      <c r="J78" s="367"/>
      <c r="K78" s="367"/>
      <c r="L78" s="367"/>
      <c r="M78" s="367"/>
      <c r="N78" s="367"/>
      <c r="O78" s="367"/>
      <c r="P78" s="367"/>
      <c r="Q78" s="367"/>
      <c r="R78" s="367"/>
      <c r="S78" s="367"/>
      <c r="T78" s="367"/>
      <c r="U78" s="367"/>
      <c r="V78" s="367"/>
      <c r="W78" s="367"/>
      <c r="X78" s="367"/>
      <c r="Y78" s="367"/>
      <c r="Z78" s="367"/>
    </row>
    <row r="79" ht="12.75" customHeight="1" spans="1:26">
      <c r="A79" s="415"/>
      <c r="B79" s="364"/>
      <c r="C79" s="365"/>
      <c r="D79" s="413"/>
      <c r="E79" s="413"/>
      <c r="F79" s="367"/>
      <c r="G79" s="367"/>
      <c r="H79" s="367"/>
      <c r="I79" s="367"/>
      <c r="J79" s="367"/>
      <c r="K79" s="367"/>
      <c r="L79" s="367"/>
      <c r="M79" s="367"/>
      <c r="N79" s="367"/>
      <c r="O79" s="367"/>
      <c r="P79" s="367"/>
      <c r="Q79" s="367"/>
      <c r="R79" s="367"/>
      <c r="S79" s="367"/>
      <c r="T79" s="367"/>
      <c r="U79" s="367"/>
      <c r="V79" s="367"/>
      <c r="W79" s="367"/>
      <c r="X79" s="367"/>
      <c r="Y79" s="367"/>
      <c r="Z79" s="367"/>
    </row>
    <row r="80" ht="12.75" customHeight="1" spans="1:26">
      <c r="A80" s="415"/>
      <c r="B80" s="364"/>
      <c r="C80" s="365"/>
      <c r="D80" s="413"/>
      <c r="E80" s="413"/>
      <c r="F80" s="367"/>
      <c r="G80" s="367"/>
      <c r="H80" s="367"/>
      <c r="I80" s="367"/>
      <c r="J80" s="367"/>
      <c r="K80" s="367"/>
      <c r="L80" s="367"/>
      <c r="M80" s="367"/>
      <c r="N80" s="367"/>
      <c r="O80" s="367"/>
      <c r="P80" s="367"/>
      <c r="Q80" s="367"/>
      <c r="R80" s="367"/>
      <c r="S80" s="367"/>
      <c r="T80" s="367"/>
      <c r="U80" s="367"/>
      <c r="V80" s="367"/>
      <c r="W80" s="367"/>
      <c r="X80" s="367"/>
      <c r="Y80" s="367"/>
      <c r="Z80" s="367"/>
    </row>
    <row r="81" ht="12.75" customHeight="1" spans="1:26">
      <c r="A81" s="415"/>
      <c r="B81" s="364"/>
      <c r="C81" s="365"/>
      <c r="D81" s="413"/>
      <c r="E81" s="413"/>
      <c r="F81" s="367"/>
      <c r="G81" s="367"/>
      <c r="H81" s="367"/>
      <c r="I81" s="367"/>
      <c r="J81" s="367"/>
      <c r="K81" s="367"/>
      <c r="L81" s="367"/>
      <c r="M81" s="367"/>
      <c r="N81" s="367"/>
      <c r="O81" s="367"/>
      <c r="P81" s="367"/>
      <c r="Q81" s="367"/>
      <c r="R81" s="367"/>
      <c r="S81" s="367"/>
      <c r="T81" s="367"/>
      <c r="U81" s="367"/>
      <c r="V81" s="367"/>
      <c r="W81" s="367"/>
      <c r="X81" s="367"/>
      <c r="Y81" s="367"/>
      <c r="Z81" s="367"/>
    </row>
    <row r="82" ht="12.75" customHeight="1" spans="1:26">
      <c r="A82" s="415"/>
      <c r="B82" s="364"/>
      <c r="C82" s="365"/>
      <c r="D82" s="413"/>
      <c r="E82" s="413"/>
      <c r="F82" s="367"/>
      <c r="G82" s="367"/>
      <c r="H82" s="367"/>
      <c r="I82" s="367"/>
      <c r="J82" s="367"/>
      <c r="K82" s="367"/>
      <c r="L82" s="367"/>
      <c r="M82" s="367"/>
      <c r="N82" s="367"/>
      <c r="O82" s="367"/>
      <c r="P82" s="367"/>
      <c r="Q82" s="367"/>
      <c r="R82" s="367"/>
      <c r="S82" s="367"/>
      <c r="T82" s="367"/>
      <c r="U82" s="367"/>
      <c r="V82" s="367"/>
      <c r="W82" s="367"/>
      <c r="X82" s="367"/>
      <c r="Y82" s="367"/>
      <c r="Z82" s="367"/>
    </row>
    <row r="83" ht="12.75" customHeight="1" spans="1:26">
      <c r="A83" s="363"/>
      <c r="B83" s="412"/>
      <c r="C83" s="365"/>
      <c r="D83" s="413"/>
      <c r="E83" s="413"/>
      <c r="F83" s="367"/>
      <c r="G83" s="367"/>
      <c r="H83" s="367"/>
      <c r="I83" s="367"/>
      <c r="J83" s="367"/>
      <c r="K83" s="367"/>
      <c r="L83" s="367"/>
      <c r="M83" s="367"/>
      <c r="N83" s="367"/>
      <c r="O83" s="367"/>
      <c r="P83" s="367"/>
      <c r="Q83" s="367"/>
      <c r="R83" s="367"/>
      <c r="S83" s="367"/>
      <c r="T83" s="367"/>
      <c r="U83" s="367"/>
      <c r="V83" s="367"/>
      <c r="W83" s="367"/>
      <c r="X83" s="367"/>
      <c r="Y83" s="367"/>
      <c r="Z83" s="367"/>
    </row>
    <row r="84" ht="12.75" customHeight="1" spans="1:26">
      <c r="A84" s="363"/>
      <c r="B84" s="412"/>
      <c r="C84" s="365"/>
      <c r="D84" s="413"/>
      <c r="E84" s="413"/>
      <c r="F84" s="367"/>
      <c r="G84" s="367"/>
      <c r="H84" s="367"/>
      <c r="I84" s="367"/>
      <c r="J84" s="367"/>
      <c r="K84" s="367"/>
      <c r="L84" s="367"/>
      <c r="M84" s="367"/>
      <c r="N84" s="367"/>
      <c r="O84" s="367"/>
      <c r="P84" s="367"/>
      <c r="Q84" s="367"/>
      <c r="R84" s="367"/>
      <c r="S84" s="367"/>
      <c r="T84" s="367"/>
      <c r="U84" s="367"/>
      <c r="V84" s="367"/>
      <c r="W84" s="367"/>
      <c r="X84" s="367"/>
      <c r="Y84" s="367"/>
      <c r="Z84" s="367"/>
    </row>
    <row r="85" ht="12.75" customHeight="1" spans="1:26">
      <c r="A85" s="363"/>
      <c r="B85" s="412"/>
      <c r="C85" s="365"/>
      <c r="D85" s="413"/>
      <c r="E85" s="413"/>
      <c r="F85" s="367"/>
      <c r="G85" s="367"/>
      <c r="H85" s="367"/>
      <c r="I85" s="367"/>
      <c r="J85" s="367"/>
      <c r="K85" s="367"/>
      <c r="L85" s="367"/>
      <c r="M85" s="367"/>
      <c r="N85" s="367"/>
      <c r="O85" s="367"/>
      <c r="P85" s="367"/>
      <c r="Q85" s="367"/>
      <c r="R85" s="367"/>
      <c r="S85" s="367"/>
      <c r="T85" s="367"/>
      <c r="U85" s="367"/>
      <c r="V85" s="367"/>
      <c r="W85" s="367"/>
      <c r="X85" s="367"/>
      <c r="Y85" s="367"/>
      <c r="Z85" s="367"/>
    </row>
    <row r="86" ht="12.75" customHeight="1" spans="1:26">
      <c r="A86" s="363"/>
      <c r="B86" s="412"/>
      <c r="C86" s="365"/>
      <c r="D86" s="413"/>
      <c r="E86" s="413"/>
      <c r="F86" s="367"/>
      <c r="G86" s="367"/>
      <c r="H86" s="367"/>
      <c r="I86" s="367"/>
      <c r="J86" s="367"/>
      <c r="K86" s="367"/>
      <c r="L86" s="367"/>
      <c r="M86" s="367"/>
      <c r="N86" s="367"/>
      <c r="O86" s="367"/>
      <c r="P86" s="367"/>
      <c r="Q86" s="367"/>
      <c r="R86" s="367"/>
      <c r="S86" s="367"/>
      <c r="T86" s="367"/>
      <c r="U86" s="367"/>
      <c r="V86" s="367"/>
      <c r="W86" s="367"/>
      <c r="X86" s="367"/>
      <c r="Y86" s="367"/>
      <c r="Z86" s="367"/>
    </row>
    <row r="87" ht="12.75" customHeight="1" spans="1:26">
      <c r="A87" s="363"/>
      <c r="B87" s="412"/>
      <c r="C87" s="365"/>
      <c r="D87" s="413"/>
      <c r="E87" s="413"/>
      <c r="F87" s="367"/>
      <c r="G87" s="367"/>
      <c r="H87" s="367"/>
      <c r="I87" s="367"/>
      <c r="J87" s="367"/>
      <c r="K87" s="367"/>
      <c r="L87" s="367"/>
      <c r="M87" s="367"/>
      <c r="N87" s="367"/>
      <c r="O87" s="367"/>
      <c r="P87" s="367"/>
      <c r="Q87" s="367"/>
      <c r="R87" s="367"/>
      <c r="S87" s="367"/>
      <c r="T87" s="367"/>
      <c r="U87" s="367"/>
      <c r="V87" s="367"/>
      <c r="W87" s="367"/>
      <c r="X87" s="367"/>
      <c r="Y87" s="367"/>
      <c r="Z87" s="367"/>
    </row>
    <row r="88" ht="12.75" customHeight="1" spans="1:26">
      <c r="A88" s="363"/>
      <c r="B88" s="412"/>
      <c r="C88" s="365"/>
      <c r="D88" s="413"/>
      <c r="E88" s="413"/>
      <c r="F88" s="367"/>
      <c r="G88" s="367"/>
      <c r="H88" s="367"/>
      <c r="I88" s="367"/>
      <c r="J88" s="367"/>
      <c r="K88" s="367"/>
      <c r="L88" s="367"/>
      <c r="M88" s="367"/>
      <c r="N88" s="367"/>
      <c r="O88" s="367"/>
      <c r="P88" s="367"/>
      <c r="Q88" s="367"/>
      <c r="R88" s="367"/>
      <c r="S88" s="367"/>
      <c r="T88" s="367"/>
      <c r="U88" s="367"/>
      <c r="V88" s="367"/>
      <c r="W88" s="367"/>
      <c r="X88" s="367"/>
      <c r="Y88" s="367"/>
      <c r="Z88" s="367"/>
    </row>
    <row r="89" ht="12.75" customHeight="1" spans="1:26">
      <c r="A89" s="363"/>
      <c r="B89" s="412"/>
      <c r="C89" s="365"/>
      <c r="D89" s="413"/>
      <c r="E89" s="413"/>
      <c r="F89" s="367"/>
      <c r="G89" s="367"/>
      <c r="H89" s="367"/>
      <c r="I89" s="367"/>
      <c r="J89" s="367"/>
      <c r="K89" s="367"/>
      <c r="L89" s="367"/>
      <c r="M89" s="367"/>
      <c r="N89" s="367"/>
      <c r="O89" s="367"/>
      <c r="P89" s="367"/>
      <c r="Q89" s="367"/>
      <c r="R89" s="367"/>
      <c r="S89" s="367"/>
      <c r="T89" s="367"/>
      <c r="U89" s="367"/>
      <c r="V89" s="367"/>
      <c r="W89" s="367"/>
      <c r="X89" s="367"/>
      <c r="Y89" s="367"/>
      <c r="Z89" s="367"/>
    </row>
    <row r="90" ht="12.75" customHeight="1" spans="1:26">
      <c r="A90" s="363"/>
      <c r="B90" s="412"/>
      <c r="C90" s="365"/>
      <c r="D90" s="413"/>
      <c r="E90" s="413"/>
      <c r="F90" s="367"/>
      <c r="G90" s="367"/>
      <c r="H90" s="367"/>
      <c r="I90" s="367"/>
      <c r="J90" s="367"/>
      <c r="K90" s="367"/>
      <c r="L90" s="367"/>
      <c r="M90" s="367"/>
      <c r="N90" s="367"/>
      <c r="O90" s="367"/>
      <c r="P90" s="367"/>
      <c r="Q90" s="367"/>
      <c r="R90" s="367"/>
      <c r="S90" s="367"/>
      <c r="T90" s="367"/>
      <c r="U90" s="367"/>
      <c r="V90" s="367"/>
      <c r="W90" s="367"/>
      <c r="X90" s="367"/>
      <c r="Y90" s="367"/>
      <c r="Z90" s="367"/>
    </row>
    <row r="91" ht="12.75" customHeight="1" spans="1:26">
      <c r="A91" s="363"/>
      <c r="B91" s="412"/>
      <c r="C91" s="365"/>
      <c r="D91" s="413"/>
      <c r="E91" s="413"/>
      <c r="F91" s="367"/>
      <c r="G91" s="367"/>
      <c r="H91" s="367"/>
      <c r="I91" s="367"/>
      <c r="J91" s="367"/>
      <c r="K91" s="367"/>
      <c r="L91" s="367"/>
      <c r="M91" s="367"/>
      <c r="N91" s="367"/>
      <c r="O91" s="367"/>
      <c r="P91" s="367"/>
      <c r="Q91" s="367"/>
      <c r="R91" s="367"/>
      <c r="S91" s="367"/>
      <c r="T91" s="367"/>
      <c r="U91" s="367"/>
      <c r="V91" s="367"/>
      <c r="W91" s="367"/>
      <c r="X91" s="367"/>
      <c r="Y91" s="367"/>
      <c r="Z91" s="367"/>
    </row>
    <row r="92" ht="12.75" customHeight="1" spans="1:26">
      <c r="A92" s="363"/>
      <c r="B92" s="412"/>
      <c r="C92" s="365"/>
      <c r="D92" s="413"/>
      <c r="E92" s="413"/>
      <c r="F92" s="367"/>
      <c r="G92" s="367"/>
      <c r="H92" s="367"/>
      <c r="I92" s="367"/>
      <c r="J92" s="367"/>
      <c r="K92" s="367"/>
      <c r="L92" s="367"/>
      <c r="M92" s="367"/>
      <c r="N92" s="367"/>
      <c r="O92" s="367"/>
      <c r="P92" s="367"/>
      <c r="Q92" s="367"/>
      <c r="R92" s="367"/>
      <c r="S92" s="367"/>
      <c r="T92" s="367"/>
      <c r="U92" s="367"/>
      <c r="V92" s="367"/>
      <c r="W92" s="367"/>
      <c r="X92" s="367"/>
      <c r="Y92" s="367"/>
      <c r="Z92" s="367"/>
    </row>
    <row r="93" ht="12.75" customHeight="1" spans="1:26">
      <c r="A93" s="363"/>
      <c r="B93" s="412"/>
      <c r="C93" s="365"/>
      <c r="D93" s="413"/>
      <c r="E93" s="413"/>
      <c r="F93" s="367"/>
      <c r="G93" s="367"/>
      <c r="H93" s="367"/>
      <c r="I93" s="367"/>
      <c r="J93" s="367"/>
      <c r="K93" s="367"/>
      <c r="L93" s="367"/>
      <c r="M93" s="367"/>
      <c r="N93" s="367"/>
      <c r="O93" s="367"/>
      <c r="P93" s="367"/>
      <c r="Q93" s="367"/>
      <c r="R93" s="367"/>
      <c r="S93" s="367"/>
      <c r="T93" s="367"/>
      <c r="U93" s="367"/>
      <c r="V93" s="367"/>
      <c r="W93" s="367"/>
      <c r="X93" s="367"/>
      <c r="Y93" s="367"/>
      <c r="Z93" s="367"/>
    </row>
    <row r="94" ht="12.75" customHeight="1" spans="1:26">
      <c r="A94" s="363"/>
      <c r="B94" s="412"/>
      <c r="C94" s="365"/>
      <c r="D94" s="413"/>
      <c r="E94" s="413"/>
      <c r="F94" s="367"/>
      <c r="G94" s="367"/>
      <c r="H94" s="367"/>
      <c r="I94" s="367"/>
      <c r="J94" s="367"/>
      <c r="K94" s="367"/>
      <c r="L94" s="367"/>
      <c r="M94" s="367"/>
      <c r="N94" s="367"/>
      <c r="O94" s="367"/>
      <c r="P94" s="367"/>
      <c r="Q94" s="367"/>
      <c r="R94" s="367"/>
      <c r="S94" s="367"/>
      <c r="T94" s="367"/>
      <c r="U94" s="367"/>
      <c r="V94" s="367"/>
      <c r="W94" s="367"/>
      <c r="X94" s="367"/>
      <c r="Y94" s="367"/>
      <c r="Z94" s="367"/>
    </row>
    <row r="95" ht="12.75" customHeight="1" spans="1:26">
      <c r="A95" s="363"/>
      <c r="B95" s="412"/>
      <c r="C95" s="365"/>
      <c r="D95" s="413"/>
      <c r="E95" s="413"/>
      <c r="F95" s="367"/>
      <c r="G95" s="367"/>
      <c r="H95" s="367"/>
      <c r="I95" s="367"/>
      <c r="J95" s="367"/>
      <c r="K95" s="367"/>
      <c r="L95" s="367"/>
      <c r="M95" s="367"/>
      <c r="N95" s="367"/>
      <c r="O95" s="367"/>
      <c r="P95" s="367"/>
      <c r="Q95" s="367"/>
      <c r="R95" s="367"/>
      <c r="S95" s="367"/>
      <c r="T95" s="367"/>
      <c r="U95" s="367"/>
      <c r="V95" s="367"/>
      <c r="W95" s="367"/>
      <c r="X95" s="367"/>
      <c r="Y95" s="367"/>
      <c r="Z95" s="367"/>
    </row>
    <row r="96" ht="12.75" customHeight="1" spans="1:26">
      <c r="A96" s="363"/>
      <c r="B96" s="412"/>
      <c r="C96" s="365"/>
      <c r="D96" s="413"/>
      <c r="E96" s="413"/>
      <c r="F96" s="367"/>
      <c r="G96" s="367"/>
      <c r="H96" s="367"/>
      <c r="I96" s="367"/>
      <c r="J96" s="367"/>
      <c r="K96" s="367"/>
      <c r="L96" s="367"/>
      <c r="M96" s="367"/>
      <c r="N96" s="367"/>
      <c r="O96" s="367"/>
      <c r="P96" s="367"/>
      <c r="Q96" s="367"/>
      <c r="R96" s="367"/>
      <c r="S96" s="367"/>
      <c r="T96" s="367"/>
      <c r="U96" s="367"/>
      <c r="V96" s="367"/>
      <c r="W96" s="367"/>
      <c r="X96" s="367"/>
      <c r="Y96" s="367"/>
      <c r="Z96" s="367"/>
    </row>
    <row r="97" ht="12.75" customHeight="1" spans="1:26">
      <c r="A97" s="363"/>
      <c r="B97" s="412"/>
      <c r="C97" s="365"/>
      <c r="D97" s="413"/>
      <c r="E97" s="413"/>
      <c r="F97" s="367"/>
      <c r="G97" s="367"/>
      <c r="H97" s="367"/>
      <c r="I97" s="367"/>
      <c r="J97" s="367"/>
      <c r="K97" s="367"/>
      <c r="L97" s="367"/>
      <c r="M97" s="367"/>
      <c r="N97" s="367"/>
      <c r="O97" s="367"/>
      <c r="P97" s="367"/>
      <c r="Q97" s="367"/>
      <c r="R97" s="367"/>
      <c r="S97" s="367"/>
      <c r="T97" s="367"/>
      <c r="U97" s="367"/>
      <c r="V97" s="367"/>
      <c r="W97" s="367"/>
      <c r="X97" s="367"/>
      <c r="Y97" s="367"/>
      <c r="Z97" s="367"/>
    </row>
    <row r="98" ht="12.75" customHeight="1" spans="1:26">
      <c r="A98" s="363"/>
      <c r="B98" s="412"/>
      <c r="C98" s="365"/>
      <c r="D98" s="413"/>
      <c r="E98" s="413"/>
      <c r="F98" s="367"/>
      <c r="G98" s="367"/>
      <c r="H98" s="367"/>
      <c r="I98" s="367"/>
      <c r="J98" s="367"/>
      <c r="K98" s="367"/>
      <c r="L98" s="367"/>
      <c r="M98" s="367"/>
      <c r="N98" s="367"/>
      <c r="O98" s="367"/>
      <c r="P98" s="367"/>
      <c r="Q98" s="367"/>
      <c r="R98" s="367"/>
      <c r="S98" s="367"/>
      <c r="T98" s="367"/>
      <c r="U98" s="367"/>
      <c r="V98" s="367"/>
      <c r="W98" s="367"/>
      <c r="X98" s="367"/>
      <c r="Y98" s="367"/>
      <c r="Z98" s="367"/>
    </row>
    <row r="99" ht="12.75" customHeight="1" spans="1:26">
      <c r="A99" s="363"/>
      <c r="B99" s="412"/>
      <c r="C99" s="365"/>
      <c r="D99" s="413"/>
      <c r="E99" s="413"/>
      <c r="F99" s="367"/>
      <c r="G99" s="367"/>
      <c r="H99" s="367"/>
      <c r="I99" s="367"/>
      <c r="J99" s="367"/>
      <c r="K99" s="367"/>
      <c r="L99" s="367"/>
      <c r="M99" s="367"/>
      <c r="N99" s="367"/>
      <c r="O99" s="367"/>
      <c r="P99" s="367"/>
      <c r="Q99" s="367"/>
      <c r="R99" s="367"/>
      <c r="S99" s="367"/>
      <c r="T99" s="367"/>
      <c r="U99" s="367"/>
      <c r="V99" s="367"/>
      <c r="W99" s="367"/>
      <c r="X99" s="367"/>
      <c r="Y99" s="367"/>
      <c r="Z99" s="367"/>
    </row>
    <row r="100" ht="12.75" customHeight="1" spans="1:26">
      <c r="A100" s="363"/>
      <c r="B100" s="412"/>
      <c r="C100" s="365"/>
      <c r="D100" s="413"/>
      <c r="E100" s="413"/>
      <c r="F100" s="367"/>
      <c r="G100" s="367"/>
      <c r="H100" s="367"/>
      <c r="I100" s="367"/>
      <c r="J100" s="367"/>
      <c r="K100" s="367"/>
      <c r="L100" s="367"/>
      <c r="M100" s="367"/>
      <c r="N100" s="367"/>
      <c r="O100" s="367"/>
      <c r="P100" s="367"/>
      <c r="Q100" s="367"/>
      <c r="R100" s="367"/>
      <c r="S100" s="367"/>
      <c r="T100" s="367"/>
      <c r="U100" s="367"/>
      <c r="V100" s="367"/>
      <c r="W100" s="367"/>
      <c r="X100" s="367"/>
      <c r="Y100" s="367"/>
      <c r="Z100" s="367"/>
    </row>
    <row r="101" ht="12.75" customHeight="1" spans="1:26">
      <c r="A101" s="363"/>
      <c r="B101" s="412"/>
      <c r="C101" s="365"/>
      <c r="D101" s="413"/>
      <c r="E101" s="413"/>
      <c r="F101" s="367"/>
      <c r="G101" s="367"/>
      <c r="H101" s="367"/>
      <c r="I101" s="367"/>
      <c r="J101" s="367"/>
      <c r="K101" s="367"/>
      <c r="L101" s="367"/>
      <c r="M101" s="367"/>
      <c r="N101" s="367"/>
      <c r="O101" s="367"/>
      <c r="P101" s="367"/>
      <c r="Q101" s="367"/>
      <c r="R101" s="367"/>
      <c r="S101" s="367"/>
      <c r="T101" s="367"/>
      <c r="U101" s="367"/>
      <c r="V101" s="367"/>
      <c r="W101" s="367"/>
      <c r="X101" s="367"/>
      <c r="Y101" s="367"/>
      <c r="Z101" s="367"/>
    </row>
    <row r="102" ht="12.75" customHeight="1" spans="1:26">
      <c r="A102" s="363"/>
      <c r="B102" s="412"/>
      <c r="C102" s="365"/>
      <c r="D102" s="413"/>
      <c r="E102" s="413"/>
      <c r="F102" s="367"/>
      <c r="G102" s="367"/>
      <c r="H102" s="367"/>
      <c r="I102" s="367"/>
      <c r="J102" s="367"/>
      <c r="K102" s="367"/>
      <c r="L102" s="367"/>
      <c r="M102" s="367"/>
      <c r="N102" s="367"/>
      <c r="O102" s="367"/>
      <c r="P102" s="367"/>
      <c r="Q102" s="367"/>
      <c r="R102" s="367"/>
      <c r="S102" s="367"/>
      <c r="T102" s="367"/>
      <c r="U102" s="367"/>
      <c r="V102" s="367"/>
      <c r="W102" s="367"/>
      <c r="X102" s="367"/>
      <c r="Y102" s="367"/>
      <c r="Z102" s="367"/>
    </row>
    <row r="103" ht="12.75" customHeight="1" spans="1:26">
      <c r="A103" s="363"/>
      <c r="B103" s="412"/>
      <c r="C103" s="365"/>
      <c r="D103" s="413"/>
      <c r="E103" s="413"/>
      <c r="F103" s="367"/>
      <c r="G103" s="367"/>
      <c r="H103" s="367"/>
      <c r="I103" s="367"/>
      <c r="J103" s="367"/>
      <c r="K103" s="367"/>
      <c r="L103" s="367"/>
      <c r="M103" s="367"/>
      <c r="N103" s="367"/>
      <c r="O103" s="367"/>
      <c r="P103" s="367"/>
      <c r="Q103" s="367"/>
      <c r="R103" s="367"/>
      <c r="S103" s="367"/>
      <c r="T103" s="367"/>
      <c r="U103" s="367"/>
      <c r="V103" s="367"/>
      <c r="W103" s="367"/>
      <c r="X103" s="367"/>
      <c r="Y103" s="367"/>
      <c r="Z103" s="367"/>
    </row>
    <row r="104" ht="12.75" customHeight="1" spans="1:26">
      <c r="A104" s="363"/>
      <c r="B104" s="412"/>
      <c r="C104" s="365"/>
      <c r="D104" s="413"/>
      <c r="E104" s="413"/>
      <c r="F104" s="367"/>
      <c r="G104" s="367"/>
      <c r="H104" s="367"/>
      <c r="I104" s="367"/>
      <c r="J104" s="367"/>
      <c r="K104" s="367"/>
      <c r="L104" s="367"/>
      <c r="M104" s="367"/>
      <c r="N104" s="367"/>
      <c r="O104" s="367"/>
      <c r="P104" s="367"/>
      <c r="Q104" s="367"/>
      <c r="R104" s="367"/>
      <c r="S104" s="367"/>
      <c r="T104" s="367"/>
      <c r="U104" s="367"/>
      <c r="V104" s="367"/>
      <c r="W104" s="367"/>
      <c r="X104" s="367"/>
      <c r="Y104" s="367"/>
      <c r="Z104" s="367"/>
    </row>
    <row r="105" ht="12.75" customHeight="1" spans="1:26">
      <c r="A105" s="363"/>
      <c r="B105" s="412"/>
      <c r="C105" s="365"/>
      <c r="D105" s="413"/>
      <c r="E105" s="413"/>
      <c r="F105" s="367"/>
      <c r="G105" s="367"/>
      <c r="H105" s="367"/>
      <c r="I105" s="367"/>
      <c r="J105" s="367"/>
      <c r="K105" s="367"/>
      <c r="L105" s="367"/>
      <c r="M105" s="367"/>
      <c r="N105" s="367"/>
      <c r="O105" s="367"/>
      <c r="P105" s="367"/>
      <c r="Q105" s="367"/>
      <c r="R105" s="367"/>
      <c r="S105" s="367"/>
      <c r="T105" s="367"/>
      <c r="U105" s="367"/>
      <c r="V105" s="367"/>
      <c r="W105" s="367"/>
      <c r="X105" s="367"/>
      <c r="Y105" s="367"/>
      <c r="Z105" s="367"/>
    </row>
    <row r="106" ht="12.75" customHeight="1" spans="1:26">
      <c r="A106" s="363"/>
      <c r="B106" s="412"/>
      <c r="C106" s="365"/>
      <c r="D106" s="413"/>
      <c r="E106" s="413"/>
      <c r="F106" s="367"/>
      <c r="G106" s="367"/>
      <c r="H106" s="367"/>
      <c r="I106" s="367"/>
      <c r="J106" s="367"/>
      <c r="K106" s="367"/>
      <c r="L106" s="367"/>
      <c r="M106" s="367"/>
      <c r="N106" s="367"/>
      <c r="O106" s="367"/>
      <c r="P106" s="367"/>
      <c r="Q106" s="367"/>
      <c r="R106" s="367"/>
      <c r="S106" s="367"/>
      <c r="T106" s="367"/>
      <c r="U106" s="367"/>
      <c r="V106" s="367"/>
      <c r="W106" s="367"/>
      <c r="X106" s="367"/>
      <c r="Y106" s="367"/>
      <c r="Z106" s="367"/>
    </row>
    <row r="107" ht="12.75" customHeight="1" spans="1:26">
      <c r="A107" s="363"/>
      <c r="B107" s="412"/>
      <c r="C107" s="365"/>
      <c r="D107" s="413"/>
      <c r="E107" s="413"/>
      <c r="F107" s="367"/>
      <c r="G107" s="367"/>
      <c r="H107" s="367"/>
      <c r="I107" s="367"/>
      <c r="J107" s="367"/>
      <c r="K107" s="367"/>
      <c r="L107" s="367"/>
      <c r="M107" s="367"/>
      <c r="N107" s="367"/>
      <c r="O107" s="367"/>
      <c r="P107" s="367"/>
      <c r="Q107" s="367"/>
      <c r="R107" s="367"/>
      <c r="S107" s="367"/>
      <c r="T107" s="367"/>
      <c r="U107" s="367"/>
      <c r="V107" s="367"/>
      <c r="W107" s="367"/>
      <c r="X107" s="367"/>
      <c r="Y107" s="367"/>
      <c r="Z107" s="367"/>
    </row>
    <row r="108" ht="12.75" customHeight="1" spans="1:26">
      <c r="A108" s="363"/>
      <c r="B108" s="412"/>
      <c r="C108" s="365"/>
      <c r="D108" s="413"/>
      <c r="E108" s="413"/>
      <c r="F108" s="367"/>
      <c r="G108" s="367"/>
      <c r="H108" s="367"/>
      <c r="I108" s="367"/>
      <c r="J108" s="367"/>
      <c r="K108" s="367"/>
      <c r="L108" s="367"/>
      <c r="M108" s="367"/>
      <c r="N108" s="367"/>
      <c r="O108" s="367"/>
      <c r="P108" s="367"/>
      <c r="Q108" s="367"/>
      <c r="R108" s="367"/>
      <c r="S108" s="367"/>
      <c r="T108" s="367"/>
      <c r="U108" s="367"/>
      <c r="V108" s="367"/>
      <c r="W108" s="367"/>
      <c r="X108" s="367"/>
      <c r="Y108" s="367"/>
      <c r="Z108" s="367"/>
    </row>
    <row r="109" ht="12.75" customHeight="1" spans="1:26">
      <c r="A109" s="363"/>
      <c r="B109" s="412"/>
      <c r="C109" s="365"/>
      <c r="D109" s="413"/>
      <c r="E109" s="413"/>
      <c r="F109" s="367"/>
      <c r="G109" s="367"/>
      <c r="H109" s="367"/>
      <c r="I109" s="367"/>
      <c r="J109" s="367"/>
      <c r="K109" s="367"/>
      <c r="L109" s="367"/>
      <c r="M109" s="367"/>
      <c r="N109" s="367"/>
      <c r="O109" s="367"/>
      <c r="P109" s="367"/>
      <c r="Q109" s="367"/>
      <c r="R109" s="367"/>
      <c r="S109" s="367"/>
      <c r="T109" s="367"/>
      <c r="U109" s="367"/>
      <c r="V109" s="367"/>
      <c r="W109" s="367"/>
      <c r="X109" s="367"/>
      <c r="Y109" s="367"/>
      <c r="Z109" s="367"/>
    </row>
    <row r="110" ht="12.75" customHeight="1" spans="1:26">
      <c r="A110" s="363"/>
      <c r="B110" s="412"/>
      <c r="C110" s="365"/>
      <c r="D110" s="413"/>
      <c r="E110" s="413"/>
      <c r="F110" s="367"/>
      <c r="G110" s="367"/>
      <c r="H110" s="367"/>
      <c r="I110" s="367"/>
      <c r="J110" s="367"/>
      <c r="K110" s="367"/>
      <c r="L110" s="367"/>
      <c r="M110" s="367"/>
      <c r="N110" s="367"/>
      <c r="O110" s="367"/>
      <c r="P110" s="367"/>
      <c r="Q110" s="367"/>
      <c r="R110" s="367"/>
      <c r="S110" s="367"/>
      <c r="T110" s="367"/>
      <c r="U110" s="367"/>
      <c r="V110" s="367"/>
      <c r="W110" s="367"/>
      <c r="X110" s="367"/>
      <c r="Y110" s="367"/>
      <c r="Z110" s="367"/>
    </row>
    <row r="111" ht="12.75" customHeight="1" spans="1:26">
      <c r="A111" s="363"/>
      <c r="B111" s="412"/>
      <c r="C111" s="365"/>
      <c r="D111" s="413"/>
      <c r="E111" s="413"/>
      <c r="F111" s="367"/>
      <c r="G111" s="367"/>
      <c r="H111" s="367"/>
      <c r="I111" s="367"/>
      <c r="J111" s="367"/>
      <c r="K111" s="367"/>
      <c r="L111" s="367"/>
      <c r="M111" s="367"/>
      <c r="N111" s="367"/>
      <c r="O111" s="367"/>
      <c r="P111" s="367"/>
      <c r="Q111" s="367"/>
      <c r="R111" s="367"/>
      <c r="S111" s="367"/>
      <c r="T111" s="367"/>
      <c r="U111" s="367"/>
      <c r="V111" s="367"/>
      <c r="W111" s="367"/>
      <c r="X111" s="367"/>
      <c r="Y111" s="367"/>
      <c r="Z111" s="367"/>
    </row>
    <row r="112" ht="12.75" customHeight="1" spans="1:26">
      <c r="A112" s="363"/>
      <c r="B112" s="412"/>
      <c r="C112" s="365"/>
      <c r="D112" s="413"/>
      <c r="E112" s="413"/>
      <c r="F112" s="367"/>
      <c r="G112" s="367"/>
      <c r="H112" s="367"/>
      <c r="I112" s="367"/>
      <c r="J112" s="367"/>
      <c r="K112" s="367"/>
      <c r="L112" s="367"/>
      <c r="M112" s="367"/>
      <c r="N112" s="367"/>
      <c r="O112" s="367"/>
      <c r="P112" s="367"/>
      <c r="Q112" s="367"/>
      <c r="R112" s="367"/>
      <c r="S112" s="367"/>
      <c r="T112" s="367"/>
      <c r="U112" s="367"/>
      <c r="V112" s="367"/>
      <c r="W112" s="367"/>
      <c r="X112" s="367"/>
      <c r="Y112" s="367"/>
      <c r="Z112" s="367"/>
    </row>
    <row r="113" ht="12.75" customHeight="1" spans="1:26">
      <c r="A113" s="363"/>
      <c r="B113" s="412"/>
      <c r="C113" s="365"/>
      <c r="D113" s="413"/>
      <c r="E113" s="413"/>
      <c r="F113" s="367"/>
      <c r="G113" s="367"/>
      <c r="H113" s="367"/>
      <c r="I113" s="367"/>
      <c r="J113" s="367"/>
      <c r="K113" s="367"/>
      <c r="L113" s="367"/>
      <c r="M113" s="367"/>
      <c r="N113" s="367"/>
      <c r="O113" s="367"/>
      <c r="P113" s="367"/>
      <c r="Q113" s="367"/>
      <c r="R113" s="367"/>
      <c r="S113" s="367"/>
      <c r="T113" s="367"/>
      <c r="U113" s="367"/>
      <c r="V113" s="367"/>
      <c r="W113" s="367"/>
      <c r="X113" s="367"/>
      <c r="Y113" s="367"/>
      <c r="Z113" s="367"/>
    </row>
    <row r="114" ht="12.75" customHeight="1" spans="1:26">
      <c r="A114" s="363"/>
      <c r="B114" s="412"/>
      <c r="C114" s="365"/>
      <c r="D114" s="413"/>
      <c r="E114" s="413"/>
      <c r="F114" s="367"/>
      <c r="G114" s="367"/>
      <c r="H114" s="367"/>
      <c r="I114" s="367"/>
      <c r="J114" s="367"/>
      <c r="K114" s="367"/>
      <c r="L114" s="367"/>
      <c r="M114" s="367"/>
      <c r="N114" s="367"/>
      <c r="O114" s="367"/>
      <c r="P114" s="367"/>
      <c r="Q114" s="367"/>
      <c r="R114" s="367"/>
      <c r="S114" s="367"/>
      <c r="T114" s="367"/>
      <c r="U114" s="367"/>
      <c r="V114" s="367"/>
      <c r="W114" s="367"/>
      <c r="X114" s="367"/>
      <c r="Y114" s="367"/>
      <c r="Z114" s="367"/>
    </row>
    <row r="115" ht="12.75" customHeight="1" spans="1:26">
      <c r="A115" s="363"/>
      <c r="B115" s="412"/>
      <c r="C115" s="365"/>
      <c r="D115" s="413"/>
      <c r="E115" s="413"/>
      <c r="F115" s="367"/>
      <c r="G115" s="367"/>
      <c r="H115" s="367"/>
      <c r="I115" s="367"/>
      <c r="J115" s="367"/>
      <c r="K115" s="367"/>
      <c r="L115" s="367"/>
      <c r="M115" s="367"/>
      <c r="N115" s="367"/>
      <c r="O115" s="367"/>
      <c r="P115" s="367"/>
      <c r="Q115" s="367"/>
      <c r="R115" s="367"/>
      <c r="S115" s="367"/>
      <c r="T115" s="367"/>
      <c r="U115" s="367"/>
      <c r="V115" s="367"/>
      <c r="W115" s="367"/>
      <c r="X115" s="367"/>
      <c r="Y115" s="367"/>
      <c r="Z115" s="367"/>
    </row>
    <row r="116" ht="12.75" customHeight="1" spans="1:26">
      <c r="A116" s="363"/>
      <c r="B116" s="412"/>
      <c r="C116" s="365"/>
      <c r="D116" s="413"/>
      <c r="E116" s="413"/>
      <c r="F116" s="367"/>
      <c r="G116" s="367"/>
      <c r="H116" s="367"/>
      <c r="I116" s="367"/>
      <c r="J116" s="367"/>
      <c r="K116" s="367"/>
      <c r="L116" s="367"/>
      <c r="M116" s="367"/>
      <c r="N116" s="367"/>
      <c r="O116" s="367"/>
      <c r="P116" s="367"/>
      <c r="Q116" s="367"/>
      <c r="R116" s="367"/>
      <c r="S116" s="367"/>
      <c r="T116" s="367"/>
      <c r="U116" s="367"/>
      <c r="V116" s="367"/>
      <c r="W116" s="367"/>
      <c r="X116" s="367"/>
      <c r="Y116" s="367"/>
      <c r="Z116" s="367"/>
    </row>
    <row r="117" ht="12.75" customHeight="1" spans="1:26">
      <c r="A117" s="363"/>
      <c r="B117" s="412"/>
      <c r="C117" s="365"/>
      <c r="D117" s="413"/>
      <c r="E117" s="413"/>
      <c r="F117" s="367"/>
      <c r="G117" s="367"/>
      <c r="H117" s="367"/>
      <c r="I117" s="367"/>
      <c r="J117" s="367"/>
      <c r="K117" s="367"/>
      <c r="L117" s="367"/>
      <c r="M117" s="367"/>
      <c r="N117" s="367"/>
      <c r="O117" s="367"/>
      <c r="P117" s="367"/>
      <c r="Q117" s="367"/>
      <c r="R117" s="367"/>
      <c r="S117" s="367"/>
      <c r="T117" s="367"/>
      <c r="U117" s="367"/>
      <c r="V117" s="367"/>
      <c r="W117" s="367"/>
      <c r="X117" s="367"/>
      <c r="Y117" s="367"/>
      <c r="Z117" s="367"/>
    </row>
    <row r="118" ht="12.75" customHeight="1" spans="1:26">
      <c r="A118" s="363"/>
      <c r="B118" s="412"/>
      <c r="C118" s="365"/>
      <c r="D118" s="413"/>
      <c r="E118" s="413"/>
      <c r="F118" s="367"/>
      <c r="G118" s="367"/>
      <c r="H118" s="367"/>
      <c r="I118" s="367"/>
      <c r="J118" s="367"/>
      <c r="K118" s="367"/>
      <c r="L118" s="367"/>
      <c r="M118" s="367"/>
      <c r="N118" s="367"/>
      <c r="O118" s="367"/>
      <c r="P118" s="367"/>
      <c r="Q118" s="367"/>
      <c r="R118" s="367"/>
      <c r="S118" s="367"/>
      <c r="T118" s="367"/>
      <c r="U118" s="367"/>
      <c r="V118" s="367"/>
      <c r="W118" s="367"/>
      <c r="X118" s="367"/>
      <c r="Y118" s="367"/>
      <c r="Z118" s="367"/>
    </row>
    <row r="119" ht="12.75" customHeight="1" spans="1:26">
      <c r="A119" s="363"/>
      <c r="B119" s="412"/>
      <c r="C119" s="365"/>
      <c r="D119" s="413"/>
      <c r="E119" s="413"/>
      <c r="F119" s="367"/>
      <c r="G119" s="367"/>
      <c r="H119" s="367"/>
      <c r="I119" s="367"/>
      <c r="J119" s="367"/>
      <c r="K119" s="367"/>
      <c r="L119" s="367"/>
      <c r="M119" s="367"/>
      <c r="N119" s="367"/>
      <c r="O119" s="367"/>
      <c r="P119" s="367"/>
      <c r="Q119" s="367"/>
      <c r="R119" s="367"/>
      <c r="S119" s="367"/>
      <c r="T119" s="367"/>
      <c r="U119" s="367"/>
      <c r="V119" s="367"/>
      <c r="W119" s="367"/>
      <c r="X119" s="367"/>
      <c r="Y119" s="367"/>
      <c r="Z119" s="367"/>
    </row>
    <row r="120" ht="12.75" customHeight="1" spans="1:26">
      <c r="A120" s="363"/>
      <c r="B120" s="412"/>
      <c r="C120" s="365"/>
      <c r="D120" s="413"/>
      <c r="E120" s="413"/>
      <c r="F120" s="367"/>
      <c r="G120" s="367"/>
      <c r="H120" s="367"/>
      <c r="I120" s="367"/>
      <c r="J120" s="367"/>
      <c r="K120" s="367"/>
      <c r="L120" s="367"/>
      <c r="M120" s="367"/>
      <c r="N120" s="367"/>
      <c r="O120" s="367"/>
      <c r="P120" s="367"/>
      <c r="Q120" s="367"/>
      <c r="R120" s="367"/>
      <c r="S120" s="367"/>
      <c r="T120" s="367"/>
      <c r="U120" s="367"/>
      <c r="V120" s="367"/>
      <c r="W120" s="367"/>
      <c r="X120" s="367"/>
      <c r="Y120" s="367"/>
      <c r="Z120" s="367"/>
    </row>
    <row r="121" ht="12.75" customHeight="1" spans="1:26">
      <c r="A121" s="363"/>
      <c r="B121" s="412"/>
      <c r="C121" s="365"/>
      <c r="D121" s="413"/>
      <c r="E121" s="413"/>
      <c r="F121" s="367"/>
      <c r="G121" s="367"/>
      <c r="H121" s="367"/>
      <c r="I121" s="367"/>
      <c r="J121" s="367"/>
      <c r="K121" s="367"/>
      <c r="L121" s="367"/>
      <c r="M121" s="367"/>
      <c r="N121" s="367"/>
      <c r="O121" s="367"/>
      <c r="P121" s="367"/>
      <c r="Q121" s="367"/>
      <c r="R121" s="367"/>
      <c r="S121" s="367"/>
      <c r="T121" s="367"/>
      <c r="U121" s="367"/>
      <c r="V121" s="367"/>
      <c r="W121" s="367"/>
      <c r="X121" s="367"/>
      <c r="Y121" s="367"/>
      <c r="Z121" s="367"/>
    </row>
    <row r="122" ht="12.75" customHeight="1" spans="1:26">
      <c r="A122" s="363"/>
      <c r="B122" s="412"/>
      <c r="C122" s="365"/>
      <c r="D122" s="413"/>
      <c r="E122" s="413"/>
      <c r="F122" s="367"/>
      <c r="G122" s="367"/>
      <c r="H122" s="367"/>
      <c r="I122" s="367"/>
      <c r="J122" s="367"/>
      <c r="K122" s="367"/>
      <c r="L122" s="367"/>
      <c r="M122" s="367"/>
      <c r="N122" s="367"/>
      <c r="O122" s="367"/>
      <c r="P122" s="367"/>
      <c r="Q122" s="367"/>
      <c r="R122" s="367"/>
      <c r="S122" s="367"/>
      <c r="T122" s="367"/>
      <c r="U122" s="367"/>
      <c r="V122" s="367"/>
      <c r="W122" s="367"/>
      <c r="X122" s="367"/>
      <c r="Y122" s="367"/>
      <c r="Z122" s="367"/>
    </row>
    <row r="123" ht="12.75" customHeight="1" spans="1:26">
      <c r="A123" s="363"/>
      <c r="B123" s="412"/>
      <c r="C123" s="365"/>
      <c r="D123" s="413"/>
      <c r="E123" s="413"/>
      <c r="F123" s="367"/>
      <c r="G123" s="367"/>
      <c r="H123" s="367"/>
      <c r="I123" s="367"/>
      <c r="J123" s="367"/>
      <c r="K123" s="367"/>
      <c r="L123" s="367"/>
      <c r="M123" s="367"/>
      <c r="N123" s="367"/>
      <c r="O123" s="367"/>
      <c r="P123" s="367"/>
      <c r="Q123" s="367"/>
      <c r="R123" s="367"/>
      <c r="S123" s="367"/>
      <c r="T123" s="367"/>
      <c r="U123" s="367"/>
      <c r="V123" s="367"/>
      <c r="W123" s="367"/>
      <c r="X123" s="367"/>
      <c r="Y123" s="367"/>
      <c r="Z123" s="367"/>
    </row>
    <row r="124" ht="12.75" customHeight="1" spans="1:26">
      <c r="A124" s="363"/>
      <c r="B124" s="412"/>
      <c r="C124" s="365"/>
      <c r="D124" s="413"/>
      <c r="E124" s="413"/>
      <c r="F124" s="367"/>
      <c r="G124" s="367"/>
      <c r="H124" s="367"/>
      <c r="I124" s="367"/>
      <c r="J124" s="367"/>
      <c r="K124" s="367"/>
      <c r="L124" s="367"/>
      <c r="M124" s="367"/>
      <c r="N124" s="367"/>
      <c r="O124" s="367"/>
      <c r="P124" s="367"/>
      <c r="Q124" s="367"/>
      <c r="R124" s="367"/>
      <c r="S124" s="367"/>
      <c r="T124" s="367"/>
      <c r="U124" s="367"/>
      <c r="V124" s="367"/>
      <c r="W124" s="367"/>
      <c r="X124" s="367"/>
      <c r="Y124" s="367"/>
      <c r="Z124" s="367"/>
    </row>
    <row r="125" ht="12.75" customHeight="1" spans="1:26">
      <c r="A125" s="363"/>
      <c r="B125" s="412"/>
      <c r="C125" s="365"/>
      <c r="D125" s="413"/>
      <c r="E125" s="413"/>
      <c r="F125" s="367"/>
      <c r="G125" s="367"/>
      <c r="H125" s="367"/>
      <c r="I125" s="367"/>
      <c r="J125" s="367"/>
      <c r="K125" s="367"/>
      <c r="L125" s="367"/>
      <c r="M125" s="367"/>
      <c r="N125" s="367"/>
      <c r="O125" s="367"/>
      <c r="P125" s="367"/>
      <c r="Q125" s="367"/>
      <c r="R125" s="367"/>
      <c r="S125" s="367"/>
      <c r="T125" s="367"/>
      <c r="U125" s="367"/>
      <c r="V125" s="367"/>
      <c r="W125" s="367"/>
      <c r="X125" s="367"/>
      <c r="Y125" s="367"/>
      <c r="Z125" s="367"/>
    </row>
    <row r="126" ht="12.75" customHeight="1" spans="1:26">
      <c r="A126" s="363"/>
      <c r="B126" s="412"/>
      <c r="C126" s="365"/>
      <c r="D126" s="413"/>
      <c r="E126" s="413"/>
      <c r="F126" s="367"/>
      <c r="G126" s="367"/>
      <c r="H126" s="367"/>
      <c r="I126" s="367"/>
      <c r="J126" s="367"/>
      <c r="K126" s="367"/>
      <c r="L126" s="367"/>
      <c r="M126" s="367"/>
      <c r="N126" s="367"/>
      <c r="O126" s="367"/>
      <c r="P126" s="367"/>
      <c r="Q126" s="367"/>
      <c r="R126" s="367"/>
      <c r="S126" s="367"/>
      <c r="T126" s="367"/>
      <c r="U126" s="367"/>
      <c r="V126" s="367"/>
      <c r="W126" s="367"/>
      <c r="X126" s="367"/>
      <c r="Y126" s="367"/>
      <c r="Z126" s="367"/>
    </row>
    <row r="127" ht="12.75" customHeight="1" spans="1:26">
      <c r="A127" s="363"/>
      <c r="B127" s="412"/>
      <c r="C127" s="365"/>
      <c r="D127" s="413"/>
      <c r="E127" s="413"/>
      <c r="F127" s="367"/>
      <c r="G127" s="367"/>
      <c r="H127" s="367"/>
      <c r="I127" s="367"/>
      <c r="J127" s="367"/>
      <c r="K127" s="367"/>
      <c r="L127" s="367"/>
      <c r="M127" s="367"/>
      <c r="N127" s="367"/>
      <c r="O127" s="367"/>
      <c r="P127" s="367"/>
      <c r="Q127" s="367"/>
      <c r="R127" s="367"/>
      <c r="S127" s="367"/>
      <c r="T127" s="367"/>
      <c r="U127" s="367"/>
      <c r="V127" s="367"/>
      <c r="W127" s="367"/>
      <c r="X127" s="367"/>
      <c r="Y127" s="367"/>
      <c r="Z127" s="367"/>
    </row>
    <row r="128" ht="12.75" customHeight="1" spans="1:26">
      <c r="A128" s="363"/>
      <c r="B128" s="412"/>
      <c r="C128" s="365"/>
      <c r="D128" s="413"/>
      <c r="E128" s="413"/>
      <c r="F128" s="367"/>
      <c r="G128" s="367"/>
      <c r="H128" s="367"/>
      <c r="I128" s="367"/>
      <c r="J128" s="367"/>
      <c r="K128" s="367"/>
      <c r="L128" s="367"/>
      <c r="M128" s="367"/>
      <c r="N128" s="367"/>
      <c r="O128" s="367"/>
      <c r="P128" s="367"/>
      <c r="Q128" s="367"/>
      <c r="R128" s="367"/>
      <c r="S128" s="367"/>
      <c r="T128" s="367"/>
      <c r="U128" s="367"/>
      <c r="V128" s="367"/>
      <c r="W128" s="367"/>
      <c r="X128" s="367"/>
      <c r="Y128" s="367"/>
      <c r="Z128" s="367"/>
    </row>
    <row r="129" ht="12.75" customHeight="1" spans="1:26">
      <c r="A129" s="363"/>
      <c r="B129" s="412"/>
      <c r="C129" s="365"/>
      <c r="D129" s="413"/>
      <c r="E129" s="413"/>
      <c r="F129" s="367"/>
      <c r="G129" s="367"/>
      <c r="H129" s="367"/>
      <c r="I129" s="367"/>
      <c r="J129" s="367"/>
      <c r="K129" s="367"/>
      <c r="L129" s="367"/>
      <c r="M129" s="367"/>
      <c r="N129" s="367"/>
      <c r="O129" s="367"/>
      <c r="P129" s="367"/>
      <c r="Q129" s="367"/>
      <c r="R129" s="367"/>
      <c r="S129" s="367"/>
      <c r="T129" s="367"/>
      <c r="U129" s="367"/>
      <c r="V129" s="367"/>
      <c r="W129" s="367"/>
      <c r="X129" s="367"/>
      <c r="Y129" s="367"/>
      <c r="Z129" s="367"/>
    </row>
    <row r="130" ht="12.75" customHeight="1" spans="1:26">
      <c r="A130" s="363"/>
      <c r="B130" s="412"/>
      <c r="C130" s="365"/>
      <c r="D130" s="413"/>
      <c r="E130" s="413"/>
      <c r="F130" s="367"/>
      <c r="G130" s="367"/>
      <c r="H130" s="367"/>
      <c r="I130" s="367"/>
      <c r="J130" s="367"/>
      <c r="K130" s="367"/>
      <c r="L130" s="367"/>
      <c r="M130" s="367"/>
      <c r="N130" s="367"/>
      <c r="O130" s="367"/>
      <c r="P130" s="367"/>
      <c r="Q130" s="367"/>
      <c r="R130" s="367"/>
      <c r="S130" s="367"/>
      <c r="T130" s="367"/>
      <c r="U130" s="367"/>
      <c r="V130" s="367"/>
      <c r="W130" s="367"/>
      <c r="X130" s="367"/>
      <c r="Y130" s="367"/>
      <c r="Z130" s="367"/>
    </row>
    <row r="131" ht="12.75" customHeight="1" spans="1:26">
      <c r="A131" s="363"/>
      <c r="B131" s="412"/>
      <c r="C131" s="365"/>
      <c r="D131" s="413"/>
      <c r="E131" s="413"/>
      <c r="F131" s="367"/>
      <c r="G131" s="367"/>
      <c r="H131" s="367"/>
      <c r="I131" s="367"/>
      <c r="J131" s="367"/>
      <c r="K131" s="367"/>
      <c r="L131" s="367"/>
      <c r="M131" s="367"/>
      <c r="N131" s="367"/>
      <c r="O131" s="367"/>
      <c r="P131" s="367"/>
      <c r="Q131" s="367"/>
      <c r="R131" s="367"/>
      <c r="S131" s="367"/>
      <c r="T131" s="367"/>
      <c r="U131" s="367"/>
      <c r="V131" s="367"/>
      <c r="W131" s="367"/>
      <c r="X131" s="367"/>
      <c r="Y131" s="367"/>
      <c r="Z131" s="367"/>
    </row>
    <row r="132" ht="12.75" customHeight="1" spans="1:26">
      <c r="A132" s="363"/>
      <c r="B132" s="412"/>
      <c r="C132" s="365"/>
      <c r="D132" s="413"/>
      <c r="E132" s="413"/>
      <c r="F132" s="367"/>
      <c r="G132" s="367"/>
      <c r="H132" s="367"/>
      <c r="I132" s="367"/>
      <c r="J132" s="367"/>
      <c r="K132" s="367"/>
      <c r="L132" s="367"/>
      <c r="M132" s="367"/>
      <c r="N132" s="367"/>
      <c r="O132" s="367"/>
      <c r="P132" s="367"/>
      <c r="Q132" s="367"/>
      <c r="R132" s="367"/>
      <c r="S132" s="367"/>
      <c r="T132" s="367"/>
      <c r="U132" s="367"/>
      <c r="V132" s="367"/>
      <c r="W132" s="367"/>
      <c r="X132" s="367"/>
      <c r="Y132" s="367"/>
      <c r="Z132" s="367"/>
    </row>
    <row r="133" ht="12.75" customHeight="1" spans="1:26">
      <c r="A133" s="363"/>
      <c r="B133" s="412"/>
      <c r="C133" s="365"/>
      <c r="D133" s="413"/>
      <c r="E133" s="413"/>
      <c r="F133" s="367"/>
      <c r="G133" s="367"/>
      <c r="H133" s="367"/>
      <c r="I133" s="367"/>
      <c r="J133" s="367"/>
      <c r="K133" s="367"/>
      <c r="L133" s="367"/>
      <c r="M133" s="367"/>
      <c r="N133" s="367"/>
      <c r="O133" s="367"/>
      <c r="P133" s="367"/>
      <c r="Q133" s="367"/>
      <c r="R133" s="367"/>
      <c r="S133" s="367"/>
      <c r="T133" s="367"/>
      <c r="U133" s="367"/>
      <c r="V133" s="367"/>
      <c r="W133" s="367"/>
      <c r="X133" s="367"/>
      <c r="Y133" s="367"/>
      <c r="Z133" s="367"/>
    </row>
    <row r="134" ht="12.75" customHeight="1" spans="1:26">
      <c r="A134" s="363"/>
      <c r="B134" s="412"/>
      <c r="C134" s="365"/>
      <c r="D134" s="413"/>
      <c r="E134" s="413"/>
      <c r="F134" s="367"/>
      <c r="G134" s="367"/>
      <c r="H134" s="367"/>
      <c r="I134" s="367"/>
      <c r="J134" s="367"/>
      <c r="K134" s="367"/>
      <c r="L134" s="367"/>
      <c r="M134" s="367"/>
      <c r="N134" s="367"/>
      <c r="O134" s="367"/>
      <c r="P134" s="367"/>
      <c r="Q134" s="367"/>
      <c r="R134" s="367"/>
      <c r="S134" s="367"/>
      <c r="T134" s="367"/>
      <c r="U134" s="367"/>
      <c r="V134" s="367"/>
      <c r="W134" s="367"/>
      <c r="X134" s="367"/>
      <c r="Y134" s="367"/>
      <c r="Z134" s="367"/>
    </row>
    <row r="135" ht="12.75" customHeight="1" spans="1:26">
      <c r="A135" s="363"/>
      <c r="B135" s="412"/>
      <c r="C135" s="365"/>
      <c r="D135" s="413"/>
      <c r="E135" s="413"/>
      <c r="F135" s="367"/>
      <c r="G135" s="367"/>
      <c r="H135" s="367"/>
      <c r="I135" s="367"/>
      <c r="J135" s="367"/>
      <c r="K135" s="367"/>
      <c r="L135" s="367"/>
      <c r="M135" s="367"/>
      <c r="N135" s="367"/>
      <c r="O135" s="367"/>
      <c r="P135" s="367"/>
      <c r="Q135" s="367"/>
      <c r="R135" s="367"/>
      <c r="S135" s="367"/>
      <c r="T135" s="367"/>
      <c r="U135" s="367"/>
      <c r="V135" s="367"/>
      <c r="W135" s="367"/>
      <c r="X135" s="367"/>
      <c r="Y135" s="367"/>
      <c r="Z135" s="367"/>
    </row>
    <row r="136" ht="12.75" customHeight="1" spans="1:26">
      <c r="A136" s="363"/>
      <c r="B136" s="412"/>
      <c r="C136" s="365"/>
      <c r="D136" s="413"/>
      <c r="E136" s="413"/>
      <c r="F136" s="367"/>
      <c r="G136" s="367"/>
      <c r="H136" s="367"/>
      <c r="I136" s="367"/>
      <c r="J136" s="367"/>
      <c r="K136" s="367"/>
      <c r="L136" s="367"/>
      <c r="M136" s="367"/>
      <c r="N136" s="367"/>
      <c r="O136" s="367"/>
      <c r="P136" s="367"/>
      <c r="Q136" s="367"/>
      <c r="R136" s="367"/>
      <c r="S136" s="367"/>
      <c r="T136" s="367"/>
      <c r="U136" s="367"/>
      <c r="V136" s="367"/>
      <c r="W136" s="367"/>
      <c r="X136" s="367"/>
      <c r="Y136" s="367"/>
      <c r="Z136" s="367"/>
    </row>
    <row r="137" ht="12.75" customHeight="1" spans="1:26">
      <c r="A137" s="363"/>
      <c r="B137" s="412"/>
      <c r="C137" s="365"/>
      <c r="D137" s="413"/>
      <c r="E137" s="413"/>
      <c r="F137" s="367"/>
      <c r="G137" s="367"/>
      <c r="H137" s="367"/>
      <c r="I137" s="367"/>
      <c r="J137" s="367"/>
      <c r="K137" s="367"/>
      <c r="L137" s="367"/>
      <c r="M137" s="367"/>
      <c r="N137" s="367"/>
      <c r="O137" s="367"/>
      <c r="P137" s="367"/>
      <c r="Q137" s="367"/>
      <c r="R137" s="367"/>
      <c r="S137" s="367"/>
      <c r="T137" s="367"/>
      <c r="U137" s="367"/>
      <c r="V137" s="367"/>
      <c r="W137" s="367"/>
      <c r="X137" s="367"/>
      <c r="Y137" s="367"/>
      <c r="Z137" s="367"/>
    </row>
    <row r="138" ht="12.75" customHeight="1" spans="1:26">
      <c r="A138" s="363"/>
      <c r="B138" s="412"/>
      <c r="C138" s="365"/>
      <c r="D138" s="413"/>
      <c r="E138" s="413"/>
      <c r="F138" s="367"/>
      <c r="G138" s="367"/>
      <c r="H138" s="367"/>
      <c r="I138" s="367"/>
      <c r="J138" s="367"/>
      <c r="K138" s="367"/>
      <c r="L138" s="367"/>
      <c r="M138" s="367"/>
      <c r="N138" s="367"/>
      <c r="O138" s="367"/>
      <c r="P138" s="367"/>
      <c r="Q138" s="367"/>
      <c r="R138" s="367"/>
      <c r="S138" s="367"/>
      <c r="T138" s="367"/>
      <c r="U138" s="367"/>
      <c r="V138" s="367"/>
      <c r="W138" s="367"/>
      <c r="X138" s="367"/>
      <c r="Y138" s="367"/>
      <c r="Z138" s="367"/>
    </row>
    <row r="139" ht="12.75" customHeight="1" spans="1:26">
      <c r="A139" s="363"/>
      <c r="B139" s="412"/>
      <c r="C139" s="365"/>
      <c r="D139" s="413"/>
      <c r="E139" s="413"/>
      <c r="F139" s="367"/>
      <c r="G139" s="367"/>
      <c r="H139" s="367"/>
      <c r="I139" s="367"/>
      <c r="J139" s="367"/>
      <c r="K139" s="367"/>
      <c r="L139" s="367"/>
      <c r="M139" s="367"/>
      <c r="N139" s="367"/>
      <c r="O139" s="367"/>
      <c r="P139" s="367"/>
      <c r="Q139" s="367"/>
      <c r="R139" s="367"/>
      <c r="S139" s="367"/>
      <c r="T139" s="367"/>
      <c r="U139" s="367"/>
      <c r="V139" s="367"/>
      <c r="W139" s="367"/>
      <c r="X139" s="367"/>
      <c r="Y139" s="367"/>
      <c r="Z139" s="367"/>
    </row>
    <row r="140" ht="12.75" customHeight="1" spans="1:26">
      <c r="A140" s="363"/>
      <c r="B140" s="412"/>
      <c r="C140" s="365"/>
      <c r="D140" s="413"/>
      <c r="E140" s="413"/>
      <c r="F140" s="367"/>
      <c r="G140" s="367"/>
      <c r="H140" s="367"/>
      <c r="I140" s="367"/>
      <c r="J140" s="367"/>
      <c r="K140" s="367"/>
      <c r="L140" s="367"/>
      <c r="M140" s="367"/>
      <c r="N140" s="367"/>
      <c r="O140" s="367"/>
      <c r="P140" s="367"/>
      <c r="Q140" s="367"/>
      <c r="R140" s="367"/>
      <c r="S140" s="367"/>
      <c r="T140" s="367"/>
      <c r="U140" s="367"/>
      <c r="V140" s="367"/>
      <c r="W140" s="367"/>
      <c r="X140" s="367"/>
      <c r="Y140" s="367"/>
      <c r="Z140" s="367"/>
    </row>
    <row r="141" ht="12.75" customHeight="1" spans="1:26">
      <c r="A141" s="363"/>
      <c r="B141" s="412"/>
      <c r="C141" s="365"/>
      <c r="D141" s="413"/>
      <c r="E141" s="413"/>
      <c r="F141" s="367"/>
      <c r="G141" s="367"/>
      <c r="H141" s="367"/>
      <c r="I141" s="367"/>
      <c r="J141" s="367"/>
      <c r="K141" s="367"/>
      <c r="L141" s="367"/>
      <c r="M141" s="367"/>
      <c r="N141" s="367"/>
      <c r="O141" s="367"/>
      <c r="P141" s="367"/>
      <c r="Q141" s="367"/>
      <c r="R141" s="367"/>
      <c r="S141" s="367"/>
      <c r="T141" s="367"/>
      <c r="U141" s="367"/>
      <c r="V141" s="367"/>
      <c r="W141" s="367"/>
      <c r="X141" s="367"/>
      <c r="Y141" s="367"/>
      <c r="Z141" s="367"/>
    </row>
    <row r="142" ht="12.75" customHeight="1" spans="1:26">
      <c r="A142" s="363"/>
      <c r="B142" s="412"/>
      <c r="C142" s="365"/>
      <c r="D142" s="413"/>
      <c r="E142" s="413"/>
      <c r="F142" s="367"/>
      <c r="G142" s="367"/>
      <c r="H142" s="367"/>
      <c r="I142" s="367"/>
      <c r="J142" s="367"/>
      <c r="K142" s="367"/>
      <c r="L142" s="367"/>
      <c r="M142" s="367"/>
      <c r="N142" s="367"/>
      <c r="O142" s="367"/>
      <c r="P142" s="367"/>
      <c r="Q142" s="367"/>
      <c r="R142" s="367"/>
      <c r="S142" s="367"/>
      <c r="T142" s="367"/>
      <c r="U142" s="367"/>
      <c r="V142" s="367"/>
      <c r="W142" s="367"/>
      <c r="X142" s="367"/>
      <c r="Y142" s="367"/>
      <c r="Z142" s="367"/>
    </row>
    <row r="143" ht="12.75" customHeight="1" spans="1:26">
      <c r="A143" s="363"/>
      <c r="B143" s="412"/>
      <c r="C143" s="365"/>
      <c r="D143" s="413"/>
      <c r="E143" s="413"/>
      <c r="F143" s="367"/>
      <c r="G143" s="367"/>
      <c r="H143" s="367"/>
      <c r="I143" s="367"/>
      <c r="J143" s="367"/>
      <c r="K143" s="367"/>
      <c r="L143" s="367"/>
      <c r="M143" s="367"/>
      <c r="N143" s="367"/>
      <c r="O143" s="367"/>
      <c r="P143" s="367"/>
      <c r="Q143" s="367"/>
      <c r="R143" s="367"/>
      <c r="S143" s="367"/>
      <c r="T143" s="367"/>
      <c r="U143" s="367"/>
      <c r="V143" s="367"/>
      <c r="W143" s="367"/>
      <c r="X143" s="367"/>
      <c r="Y143" s="367"/>
      <c r="Z143" s="367"/>
    </row>
    <row r="144" ht="12.75" customHeight="1" spans="1:26">
      <c r="A144" s="363"/>
      <c r="B144" s="412"/>
      <c r="C144" s="365"/>
      <c r="D144" s="413"/>
      <c r="E144" s="413"/>
      <c r="F144" s="367"/>
      <c r="G144" s="367"/>
      <c r="H144" s="367"/>
      <c r="I144" s="367"/>
      <c r="J144" s="367"/>
      <c r="K144" s="367"/>
      <c r="L144" s="367"/>
      <c r="M144" s="367"/>
      <c r="N144" s="367"/>
      <c r="O144" s="367"/>
      <c r="P144" s="367"/>
      <c r="Q144" s="367"/>
      <c r="R144" s="367"/>
      <c r="S144" s="367"/>
      <c r="T144" s="367"/>
      <c r="U144" s="367"/>
      <c r="V144" s="367"/>
      <c r="W144" s="367"/>
      <c r="X144" s="367"/>
      <c r="Y144" s="367"/>
      <c r="Z144" s="367"/>
    </row>
    <row r="145" ht="12.75" customHeight="1" spans="1:26">
      <c r="A145" s="363"/>
      <c r="B145" s="412"/>
      <c r="C145" s="365"/>
      <c r="D145" s="413"/>
      <c r="E145" s="413"/>
      <c r="F145" s="367"/>
      <c r="G145" s="367"/>
      <c r="H145" s="367"/>
      <c r="I145" s="367"/>
      <c r="J145" s="367"/>
      <c r="K145" s="367"/>
      <c r="L145" s="367"/>
      <c r="M145" s="367"/>
      <c r="N145" s="367"/>
      <c r="O145" s="367"/>
      <c r="P145" s="367"/>
      <c r="Q145" s="367"/>
      <c r="R145" s="367"/>
      <c r="S145" s="367"/>
      <c r="T145" s="367"/>
      <c r="U145" s="367"/>
      <c r="V145" s="367"/>
      <c r="W145" s="367"/>
      <c r="X145" s="367"/>
      <c r="Y145" s="367"/>
      <c r="Z145" s="367"/>
    </row>
    <row r="146" ht="12.75" customHeight="1" spans="1:26">
      <c r="A146" s="363"/>
      <c r="B146" s="412"/>
      <c r="C146" s="365"/>
      <c r="D146" s="413"/>
      <c r="E146" s="413"/>
      <c r="F146" s="367"/>
      <c r="G146" s="367"/>
      <c r="H146" s="367"/>
      <c r="I146" s="367"/>
      <c r="J146" s="367"/>
      <c r="K146" s="367"/>
      <c r="L146" s="367"/>
      <c r="M146" s="367"/>
      <c r="N146" s="367"/>
      <c r="O146" s="367"/>
      <c r="P146" s="367"/>
      <c r="Q146" s="367"/>
      <c r="R146" s="367"/>
      <c r="S146" s="367"/>
      <c r="T146" s="367"/>
      <c r="U146" s="367"/>
      <c r="V146" s="367"/>
      <c r="W146" s="367"/>
      <c r="X146" s="367"/>
      <c r="Y146" s="367"/>
      <c r="Z146" s="367"/>
    </row>
    <row r="147" ht="12.75" customHeight="1" spans="1:26">
      <c r="A147" s="363"/>
      <c r="B147" s="412"/>
      <c r="C147" s="365"/>
      <c r="D147" s="413"/>
      <c r="E147" s="413"/>
      <c r="F147" s="367"/>
      <c r="G147" s="367"/>
      <c r="H147" s="367"/>
      <c r="I147" s="367"/>
      <c r="J147" s="367"/>
      <c r="K147" s="367"/>
      <c r="L147" s="367"/>
      <c r="M147" s="367"/>
      <c r="N147" s="367"/>
      <c r="O147" s="367"/>
      <c r="P147" s="367"/>
      <c r="Q147" s="367"/>
      <c r="R147" s="367"/>
      <c r="S147" s="367"/>
      <c r="T147" s="367"/>
      <c r="U147" s="367"/>
      <c r="V147" s="367"/>
      <c r="W147" s="367"/>
      <c r="X147" s="367"/>
      <c r="Y147" s="367"/>
      <c r="Z147" s="367"/>
    </row>
    <row r="148" ht="12.75" customHeight="1" spans="1:26">
      <c r="A148" s="363"/>
      <c r="B148" s="412"/>
      <c r="C148" s="365"/>
      <c r="D148" s="413"/>
      <c r="E148" s="413"/>
      <c r="F148" s="367"/>
      <c r="G148" s="367"/>
      <c r="H148" s="367"/>
      <c r="I148" s="367"/>
      <c r="J148" s="367"/>
      <c r="K148" s="367"/>
      <c r="L148" s="367"/>
      <c r="M148" s="367"/>
      <c r="N148" s="367"/>
      <c r="O148" s="367"/>
      <c r="P148" s="367"/>
      <c r="Q148" s="367"/>
      <c r="R148" s="367"/>
      <c r="S148" s="367"/>
      <c r="T148" s="367"/>
      <c r="U148" s="367"/>
      <c r="V148" s="367"/>
      <c r="W148" s="367"/>
      <c r="X148" s="367"/>
      <c r="Y148" s="367"/>
      <c r="Z148" s="367"/>
    </row>
    <row r="149" ht="12.75" customHeight="1" spans="1:26">
      <c r="A149" s="363"/>
      <c r="B149" s="412"/>
      <c r="C149" s="365"/>
      <c r="D149" s="413"/>
      <c r="E149" s="413"/>
      <c r="F149" s="367"/>
      <c r="G149" s="367"/>
      <c r="H149" s="367"/>
      <c r="I149" s="367"/>
      <c r="J149" s="367"/>
      <c r="K149" s="367"/>
      <c r="L149" s="367"/>
      <c r="M149" s="367"/>
      <c r="N149" s="367"/>
      <c r="O149" s="367"/>
      <c r="P149" s="367"/>
      <c r="Q149" s="367"/>
      <c r="R149" s="367"/>
      <c r="S149" s="367"/>
      <c r="T149" s="367"/>
      <c r="U149" s="367"/>
      <c r="V149" s="367"/>
      <c r="W149" s="367"/>
      <c r="X149" s="367"/>
      <c r="Y149" s="367"/>
      <c r="Z149" s="367"/>
    </row>
    <row r="150" ht="12.75" customHeight="1" spans="1:26">
      <c r="A150" s="363"/>
      <c r="B150" s="412"/>
      <c r="C150" s="365"/>
      <c r="D150" s="413"/>
      <c r="E150" s="413"/>
      <c r="F150" s="367"/>
      <c r="G150" s="367"/>
      <c r="H150" s="367"/>
      <c r="I150" s="367"/>
      <c r="J150" s="367"/>
      <c r="K150" s="367"/>
      <c r="L150" s="367"/>
      <c r="M150" s="367"/>
      <c r="N150" s="367"/>
      <c r="O150" s="367"/>
      <c r="P150" s="367"/>
      <c r="Q150" s="367"/>
      <c r="R150" s="367"/>
      <c r="S150" s="367"/>
      <c r="T150" s="367"/>
      <c r="U150" s="367"/>
      <c r="V150" s="367"/>
      <c r="W150" s="367"/>
      <c r="X150" s="367"/>
      <c r="Y150" s="367"/>
      <c r="Z150" s="367"/>
    </row>
    <row r="151" ht="12.75" customHeight="1" spans="1:26">
      <c r="A151" s="363"/>
      <c r="B151" s="412"/>
      <c r="C151" s="365"/>
      <c r="D151" s="413"/>
      <c r="E151" s="413"/>
      <c r="F151" s="367"/>
      <c r="G151" s="367"/>
      <c r="H151" s="367"/>
      <c r="I151" s="367"/>
      <c r="J151" s="367"/>
      <c r="K151" s="367"/>
      <c r="L151" s="367"/>
      <c r="M151" s="367"/>
      <c r="N151" s="367"/>
      <c r="O151" s="367"/>
      <c r="P151" s="367"/>
      <c r="Q151" s="367"/>
      <c r="R151" s="367"/>
      <c r="S151" s="367"/>
      <c r="T151" s="367"/>
      <c r="U151" s="367"/>
      <c r="V151" s="367"/>
      <c r="W151" s="367"/>
      <c r="X151" s="367"/>
      <c r="Y151" s="367"/>
      <c r="Z151" s="367"/>
    </row>
    <row r="152" ht="12.75" customHeight="1" spans="1:26">
      <c r="A152" s="363"/>
      <c r="B152" s="412"/>
      <c r="C152" s="365"/>
      <c r="D152" s="413"/>
      <c r="E152" s="413"/>
      <c r="F152" s="367"/>
      <c r="G152" s="367"/>
      <c r="H152" s="367"/>
      <c r="I152" s="367"/>
      <c r="J152" s="367"/>
      <c r="K152" s="367"/>
      <c r="L152" s="367"/>
      <c r="M152" s="367"/>
      <c r="N152" s="367"/>
      <c r="O152" s="367"/>
      <c r="P152" s="367"/>
      <c r="Q152" s="367"/>
      <c r="R152" s="367"/>
      <c r="S152" s="367"/>
      <c r="T152" s="367"/>
      <c r="U152" s="367"/>
      <c r="V152" s="367"/>
      <c r="W152" s="367"/>
      <c r="X152" s="367"/>
      <c r="Y152" s="367"/>
      <c r="Z152" s="367"/>
    </row>
    <row r="153" ht="12.75" customHeight="1" spans="1:26">
      <c r="A153" s="363"/>
      <c r="B153" s="412"/>
      <c r="C153" s="365"/>
      <c r="D153" s="413"/>
      <c r="E153" s="413"/>
      <c r="F153" s="367"/>
      <c r="G153" s="367"/>
      <c r="H153" s="367"/>
      <c r="I153" s="367"/>
      <c r="J153" s="367"/>
      <c r="K153" s="367"/>
      <c r="L153" s="367"/>
      <c r="M153" s="367"/>
      <c r="N153" s="367"/>
      <c r="O153" s="367"/>
      <c r="P153" s="367"/>
      <c r="Q153" s="367"/>
      <c r="R153" s="367"/>
      <c r="S153" s="367"/>
      <c r="T153" s="367"/>
      <c r="U153" s="367"/>
      <c r="V153" s="367"/>
      <c r="W153" s="367"/>
      <c r="X153" s="367"/>
      <c r="Y153" s="367"/>
      <c r="Z153" s="367"/>
    </row>
    <row r="154" ht="12.75" customHeight="1" spans="1:26">
      <c r="A154" s="363"/>
      <c r="B154" s="412"/>
      <c r="C154" s="365"/>
      <c r="D154" s="413"/>
      <c r="E154" s="413"/>
      <c r="F154" s="367"/>
      <c r="G154" s="367"/>
      <c r="H154" s="367"/>
      <c r="I154" s="367"/>
      <c r="J154" s="367"/>
      <c r="K154" s="367"/>
      <c r="L154" s="367"/>
      <c r="M154" s="367"/>
      <c r="N154" s="367"/>
      <c r="O154" s="367"/>
      <c r="P154" s="367"/>
      <c r="Q154" s="367"/>
      <c r="R154" s="367"/>
      <c r="S154" s="367"/>
      <c r="T154" s="367"/>
      <c r="U154" s="367"/>
      <c r="V154" s="367"/>
      <c r="W154" s="367"/>
      <c r="X154" s="367"/>
      <c r="Y154" s="367"/>
      <c r="Z154" s="367"/>
    </row>
    <row r="155" ht="12.75" customHeight="1" spans="1:26">
      <c r="A155" s="363"/>
      <c r="B155" s="412"/>
      <c r="C155" s="365"/>
      <c r="D155" s="413"/>
      <c r="E155" s="413"/>
      <c r="F155" s="367"/>
      <c r="G155" s="367"/>
      <c r="H155" s="367"/>
      <c r="I155" s="367"/>
      <c r="J155" s="367"/>
      <c r="K155" s="367"/>
      <c r="L155" s="367"/>
      <c r="M155" s="367"/>
      <c r="N155" s="367"/>
      <c r="O155" s="367"/>
      <c r="P155" s="367"/>
      <c r="Q155" s="367"/>
      <c r="R155" s="367"/>
      <c r="S155" s="367"/>
      <c r="T155" s="367"/>
      <c r="U155" s="367"/>
      <c r="V155" s="367"/>
      <c r="W155" s="367"/>
      <c r="X155" s="367"/>
      <c r="Y155" s="367"/>
      <c r="Z155" s="367"/>
    </row>
    <row r="156" ht="12.75" customHeight="1" spans="1:26">
      <c r="A156" s="363"/>
      <c r="B156" s="412"/>
      <c r="C156" s="365"/>
      <c r="D156" s="413"/>
      <c r="E156" s="413"/>
      <c r="F156" s="367"/>
      <c r="G156" s="367"/>
      <c r="H156" s="367"/>
      <c r="I156" s="367"/>
      <c r="J156" s="367"/>
      <c r="K156" s="367"/>
      <c r="L156" s="367"/>
      <c r="M156" s="367"/>
      <c r="N156" s="367"/>
      <c r="O156" s="367"/>
      <c r="P156" s="367"/>
      <c r="Q156" s="367"/>
      <c r="R156" s="367"/>
      <c r="S156" s="367"/>
      <c r="T156" s="367"/>
      <c r="U156" s="367"/>
      <c r="V156" s="367"/>
      <c r="W156" s="367"/>
      <c r="X156" s="367"/>
      <c r="Y156" s="367"/>
      <c r="Z156" s="367"/>
    </row>
    <row r="157" ht="12.75" customHeight="1" spans="1:26">
      <c r="A157" s="363"/>
      <c r="B157" s="412"/>
      <c r="C157" s="365"/>
      <c r="D157" s="413"/>
      <c r="E157" s="413"/>
      <c r="F157" s="367"/>
      <c r="G157" s="367"/>
      <c r="H157" s="367"/>
      <c r="I157" s="367"/>
      <c r="J157" s="367"/>
      <c r="K157" s="367"/>
      <c r="L157" s="367"/>
      <c r="M157" s="367"/>
      <c r="N157" s="367"/>
      <c r="O157" s="367"/>
      <c r="P157" s="367"/>
      <c r="Q157" s="367"/>
      <c r="R157" s="367"/>
      <c r="S157" s="367"/>
      <c r="T157" s="367"/>
      <c r="U157" s="367"/>
      <c r="V157" s="367"/>
      <c r="W157" s="367"/>
      <c r="X157" s="367"/>
      <c r="Y157" s="367"/>
      <c r="Z157" s="367"/>
    </row>
    <row r="158" ht="12.75" customHeight="1" spans="1:26">
      <c r="A158" s="363"/>
      <c r="B158" s="412"/>
      <c r="C158" s="365"/>
      <c r="D158" s="413"/>
      <c r="E158" s="413"/>
      <c r="F158" s="367"/>
      <c r="G158" s="367"/>
      <c r="H158" s="367"/>
      <c r="I158" s="367"/>
      <c r="J158" s="367"/>
      <c r="K158" s="367"/>
      <c r="L158" s="367"/>
      <c r="M158" s="367"/>
      <c r="N158" s="367"/>
      <c r="O158" s="367"/>
      <c r="P158" s="367"/>
      <c r="Q158" s="367"/>
      <c r="R158" s="367"/>
      <c r="S158" s="367"/>
      <c r="T158" s="367"/>
      <c r="U158" s="367"/>
      <c r="V158" s="367"/>
      <c r="W158" s="367"/>
      <c r="X158" s="367"/>
      <c r="Y158" s="367"/>
      <c r="Z158" s="367"/>
    </row>
    <row r="159" ht="12.75" customHeight="1" spans="1:26">
      <c r="A159" s="363"/>
      <c r="B159" s="412"/>
      <c r="C159" s="365"/>
      <c r="D159" s="413"/>
      <c r="E159" s="413"/>
      <c r="F159" s="367"/>
      <c r="G159" s="367"/>
      <c r="H159" s="367"/>
      <c r="I159" s="367"/>
      <c r="J159" s="367"/>
      <c r="K159" s="367"/>
      <c r="L159" s="367"/>
      <c r="M159" s="367"/>
      <c r="N159" s="367"/>
      <c r="O159" s="367"/>
      <c r="P159" s="367"/>
      <c r="Q159" s="367"/>
      <c r="R159" s="367"/>
      <c r="S159" s="367"/>
      <c r="T159" s="367"/>
      <c r="U159" s="367"/>
      <c r="V159" s="367"/>
      <c r="W159" s="367"/>
      <c r="X159" s="367"/>
      <c r="Y159" s="367"/>
      <c r="Z159" s="367"/>
    </row>
    <row r="160" ht="12.75" customHeight="1" spans="1:26">
      <c r="A160" s="363"/>
      <c r="B160" s="412"/>
      <c r="C160" s="365"/>
      <c r="D160" s="413"/>
      <c r="E160" s="413"/>
      <c r="F160" s="367"/>
      <c r="G160" s="367"/>
      <c r="H160" s="367"/>
      <c r="I160" s="367"/>
      <c r="J160" s="367"/>
      <c r="K160" s="367"/>
      <c r="L160" s="367"/>
      <c r="M160" s="367"/>
      <c r="N160" s="367"/>
      <c r="O160" s="367"/>
      <c r="P160" s="367"/>
      <c r="Q160" s="367"/>
      <c r="R160" s="367"/>
      <c r="S160" s="367"/>
      <c r="T160" s="367"/>
      <c r="U160" s="367"/>
      <c r="V160" s="367"/>
      <c r="W160" s="367"/>
      <c r="X160" s="367"/>
      <c r="Y160" s="367"/>
      <c r="Z160" s="367"/>
    </row>
    <row r="161" ht="12.75" customHeight="1" spans="1:26">
      <c r="A161" s="363"/>
      <c r="B161" s="412"/>
      <c r="C161" s="365"/>
      <c r="D161" s="413"/>
      <c r="E161" s="413"/>
      <c r="F161" s="367"/>
      <c r="G161" s="367"/>
      <c r="H161" s="367"/>
      <c r="I161" s="367"/>
      <c r="J161" s="367"/>
      <c r="K161" s="367"/>
      <c r="L161" s="367"/>
      <c r="M161" s="367"/>
      <c r="N161" s="367"/>
      <c r="O161" s="367"/>
      <c r="P161" s="367"/>
      <c r="Q161" s="367"/>
      <c r="R161" s="367"/>
      <c r="S161" s="367"/>
      <c r="T161" s="367"/>
      <c r="U161" s="367"/>
      <c r="V161" s="367"/>
      <c r="W161" s="367"/>
      <c r="X161" s="367"/>
      <c r="Y161" s="367"/>
      <c r="Z161" s="367"/>
    </row>
    <row r="162" ht="12.75" customHeight="1" spans="1:26">
      <c r="A162" s="363"/>
      <c r="B162" s="412"/>
      <c r="C162" s="365"/>
      <c r="D162" s="413"/>
      <c r="E162" s="413"/>
      <c r="F162" s="367"/>
      <c r="G162" s="367"/>
      <c r="H162" s="367"/>
      <c r="I162" s="367"/>
      <c r="J162" s="367"/>
      <c r="K162" s="367"/>
      <c r="L162" s="367"/>
      <c r="M162" s="367"/>
      <c r="N162" s="367"/>
      <c r="O162" s="367"/>
      <c r="P162" s="367"/>
      <c r="Q162" s="367"/>
      <c r="R162" s="367"/>
      <c r="S162" s="367"/>
      <c r="T162" s="367"/>
      <c r="U162" s="367"/>
      <c r="V162" s="367"/>
      <c r="W162" s="367"/>
      <c r="X162" s="367"/>
      <c r="Y162" s="367"/>
      <c r="Z162" s="367"/>
    </row>
    <row r="163" ht="12.75" customHeight="1" spans="1:26">
      <c r="A163" s="363"/>
      <c r="B163" s="412"/>
      <c r="C163" s="365"/>
      <c r="D163" s="413"/>
      <c r="E163" s="413"/>
      <c r="F163" s="367"/>
      <c r="G163" s="367"/>
      <c r="H163" s="367"/>
      <c r="I163" s="367"/>
      <c r="J163" s="367"/>
      <c r="K163" s="367"/>
      <c r="L163" s="367"/>
      <c r="M163" s="367"/>
      <c r="N163" s="367"/>
      <c r="O163" s="367"/>
      <c r="P163" s="367"/>
      <c r="Q163" s="367"/>
      <c r="R163" s="367"/>
      <c r="S163" s="367"/>
      <c r="T163" s="367"/>
      <c r="U163" s="367"/>
      <c r="V163" s="367"/>
      <c r="W163" s="367"/>
      <c r="X163" s="367"/>
      <c r="Y163" s="367"/>
      <c r="Z163" s="367"/>
    </row>
    <row r="164" ht="12.75" customHeight="1" spans="1:26">
      <c r="A164" s="363"/>
      <c r="B164" s="412"/>
      <c r="C164" s="365"/>
      <c r="D164" s="413"/>
      <c r="E164" s="413"/>
      <c r="F164" s="367"/>
      <c r="G164" s="367"/>
      <c r="H164" s="367"/>
      <c r="I164" s="367"/>
      <c r="J164" s="367"/>
      <c r="K164" s="367"/>
      <c r="L164" s="367"/>
      <c r="M164" s="367"/>
      <c r="N164" s="367"/>
      <c r="O164" s="367"/>
      <c r="P164" s="367"/>
      <c r="Q164" s="367"/>
      <c r="R164" s="367"/>
      <c r="S164" s="367"/>
      <c r="T164" s="367"/>
      <c r="U164" s="367"/>
      <c r="V164" s="367"/>
      <c r="W164" s="367"/>
      <c r="X164" s="367"/>
      <c r="Y164" s="367"/>
      <c r="Z164" s="367"/>
    </row>
    <row r="165" ht="12.75" customHeight="1" spans="1:26">
      <c r="A165" s="363"/>
      <c r="B165" s="412"/>
      <c r="C165" s="365"/>
      <c r="D165" s="413"/>
      <c r="E165" s="413"/>
      <c r="F165" s="367"/>
      <c r="G165" s="367"/>
      <c r="H165" s="367"/>
      <c r="I165" s="367"/>
      <c r="J165" s="367"/>
      <c r="K165" s="367"/>
      <c r="L165" s="367"/>
      <c r="M165" s="367"/>
      <c r="N165" s="367"/>
      <c r="O165" s="367"/>
      <c r="P165" s="367"/>
      <c r="Q165" s="367"/>
      <c r="R165" s="367"/>
      <c r="S165" s="367"/>
      <c r="T165" s="367"/>
      <c r="U165" s="367"/>
      <c r="V165" s="367"/>
      <c r="W165" s="367"/>
      <c r="X165" s="367"/>
      <c r="Y165" s="367"/>
      <c r="Z165" s="367"/>
    </row>
    <row r="166" ht="12.75" customHeight="1" spans="1:26">
      <c r="A166" s="363"/>
      <c r="B166" s="412"/>
      <c r="C166" s="365"/>
      <c r="D166" s="413"/>
      <c r="E166" s="413"/>
      <c r="F166" s="367"/>
      <c r="G166" s="367"/>
      <c r="H166" s="367"/>
      <c r="I166" s="367"/>
      <c r="J166" s="367"/>
      <c r="K166" s="367"/>
      <c r="L166" s="367"/>
      <c r="M166" s="367"/>
      <c r="N166" s="367"/>
      <c r="O166" s="367"/>
      <c r="P166" s="367"/>
      <c r="Q166" s="367"/>
      <c r="R166" s="367"/>
      <c r="S166" s="367"/>
      <c r="T166" s="367"/>
      <c r="U166" s="367"/>
      <c r="V166" s="367"/>
      <c r="W166" s="367"/>
      <c r="X166" s="367"/>
      <c r="Y166" s="367"/>
      <c r="Z166" s="367"/>
    </row>
    <row r="167" ht="12.75" customHeight="1" spans="1:26">
      <c r="A167" s="363"/>
      <c r="B167" s="412"/>
      <c r="C167" s="365"/>
      <c r="D167" s="413"/>
      <c r="E167" s="413"/>
      <c r="F167" s="367"/>
      <c r="G167" s="367"/>
      <c r="H167" s="367"/>
      <c r="I167" s="367"/>
      <c r="J167" s="367"/>
      <c r="K167" s="367"/>
      <c r="L167" s="367"/>
      <c r="M167" s="367"/>
      <c r="N167" s="367"/>
      <c r="O167" s="367"/>
      <c r="P167" s="367"/>
      <c r="Q167" s="367"/>
      <c r="R167" s="367"/>
      <c r="S167" s="367"/>
      <c r="T167" s="367"/>
      <c r="U167" s="367"/>
      <c r="V167" s="367"/>
      <c r="W167" s="367"/>
      <c r="X167" s="367"/>
      <c r="Y167" s="367"/>
      <c r="Z167" s="367"/>
    </row>
    <row r="168" ht="12.75" customHeight="1" spans="1:26">
      <c r="A168" s="363"/>
      <c r="B168" s="412"/>
      <c r="C168" s="365"/>
      <c r="D168" s="413"/>
      <c r="E168" s="413"/>
      <c r="F168" s="367"/>
      <c r="G168" s="367"/>
      <c r="H168" s="367"/>
      <c r="I168" s="367"/>
      <c r="J168" s="367"/>
      <c r="K168" s="367"/>
      <c r="L168" s="367"/>
      <c r="M168" s="367"/>
      <c r="N168" s="367"/>
      <c r="O168" s="367"/>
      <c r="P168" s="367"/>
      <c r="Q168" s="367"/>
      <c r="R168" s="367"/>
      <c r="S168" s="367"/>
      <c r="T168" s="367"/>
      <c r="U168" s="367"/>
      <c r="V168" s="367"/>
      <c r="W168" s="367"/>
      <c r="X168" s="367"/>
      <c r="Y168" s="367"/>
      <c r="Z168" s="367"/>
    </row>
    <row r="169" ht="12.75" customHeight="1" spans="1:26">
      <c r="A169" s="363"/>
      <c r="B169" s="412"/>
      <c r="C169" s="365"/>
      <c r="D169" s="413"/>
      <c r="E169" s="413"/>
      <c r="F169" s="367"/>
      <c r="G169" s="367"/>
      <c r="H169" s="367"/>
      <c r="I169" s="367"/>
      <c r="J169" s="367"/>
      <c r="K169" s="367"/>
      <c r="L169" s="367"/>
      <c r="M169" s="367"/>
      <c r="N169" s="367"/>
      <c r="O169" s="367"/>
      <c r="P169" s="367"/>
      <c r="Q169" s="367"/>
      <c r="R169" s="367"/>
      <c r="S169" s="367"/>
      <c r="T169" s="367"/>
      <c r="U169" s="367"/>
      <c r="V169" s="367"/>
      <c r="W169" s="367"/>
      <c r="X169" s="367"/>
      <c r="Y169" s="367"/>
      <c r="Z169" s="367"/>
    </row>
    <row r="170" ht="12.75" customHeight="1" spans="1:26">
      <c r="A170" s="363"/>
      <c r="B170" s="412"/>
      <c r="C170" s="365"/>
      <c r="D170" s="413"/>
      <c r="E170" s="413"/>
      <c r="F170" s="367"/>
      <c r="G170" s="367"/>
      <c r="H170" s="367"/>
      <c r="I170" s="367"/>
      <c r="J170" s="367"/>
      <c r="K170" s="367"/>
      <c r="L170" s="367"/>
      <c r="M170" s="367"/>
      <c r="N170" s="367"/>
      <c r="O170" s="367"/>
      <c r="P170" s="367"/>
      <c r="Q170" s="367"/>
      <c r="R170" s="367"/>
      <c r="S170" s="367"/>
      <c r="T170" s="367"/>
      <c r="U170" s="367"/>
      <c r="V170" s="367"/>
      <c r="W170" s="367"/>
      <c r="X170" s="367"/>
      <c r="Y170" s="367"/>
      <c r="Z170" s="367"/>
    </row>
    <row r="171" ht="12.75" customHeight="1" spans="1:26">
      <c r="A171" s="363"/>
      <c r="B171" s="412"/>
      <c r="C171" s="365"/>
      <c r="D171" s="413"/>
      <c r="E171" s="413"/>
      <c r="F171" s="367"/>
      <c r="G171" s="367"/>
      <c r="H171" s="367"/>
      <c r="I171" s="367"/>
      <c r="J171" s="367"/>
      <c r="K171" s="367"/>
      <c r="L171" s="367"/>
      <c r="M171" s="367"/>
      <c r="N171" s="367"/>
      <c r="O171" s="367"/>
      <c r="P171" s="367"/>
      <c r="Q171" s="367"/>
      <c r="R171" s="367"/>
      <c r="S171" s="367"/>
      <c r="T171" s="367"/>
      <c r="U171" s="367"/>
      <c r="V171" s="367"/>
      <c r="W171" s="367"/>
      <c r="X171" s="367"/>
      <c r="Y171" s="367"/>
      <c r="Z171" s="367"/>
    </row>
    <row r="172" ht="12.75" customHeight="1" spans="1:26">
      <c r="A172" s="363"/>
      <c r="B172" s="412"/>
      <c r="C172" s="365"/>
      <c r="D172" s="413"/>
      <c r="E172" s="413"/>
      <c r="F172" s="367"/>
      <c r="G172" s="367"/>
      <c r="H172" s="367"/>
      <c r="I172" s="367"/>
      <c r="J172" s="367"/>
      <c r="K172" s="367"/>
      <c r="L172" s="367"/>
      <c r="M172" s="367"/>
      <c r="N172" s="367"/>
      <c r="O172" s="367"/>
      <c r="P172" s="367"/>
      <c r="Q172" s="367"/>
      <c r="R172" s="367"/>
      <c r="S172" s="367"/>
      <c r="T172" s="367"/>
      <c r="U172" s="367"/>
      <c r="V172" s="367"/>
      <c r="W172" s="367"/>
      <c r="X172" s="367"/>
      <c r="Y172" s="367"/>
      <c r="Z172" s="367"/>
    </row>
    <row r="173" ht="12.75" customHeight="1" spans="1:26">
      <c r="A173" s="363"/>
      <c r="B173" s="412"/>
      <c r="C173" s="365"/>
      <c r="D173" s="413"/>
      <c r="E173" s="413"/>
      <c r="F173" s="367"/>
      <c r="G173" s="367"/>
      <c r="H173" s="367"/>
      <c r="I173" s="367"/>
      <c r="J173" s="367"/>
      <c r="K173" s="367"/>
      <c r="L173" s="367"/>
      <c r="M173" s="367"/>
      <c r="N173" s="367"/>
      <c r="O173" s="367"/>
      <c r="P173" s="367"/>
      <c r="Q173" s="367"/>
      <c r="R173" s="367"/>
      <c r="S173" s="367"/>
      <c r="T173" s="367"/>
      <c r="U173" s="367"/>
      <c r="V173" s="367"/>
      <c r="W173" s="367"/>
      <c r="X173" s="367"/>
      <c r="Y173" s="367"/>
      <c r="Z173" s="367"/>
    </row>
    <row r="174" ht="12.75" customHeight="1" spans="1:26">
      <c r="A174" s="363"/>
      <c r="B174" s="412"/>
      <c r="C174" s="365"/>
      <c r="D174" s="413"/>
      <c r="E174" s="413"/>
      <c r="F174" s="367"/>
      <c r="G174" s="367"/>
      <c r="H174" s="367"/>
      <c r="I174" s="367"/>
      <c r="J174" s="367"/>
      <c r="K174" s="367"/>
      <c r="L174" s="367"/>
      <c r="M174" s="367"/>
      <c r="N174" s="367"/>
      <c r="O174" s="367"/>
      <c r="P174" s="367"/>
      <c r="Q174" s="367"/>
      <c r="R174" s="367"/>
      <c r="S174" s="367"/>
      <c r="T174" s="367"/>
      <c r="U174" s="367"/>
      <c r="V174" s="367"/>
      <c r="W174" s="367"/>
      <c r="X174" s="367"/>
      <c r="Y174" s="367"/>
      <c r="Z174" s="367"/>
    </row>
    <row r="175" ht="12.75" customHeight="1" spans="1:26">
      <c r="A175" s="363"/>
      <c r="B175" s="412"/>
      <c r="C175" s="365"/>
      <c r="D175" s="413"/>
      <c r="E175" s="413"/>
      <c r="F175" s="367"/>
      <c r="G175" s="367"/>
      <c r="H175" s="367"/>
      <c r="I175" s="367"/>
      <c r="J175" s="367"/>
      <c r="K175" s="367"/>
      <c r="L175" s="367"/>
      <c r="M175" s="367"/>
      <c r="N175" s="367"/>
      <c r="O175" s="367"/>
      <c r="P175" s="367"/>
      <c r="Q175" s="367"/>
      <c r="R175" s="367"/>
      <c r="S175" s="367"/>
      <c r="T175" s="367"/>
      <c r="U175" s="367"/>
      <c r="V175" s="367"/>
      <c r="W175" s="367"/>
      <c r="X175" s="367"/>
      <c r="Y175" s="367"/>
      <c r="Z175" s="367"/>
    </row>
    <row r="176" ht="12.75" customHeight="1" spans="1:26">
      <c r="A176" s="363"/>
      <c r="B176" s="412"/>
      <c r="C176" s="365"/>
      <c r="D176" s="413"/>
      <c r="E176" s="413"/>
      <c r="F176" s="367"/>
      <c r="G176" s="367"/>
      <c r="H176" s="367"/>
      <c r="I176" s="367"/>
      <c r="J176" s="367"/>
      <c r="K176" s="367"/>
      <c r="L176" s="367"/>
      <c r="M176" s="367"/>
      <c r="N176" s="367"/>
      <c r="O176" s="367"/>
      <c r="P176" s="367"/>
      <c r="Q176" s="367"/>
      <c r="R176" s="367"/>
      <c r="S176" s="367"/>
      <c r="T176" s="367"/>
      <c r="U176" s="367"/>
      <c r="V176" s="367"/>
      <c r="W176" s="367"/>
      <c r="X176" s="367"/>
      <c r="Y176" s="367"/>
      <c r="Z176" s="367"/>
    </row>
    <row r="177" ht="12.75" customHeight="1" spans="1:26">
      <c r="A177" s="363"/>
      <c r="B177" s="412"/>
      <c r="C177" s="365"/>
      <c r="D177" s="413"/>
      <c r="E177" s="413"/>
      <c r="F177" s="367"/>
      <c r="G177" s="367"/>
      <c r="H177" s="367"/>
      <c r="I177" s="367"/>
      <c r="J177" s="367"/>
      <c r="K177" s="367"/>
      <c r="L177" s="367"/>
      <c r="M177" s="367"/>
      <c r="N177" s="367"/>
      <c r="O177" s="367"/>
      <c r="P177" s="367"/>
      <c r="Q177" s="367"/>
      <c r="R177" s="367"/>
      <c r="S177" s="367"/>
      <c r="T177" s="367"/>
      <c r="U177" s="367"/>
      <c r="V177" s="367"/>
      <c r="W177" s="367"/>
      <c r="X177" s="367"/>
      <c r="Y177" s="367"/>
      <c r="Z177" s="367"/>
    </row>
    <row r="178" ht="12.75" customHeight="1" spans="1:26">
      <c r="A178" s="363"/>
      <c r="B178" s="412"/>
      <c r="C178" s="365"/>
      <c r="D178" s="413"/>
      <c r="E178" s="413"/>
      <c r="F178" s="367"/>
      <c r="G178" s="367"/>
      <c r="H178" s="367"/>
      <c r="I178" s="367"/>
      <c r="J178" s="367"/>
      <c r="K178" s="367"/>
      <c r="L178" s="367"/>
      <c r="M178" s="367"/>
      <c r="N178" s="367"/>
      <c r="O178" s="367"/>
      <c r="P178" s="367"/>
      <c r="Q178" s="367"/>
      <c r="R178" s="367"/>
      <c r="S178" s="367"/>
      <c r="T178" s="367"/>
      <c r="U178" s="367"/>
      <c r="V178" s="367"/>
      <c r="W178" s="367"/>
      <c r="X178" s="367"/>
      <c r="Y178" s="367"/>
      <c r="Z178" s="367"/>
    </row>
    <row r="179" ht="12.75" customHeight="1" spans="1:26">
      <c r="A179" s="363"/>
      <c r="B179" s="412"/>
      <c r="C179" s="367"/>
      <c r="D179" s="413"/>
      <c r="E179" s="413"/>
      <c r="F179" s="367"/>
      <c r="G179" s="367"/>
      <c r="H179" s="367"/>
      <c r="I179" s="367"/>
      <c r="J179" s="367"/>
      <c r="K179" s="367"/>
      <c r="L179" s="367"/>
      <c r="M179" s="367"/>
      <c r="N179" s="367"/>
      <c r="O179" s="367"/>
      <c r="P179" s="367"/>
      <c r="Q179" s="367"/>
      <c r="R179" s="367"/>
      <c r="S179" s="367"/>
      <c r="T179" s="367"/>
      <c r="U179" s="367"/>
      <c r="V179" s="367"/>
      <c r="W179" s="367"/>
      <c r="X179" s="367"/>
      <c r="Y179" s="367"/>
      <c r="Z179" s="367"/>
    </row>
    <row r="180" ht="12.75" customHeight="1" spans="1:26">
      <c r="A180" s="363"/>
      <c r="B180" s="412"/>
      <c r="C180" s="367"/>
      <c r="D180" s="413"/>
      <c r="E180" s="413"/>
      <c r="F180" s="367"/>
      <c r="G180" s="367"/>
      <c r="H180" s="367"/>
      <c r="I180" s="367"/>
      <c r="J180" s="367"/>
      <c r="K180" s="367"/>
      <c r="L180" s="367"/>
      <c r="M180" s="367"/>
      <c r="N180" s="367"/>
      <c r="O180" s="367"/>
      <c r="P180" s="367"/>
      <c r="Q180" s="367"/>
      <c r="R180" s="367"/>
      <c r="S180" s="367"/>
      <c r="T180" s="367"/>
      <c r="U180" s="367"/>
      <c r="V180" s="367"/>
      <c r="W180" s="367"/>
      <c r="X180" s="367"/>
      <c r="Y180" s="367"/>
      <c r="Z180" s="367"/>
    </row>
    <row r="181" ht="12.75" customHeight="1" spans="1:26">
      <c r="A181" s="363"/>
      <c r="B181" s="412"/>
      <c r="C181" s="367"/>
      <c r="D181" s="413"/>
      <c r="E181" s="413"/>
      <c r="F181" s="367"/>
      <c r="G181" s="367"/>
      <c r="H181" s="367"/>
      <c r="I181" s="367"/>
      <c r="J181" s="367"/>
      <c r="K181" s="367"/>
      <c r="L181" s="367"/>
      <c r="M181" s="367"/>
      <c r="N181" s="367"/>
      <c r="O181" s="367"/>
      <c r="P181" s="367"/>
      <c r="Q181" s="367"/>
      <c r="R181" s="367"/>
      <c r="S181" s="367"/>
      <c r="T181" s="367"/>
      <c r="U181" s="367"/>
      <c r="V181" s="367"/>
      <c r="W181" s="367"/>
      <c r="X181" s="367"/>
      <c r="Y181" s="367"/>
      <c r="Z181" s="367"/>
    </row>
    <row r="182" ht="12.75" customHeight="1" spans="1:26">
      <c r="A182" s="363"/>
      <c r="B182" s="412"/>
      <c r="C182" s="367"/>
      <c r="D182" s="413"/>
      <c r="E182" s="413"/>
      <c r="F182" s="367"/>
      <c r="G182" s="367"/>
      <c r="H182" s="367"/>
      <c r="I182" s="367"/>
      <c r="J182" s="367"/>
      <c r="K182" s="367"/>
      <c r="L182" s="367"/>
      <c r="M182" s="367"/>
      <c r="N182" s="367"/>
      <c r="O182" s="367"/>
      <c r="P182" s="367"/>
      <c r="Q182" s="367"/>
      <c r="R182" s="367"/>
      <c r="S182" s="367"/>
      <c r="T182" s="367"/>
      <c r="U182" s="367"/>
      <c r="V182" s="367"/>
      <c r="W182" s="367"/>
      <c r="X182" s="367"/>
      <c r="Y182" s="367"/>
      <c r="Z182" s="367"/>
    </row>
    <row r="183" ht="12.75" customHeight="1" spans="1:26">
      <c r="A183" s="363"/>
      <c r="B183" s="412"/>
      <c r="C183" s="367"/>
      <c r="D183" s="413"/>
      <c r="E183" s="413"/>
      <c r="F183" s="367"/>
      <c r="G183" s="367"/>
      <c r="H183" s="367"/>
      <c r="I183" s="367"/>
      <c r="J183" s="367"/>
      <c r="K183" s="367"/>
      <c r="L183" s="367"/>
      <c r="M183" s="367"/>
      <c r="N183" s="367"/>
      <c r="O183" s="367"/>
      <c r="P183" s="367"/>
      <c r="Q183" s="367"/>
      <c r="R183" s="367"/>
      <c r="S183" s="367"/>
      <c r="T183" s="367"/>
      <c r="U183" s="367"/>
      <c r="V183" s="367"/>
      <c r="W183" s="367"/>
      <c r="X183" s="367"/>
      <c r="Y183" s="367"/>
      <c r="Z183" s="367"/>
    </row>
    <row r="184" ht="12.75" customHeight="1" spans="1:26">
      <c r="A184" s="363"/>
      <c r="B184" s="412"/>
      <c r="C184" s="367"/>
      <c r="D184" s="413"/>
      <c r="E184" s="413"/>
      <c r="F184" s="367"/>
      <c r="G184" s="367"/>
      <c r="H184" s="367"/>
      <c r="I184" s="367"/>
      <c r="J184" s="367"/>
      <c r="K184" s="367"/>
      <c r="L184" s="367"/>
      <c r="M184" s="367"/>
      <c r="N184" s="367"/>
      <c r="O184" s="367"/>
      <c r="P184" s="367"/>
      <c r="Q184" s="367"/>
      <c r="R184" s="367"/>
      <c r="S184" s="367"/>
      <c r="T184" s="367"/>
      <c r="U184" s="367"/>
      <c r="V184" s="367"/>
      <c r="W184" s="367"/>
      <c r="X184" s="367"/>
      <c r="Y184" s="367"/>
      <c r="Z184" s="367"/>
    </row>
    <row r="185" ht="12.75" customHeight="1" spans="1:26">
      <c r="A185" s="363"/>
      <c r="B185" s="412"/>
      <c r="C185" s="367"/>
      <c r="D185" s="413"/>
      <c r="E185" s="413"/>
      <c r="F185" s="367"/>
      <c r="G185" s="367"/>
      <c r="H185" s="367"/>
      <c r="I185" s="367"/>
      <c r="J185" s="367"/>
      <c r="K185" s="367"/>
      <c r="L185" s="367"/>
      <c r="M185" s="367"/>
      <c r="N185" s="367"/>
      <c r="O185" s="367"/>
      <c r="P185" s="367"/>
      <c r="Q185" s="367"/>
      <c r="R185" s="367"/>
      <c r="S185" s="367"/>
      <c r="T185" s="367"/>
      <c r="U185" s="367"/>
      <c r="V185" s="367"/>
      <c r="W185" s="367"/>
      <c r="X185" s="367"/>
      <c r="Y185" s="367"/>
      <c r="Z185" s="367"/>
    </row>
    <row r="186" ht="12.75" customHeight="1" spans="1:26">
      <c r="A186" s="363"/>
      <c r="B186" s="412"/>
      <c r="C186" s="367"/>
      <c r="D186" s="413"/>
      <c r="E186" s="413"/>
      <c r="F186" s="367"/>
      <c r="G186" s="367"/>
      <c r="H186" s="367"/>
      <c r="I186" s="367"/>
      <c r="J186" s="367"/>
      <c r="K186" s="367"/>
      <c r="L186" s="367"/>
      <c r="M186" s="367"/>
      <c r="N186" s="367"/>
      <c r="O186" s="367"/>
      <c r="P186" s="367"/>
      <c r="Q186" s="367"/>
      <c r="R186" s="367"/>
      <c r="S186" s="367"/>
      <c r="T186" s="367"/>
      <c r="U186" s="367"/>
      <c r="V186" s="367"/>
      <c r="W186" s="367"/>
      <c r="X186" s="367"/>
      <c r="Y186" s="367"/>
      <c r="Z186" s="367"/>
    </row>
    <row r="187" ht="12.75" customHeight="1" spans="1:26">
      <c r="A187" s="363"/>
      <c r="B187" s="412"/>
      <c r="C187" s="367"/>
      <c r="D187" s="413"/>
      <c r="E187" s="413"/>
      <c r="F187" s="367"/>
      <c r="G187" s="367"/>
      <c r="H187" s="367"/>
      <c r="I187" s="367"/>
      <c r="J187" s="367"/>
      <c r="K187" s="367"/>
      <c r="L187" s="367"/>
      <c r="M187" s="367"/>
      <c r="N187" s="367"/>
      <c r="O187" s="367"/>
      <c r="P187" s="367"/>
      <c r="Q187" s="367"/>
      <c r="R187" s="367"/>
      <c r="S187" s="367"/>
      <c r="T187" s="367"/>
      <c r="U187" s="367"/>
      <c r="V187" s="367"/>
      <c r="W187" s="367"/>
      <c r="X187" s="367"/>
      <c r="Y187" s="367"/>
      <c r="Z187" s="367"/>
    </row>
    <row r="188" ht="12.75" customHeight="1" spans="1:26">
      <c r="A188" s="363"/>
      <c r="B188" s="412"/>
      <c r="C188" s="367"/>
      <c r="D188" s="413"/>
      <c r="E188" s="413"/>
      <c r="F188" s="367"/>
      <c r="G188" s="367"/>
      <c r="H188" s="367"/>
      <c r="I188" s="367"/>
      <c r="J188" s="367"/>
      <c r="K188" s="367"/>
      <c r="L188" s="367"/>
      <c r="M188" s="367"/>
      <c r="N188" s="367"/>
      <c r="O188" s="367"/>
      <c r="P188" s="367"/>
      <c r="Q188" s="367"/>
      <c r="R188" s="367"/>
      <c r="S188" s="367"/>
      <c r="T188" s="367"/>
      <c r="U188" s="367"/>
      <c r="V188" s="367"/>
      <c r="W188" s="367"/>
      <c r="X188" s="367"/>
      <c r="Y188" s="367"/>
      <c r="Z188" s="367"/>
    </row>
    <row r="189" ht="12.75" customHeight="1" spans="1:26">
      <c r="A189" s="363"/>
      <c r="B189" s="412"/>
      <c r="C189" s="367"/>
      <c r="D189" s="413"/>
      <c r="E189" s="413"/>
      <c r="F189" s="367"/>
      <c r="G189" s="367"/>
      <c r="H189" s="367"/>
      <c r="I189" s="367"/>
      <c r="J189" s="367"/>
      <c r="K189" s="367"/>
      <c r="L189" s="367"/>
      <c r="M189" s="367"/>
      <c r="N189" s="367"/>
      <c r="O189" s="367"/>
      <c r="P189" s="367"/>
      <c r="Q189" s="367"/>
      <c r="R189" s="367"/>
      <c r="S189" s="367"/>
      <c r="T189" s="367"/>
      <c r="U189" s="367"/>
      <c r="V189" s="367"/>
      <c r="W189" s="367"/>
      <c r="X189" s="367"/>
      <c r="Y189" s="367"/>
      <c r="Z189" s="367"/>
    </row>
    <row r="190" ht="12.75" customHeight="1" spans="1:26">
      <c r="A190" s="363"/>
      <c r="B190" s="412"/>
      <c r="C190" s="367"/>
      <c r="D190" s="413"/>
      <c r="E190" s="413"/>
      <c r="F190" s="367"/>
      <c r="G190" s="367"/>
      <c r="H190" s="367"/>
      <c r="I190" s="367"/>
      <c r="J190" s="367"/>
      <c r="K190" s="367"/>
      <c r="L190" s="367"/>
      <c r="M190" s="367"/>
      <c r="N190" s="367"/>
      <c r="O190" s="367"/>
      <c r="P190" s="367"/>
      <c r="Q190" s="367"/>
      <c r="R190" s="367"/>
      <c r="S190" s="367"/>
      <c r="T190" s="367"/>
      <c r="U190" s="367"/>
      <c r="V190" s="367"/>
      <c r="W190" s="367"/>
      <c r="X190" s="367"/>
      <c r="Y190" s="367"/>
      <c r="Z190" s="367"/>
    </row>
    <row r="191" ht="12.75" customHeight="1" spans="1:26">
      <c r="A191" s="363"/>
      <c r="B191" s="412"/>
      <c r="C191" s="367"/>
      <c r="D191" s="413"/>
      <c r="E191" s="413"/>
      <c r="F191" s="367"/>
      <c r="G191" s="367"/>
      <c r="H191" s="367"/>
      <c r="I191" s="367"/>
      <c r="J191" s="367"/>
      <c r="K191" s="367"/>
      <c r="L191" s="367"/>
      <c r="M191" s="367"/>
      <c r="N191" s="367"/>
      <c r="O191" s="367"/>
      <c r="P191" s="367"/>
      <c r="Q191" s="367"/>
      <c r="R191" s="367"/>
      <c r="S191" s="367"/>
      <c r="T191" s="367"/>
      <c r="U191" s="367"/>
      <c r="V191" s="367"/>
      <c r="W191" s="367"/>
      <c r="X191" s="367"/>
      <c r="Y191" s="367"/>
      <c r="Z191" s="367"/>
    </row>
    <row r="192" ht="12.75" customHeight="1" spans="1:26">
      <c r="A192" s="363"/>
      <c r="B192" s="412"/>
      <c r="C192" s="367"/>
      <c r="D192" s="413"/>
      <c r="E192" s="413"/>
      <c r="F192" s="367"/>
      <c r="G192" s="367"/>
      <c r="H192" s="367"/>
      <c r="I192" s="367"/>
      <c r="J192" s="367"/>
      <c r="K192" s="367"/>
      <c r="L192" s="367"/>
      <c r="M192" s="367"/>
      <c r="N192" s="367"/>
      <c r="O192" s="367"/>
      <c r="P192" s="367"/>
      <c r="Q192" s="367"/>
      <c r="R192" s="367"/>
      <c r="S192" s="367"/>
      <c r="T192" s="367"/>
      <c r="U192" s="367"/>
      <c r="V192" s="367"/>
      <c r="W192" s="367"/>
      <c r="X192" s="367"/>
      <c r="Y192" s="367"/>
      <c r="Z192" s="367"/>
    </row>
    <row r="193" ht="12.75" customHeight="1" spans="1:26">
      <c r="A193" s="363"/>
      <c r="B193" s="412"/>
      <c r="C193" s="367"/>
      <c r="D193" s="413"/>
      <c r="E193" s="413"/>
      <c r="F193" s="367"/>
      <c r="G193" s="367"/>
      <c r="H193" s="367"/>
      <c r="I193" s="367"/>
      <c r="J193" s="367"/>
      <c r="K193" s="367"/>
      <c r="L193" s="367"/>
      <c r="M193" s="367"/>
      <c r="N193" s="367"/>
      <c r="O193" s="367"/>
      <c r="P193" s="367"/>
      <c r="Q193" s="367"/>
      <c r="R193" s="367"/>
      <c r="S193" s="367"/>
      <c r="T193" s="367"/>
      <c r="U193" s="367"/>
      <c r="V193" s="367"/>
      <c r="W193" s="367"/>
      <c r="X193" s="367"/>
      <c r="Y193" s="367"/>
      <c r="Z193" s="367"/>
    </row>
    <row r="194" ht="12.75" customHeight="1" spans="1:26">
      <c r="A194" s="363"/>
      <c r="B194" s="412"/>
      <c r="C194" s="367"/>
      <c r="D194" s="413"/>
      <c r="E194" s="413"/>
      <c r="F194" s="367"/>
      <c r="G194" s="367"/>
      <c r="H194" s="367"/>
      <c r="I194" s="367"/>
      <c r="J194" s="367"/>
      <c r="K194" s="367"/>
      <c r="L194" s="367"/>
      <c r="M194" s="367"/>
      <c r="N194" s="367"/>
      <c r="O194" s="367"/>
      <c r="P194" s="367"/>
      <c r="Q194" s="367"/>
      <c r="R194" s="367"/>
      <c r="S194" s="367"/>
      <c r="T194" s="367"/>
      <c r="U194" s="367"/>
      <c r="V194" s="367"/>
      <c r="W194" s="367"/>
      <c r="X194" s="367"/>
      <c r="Y194" s="367"/>
      <c r="Z194" s="367"/>
    </row>
    <row r="195" ht="12.75" customHeight="1" spans="1:26">
      <c r="A195" s="363"/>
      <c r="B195" s="412"/>
      <c r="C195" s="367"/>
      <c r="D195" s="413"/>
      <c r="E195" s="413"/>
      <c r="F195" s="367"/>
      <c r="G195" s="367"/>
      <c r="H195" s="367"/>
      <c r="I195" s="367"/>
      <c r="J195" s="367"/>
      <c r="K195" s="367"/>
      <c r="L195" s="367"/>
      <c r="M195" s="367"/>
      <c r="N195" s="367"/>
      <c r="O195" s="367"/>
      <c r="P195" s="367"/>
      <c r="Q195" s="367"/>
      <c r="R195" s="367"/>
      <c r="S195" s="367"/>
      <c r="T195" s="367"/>
      <c r="U195" s="367"/>
      <c r="V195" s="367"/>
      <c r="W195" s="367"/>
      <c r="X195" s="367"/>
      <c r="Y195" s="367"/>
      <c r="Z195" s="367"/>
    </row>
    <row r="196" ht="12.75" customHeight="1" spans="1:26">
      <c r="A196" s="363"/>
      <c r="B196" s="412"/>
      <c r="C196" s="367"/>
      <c r="D196" s="413"/>
      <c r="E196" s="413"/>
      <c r="F196" s="367"/>
      <c r="G196" s="367"/>
      <c r="H196" s="367"/>
      <c r="I196" s="367"/>
      <c r="J196" s="367"/>
      <c r="K196" s="367"/>
      <c r="L196" s="367"/>
      <c r="M196" s="367"/>
      <c r="N196" s="367"/>
      <c r="O196" s="367"/>
      <c r="P196" s="367"/>
      <c r="Q196" s="367"/>
      <c r="R196" s="367"/>
      <c r="S196" s="367"/>
      <c r="T196" s="367"/>
      <c r="U196" s="367"/>
      <c r="V196" s="367"/>
      <c r="W196" s="367"/>
      <c r="X196" s="367"/>
      <c r="Y196" s="367"/>
      <c r="Z196" s="367"/>
    </row>
    <row r="197" ht="12.75" customHeight="1" spans="1:26">
      <c r="A197" s="363"/>
      <c r="B197" s="412"/>
      <c r="C197" s="367"/>
      <c r="D197" s="413"/>
      <c r="E197" s="413"/>
      <c r="F197" s="367"/>
      <c r="G197" s="367"/>
      <c r="H197" s="367"/>
      <c r="I197" s="367"/>
      <c r="J197" s="367"/>
      <c r="K197" s="367"/>
      <c r="L197" s="367"/>
      <c r="M197" s="367"/>
      <c r="N197" s="367"/>
      <c r="O197" s="367"/>
      <c r="P197" s="367"/>
      <c r="Q197" s="367"/>
      <c r="R197" s="367"/>
      <c r="S197" s="367"/>
      <c r="T197" s="367"/>
      <c r="U197" s="367"/>
      <c r="V197" s="367"/>
      <c r="W197" s="367"/>
      <c r="X197" s="367"/>
      <c r="Y197" s="367"/>
      <c r="Z197" s="367"/>
    </row>
    <row r="198" ht="12.75" customHeight="1" spans="1:26">
      <c r="A198" s="363"/>
      <c r="B198" s="412"/>
      <c r="C198" s="367"/>
      <c r="D198" s="413"/>
      <c r="E198" s="413"/>
      <c r="F198" s="367"/>
      <c r="G198" s="367"/>
      <c r="H198" s="367"/>
      <c r="I198" s="367"/>
      <c r="J198" s="367"/>
      <c r="K198" s="367"/>
      <c r="L198" s="367"/>
      <c r="M198" s="367"/>
      <c r="N198" s="367"/>
      <c r="O198" s="367"/>
      <c r="P198" s="367"/>
      <c r="Q198" s="367"/>
      <c r="R198" s="367"/>
      <c r="S198" s="367"/>
      <c r="T198" s="367"/>
      <c r="U198" s="367"/>
      <c r="V198" s="367"/>
      <c r="W198" s="367"/>
      <c r="X198" s="367"/>
      <c r="Y198" s="367"/>
      <c r="Z198" s="367"/>
    </row>
    <row r="199" ht="12.75" customHeight="1" spans="1:26">
      <c r="A199" s="363"/>
      <c r="B199" s="412"/>
      <c r="C199" s="367"/>
      <c r="D199" s="413"/>
      <c r="E199" s="413"/>
      <c r="F199" s="367"/>
      <c r="G199" s="367"/>
      <c r="H199" s="367"/>
      <c r="I199" s="367"/>
      <c r="J199" s="367"/>
      <c r="K199" s="367"/>
      <c r="L199" s="367"/>
      <c r="M199" s="367"/>
      <c r="N199" s="367"/>
      <c r="O199" s="367"/>
      <c r="P199" s="367"/>
      <c r="Q199" s="367"/>
      <c r="R199" s="367"/>
      <c r="S199" s="367"/>
      <c r="T199" s="367"/>
      <c r="U199" s="367"/>
      <c r="V199" s="367"/>
      <c r="W199" s="367"/>
      <c r="X199" s="367"/>
      <c r="Y199" s="367"/>
      <c r="Z199" s="367"/>
    </row>
    <row r="200" ht="12.75" customHeight="1" spans="1:26">
      <c r="A200" s="363"/>
      <c r="B200" s="412"/>
      <c r="C200" s="367"/>
      <c r="D200" s="413"/>
      <c r="E200" s="413"/>
      <c r="F200" s="367"/>
      <c r="G200" s="367"/>
      <c r="H200" s="367"/>
      <c r="I200" s="367"/>
      <c r="J200" s="367"/>
      <c r="K200" s="367"/>
      <c r="L200" s="367"/>
      <c r="M200" s="367"/>
      <c r="N200" s="367"/>
      <c r="O200" s="367"/>
      <c r="P200" s="367"/>
      <c r="Q200" s="367"/>
      <c r="R200" s="367"/>
      <c r="S200" s="367"/>
      <c r="T200" s="367"/>
      <c r="U200" s="367"/>
      <c r="V200" s="367"/>
      <c r="W200" s="367"/>
      <c r="X200" s="367"/>
      <c r="Y200" s="367"/>
      <c r="Z200" s="367"/>
    </row>
    <row r="201" ht="12.75" customHeight="1" spans="1:26">
      <c r="A201" s="363"/>
      <c r="B201" s="412"/>
      <c r="C201" s="367"/>
      <c r="D201" s="413"/>
      <c r="E201" s="413"/>
      <c r="F201" s="367"/>
      <c r="G201" s="367"/>
      <c r="H201" s="367"/>
      <c r="I201" s="367"/>
      <c r="J201" s="367"/>
      <c r="K201" s="367"/>
      <c r="L201" s="367"/>
      <c r="M201" s="367"/>
      <c r="N201" s="367"/>
      <c r="O201" s="367"/>
      <c r="P201" s="367"/>
      <c r="Q201" s="367"/>
      <c r="R201" s="367"/>
      <c r="S201" s="367"/>
      <c r="T201" s="367"/>
      <c r="U201" s="367"/>
      <c r="V201" s="367"/>
      <c r="W201" s="367"/>
      <c r="X201" s="367"/>
      <c r="Y201" s="367"/>
      <c r="Z201" s="367"/>
    </row>
    <row r="202" ht="12.75" customHeight="1" spans="1:26">
      <c r="A202" s="363"/>
      <c r="B202" s="412"/>
      <c r="C202" s="367"/>
      <c r="D202" s="413"/>
      <c r="E202" s="413"/>
      <c r="F202" s="367"/>
      <c r="G202" s="367"/>
      <c r="H202" s="367"/>
      <c r="I202" s="367"/>
      <c r="J202" s="367"/>
      <c r="K202" s="367"/>
      <c r="L202" s="367"/>
      <c r="M202" s="367"/>
      <c r="N202" s="367"/>
      <c r="O202" s="367"/>
      <c r="P202" s="367"/>
      <c r="Q202" s="367"/>
      <c r="R202" s="367"/>
      <c r="S202" s="367"/>
      <c r="T202" s="367"/>
      <c r="U202" s="367"/>
      <c r="V202" s="367"/>
      <c r="W202" s="367"/>
      <c r="X202" s="367"/>
      <c r="Y202" s="367"/>
      <c r="Z202" s="367"/>
    </row>
    <row r="203" ht="12.75" customHeight="1" spans="1:26">
      <c r="A203" s="363"/>
      <c r="B203" s="412"/>
      <c r="C203" s="367"/>
      <c r="D203" s="413"/>
      <c r="E203" s="413"/>
      <c r="F203" s="367"/>
      <c r="G203" s="367"/>
      <c r="H203" s="367"/>
      <c r="I203" s="367"/>
      <c r="J203" s="367"/>
      <c r="K203" s="367"/>
      <c r="L203" s="367"/>
      <c r="M203" s="367"/>
      <c r="N203" s="367"/>
      <c r="O203" s="367"/>
      <c r="P203" s="367"/>
      <c r="Q203" s="367"/>
      <c r="R203" s="367"/>
      <c r="S203" s="367"/>
      <c r="T203" s="367"/>
      <c r="U203" s="367"/>
      <c r="V203" s="367"/>
      <c r="W203" s="367"/>
      <c r="X203" s="367"/>
      <c r="Y203" s="367"/>
      <c r="Z203" s="367"/>
    </row>
    <row r="204" ht="12.75" customHeight="1" spans="1:26">
      <c r="A204" s="363"/>
      <c r="B204" s="412"/>
      <c r="C204" s="367"/>
      <c r="D204" s="413"/>
      <c r="E204" s="413"/>
      <c r="F204" s="367"/>
      <c r="G204" s="367"/>
      <c r="H204" s="367"/>
      <c r="I204" s="367"/>
      <c r="J204" s="367"/>
      <c r="K204" s="367"/>
      <c r="L204" s="367"/>
      <c r="M204" s="367"/>
      <c r="N204" s="367"/>
      <c r="O204" s="367"/>
      <c r="P204" s="367"/>
      <c r="Q204" s="367"/>
      <c r="R204" s="367"/>
      <c r="S204" s="367"/>
      <c r="T204" s="367"/>
      <c r="U204" s="367"/>
      <c r="V204" s="367"/>
      <c r="W204" s="367"/>
      <c r="X204" s="367"/>
      <c r="Y204" s="367"/>
      <c r="Z204" s="367"/>
    </row>
    <row r="205" ht="12.75" customHeight="1" spans="1:26">
      <c r="A205" s="363"/>
      <c r="B205" s="412"/>
      <c r="C205" s="367"/>
      <c r="D205" s="413"/>
      <c r="E205" s="413"/>
      <c r="F205" s="367"/>
      <c r="G205" s="367"/>
      <c r="H205" s="367"/>
      <c r="I205" s="367"/>
      <c r="J205" s="367"/>
      <c r="K205" s="367"/>
      <c r="L205" s="367"/>
      <c r="M205" s="367"/>
      <c r="N205" s="367"/>
      <c r="O205" s="367"/>
      <c r="P205" s="367"/>
      <c r="Q205" s="367"/>
      <c r="R205" s="367"/>
      <c r="S205" s="367"/>
      <c r="T205" s="367"/>
      <c r="U205" s="367"/>
      <c r="V205" s="367"/>
      <c r="W205" s="367"/>
      <c r="X205" s="367"/>
      <c r="Y205" s="367"/>
      <c r="Z205" s="367"/>
    </row>
    <row r="206" ht="12.75" customHeight="1" spans="1:26">
      <c r="A206" s="363"/>
      <c r="B206" s="412"/>
      <c r="C206" s="367"/>
      <c r="D206" s="413"/>
      <c r="E206" s="413"/>
      <c r="F206" s="367"/>
      <c r="G206" s="367"/>
      <c r="H206" s="367"/>
      <c r="I206" s="367"/>
      <c r="J206" s="367"/>
      <c r="K206" s="367"/>
      <c r="L206" s="367"/>
      <c r="M206" s="367"/>
      <c r="N206" s="367"/>
      <c r="O206" s="367"/>
      <c r="P206" s="367"/>
      <c r="Q206" s="367"/>
      <c r="R206" s="367"/>
      <c r="S206" s="367"/>
      <c r="T206" s="367"/>
      <c r="U206" s="367"/>
      <c r="V206" s="367"/>
      <c r="W206" s="367"/>
      <c r="X206" s="367"/>
      <c r="Y206" s="367"/>
      <c r="Z206" s="367"/>
    </row>
    <row r="207" ht="12.75" customHeight="1" spans="1:26">
      <c r="A207" s="363"/>
      <c r="B207" s="412"/>
      <c r="C207" s="367"/>
      <c r="D207" s="413"/>
      <c r="E207" s="413"/>
      <c r="F207" s="367"/>
      <c r="G207" s="367"/>
      <c r="H207" s="367"/>
      <c r="I207" s="367"/>
      <c r="J207" s="367"/>
      <c r="K207" s="367"/>
      <c r="L207" s="367"/>
      <c r="M207" s="367"/>
      <c r="N207" s="367"/>
      <c r="O207" s="367"/>
      <c r="P207" s="367"/>
      <c r="Q207" s="367"/>
      <c r="R207" s="367"/>
      <c r="S207" s="367"/>
      <c r="T207" s="367"/>
      <c r="U207" s="367"/>
      <c r="V207" s="367"/>
      <c r="W207" s="367"/>
      <c r="X207" s="367"/>
      <c r="Y207" s="367"/>
      <c r="Z207" s="367"/>
    </row>
    <row r="208" ht="12.75" customHeight="1" spans="1:26">
      <c r="A208" s="363"/>
      <c r="B208" s="412"/>
      <c r="C208" s="367"/>
      <c r="D208" s="413"/>
      <c r="E208" s="413"/>
      <c r="F208" s="367"/>
      <c r="G208" s="367"/>
      <c r="H208" s="367"/>
      <c r="I208" s="367"/>
      <c r="J208" s="367"/>
      <c r="K208" s="367"/>
      <c r="L208" s="367"/>
      <c r="M208" s="367"/>
      <c r="N208" s="367"/>
      <c r="O208" s="367"/>
      <c r="P208" s="367"/>
      <c r="Q208" s="367"/>
      <c r="R208" s="367"/>
      <c r="S208" s="367"/>
      <c r="T208" s="367"/>
      <c r="U208" s="367"/>
      <c r="V208" s="367"/>
      <c r="W208" s="367"/>
      <c r="X208" s="367"/>
      <c r="Y208" s="367"/>
      <c r="Z208" s="367"/>
    </row>
    <row r="209" ht="12.75" customHeight="1" spans="1:26">
      <c r="A209" s="363"/>
      <c r="B209" s="412"/>
      <c r="C209" s="367"/>
      <c r="D209" s="413"/>
      <c r="E209" s="413"/>
      <c r="F209" s="367"/>
      <c r="G209" s="367"/>
      <c r="H209" s="367"/>
      <c r="I209" s="367"/>
      <c r="J209" s="367"/>
      <c r="K209" s="367"/>
      <c r="L209" s="367"/>
      <c r="M209" s="367"/>
      <c r="N209" s="367"/>
      <c r="O209" s="367"/>
      <c r="P209" s="367"/>
      <c r="Q209" s="367"/>
      <c r="R209" s="367"/>
      <c r="S209" s="367"/>
      <c r="T209" s="367"/>
      <c r="U209" s="367"/>
      <c r="V209" s="367"/>
      <c r="W209" s="367"/>
      <c r="X209" s="367"/>
      <c r="Y209" s="367"/>
      <c r="Z209" s="367"/>
    </row>
    <row r="210" ht="12.75" customHeight="1" spans="1:26">
      <c r="A210" s="363"/>
      <c r="B210" s="412"/>
      <c r="C210" s="367"/>
      <c r="D210" s="413"/>
      <c r="E210" s="413"/>
      <c r="F210" s="367"/>
      <c r="G210" s="367"/>
      <c r="H210" s="367"/>
      <c r="I210" s="367"/>
      <c r="J210" s="367"/>
      <c r="K210" s="367"/>
      <c r="L210" s="367"/>
      <c r="M210" s="367"/>
      <c r="N210" s="367"/>
      <c r="O210" s="367"/>
      <c r="P210" s="367"/>
      <c r="Q210" s="367"/>
      <c r="R210" s="367"/>
      <c r="S210" s="367"/>
      <c r="T210" s="367"/>
      <c r="U210" s="367"/>
      <c r="V210" s="367"/>
      <c r="W210" s="367"/>
      <c r="X210" s="367"/>
      <c r="Y210" s="367"/>
      <c r="Z210" s="367"/>
    </row>
    <row r="211" ht="12.75" customHeight="1" spans="1:26">
      <c r="A211" s="363"/>
      <c r="B211" s="412"/>
      <c r="C211" s="367"/>
      <c r="D211" s="413"/>
      <c r="E211" s="413"/>
      <c r="F211" s="367"/>
      <c r="G211" s="367"/>
      <c r="H211" s="367"/>
      <c r="I211" s="367"/>
      <c r="J211" s="367"/>
      <c r="K211" s="367"/>
      <c r="L211" s="367"/>
      <c r="M211" s="367"/>
      <c r="N211" s="367"/>
      <c r="O211" s="367"/>
      <c r="P211" s="367"/>
      <c r="Q211" s="367"/>
      <c r="R211" s="367"/>
      <c r="S211" s="367"/>
      <c r="T211" s="367"/>
      <c r="U211" s="367"/>
      <c r="V211" s="367"/>
      <c r="W211" s="367"/>
      <c r="X211" s="367"/>
      <c r="Y211" s="367"/>
      <c r="Z211" s="367"/>
    </row>
    <row r="212" ht="12.75" customHeight="1" spans="1:26">
      <c r="A212" s="363"/>
      <c r="B212" s="412"/>
      <c r="C212" s="367"/>
      <c r="D212" s="413"/>
      <c r="E212" s="413"/>
      <c r="F212" s="367"/>
      <c r="G212" s="367"/>
      <c r="H212" s="367"/>
      <c r="I212" s="367"/>
      <c r="J212" s="367"/>
      <c r="K212" s="367"/>
      <c r="L212" s="367"/>
      <c r="M212" s="367"/>
      <c r="N212" s="367"/>
      <c r="O212" s="367"/>
      <c r="P212" s="367"/>
      <c r="Q212" s="367"/>
      <c r="R212" s="367"/>
      <c r="S212" s="367"/>
      <c r="T212" s="367"/>
      <c r="U212" s="367"/>
      <c r="V212" s="367"/>
      <c r="W212" s="367"/>
      <c r="X212" s="367"/>
      <c r="Y212" s="367"/>
      <c r="Z212" s="367"/>
    </row>
    <row r="213" ht="12.75" customHeight="1" spans="1:26">
      <c r="A213" s="363"/>
      <c r="B213" s="412"/>
      <c r="C213" s="367"/>
      <c r="D213" s="413"/>
      <c r="E213" s="413"/>
      <c r="F213" s="367"/>
      <c r="G213" s="367"/>
      <c r="H213" s="367"/>
      <c r="I213" s="367"/>
      <c r="J213" s="367"/>
      <c r="K213" s="367"/>
      <c r="L213" s="367"/>
      <c r="M213" s="367"/>
      <c r="N213" s="367"/>
      <c r="O213" s="367"/>
      <c r="P213" s="367"/>
      <c r="Q213" s="367"/>
      <c r="R213" s="367"/>
      <c r="S213" s="367"/>
      <c r="T213" s="367"/>
      <c r="U213" s="367"/>
      <c r="V213" s="367"/>
      <c r="W213" s="367"/>
      <c r="X213" s="367"/>
      <c r="Y213" s="367"/>
      <c r="Z213" s="367"/>
    </row>
    <row r="214" ht="12.75" customHeight="1" spans="1:26">
      <c r="A214" s="363"/>
      <c r="B214" s="412"/>
      <c r="C214" s="367"/>
      <c r="D214" s="413"/>
      <c r="E214" s="413"/>
      <c r="F214" s="367"/>
      <c r="G214" s="367"/>
      <c r="H214" s="367"/>
      <c r="I214" s="367"/>
      <c r="J214" s="367"/>
      <c r="K214" s="367"/>
      <c r="L214" s="367"/>
      <c r="M214" s="367"/>
      <c r="N214" s="367"/>
      <c r="O214" s="367"/>
      <c r="P214" s="367"/>
      <c r="Q214" s="367"/>
      <c r="R214" s="367"/>
      <c r="S214" s="367"/>
      <c r="T214" s="367"/>
      <c r="U214" s="367"/>
      <c r="V214" s="367"/>
      <c r="W214" s="367"/>
      <c r="X214" s="367"/>
      <c r="Y214" s="367"/>
      <c r="Z214" s="367"/>
    </row>
    <row r="215" ht="12.75" customHeight="1" spans="1:26">
      <c r="A215" s="363"/>
      <c r="B215" s="412"/>
      <c r="C215" s="367"/>
      <c r="D215" s="413"/>
      <c r="E215" s="413"/>
      <c r="F215" s="367"/>
      <c r="G215" s="367"/>
      <c r="H215" s="367"/>
      <c r="I215" s="367"/>
      <c r="J215" s="367"/>
      <c r="K215" s="367"/>
      <c r="L215" s="367"/>
      <c r="M215" s="367"/>
      <c r="N215" s="367"/>
      <c r="O215" s="367"/>
      <c r="P215" s="367"/>
      <c r="Q215" s="367"/>
      <c r="R215" s="367"/>
      <c r="S215" s="367"/>
      <c r="T215" s="367"/>
      <c r="U215" s="367"/>
      <c r="V215" s="367"/>
      <c r="W215" s="367"/>
      <c r="X215" s="367"/>
      <c r="Y215" s="367"/>
      <c r="Z215" s="367"/>
    </row>
    <row r="216" ht="12.75" customHeight="1" spans="1:26">
      <c r="A216" s="363"/>
      <c r="B216" s="412"/>
      <c r="C216" s="367"/>
      <c r="D216" s="413"/>
      <c r="E216" s="413"/>
      <c r="F216" s="367"/>
      <c r="G216" s="367"/>
      <c r="H216" s="367"/>
      <c r="I216" s="367"/>
      <c r="J216" s="367"/>
      <c r="K216" s="367"/>
      <c r="L216" s="367"/>
      <c r="M216" s="367"/>
      <c r="N216" s="367"/>
      <c r="O216" s="367"/>
      <c r="P216" s="367"/>
      <c r="Q216" s="367"/>
      <c r="R216" s="367"/>
      <c r="S216" s="367"/>
      <c r="T216" s="367"/>
      <c r="U216" s="367"/>
      <c r="V216" s="367"/>
      <c r="W216" s="367"/>
      <c r="X216" s="367"/>
      <c r="Y216" s="367"/>
      <c r="Z216" s="367"/>
    </row>
    <row r="217" ht="12.75" customHeight="1" spans="1:26">
      <c r="A217" s="363"/>
      <c r="B217" s="412"/>
      <c r="C217" s="367"/>
      <c r="D217" s="413"/>
      <c r="E217" s="413"/>
      <c r="F217" s="367"/>
      <c r="G217" s="367"/>
      <c r="H217" s="367"/>
      <c r="I217" s="367"/>
      <c r="J217" s="367"/>
      <c r="K217" s="367"/>
      <c r="L217" s="367"/>
      <c r="M217" s="367"/>
      <c r="N217" s="367"/>
      <c r="O217" s="367"/>
      <c r="P217" s="367"/>
      <c r="Q217" s="367"/>
      <c r="R217" s="367"/>
      <c r="S217" s="367"/>
      <c r="T217" s="367"/>
      <c r="U217" s="367"/>
      <c r="V217" s="367"/>
      <c r="W217" s="367"/>
      <c r="X217" s="367"/>
      <c r="Y217" s="367"/>
      <c r="Z217" s="367"/>
    </row>
    <row r="218" ht="12.75" customHeight="1" spans="1:26">
      <c r="A218" s="363"/>
      <c r="B218" s="412"/>
      <c r="C218" s="367"/>
      <c r="D218" s="413"/>
      <c r="E218" s="413"/>
      <c r="F218" s="367"/>
      <c r="G218" s="367"/>
      <c r="H218" s="367"/>
      <c r="I218" s="367"/>
      <c r="J218" s="367"/>
      <c r="K218" s="367"/>
      <c r="L218" s="367"/>
      <c r="M218" s="367"/>
      <c r="N218" s="367"/>
      <c r="O218" s="367"/>
      <c r="P218" s="367"/>
      <c r="Q218" s="367"/>
      <c r="R218" s="367"/>
      <c r="S218" s="367"/>
      <c r="T218" s="367"/>
      <c r="U218" s="367"/>
      <c r="V218" s="367"/>
      <c r="W218" s="367"/>
      <c r="X218" s="367"/>
      <c r="Y218" s="367"/>
      <c r="Z218" s="367"/>
    </row>
    <row r="219" ht="12.75" customHeight="1" spans="1:26">
      <c r="A219" s="363"/>
      <c r="B219" s="412"/>
      <c r="C219" s="367"/>
      <c r="D219" s="413"/>
      <c r="E219" s="413"/>
      <c r="F219" s="367"/>
      <c r="G219" s="367"/>
      <c r="H219" s="367"/>
      <c r="I219" s="367"/>
      <c r="J219" s="367"/>
      <c r="K219" s="367"/>
      <c r="L219" s="367"/>
      <c r="M219" s="367"/>
      <c r="N219" s="367"/>
      <c r="O219" s="367"/>
      <c r="P219" s="367"/>
      <c r="Q219" s="367"/>
      <c r="R219" s="367"/>
      <c r="S219" s="367"/>
      <c r="T219" s="367"/>
      <c r="U219" s="367"/>
      <c r="V219" s="367"/>
      <c r="W219" s="367"/>
      <c r="X219" s="367"/>
      <c r="Y219" s="367"/>
      <c r="Z219" s="367"/>
    </row>
    <row r="220" ht="12.75" customHeight="1" spans="1:26">
      <c r="A220" s="363"/>
      <c r="B220" s="412"/>
      <c r="C220" s="367"/>
      <c r="D220" s="413"/>
      <c r="E220" s="413"/>
      <c r="F220" s="367"/>
      <c r="G220" s="367"/>
      <c r="H220" s="367"/>
      <c r="I220" s="367"/>
      <c r="J220" s="367"/>
      <c r="K220" s="367"/>
      <c r="L220" s="367"/>
      <c r="M220" s="367"/>
      <c r="N220" s="367"/>
      <c r="O220" s="367"/>
      <c r="P220" s="367"/>
      <c r="Q220" s="367"/>
      <c r="R220" s="367"/>
      <c r="S220" s="367"/>
      <c r="T220" s="367"/>
      <c r="U220" s="367"/>
      <c r="V220" s="367"/>
      <c r="W220" s="367"/>
      <c r="X220" s="367"/>
      <c r="Y220" s="367"/>
      <c r="Z220" s="367"/>
    </row>
    <row r="221" ht="12.75" customHeight="1" spans="1:26">
      <c r="A221" s="363"/>
      <c r="B221" s="412"/>
      <c r="C221" s="367"/>
      <c r="D221" s="413"/>
      <c r="E221" s="413"/>
      <c r="F221" s="367"/>
      <c r="G221" s="367"/>
      <c r="H221" s="367"/>
      <c r="I221" s="367"/>
      <c r="J221" s="367"/>
      <c r="K221" s="367"/>
      <c r="L221" s="367"/>
      <c r="M221" s="367"/>
      <c r="N221" s="367"/>
      <c r="O221" s="367"/>
      <c r="P221" s="367"/>
      <c r="Q221" s="367"/>
      <c r="R221" s="367"/>
      <c r="S221" s="367"/>
      <c r="T221" s="367"/>
      <c r="U221" s="367"/>
      <c r="V221" s="367"/>
      <c r="W221" s="367"/>
      <c r="X221" s="367"/>
      <c r="Y221" s="367"/>
      <c r="Z221" s="367"/>
    </row>
    <row r="222" ht="12.75" customHeight="1" spans="1:26">
      <c r="A222" s="363"/>
      <c r="B222" s="412"/>
      <c r="C222" s="367"/>
      <c r="D222" s="413"/>
      <c r="E222" s="413"/>
      <c r="F222" s="367"/>
      <c r="G222" s="367"/>
      <c r="H222" s="367"/>
      <c r="I222" s="367"/>
      <c r="J222" s="367"/>
      <c r="K222" s="367"/>
      <c r="L222" s="367"/>
      <c r="M222" s="367"/>
      <c r="N222" s="367"/>
      <c r="O222" s="367"/>
      <c r="P222" s="367"/>
      <c r="Q222" s="367"/>
      <c r="R222" s="367"/>
      <c r="S222" s="367"/>
      <c r="T222" s="367"/>
      <c r="U222" s="367"/>
      <c r="V222" s="367"/>
      <c r="W222" s="367"/>
      <c r="X222" s="367"/>
      <c r="Y222" s="367"/>
      <c r="Z222" s="367"/>
    </row>
    <row r="223" ht="12.75" customHeight="1" spans="1:26">
      <c r="A223" s="363"/>
      <c r="B223" s="412"/>
      <c r="C223" s="367"/>
      <c r="D223" s="413"/>
      <c r="E223" s="413"/>
      <c r="F223" s="367"/>
      <c r="G223" s="367"/>
      <c r="H223" s="367"/>
      <c r="I223" s="367"/>
      <c r="J223" s="367"/>
      <c r="K223" s="367"/>
      <c r="L223" s="367"/>
      <c r="M223" s="367"/>
      <c r="N223" s="367"/>
      <c r="O223" s="367"/>
      <c r="P223" s="367"/>
      <c r="Q223" s="367"/>
      <c r="R223" s="367"/>
      <c r="S223" s="367"/>
      <c r="T223" s="367"/>
      <c r="U223" s="367"/>
      <c r="V223" s="367"/>
      <c r="W223" s="367"/>
      <c r="X223" s="367"/>
      <c r="Y223" s="367"/>
      <c r="Z223" s="367"/>
    </row>
    <row r="224" ht="12.75" customHeight="1" spans="1:26">
      <c r="A224" s="363"/>
      <c r="B224" s="412"/>
      <c r="C224" s="367"/>
      <c r="D224" s="413"/>
      <c r="E224" s="413"/>
      <c r="F224" s="367"/>
      <c r="G224" s="367"/>
      <c r="H224" s="367"/>
      <c r="I224" s="367"/>
      <c r="J224" s="367"/>
      <c r="K224" s="367"/>
      <c r="L224" s="367"/>
      <c r="M224" s="367"/>
      <c r="N224" s="367"/>
      <c r="O224" s="367"/>
      <c r="P224" s="367"/>
      <c r="Q224" s="367"/>
      <c r="R224" s="367"/>
      <c r="S224" s="367"/>
      <c r="T224" s="367"/>
      <c r="U224" s="367"/>
      <c r="V224" s="367"/>
      <c r="W224" s="367"/>
      <c r="X224" s="367"/>
      <c r="Y224" s="367"/>
      <c r="Z224" s="367"/>
    </row>
    <row r="225" ht="12.75" customHeight="1" spans="1:26">
      <c r="A225" s="363"/>
      <c r="B225" s="412"/>
      <c r="C225" s="367"/>
      <c r="D225" s="413"/>
      <c r="E225" s="413"/>
      <c r="F225" s="367"/>
      <c r="G225" s="367"/>
      <c r="H225" s="367"/>
      <c r="I225" s="367"/>
      <c r="J225" s="367"/>
      <c r="K225" s="367"/>
      <c r="L225" s="367"/>
      <c r="M225" s="367"/>
      <c r="N225" s="367"/>
      <c r="O225" s="367"/>
      <c r="P225" s="367"/>
      <c r="Q225" s="367"/>
      <c r="R225" s="367"/>
      <c r="S225" s="367"/>
      <c r="T225" s="367"/>
      <c r="U225" s="367"/>
      <c r="V225" s="367"/>
      <c r="W225" s="367"/>
      <c r="X225" s="367"/>
      <c r="Y225" s="367"/>
      <c r="Z225" s="367"/>
    </row>
    <row r="226" ht="12.75" customHeight="1" spans="1:26">
      <c r="A226" s="363"/>
      <c r="B226" s="412"/>
      <c r="C226" s="367"/>
      <c r="D226" s="413"/>
      <c r="E226" s="413"/>
      <c r="F226" s="367"/>
      <c r="G226" s="367"/>
      <c r="H226" s="367"/>
      <c r="I226" s="367"/>
      <c r="J226" s="367"/>
      <c r="K226" s="367"/>
      <c r="L226" s="367"/>
      <c r="M226" s="367"/>
      <c r="N226" s="367"/>
      <c r="O226" s="367"/>
      <c r="P226" s="367"/>
      <c r="Q226" s="367"/>
      <c r="R226" s="367"/>
      <c r="S226" s="367"/>
      <c r="T226" s="367"/>
      <c r="U226" s="367"/>
      <c r="V226" s="367"/>
      <c r="W226" s="367"/>
      <c r="X226" s="367"/>
      <c r="Y226" s="367"/>
      <c r="Z226" s="367"/>
    </row>
    <row r="227" ht="12.75" customHeight="1" spans="1:26">
      <c r="A227" s="363"/>
      <c r="B227" s="412"/>
      <c r="C227" s="367"/>
      <c r="D227" s="413"/>
      <c r="E227" s="413"/>
      <c r="F227" s="367"/>
      <c r="G227" s="367"/>
      <c r="H227" s="367"/>
      <c r="I227" s="367"/>
      <c r="J227" s="367"/>
      <c r="K227" s="367"/>
      <c r="L227" s="367"/>
      <c r="M227" s="367"/>
      <c r="N227" s="367"/>
      <c r="O227" s="367"/>
      <c r="P227" s="367"/>
      <c r="Q227" s="367"/>
      <c r="R227" s="367"/>
      <c r="S227" s="367"/>
      <c r="T227" s="367"/>
      <c r="U227" s="367"/>
      <c r="V227" s="367"/>
      <c r="W227" s="367"/>
      <c r="X227" s="367"/>
      <c r="Y227" s="367"/>
      <c r="Z227" s="367"/>
    </row>
    <row r="228" ht="12.75" customHeight="1" spans="1:26">
      <c r="A228" s="363"/>
      <c r="B228" s="412"/>
      <c r="C228" s="367"/>
      <c r="D228" s="413"/>
      <c r="E228" s="413"/>
      <c r="F228" s="367"/>
      <c r="G228" s="367"/>
      <c r="H228" s="367"/>
      <c r="I228" s="367"/>
      <c r="J228" s="367"/>
      <c r="K228" s="367"/>
      <c r="L228" s="367"/>
      <c r="M228" s="367"/>
      <c r="N228" s="367"/>
      <c r="O228" s="367"/>
      <c r="P228" s="367"/>
      <c r="Q228" s="367"/>
      <c r="R228" s="367"/>
      <c r="S228" s="367"/>
      <c r="T228" s="367"/>
      <c r="U228" s="367"/>
      <c r="V228" s="367"/>
      <c r="W228" s="367"/>
      <c r="X228" s="367"/>
      <c r="Y228" s="367"/>
      <c r="Z228" s="367"/>
    </row>
    <row r="229" ht="12.75" customHeight="1" spans="1:26">
      <c r="A229" s="363"/>
      <c r="B229" s="412"/>
      <c r="C229" s="367"/>
      <c r="D229" s="413"/>
      <c r="E229" s="413"/>
      <c r="F229" s="367"/>
      <c r="G229" s="367"/>
      <c r="H229" s="367"/>
      <c r="I229" s="367"/>
      <c r="J229" s="367"/>
      <c r="K229" s="367"/>
      <c r="L229" s="367"/>
      <c r="M229" s="367"/>
      <c r="N229" s="367"/>
      <c r="O229" s="367"/>
      <c r="P229" s="367"/>
      <c r="Q229" s="367"/>
      <c r="R229" s="367"/>
      <c r="S229" s="367"/>
      <c r="T229" s="367"/>
      <c r="U229" s="367"/>
      <c r="V229" s="367"/>
      <c r="W229" s="367"/>
      <c r="X229" s="367"/>
      <c r="Y229" s="367"/>
      <c r="Z229" s="367"/>
    </row>
    <row r="230" ht="12.75" customHeight="1" spans="1:26">
      <c r="A230" s="363"/>
      <c r="B230" s="412"/>
      <c r="C230" s="367"/>
      <c r="D230" s="413"/>
      <c r="E230" s="413"/>
      <c r="F230" s="367"/>
      <c r="G230" s="367"/>
      <c r="H230" s="367"/>
      <c r="I230" s="367"/>
      <c r="J230" s="367"/>
      <c r="K230" s="367"/>
      <c r="L230" s="367"/>
      <c r="M230" s="367"/>
      <c r="N230" s="367"/>
      <c r="O230" s="367"/>
      <c r="P230" s="367"/>
      <c r="Q230" s="367"/>
      <c r="R230" s="367"/>
      <c r="S230" s="367"/>
      <c r="T230" s="367"/>
      <c r="U230" s="367"/>
      <c r="V230" s="367"/>
      <c r="W230" s="367"/>
      <c r="X230" s="367"/>
      <c r="Y230" s="367"/>
      <c r="Z230" s="367"/>
    </row>
    <row r="231" ht="12.75" customHeight="1" spans="1:26">
      <c r="A231" s="363"/>
      <c r="B231" s="412"/>
      <c r="C231" s="367"/>
      <c r="D231" s="413"/>
      <c r="E231" s="413"/>
      <c r="F231" s="367"/>
      <c r="G231" s="367"/>
      <c r="H231" s="367"/>
      <c r="I231" s="367"/>
      <c r="J231" s="367"/>
      <c r="K231" s="367"/>
      <c r="L231" s="367"/>
      <c r="M231" s="367"/>
      <c r="N231" s="367"/>
      <c r="O231" s="367"/>
      <c r="P231" s="367"/>
      <c r="Q231" s="367"/>
      <c r="R231" s="367"/>
      <c r="S231" s="367"/>
      <c r="T231" s="367"/>
      <c r="U231" s="367"/>
      <c r="V231" s="367"/>
      <c r="W231" s="367"/>
      <c r="X231" s="367"/>
      <c r="Y231" s="367"/>
      <c r="Z231" s="367"/>
    </row>
    <row r="232" ht="12.75" customHeight="1" spans="1:26">
      <c r="A232" s="363"/>
      <c r="B232" s="412"/>
      <c r="C232" s="367"/>
      <c r="D232" s="413"/>
      <c r="E232" s="413"/>
      <c r="F232" s="367"/>
      <c r="G232" s="367"/>
      <c r="H232" s="367"/>
      <c r="I232" s="367"/>
      <c r="J232" s="367"/>
      <c r="K232" s="367"/>
      <c r="L232" s="367"/>
      <c r="M232" s="367"/>
      <c r="N232" s="367"/>
      <c r="O232" s="367"/>
      <c r="P232" s="367"/>
      <c r="Q232" s="367"/>
      <c r="R232" s="367"/>
      <c r="S232" s="367"/>
      <c r="T232" s="367"/>
      <c r="U232" s="367"/>
      <c r="V232" s="367"/>
      <c r="W232" s="367"/>
      <c r="X232" s="367"/>
      <c r="Y232" s="367"/>
      <c r="Z232" s="367"/>
    </row>
    <row r="233" ht="12.75" customHeight="1" spans="1:26">
      <c r="A233" s="363"/>
      <c r="B233" s="412"/>
      <c r="C233" s="367"/>
      <c r="D233" s="413"/>
      <c r="E233" s="413"/>
      <c r="F233" s="367"/>
      <c r="G233" s="367"/>
      <c r="H233" s="367"/>
      <c r="I233" s="367"/>
      <c r="J233" s="367"/>
      <c r="K233" s="367"/>
      <c r="L233" s="367"/>
      <c r="M233" s="367"/>
      <c r="N233" s="367"/>
      <c r="O233" s="367"/>
      <c r="P233" s="367"/>
      <c r="Q233" s="367"/>
      <c r="R233" s="367"/>
      <c r="S233" s="367"/>
      <c r="T233" s="367"/>
      <c r="U233" s="367"/>
      <c r="V233" s="367"/>
      <c r="W233" s="367"/>
      <c r="X233" s="367"/>
      <c r="Y233" s="367"/>
      <c r="Z233" s="367"/>
    </row>
    <row r="234" ht="12.75" customHeight="1" spans="1:26">
      <c r="A234" s="363"/>
      <c r="B234" s="412"/>
      <c r="C234" s="367"/>
      <c r="D234" s="413"/>
      <c r="E234" s="413"/>
      <c r="F234" s="367"/>
      <c r="G234" s="367"/>
      <c r="H234" s="367"/>
      <c r="I234" s="367"/>
      <c r="J234" s="367"/>
      <c r="K234" s="367"/>
      <c r="L234" s="367"/>
      <c r="M234" s="367"/>
      <c r="N234" s="367"/>
      <c r="O234" s="367"/>
      <c r="P234" s="367"/>
      <c r="Q234" s="367"/>
      <c r="R234" s="367"/>
      <c r="S234" s="367"/>
      <c r="T234" s="367"/>
      <c r="U234" s="367"/>
      <c r="V234" s="367"/>
      <c r="W234" s="367"/>
      <c r="X234" s="367"/>
      <c r="Y234" s="367"/>
      <c r="Z234" s="367"/>
    </row>
    <row r="235" ht="12.75" customHeight="1" spans="1:26">
      <c r="A235" s="363"/>
      <c r="B235" s="412"/>
      <c r="C235" s="367"/>
      <c r="D235" s="413"/>
      <c r="E235" s="413"/>
      <c r="F235" s="367"/>
      <c r="G235" s="367"/>
      <c r="H235" s="367"/>
      <c r="I235" s="367"/>
      <c r="J235" s="367"/>
      <c r="K235" s="367"/>
      <c r="L235" s="367"/>
      <c r="M235" s="367"/>
      <c r="N235" s="367"/>
      <c r="O235" s="367"/>
      <c r="P235" s="367"/>
      <c r="Q235" s="367"/>
      <c r="R235" s="367"/>
      <c r="S235" s="367"/>
      <c r="T235" s="367"/>
      <c r="U235" s="367"/>
      <c r="V235" s="367"/>
      <c r="W235" s="367"/>
      <c r="X235" s="367"/>
      <c r="Y235" s="367"/>
      <c r="Z235" s="367"/>
    </row>
    <row r="236" ht="12.75" customHeight="1" spans="1:26">
      <c r="A236" s="363"/>
      <c r="B236" s="412"/>
      <c r="C236" s="367"/>
      <c r="D236" s="413"/>
      <c r="E236" s="413"/>
      <c r="F236" s="367"/>
      <c r="G236" s="367"/>
      <c r="H236" s="367"/>
      <c r="I236" s="367"/>
      <c r="J236" s="367"/>
      <c r="K236" s="367"/>
      <c r="L236" s="367"/>
      <c r="M236" s="367"/>
      <c r="N236" s="367"/>
      <c r="O236" s="367"/>
      <c r="P236" s="367"/>
      <c r="Q236" s="367"/>
      <c r="R236" s="367"/>
      <c r="S236" s="367"/>
      <c r="T236" s="367"/>
      <c r="U236" s="367"/>
      <c r="V236" s="367"/>
      <c r="W236" s="367"/>
      <c r="X236" s="367"/>
      <c r="Y236" s="367"/>
      <c r="Z236" s="367"/>
    </row>
    <row r="237" ht="12.75" customHeight="1" spans="1:26">
      <c r="A237" s="363"/>
      <c r="B237" s="412"/>
      <c r="C237" s="367"/>
      <c r="D237" s="413"/>
      <c r="E237" s="413"/>
      <c r="F237" s="367"/>
      <c r="G237" s="367"/>
      <c r="H237" s="367"/>
      <c r="I237" s="367"/>
      <c r="J237" s="367"/>
      <c r="K237" s="367"/>
      <c r="L237" s="367"/>
      <c r="M237" s="367"/>
      <c r="N237" s="367"/>
      <c r="O237" s="367"/>
      <c r="P237" s="367"/>
      <c r="Q237" s="367"/>
      <c r="R237" s="367"/>
      <c r="S237" s="367"/>
      <c r="T237" s="367"/>
      <c r="U237" s="367"/>
      <c r="V237" s="367"/>
      <c r="W237" s="367"/>
      <c r="X237" s="367"/>
      <c r="Y237" s="367"/>
      <c r="Z237" s="367"/>
    </row>
    <row r="238" ht="12.75" customHeight="1" spans="1:26">
      <c r="A238" s="363"/>
      <c r="B238" s="412"/>
      <c r="C238" s="367"/>
      <c r="D238" s="413"/>
      <c r="E238" s="413"/>
      <c r="F238" s="367"/>
      <c r="G238" s="367"/>
      <c r="H238" s="367"/>
      <c r="I238" s="367"/>
      <c r="J238" s="367"/>
      <c r="K238" s="367"/>
      <c r="L238" s="367"/>
      <c r="M238" s="367"/>
      <c r="N238" s="367"/>
      <c r="O238" s="367"/>
      <c r="P238" s="367"/>
      <c r="Q238" s="367"/>
      <c r="R238" s="367"/>
      <c r="S238" s="367"/>
      <c r="T238" s="367"/>
      <c r="U238" s="367"/>
      <c r="V238" s="367"/>
      <c r="W238" s="367"/>
      <c r="X238" s="367"/>
      <c r="Y238" s="367"/>
      <c r="Z238" s="367"/>
    </row>
    <row r="239" ht="12.75" customHeight="1" spans="1:26">
      <c r="A239" s="363"/>
      <c r="B239" s="412"/>
      <c r="C239" s="367"/>
      <c r="D239" s="413"/>
      <c r="E239" s="413"/>
      <c r="F239" s="367"/>
      <c r="G239" s="367"/>
      <c r="H239" s="367"/>
      <c r="I239" s="367"/>
      <c r="J239" s="367"/>
      <c r="K239" s="367"/>
      <c r="L239" s="367"/>
      <c r="M239" s="367"/>
      <c r="N239" s="367"/>
      <c r="O239" s="367"/>
      <c r="P239" s="367"/>
      <c r="Q239" s="367"/>
      <c r="R239" s="367"/>
      <c r="S239" s="367"/>
      <c r="T239" s="367"/>
      <c r="U239" s="367"/>
      <c r="V239" s="367"/>
      <c r="W239" s="367"/>
      <c r="X239" s="367"/>
      <c r="Y239" s="367"/>
      <c r="Z239" s="367"/>
    </row>
    <row r="240" ht="12.75" customHeight="1" spans="1:26">
      <c r="A240" s="363"/>
      <c r="B240" s="412"/>
      <c r="C240" s="367"/>
      <c r="D240" s="413"/>
      <c r="E240" s="413"/>
      <c r="F240" s="367"/>
      <c r="G240" s="367"/>
      <c r="H240" s="367"/>
      <c r="I240" s="367"/>
      <c r="J240" s="367"/>
      <c r="K240" s="367"/>
      <c r="L240" s="367"/>
      <c r="M240" s="367"/>
      <c r="N240" s="367"/>
      <c r="O240" s="367"/>
      <c r="P240" s="367"/>
      <c r="Q240" s="367"/>
      <c r="R240" s="367"/>
      <c r="S240" s="367"/>
      <c r="T240" s="367"/>
      <c r="U240" s="367"/>
      <c r="V240" s="367"/>
      <c r="W240" s="367"/>
      <c r="X240" s="367"/>
      <c r="Y240" s="367"/>
      <c r="Z240" s="367"/>
    </row>
    <row r="241" ht="12.75" customHeight="1" spans="1:26">
      <c r="A241" s="363"/>
      <c r="B241" s="412"/>
      <c r="C241" s="367"/>
      <c r="D241" s="413"/>
      <c r="E241" s="413"/>
      <c r="F241" s="367"/>
      <c r="G241" s="367"/>
      <c r="H241" s="367"/>
      <c r="I241" s="367"/>
      <c r="J241" s="367"/>
      <c r="K241" s="367"/>
      <c r="L241" s="367"/>
      <c r="M241" s="367"/>
      <c r="N241" s="367"/>
      <c r="O241" s="367"/>
      <c r="P241" s="367"/>
      <c r="Q241" s="367"/>
      <c r="R241" s="367"/>
      <c r="S241" s="367"/>
      <c r="T241" s="367"/>
      <c r="U241" s="367"/>
      <c r="V241" s="367"/>
      <c r="W241" s="367"/>
      <c r="X241" s="367"/>
      <c r="Y241" s="367"/>
      <c r="Z241" s="367"/>
    </row>
    <row r="242" ht="12.75" customHeight="1" spans="1:26">
      <c r="A242" s="363"/>
      <c r="B242" s="412"/>
      <c r="C242" s="367"/>
      <c r="D242" s="413"/>
      <c r="E242" s="413"/>
      <c r="F242" s="367"/>
      <c r="G242" s="367"/>
      <c r="H242" s="367"/>
      <c r="I242" s="367"/>
      <c r="J242" s="367"/>
      <c r="K242" s="367"/>
      <c r="L242" s="367"/>
      <c r="M242" s="367"/>
      <c r="N242" s="367"/>
      <c r="O242" s="367"/>
      <c r="P242" s="367"/>
      <c r="Q242" s="367"/>
      <c r="R242" s="367"/>
      <c r="S242" s="367"/>
      <c r="T242" s="367"/>
      <c r="U242" s="367"/>
      <c r="V242" s="367"/>
      <c r="W242" s="367"/>
      <c r="X242" s="367"/>
      <c r="Y242" s="367"/>
      <c r="Z242" s="367"/>
    </row>
    <row r="243" ht="12.75" customHeight="1" spans="1:26">
      <c r="A243" s="363"/>
      <c r="B243" s="412"/>
      <c r="C243" s="367"/>
      <c r="D243" s="413"/>
      <c r="E243" s="413"/>
      <c r="F243" s="367"/>
      <c r="G243" s="367"/>
      <c r="H243" s="367"/>
      <c r="I243" s="367"/>
      <c r="J243" s="367"/>
      <c r="K243" s="367"/>
      <c r="L243" s="367"/>
      <c r="M243" s="367"/>
      <c r="N243" s="367"/>
      <c r="O243" s="367"/>
      <c r="P243" s="367"/>
      <c r="Q243" s="367"/>
      <c r="R243" s="367"/>
      <c r="S243" s="367"/>
      <c r="T243" s="367"/>
      <c r="U243" s="367"/>
      <c r="V243" s="367"/>
      <c r="W243" s="367"/>
      <c r="X243" s="367"/>
      <c r="Y243" s="367"/>
      <c r="Z243" s="367"/>
    </row>
    <row r="244" ht="12.75" customHeight="1" spans="1:26">
      <c r="A244" s="363"/>
      <c r="B244" s="412"/>
      <c r="C244" s="367"/>
      <c r="D244" s="413"/>
      <c r="E244" s="413"/>
      <c r="F244" s="367"/>
      <c r="G244" s="367"/>
      <c r="H244" s="367"/>
      <c r="I244" s="367"/>
      <c r="J244" s="367"/>
      <c r="K244" s="367"/>
      <c r="L244" s="367"/>
      <c r="M244" s="367"/>
      <c r="N244" s="367"/>
      <c r="O244" s="367"/>
      <c r="P244" s="367"/>
      <c r="Q244" s="367"/>
      <c r="R244" s="367"/>
      <c r="S244" s="367"/>
      <c r="T244" s="367"/>
      <c r="U244" s="367"/>
      <c r="V244" s="367"/>
      <c r="W244" s="367"/>
      <c r="X244" s="367"/>
      <c r="Y244" s="367"/>
      <c r="Z244" s="367"/>
    </row>
    <row r="245" ht="12.75" customHeight="1" spans="1:26">
      <c r="A245" s="363"/>
      <c r="B245" s="412"/>
      <c r="C245" s="367"/>
      <c r="D245" s="413"/>
      <c r="E245" s="413"/>
      <c r="F245" s="367"/>
      <c r="G245" s="367"/>
      <c r="H245" s="367"/>
      <c r="I245" s="367"/>
      <c r="J245" s="367"/>
      <c r="K245" s="367"/>
      <c r="L245" s="367"/>
      <c r="M245" s="367"/>
      <c r="N245" s="367"/>
      <c r="O245" s="367"/>
      <c r="P245" s="367"/>
      <c r="Q245" s="367"/>
      <c r="R245" s="367"/>
      <c r="S245" s="367"/>
      <c r="T245" s="367"/>
      <c r="U245" s="367"/>
      <c r="V245" s="367"/>
      <c r="W245" s="367"/>
      <c r="X245" s="367"/>
      <c r="Y245" s="367"/>
      <c r="Z245" s="367"/>
    </row>
    <row r="246" ht="12.75" customHeight="1" spans="1:26">
      <c r="A246" s="363"/>
      <c r="B246" s="412"/>
      <c r="C246" s="367"/>
      <c r="D246" s="413"/>
      <c r="E246" s="413"/>
      <c r="F246" s="367"/>
      <c r="G246" s="367"/>
      <c r="H246" s="367"/>
      <c r="I246" s="367"/>
      <c r="J246" s="367"/>
      <c r="K246" s="367"/>
      <c r="L246" s="367"/>
      <c r="M246" s="367"/>
      <c r="N246" s="367"/>
      <c r="O246" s="367"/>
      <c r="P246" s="367"/>
      <c r="Q246" s="367"/>
      <c r="R246" s="367"/>
      <c r="S246" s="367"/>
      <c r="T246" s="367"/>
      <c r="U246" s="367"/>
      <c r="V246" s="367"/>
      <c r="W246" s="367"/>
      <c r="X246" s="367"/>
      <c r="Y246" s="367"/>
      <c r="Z246" s="367"/>
    </row>
    <row r="247" ht="12.75" customHeight="1" spans="1:26">
      <c r="A247" s="363"/>
      <c r="B247" s="412"/>
      <c r="C247" s="367"/>
      <c r="D247" s="413"/>
      <c r="E247" s="413"/>
      <c r="F247" s="367"/>
      <c r="G247" s="367"/>
      <c r="H247" s="367"/>
      <c r="I247" s="367"/>
      <c r="J247" s="367"/>
      <c r="K247" s="367"/>
      <c r="L247" s="367"/>
      <c r="M247" s="367"/>
      <c r="N247" s="367"/>
      <c r="O247" s="367"/>
      <c r="P247" s="367"/>
      <c r="Q247" s="367"/>
      <c r="R247" s="367"/>
      <c r="S247" s="367"/>
      <c r="T247" s="367"/>
      <c r="U247" s="367"/>
      <c r="V247" s="367"/>
      <c r="W247" s="367"/>
      <c r="X247" s="367"/>
      <c r="Y247" s="367"/>
      <c r="Z247" s="367"/>
    </row>
    <row r="248" ht="12.75" customHeight="1" spans="1:26">
      <c r="A248" s="363"/>
      <c r="B248" s="412"/>
      <c r="C248" s="367"/>
      <c r="D248" s="413"/>
      <c r="E248" s="413"/>
      <c r="F248" s="367"/>
      <c r="G248" s="367"/>
      <c r="H248" s="367"/>
      <c r="I248" s="367"/>
      <c r="J248" s="367"/>
      <c r="K248" s="367"/>
      <c r="L248" s="367"/>
      <c r="M248" s="367"/>
      <c r="N248" s="367"/>
      <c r="O248" s="367"/>
      <c r="P248" s="367"/>
      <c r="Q248" s="367"/>
      <c r="R248" s="367"/>
      <c r="S248" s="367"/>
      <c r="T248" s="367"/>
      <c r="U248" s="367"/>
      <c r="V248" s="367"/>
      <c r="W248" s="367"/>
      <c r="X248" s="367"/>
      <c r="Y248" s="367"/>
      <c r="Z248" s="367"/>
    </row>
    <row r="249" ht="12.75" customHeight="1" spans="1:26">
      <c r="A249" s="363"/>
      <c r="B249" s="412"/>
      <c r="C249" s="367"/>
      <c r="D249" s="413"/>
      <c r="E249" s="413"/>
      <c r="F249" s="367"/>
      <c r="G249" s="367"/>
      <c r="H249" s="367"/>
      <c r="I249" s="367"/>
      <c r="J249" s="367"/>
      <c r="K249" s="367"/>
      <c r="L249" s="367"/>
      <c r="M249" s="367"/>
      <c r="N249" s="367"/>
      <c r="O249" s="367"/>
      <c r="P249" s="367"/>
      <c r="Q249" s="367"/>
      <c r="R249" s="367"/>
      <c r="S249" s="367"/>
      <c r="T249" s="367"/>
      <c r="U249" s="367"/>
      <c r="V249" s="367"/>
      <c r="W249" s="367"/>
      <c r="X249" s="367"/>
      <c r="Y249" s="367"/>
      <c r="Z249" s="367"/>
    </row>
    <row r="250" ht="12.75" customHeight="1" spans="1:26">
      <c r="A250" s="363"/>
      <c r="B250" s="412"/>
      <c r="C250" s="367"/>
      <c r="D250" s="413"/>
      <c r="E250" s="413"/>
      <c r="F250" s="367"/>
      <c r="G250" s="367"/>
      <c r="H250" s="367"/>
      <c r="I250" s="367"/>
      <c r="J250" s="367"/>
      <c r="K250" s="367"/>
      <c r="L250" s="367"/>
      <c r="M250" s="367"/>
      <c r="N250" s="367"/>
      <c r="O250" s="367"/>
      <c r="P250" s="367"/>
      <c r="Q250" s="367"/>
      <c r="R250" s="367"/>
      <c r="S250" s="367"/>
      <c r="T250" s="367"/>
      <c r="U250" s="367"/>
      <c r="V250" s="367"/>
      <c r="W250" s="367"/>
      <c r="X250" s="367"/>
      <c r="Y250" s="367"/>
      <c r="Z250" s="367"/>
    </row>
    <row r="251" ht="12.75" customHeight="1" spans="1:26">
      <c r="A251" s="363"/>
      <c r="B251" s="412"/>
      <c r="C251" s="367"/>
      <c r="D251" s="413"/>
      <c r="E251" s="413"/>
      <c r="F251" s="367"/>
      <c r="G251" s="367"/>
      <c r="H251" s="367"/>
      <c r="I251" s="367"/>
      <c r="J251" s="367"/>
      <c r="K251" s="367"/>
      <c r="L251" s="367"/>
      <c r="M251" s="367"/>
      <c r="N251" s="367"/>
      <c r="O251" s="367"/>
      <c r="P251" s="367"/>
      <c r="Q251" s="367"/>
      <c r="R251" s="367"/>
      <c r="S251" s="367"/>
      <c r="T251" s="367"/>
      <c r="U251" s="367"/>
      <c r="V251" s="367"/>
      <c r="W251" s="367"/>
      <c r="X251" s="367"/>
      <c r="Y251" s="367"/>
      <c r="Z251" s="367"/>
    </row>
    <row r="252" ht="12.75" customHeight="1" spans="1:26">
      <c r="A252" s="363"/>
      <c r="B252" s="412"/>
      <c r="C252" s="367"/>
      <c r="D252" s="413"/>
      <c r="E252" s="413"/>
      <c r="F252" s="367"/>
      <c r="G252" s="367"/>
      <c r="H252" s="367"/>
      <c r="I252" s="367"/>
      <c r="J252" s="367"/>
      <c r="K252" s="367"/>
      <c r="L252" s="367"/>
      <c r="M252" s="367"/>
      <c r="N252" s="367"/>
      <c r="O252" s="367"/>
      <c r="P252" s="367"/>
      <c r="Q252" s="367"/>
      <c r="R252" s="367"/>
      <c r="S252" s="367"/>
      <c r="T252" s="367"/>
      <c r="U252" s="367"/>
      <c r="V252" s="367"/>
      <c r="W252" s="367"/>
      <c r="X252" s="367"/>
      <c r="Y252" s="367"/>
      <c r="Z252" s="367"/>
    </row>
    <row r="253" ht="12.75" customHeight="1" spans="1:26">
      <c r="A253" s="363"/>
      <c r="B253" s="412"/>
      <c r="C253" s="367"/>
      <c r="D253" s="413"/>
      <c r="E253" s="413"/>
      <c r="F253" s="367"/>
      <c r="G253" s="367"/>
      <c r="H253" s="367"/>
      <c r="I253" s="367"/>
      <c r="J253" s="367"/>
      <c r="K253" s="367"/>
      <c r="L253" s="367"/>
      <c r="M253" s="367"/>
      <c r="N253" s="367"/>
      <c r="O253" s="367"/>
      <c r="P253" s="367"/>
      <c r="Q253" s="367"/>
      <c r="R253" s="367"/>
      <c r="S253" s="367"/>
      <c r="T253" s="367"/>
      <c r="U253" s="367"/>
      <c r="V253" s="367"/>
      <c r="W253" s="367"/>
      <c r="X253" s="367"/>
      <c r="Y253" s="367"/>
      <c r="Z253" s="367"/>
    </row>
    <row r="254" ht="12.75" customHeight="1" spans="1:26">
      <c r="A254" s="363"/>
      <c r="B254" s="412"/>
      <c r="C254" s="367"/>
      <c r="D254" s="413"/>
      <c r="E254" s="413"/>
      <c r="F254" s="367"/>
      <c r="G254" s="367"/>
      <c r="H254" s="367"/>
      <c r="I254" s="367"/>
      <c r="J254" s="367"/>
      <c r="K254" s="367"/>
      <c r="L254" s="367"/>
      <c r="M254" s="367"/>
      <c r="N254" s="367"/>
      <c r="O254" s="367"/>
      <c r="P254" s="367"/>
      <c r="Q254" s="367"/>
      <c r="R254" s="367"/>
      <c r="S254" s="367"/>
      <c r="T254" s="367"/>
      <c r="U254" s="367"/>
      <c r="V254" s="367"/>
      <c r="W254" s="367"/>
      <c r="X254" s="367"/>
      <c r="Y254" s="367"/>
      <c r="Z254" s="367"/>
    </row>
    <row r="255" ht="12.75" customHeight="1" spans="1:26">
      <c r="A255" s="363"/>
      <c r="B255" s="412"/>
      <c r="C255" s="367"/>
      <c r="D255" s="413"/>
      <c r="E255" s="413"/>
      <c r="F255" s="367"/>
      <c r="G255" s="367"/>
      <c r="H255" s="367"/>
      <c r="I255" s="367"/>
      <c r="J255" s="367"/>
      <c r="K255" s="367"/>
      <c r="L255" s="367"/>
      <c r="M255" s="367"/>
      <c r="N255" s="367"/>
      <c r="O255" s="367"/>
      <c r="P255" s="367"/>
      <c r="Q255" s="367"/>
      <c r="R255" s="367"/>
      <c r="S255" s="367"/>
      <c r="T255" s="367"/>
      <c r="U255" s="367"/>
      <c r="V255" s="367"/>
      <c r="W255" s="367"/>
      <c r="X255" s="367"/>
      <c r="Y255" s="367"/>
      <c r="Z255" s="367"/>
    </row>
    <row r="256" ht="12.75" customHeight="1" spans="1:26">
      <c r="A256" s="363"/>
      <c r="B256" s="412"/>
      <c r="C256" s="367"/>
      <c r="D256" s="413"/>
      <c r="E256" s="413"/>
      <c r="F256" s="367"/>
      <c r="G256" s="367"/>
      <c r="H256" s="367"/>
      <c r="I256" s="367"/>
      <c r="J256" s="367"/>
      <c r="K256" s="367"/>
      <c r="L256" s="367"/>
      <c r="M256" s="367"/>
      <c r="N256" s="367"/>
      <c r="O256" s="367"/>
      <c r="P256" s="367"/>
      <c r="Q256" s="367"/>
      <c r="R256" s="367"/>
      <c r="S256" s="367"/>
      <c r="T256" s="367"/>
      <c r="U256" s="367"/>
      <c r="V256" s="367"/>
      <c r="W256" s="367"/>
      <c r="X256" s="367"/>
      <c r="Y256" s="367"/>
      <c r="Z256" s="367"/>
    </row>
    <row r="257" ht="12.75" customHeight="1" spans="1:26">
      <c r="A257" s="363"/>
      <c r="B257" s="412"/>
      <c r="C257" s="367"/>
      <c r="D257" s="413"/>
      <c r="E257" s="413"/>
      <c r="F257" s="367"/>
      <c r="G257" s="367"/>
      <c r="H257" s="367"/>
      <c r="I257" s="367"/>
      <c r="J257" s="367"/>
      <c r="K257" s="367"/>
      <c r="L257" s="367"/>
      <c r="M257" s="367"/>
      <c r="N257" s="367"/>
      <c r="O257" s="367"/>
      <c r="P257" s="367"/>
      <c r="Q257" s="367"/>
      <c r="R257" s="367"/>
      <c r="S257" s="367"/>
      <c r="T257" s="367"/>
      <c r="U257" s="367"/>
      <c r="V257" s="367"/>
      <c r="W257" s="367"/>
      <c r="X257" s="367"/>
      <c r="Y257" s="367"/>
      <c r="Z257" s="367"/>
    </row>
    <row r="258" ht="12.75" customHeight="1" spans="1:26">
      <c r="A258" s="363"/>
      <c r="B258" s="412"/>
      <c r="C258" s="367"/>
      <c r="D258" s="413"/>
      <c r="E258" s="413"/>
      <c r="F258" s="367"/>
      <c r="G258" s="367"/>
      <c r="H258" s="367"/>
      <c r="I258" s="367"/>
      <c r="J258" s="367"/>
      <c r="K258" s="367"/>
      <c r="L258" s="367"/>
      <c r="M258" s="367"/>
      <c r="N258" s="367"/>
      <c r="O258" s="367"/>
      <c r="P258" s="367"/>
      <c r="Q258" s="367"/>
      <c r="R258" s="367"/>
      <c r="S258" s="367"/>
      <c r="T258" s="367"/>
      <c r="U258" s="367"/>
      <c r="V258" s="367"/>
      <c r="W258" s="367"/>
      <c r="X258" s="367"/>
      <c r="Y258" s="367"/>
      <c r="Z258" s="367"/>
    </row>
    <row r="259" ht="12.75" customHeight="1" spans="1:26">
      <c r="A259" s="363"/>
      <c r="B259" s="412"/>
      <c r="C259" s="367"/>
      <c r="D259" s="413"/>
      <c r="E259" s="413"/>
      <c r="F259" s="367"/>
      <c r="G259" s="367"/>
      <c r="H259" s="367"/>
      <c r="I259" s="367"/>
      <c r="J259" s="367"/>
      <c r="K259" s="367"/>
      <c r="L259" s="367"/>
      <c r="M259" s="367"/>
      <c r="N259" s="367"/>
      <c r="O259" s="367"/>
      <c r="P259" s="367"/>
      <c r="Q259" s="367"/>
      <c r="R259" s="367"/>
      <c r="S259" s="367"/>
      <c r="T259" s="367"/>
      <c r="U259" s="367"/>
      <c r="V259" s="367"/>
      <c r="W259" s="367"/>
      <c r="X259" s="367"/>
      <c r="Y259" s="367"/>
      <c r="Z259" s="367"/>
    </row>
    <row r="260" ht="12.75" customHeight="1" spans="1:26">
      <c r="A260" s="363"/>
      <c r="B260" s="412"/>
      <c r="C260" s="367"/>
      <c r="D260" s="413"/>
      <c r="E260" s="413"/>
      <c r="F260" s="367"/>
      <c r="G260" s="367"/>
      <c r="H260" s="367"/>
      <c r="I260" s="367"/>
      <c r="J260" s="367"/>
      <c r="K260" s="367"/>
      <c r="L260" s="367"/>
      <c r="M260" s="367"/>
      <c r="N260" s="367"/>
      <c r="O260" s="367"/>
      <c r="P260" s="367"/>
      <c r="Q260" s="367"/>
      <c r="R260" s="367"/>
      <c r="S260" s="367"/>
      <c r="T260" s="367"/>
      <c r="U260" s="367"/>
      <c r="V260" s="367"/>
      <c r="W260" s="367"/>
      <c r="X260" s="367"/>
      <c r="Y260" s="367"/>
      <c r="Z260" s="367"/>
    </row>
    <row r="261" ht="12.75" customHeight="1" spans="1:26">
      <c r="A261" s="363"/>
      <c r="B261" s="412"/>
      <c r="C261" s="367"/>
      <c r="D261" s="413"/>
      <c r="E261" s="413"/>
      <c r="F261" s="367"/>
      <c r="G261" s="367"/>
      <c r="H261" s="367"/>
      <c r="I261" s="367"/>
      <c r="J261" s="367"/>
      <c r="K261" s="367"/>
      <c r="L261" s="367"/>
      <c r="M261" s="367"/>
      <c r="N261" s="367"/>
      <c r="O261" s="367"/>
      <c r="P261" s="367"/>
      <c r="Q261" s="367"/>
      <c r="R261" s="367"/>
      <c r="S261" s="367"/>
      <c r="T261" s="367"/>
      <c r="U261" s="367"/>
      <c r="V261" s="367"/>
      <c r="W261" s="367"/>
      <c r="X261" s="367"/>
      <c r="Y261" s="367"/>
      <c r="Z261" s="367"/>
    </row>
    <row r="262" ht="12.75" customHeight="1" spans="1:26">
      <c r="A262" s="363"/>
      <c r="B262" s="412"/>
      <c r="C262" s="367"/>
      <c r="D262" s="413"/>
      <c r="E262" s="413"/>
      <c r="F262" s="367"/>
      <c r="G262" s="367"/>
      <c r="H262" s="367"/>
      <c r="I262" s="367"/>
      <c r="J262" s="367"/>
      <c r="K262" s="367"/>
      <c r="L262" s="367"/>
      <c r="M262" s="367"/>
      <c r="N262" s="367"/>
      <c r="O262" s="367"/>
      <c r="P262" s="367"/>
      <c r="Q262" s="367"/>
      <c r="R262" s="367"/>
      <c r="S262" s="367"/>
      <c r="T262" s="367"/>
      <c r="U262" s="367"/>
      <c r="V262" s="367"/>
      <c r="W262" s="367"/>
      <c r="X262" s="367"/>
      <c r="Y262" s="367"/>
      <c r="Z262" s="367"/>
    </row>
    <row r="263" ht="12.75" customHeight="1" spans="1:26">
      <c r="A263" s="363"/>
      <c r="B263" s="412"/>
      <c r="C263" s="367"/>
      <c r="D263" s="413"/>
      <c r="E263" s="413"/>
      <c r="F263" s="367"/>
      <c r="G263" s="367"/>
      <c r="H263" s="367"/>
      <c r="I263" s="367"/>
      <c r="J263" s="367"/>
      <c r="K263" s="367"/>
      <c r="L263" s="367"/>
      <c r="M263" s="367"/>
      <c r="N263" s="367"/>
      <c r="O263" s="367"/>
      <c r="P263" s="367"/>
      <c r="Q263" s="367"/>
      <c r="R263" s="367"/>
      <c r="S263" s="367"/>
      <c r="T263" s="367"/>
      <c r="U263" s="367"/>
      <c r="V263" s="367"/>
      <c r="W263" s="367"/>
      <c r="X263" s="367"/>
      <c r="Y263" s="367"/>
      <c r="Z263" s="367"/>
    </row>
    <row r="264" ht="12.75" customHeight="1" spans="1:26">
      <c r="A264" s="363"/>
      <c r="B264" s="412"/>
      <c r="C264" s="367"/>
      <c r="D264" s="413"/>
      <c r="E264" s="413"/>
      <c r="F264" s="367"/>
      <c r="G264" s="367"/>
      <c r="H264" s="367"/>
      <c r="I264" s="367"/>
      <c r="J264" s="367"/>
      <c r="K264" s="367"/>
      <c r="L264" s="367"/>
      <c r="M264" s="367"/>
      <c r="N264" s="367"/>
      <c r="O264" s="367"/>
      <c r="P264" s="367"/>
      <c r="Q264" s="367"/>
      <c r="R264" s="367"/>
      <c r="S264" s="367"/>
      <c r="T264" s="367"/>
      <c r="U264" s="367"/>
      <c r="V264" s="367"/>
      <c r="W264" s="367"/>
      <c r="X264" s="367"/>
      <c r="Y264" s="367"/>
      <c r="Z264" s="367"/>
    </row>
    <row r="265" ht="12.75" customHeight="1" spans="1:26">
      <c r="A265" s="363"/>
      <c r="B265" s="412"/>
      <c r="C265" s="367"/>
      <c r="D265" s="413"/>
      <c r="E265" s="413"/>
      <c r="F265" s="367"/>
      <c r="G265" s="367"/>
      <c r="H265" s="367"/>
      <c r="I265" s="367"/>
      <c r="J265" s="367"/>
      <c r="K265" s="367"/>
      <c r="L265" s="367"/>
      <c r="M265" s="367"/>
      <c r="N265" s="367"/>
      <c r="O265" s="367"/>
      <c r="P265" s="367"/>
      <c r="Q265" s="367"/>
      <c r="R265" s="367"/>
      <c r="S265" s="367"/>
      <c r="T265" s="367"/>
      <c r="U265" s="367"/>
      <c r="V265" s="367"/>
      <c r="W265" s="367"/>
      <c r="X265" s="367"/>
      <c r="Y265" s="367"/>
      <c r="Z265" s="367"/>
    </row>
    <row r="266" ht="12.75" customHeight="1" spans="1:26">
      <c r="A266" s="363"/>
      <c r="B266" s="412"/>
      <c r="C266" s="367"/>
      <c r="D266" s="413"/>
      <c r="E266" s="413"/>
      <c r="F266" s="367"/>
      <c r="G266" s="367"/>
      <c r="H266" s="367"/>
      <c r="I266" s="367"/>
      <c r="J266" s="367"/>
      <c r="K266" s="367"/>
      <c r="L266" s="367"/>
      <c r="M266" s="367"/>
      <c r="N266" s="367"/>
      <c r="O266" s="367"/>
      <c r="P266" s="367"/>
      <c r="Q266" s="367"/>
      <c r="R266" s="367"/>
      <c r="S266" s="367"/>
      <c r="T266" s="367"/>
      <c r="U266" s="367"/>
      <c r="V266" s="367"/>
      <c r="W266" s="367"/>
      <c r="X266" s="367"/>
      <c r="Y266" s="367"/>
      <c r="Z266" s="367"/>
    </row>
    <row r="267" ht="12.75" customHeight="1" spans="1:26">
      <c r="A267" s="363"/>
      <c r="B267" s="412"/>
      <c r="C267" s="367"/>
      <c r="D267" s="413"/>
      <c r="E267" s="413"/>
      <c r="F267" s="367"/>
      <c r="G267" s="367"/>
      <c r="H267" s="367"/>
      <c r="I267" s="367"/>
      <c r="J267" s="367"/>
      <c r="K267" s="367"/>
      <c r="L267" s="367"/>
      <c r="M267" s="367"/>
      <c r="N267" s="367"/>
      <c r="O267" s="367"/>
      <c r="P267" s="367"/>
      <c r="Q267" s="367"/>
      <c r="R267" s="367"/>
      <c r="S267" s="367"/>
      <c r="T267" s="367"/>
      <c r="U267" s="367"/>
      <c r="V267" s="367"/>
      <c r="W267" s="367"/>
      <c r="X267" s="367"/>
      <c r="Y267" s="367"/>
      <c r="Z267" s="367"/>
    </row>
    <row r="268" ht="12.75" customHeight="1" spans="1:26">
      <c r="A268" s="363"/>
      <c r="B268" s="412"/>
      <c r="C268" s="367"/>
      <c r="D268" s="413"/>
      <c r="E268" s="413"/>
      <c r="F268" s="367"/>
      <c r="G268" s="367"/>
      <c r="H268" s="367"/>
      <c r="I268" s="367"/>
      <c r="J268" s="367"/>
      <c r="K268" s="367"/>
      <c r="L268" s="367"/>
      <c r="M268" s="367"/>
      <c r="N268" s="367"/>
      <c r="O268" s="367"/>
      <c r="P268" s="367"/>
      <c r="Q268" s="367"/>
      <c r="R268" s="367"/>
      <c r="S268" s="367"/>
      <c r="T268" s="367"/>
      <c r="U268" s="367"/>
      <c r="V268" s="367"/>
      <c r="W268" s="367"/>
      <c r="X268" s="367"/>
      <c r="Y268" s="367"/>
      <c r="Z268" s="367"/>
    </row>
    <row r="269" ht="12.75" customHeight="1" spans="1:26">
      <c r="A269" s="363"/>
      <c r="B269" s="412"/>
      <c r="C269" s="367"/>
      <c r="D269" s="413"/>
      <c r="E269" s="413"/>
      <c r="F269" s="367"/>
      <c r="G269" s="367"/>
      <c r="H269" s="367"/>
      <c r="I269" s="367"/>
      <c r="J269" s="367"/>
      <c r="K269" s="367"/>
      <c r="L269" s="367"/>
      <c r="M269" s="367"/>
      <c r="N269" s="367"/>
      <c r="O269" s="367"/>
      <c r="P269" s="367"/>
      <c r="Q269" s="367"/>
      <c r="R269" s="367"/>
      <c r="S269" s="367"/>
      <c r="T269" s="367"/>
      <c r="U269" s="367"/>
      <c r="V269" s="367"/>
      <c r="W269" s="367"/>
      <c r="X269" s="367"/>
      <c r="Y269" s="367"/>
      <c r="Z269" s="367"/>
    </row>
    <row r="270" ht="12.75" customHeight="1" spans="1:26">
      <c r="A270" s="363"/>
      <c r="B270" s="412"/>
      <c r="C270" s="367"/>
      <c r="D270" s="413"/>
      <c r="E270" s="413"/>
      <c r="F270" s="367"/>
      <c r="G270" s="367"/>
      <c r="H270" s="367"/>
      <c r="I270" s="367"/>
      <c r="J270" s="367"/>
      <c r="K270" s="367"/>
      <c r="L270" s="367"/>
      <c r="M270" s="367"/>
      <c r="N270" s="367"/>
      <c r="O270" s="367"/>
      <c r="P270" s="367"/>
      <c r="Q270" s="367"/>
      <c r="R270" s="367"/>
      <c r="S270" s="367"/>
      <c r="T270" s="367"/>
      <c r="U270" s="367"/>
      <c r="V270" s="367"/>
      <c r="W270" s="367"/>
      <c r="X270" s="367"/>
      <c r="Y270" s="367"/>
      <c r="Z270" s="367"/>
    </row>
    <row r="271" ht="12.75" customHeight="1" spans="1:26">
      <c r="A271" s="363"/>
      <c r="B271" s="412"/>
      <c r="C271" s="367"/>
      <c r="D271" s="413"/>
      <c r="E271" s="413"/>
      <c r="F271" s="367"/>
      <c r="G271" s="367"/>
      <c r="H271" s="367"/>
      <c r="I271" s="367"/>
      <c r="J271" s="367"/>
      <c r="K271" s="367"/>
      <c r="L271" s="367"/>
      <c r="M271" s="367"/>
      <c r="N271" s="367"/>
      <c r="O271" s="367"/>
      <c r="P271" s="367"/>
      <c r="Q271" s="367"/>
      <c r="R271" s="367"/>
      <c r="S271" s="367"/>
      <c r="T271" s="367"/>
      <c r="U271" s="367"/>
      <c r="V271" s="367"/>
      <c r="W271" s="367"/>
      <c r="X271" s="367"/>
      <c r="Y271" s="367"/>
      <c r="Z271" s="367"/>
    </row>
    <row r="272" ht="12.75" customHeight="1" spans="1:26">
      <c r="A272" s="363"/>
      <c r="B272" s="412"/>
      <c r="C272" s="367"/>
      <c r="D272" s="413"/>
      <c r="E272" s="413"/>
      <c r="F272" s="367"/>
      <c r="G272" s="367"/>
      <c r="H272" s="367"/>
      <c r="I272" s="367"/>
      <c r="J272" s="367"/>
      <c r="K272" s="367"/>
      <c r="L272" s="367"/>
      <c r="M272" s="367"/>
      <c r="N272" s="367"/>
      <c r="O272" s="367"/>
      <c r="P272" s="367"/>
      <c r="Q272" s="367"/>
      <c r="R272" s="367"/>
      <c r="S272" s="367"/>
      <c r="T272" s="367"/>
      <c r="U272" s="367"/>
      <c r="V272" s="367"/>
      <c r="W272" s="367"/>
      <c r="X272" s="367"/>
      <c r="Y272" s="367"/>
      <c r="Z272" s="367"/>
    </row>
    <row r="273" ht="12.75" customHeight="1" spans="1:26">
      <c r="A273" s="363"/>
      <c r="B273" s="412"/>
      <c r="C273" s="367"/>
      <c r="D273" s="413"/>
      <c r="E273" s="413"/>
      <c r="F273" s="367"/>
      <c r="G273" s="367"/>
      <c r="H273" s="367"/>
      <c r="I273" s="367"/>
      <c r="J273" s="367"/>
      <c r="K273" s="367"/>
      <c r="L273" s="367"/>
      <c r="M273" s="367"/>
      <c r="N273" s="367"/>
      <c r="O273" s="367"/>
      <c r="P273" s="367"/>
      <c r="Q273" s="367"/>
      <c r="R273" s="367"/>
      <c r="S273" s="367"/>
      <c r="T273" s="367"/>
      <c r="U273" s="367"/>
      <c r="V273" s="367"/>
      <c r="W273" s="367"/>
      <c r="X273" s="367"/>
      <c r="Y273" s="367"/>
      <c r="Z273" s="367"/>
    </row>
    <row r="274" ht="12.75" customHeight="1" spans="1:26">
      <c r="A274" s="363"/>
      <c r="B274" s="412"/>
      <c r="C274" s="367"/>
      <c r="D274" s="413"/>
      <c r="E274" s="413"/>
      <c r="F274" s="367"/>
      <c r="G274" s="367"/>
      <c r="H274" s="367"/>
      <c r="I274" s="367"/>
      <c r="J274" s="367"/>
      <c r="K274" s="367"/>
      <c r="L274" s="367"/>
      <c r="M274" s="367"/>
      <c r="N274" s="367"/>
      <c r="O274" s="367"/>
      <c r="P274" s="367"/>
      <c r="Q274" s="367"/>
      <c r="R274" s="367"/>
      <c r="S274" s="367"/>
      <c r="T274" s="367"/>
      <c r="U274" s="367"/>
      <c r="V274" s="367"/>
      <c r="W274" s="367"/>
      <c r="X274" s="367"/>
      <c r="Y274" s="367"/>
      <c r="Z274" s="367"/>
    </row>
    <row r="275" ht="12.75" customHeight="1" spans="1:26">
      <c r="A275" s="363"/>
      <c r="B275" s="412"/>
      <c r="C275" s="367"/>
      <c r="D275" s="413"/>
      <c r="E275" s="413"/>
      <c r="F275" s="367"/>
      <c r="G275" s="367"/>
      <c r="H275" s="367"/>
      <c r="I275" s="367"/>
      <c r="J275" s="367"/>
      <c r="K275" s="367"/>
      <c r="L275" s="367"/>
      <c r="M275" s="367"/>
      <c r="N275" s="367"/>
      <c r="O275" s="367"/>
      <c r="P275" s="367"/>
      <c r="Q275" s="367"/>
      <c r="R275" s="367"/>
      <c r="S275" s="367"/>
      <c r="T275" s="367"/>
      <c r="U275" s="367"/>
      <c r="V275" s="367"/>
      <c r="W275" s="367"/>
      <c r="X275" s="367"/>
      <c r="Y275" s="367"/>
      <c r="Z275" s="367"/>
    </row>
    <row r="276" ht="12.75" customHeight="1" spans="1:26">
      <c r="A276" s="363"/>
      <c r="B276" s="412"/>
      <c r="C276" s="367"/>
      <c r="D276" s="413"/>
      <c r="E276" s="413"/>
      <c r="F276" s="367"/>
      <c r="G276" s="367"/>
      <c r="H276" s="367"/>
      <c r="I276" s="367"/>
      <c r="J276" s="367"/>
      <c r="K276" s="367"/>
      <c r="L276" s="367"/>
      <c r="M276" s="367"/>
      <c r="N276" s="367"/>
      <c r="O276" s="367"/>
      <c r="P276" s="367"/>
      <c r="Q276" s="367"/>
      <c r="R276" s="367"/>
      <c r="S276" s="367"/>
      <c r="T276" s="367"/>
      <c r="U276" s="367"/>
      <c r="V276" s="367"/>
      <c r="W276" s="367"/>
      <c r="X276" s="367"/>
      <c r="Y276" s="367"/>
      <c r="Z276" s="367"/>
    </row>
    <row r="277" ht="12.75" customHeight="1" spans="1:26">
      <c r="A277" s="363"/>
      <c r="B277" s="412"/>
      <c r="C277" s="367"/>
      <c r="D277" s="413"/>
      <c r="E277" s="413"/>
      <c r="F277" s="367"/>
      <c r="G277" s="367"/>
      <c r="H277" s="367"/>
      <c r="I277" s="367"/>
      <c r="J277" s="367"/>
      <c r="K277" s="367"/>
      <c r="L277" s="367"/>
      <c r="M277" s="367"/>
      <c r="N277" s="367"/>
      <c r="O277" s="367"/>
      <c r="P277" s="367"/>
      <c r="Q277" s="367"/>
      <c r="R277" s="367"/>
      <c r="S277" s="367"/>
      <c r="T277" s="367"/>
      <c r="U277" s="367"/>
      <c r="V277" s="367"/>
      <c r="W277" s="367"/>
      <c r="X277" s="367"/>
      <c r="Y277" s="367"/>
      <c r="Z277" s="367"/>
    </row>
    <row r="278" ht="12.75" customHeight="1" spans="1:26">
      <c r="A278" s="363"/>
      <c r="B278" s="412"/>
      <c r="C278" s="367"/>
      <c r="D278" s="413"/>
      <c r="E278" s="413"/>
      <c r="F278" s="367"/>
      <c r="G278" s="367"/>
      <c r="H278" s="367"/>
      <c r="I278" s="367"/>
      <c r="J278" s="367"/>
      <c r="K278" s="367"/>
      <c r="L278" s="367"/>
      <c r="M278" s="367"/>
      <c r="N278" s="367"/>
      <c r="O278" s="367"/>
      <c r="P278" s="367"/>
      <c r="Q278" s="367"/>
      <c r="R278" s="367"/>
      <c r="S278" s="367"/>
      <c r="T278" s="367"/>
      <c r="U278" s="367"/>
      <c r="V278" s="367"/>
      <c r="W278" s="367"/>
      <c r="X278" s="367"/>
      <c r="Y278" s="367"/>
      <c r="Z278" s="367"/>
    </row>
    <row r="279" ht="12.75" customHeight="1" spans="1:26">
      <c r="A279" s="363"/>
      <c r="B279" s="412"/>
      <c r="C279" s="367"/>
      <c r="D279" s="413"/>
      <c r="E279" s="413"/>
      <c r="F279" s="367"/>
      <c r="G279" s="367"/>
      <c r="H279" s="367"/>
      <c r="I279" s="367"/>
      <c r="J279" s="367"/>
      <c r="K279" s="367"/>
      <c r="L279" s="367"/>
      <c r="M279" s="367"/>
      <c r="N279" s="367"/>
      <c r="O279" s="367"/>
      <c r="P279" s="367"/>
      <c r="Q279" s="367"/>
      <c r="R279" s="367"/>
      <c r="S279" s="367"/>
      <c r="T279" s="367"/>
      <c r="U279" s="367"/>
      <c r="V279" s="367"/>
      <c r="W279" s="367"/>
      <c r="X279" s="367"/>
      <c r="Y279" s="367"/>
      <c r="Z279" s="367"/>
    </row>
    <row r="280" ht="12.75" customHeight="1" spans="1:26">
      <c r="A280" s="363"/>
      <c r="B280" s="412"/>
      <c r="C280" s="367"/>
      <c r="D280" s="413"/>
      <c r="E280" s="413"/>
      <c r="F280" s="367"/>
      <c r="G280" s="367"/>
      <c r="H280" s="367"/>
      <c r="I280" s="367"/>
      <c r="J280" s="367"/>
      <c r="K280" s="367"/>
      <c r="L280" s="367"/>
      <c r="M280" s="367"/>
      <c r="N280" s="367"/>
      <c r="O280" s="367"/>
      <c r="P280" s="367"/>
      <c r="Q280" s="367"/>
      <c r="R280" s="367"/>
      <c r="S280" s="367"/>
      <c r="T280" s="367"/>
      <c r="U280" s="367"/>
      <c r="V280" s="367"/>
      <c r="W280" s="367"/>
      <c r="X280" s="367"/>
      <c r="Y280" s="367"/>
      <c r="Z280" s="367"/>
    </row>
    <row r="281" ht="12.75" customHeight="1" spans="1:26">
      <c r="A281" s="363"/>
      <c r="B281" s="412"/>
      <c r="C281" s="367"/>
      <c r="D281" s="413"/>
      <c r="E281" s="413"/>
      <c r="F281" s="367"/>
      <c r="G281" s="367"/>
      <c r="H281" s="367"/>
      <c r="I281" s="367"/>
      <c r="J281" s="367"/>
      <c r="K281" s="367"/>
      <c r="L281" s="367"/>
      <c r="M281" s="367"/>
      <c r="N281" s="367"/>
      <c r="O281" s="367"/>
      <c r="P281" s="367"/>
      <c r="Q281" s="367"/>
      <c r="R281" s="367"/>
      <c r="S281" s="367"/>
      <c r="T281" s="367"/>
      <c r="U281" s="367"/>
      <c r="V281" s="367"/>
      <c r="W281" s="367"/>
      <c r="X281" s="367"/>
      <c r="Y281" s="367"/>
      <c r="Z281" s="367"/>
    </row>
    <row r="282" ht="12.75" customHeight="1" spans="1:26">
      <c r="A282" s="363"/>
      <c r="B282" s="412"/>
      <c r="C282" s="367"/>
      <c r="D282" s="413"/>
      <c r="E282" s="413"/>
      <c r="F282" s="367"/>
      <c r="G282" s="367"/>
      <c r="H282" s="367"/>
      <c r="I282" s="367"/>
      <c r="J282" s="367"/>
      <c r="K282" s="367"/>
      <c r="L282" s="367"/>
      <c r="M282" s="367"/>
      <c r="N282" s="367"/>
      <c r="O282" s="367"/>
      <c r="P282" s="367"/>
      <c r="Q282" s="367"/>
      <c r="R282" s="367"/>
      <c r="S282" s="367"/>
      <c r="T282" s="367"/>
      <c r="U282" s="367"/>
      <c r="V282" s="367"/>
      <c r="W282" s="367"/>
      <c r="X282" s="367"/>
      <c r="Y282" s="367"/>
      <c r="Z282" s="367"/>
    </row>
    <row r="283" ht="12.75" customHeight="1" spans="1:26">
      <c r="A283" s="363"/>
      <c r="B283" s="412"/>
      <c r="C283" s="367"/>
      <c r="D283" s="413"/>
      <c r="E283" s="413"/>
      <c r="F283" s="367"/>
      <c r="G283" s="367"/>
      <c r="H283" s="367"/>
      <c r="I283" s="367"/>
      <c r="J283" s="367"/>
      <c r="K283" s="367"/>
      <c r="L283" s="367"/>
      <c r="M283" s="367"/>
      <c r="N283" s="367"/>
      <c r="O283" s="367"/>
      <c r="P283" s="367"/>
      <c r="Q283" s="367"/>
      <c r="R283" s="367"/>
      <c r="S283" s="367"/>
      <c r="T283" s="367"/>
      <c r="U283" s="367"/>
      <c r="V283" s="367"/>
      <c r="W283" s="367"/>
      <c r="X283" s="367"/>
      <c r="Y283" s="367"/>
      <c r="Z283" s="367"/>
    </row>
    <row r="284" ht="12.75" customHeight="1" spans="1:26">
      <c r="A284" s="363"/>
      <c r="B284" s="412"/>
      <c r="C284" s="367"/>
      <c r="D284" s="413"/>
      <c r="E284" s="413"/>
      <c r="F284" s="367"/>
      <c r="G284" s="367"/>
      <c r="H284" s="367"/>
      <c r="I284" s="367"/>
      <c r="J284" s="367"/>
      <c r="K284" s="367"/>
      <c r="L284" s="367"/>
      <c r="M284" s="367"/>
      <c r="N284" s="367"/>
      <c r="O284" s="367"/>
      <c r="P284" s="367"/>
      <c r="Q284" s="367"/>
      <c r="R284" s="367"/>
      <c r="S284" s="367"/>
      <c r="T284" s="367"/>
      <c r="U284" s="367"/>
      <c r="V284" s="367"/>
      <c r="W284" s="367"/>
      <c r="X284" s="367"/>
      <c r="Y284" s="367"/>
      <c r="Z284" s="367"/>
    </row>
    <row r="285" ht="12.75" customHeight="1" spans="1:26">
      <c r="A285" s="363"/>
      <c r="B285" s="412"/>
      <c r="C285" s="367"/>
      <c r="D285" s="413"/>
      <c r="E285" s="413"/>
      <c r="F285" s="367"/>
      <c r="G285" s="367"/>
      <c r="H285" s="367"/>
      <c r="I285" s="367"/>
      <c r="J285" s="367"/>
      <c r="K285" s="367"/>
      <c r="L285" s="367"/>
      <c r="M285" s="367"/>
      <c r="N285" s="367"/>
      <c r="O285" s="367"/>
      <c r="P285" s="367"/>
      <c r="Q285" s="367"/>
      <c r="R285" s="367"/>
      <c r="S285" s="367"/>
      <c r="T285" s="367"/>
      <c r="U285" s="367"/>
      <c r="V285" s="367"/>
      <c r="W285" s="367"/>
      <c r="X285" s="367"/>
      <c r="Y285" s="367"/>
      <c r="Z285" s="367"/>
    </row>
    <row r="286" ht="12.75" customHeight="1" spans="1:26">
      <c r="A286" s="363"/>
      <c r="B286" s="412"/>
      <c r="C286" s="367"/>
      <c r="D286" s="413"/>
      <c r="E286" s="413"/>
      <c r="F286" s="367"/>
      <c r="G286" s="367"/>
      <c r="H286" s="367"/>
      <c r="I286" s="367"/>
      <c r="J286" s="367"/>
      <c r="K286" s="367"/>
      <c r="L286" s="367"/>
      <c r="M286" s="367"/>
      <c r="N286" s="367"/>
      <c r="O286" s="367"/>
      <c r="P286" s="367"/>
      <c r="Q286" s="367"/>
      <c r="R286" s="367"/>
      <c r="S286" s="367"/>
      <c r="T286" s="367"/>
      <c r="U286" s="367"/>
      <c r="V286" s="367"/>
      <c r="W286" s="367"/>
      <c r="X286" s="367"/>
      <c r="Y286" s="367"/>
      <c r="Z286" s="367"/>
    </row>
    <row r="287" ht="12.75" customHeight="1" spans="1:26">
      <c r="A287" s="363"/>
      <c r="B287" s="412"/>
      <c r="C287" s="367"/>
      <c r="D287" s="413"/>
      <c r="E287" s="413"/>
      <c r="F287" s="367"/>
      <c r="G287" s="367"/>
      <c r="H287" s="367"/>
      <c r="I287" s="367"/>
      <c r="J287" s="367"/>
      <c r="K287" s="367"/>
      <c r="L287" s="367"/>
      <c r="M287" s="367"/>
      <c r="N287" s="367"/>
      <c r="O287" s="367"/>
      <c r="P287" s="367"/>
      <c r="Q287" s="367"/>
      <c r="R287" s="367"/>
      <c r="S287" s="367"/>
      <c r="T287" s="367"/>
      <c r="U287" s="367"/>
      <c r="V287" s="367"/>
      <c r="W287" s="367"/>
      <c r="X287" s="367"/>
      <c r="Y287" s="367"/>
      <c r="Z287" s="367"/>
    </row>
    <row r="288" ht="12.75" customHeight="1" spans="1:26">
      <c r="A288" s="363"/>
      <c r="B288" s="412"/>
      <c r="C288" s="367"/>
      <c r="D288" s="413"/>
      <c r="E288" s="413"/>
      <c r="F288" s="367"/>
      <c r="G288" s="367"/>
      <c r="H288" s="367"/>
      <c r="I288" s="367"/>
      <c r="J288" s="367"/>
      <c r="K288" s="367"/>
      <c r="L288" s="367"/>
      <c r="M288" s="367"/>
      <c r="N288" s="367"/>
      <c r="O288" s="367"/>
      <c r="P288" s="367"/>
      <c r="Q288" s="367"/>
      <c r="R288" s="367"/>
      <c r="S288" s="367"/>
      <c r="T288" s="367"/>
      <c r="U288" s="367"/>
      <c r="V288" s="367"/>
      <c r="W288" s="367"/>
      <c r="X288" s="367"/>
      <c r="Y288" s="367"/>
      <c r="Z288" s="367"/>
    </row>
    <row r="289" ht="12.75" customHeight="1" spans="1:26">
      <c r="A289" s="363"/>
      <c r="B289" s="412"/>
      <c r="C289" s="367"/>
      <c r="D289" s="413"/>
      <c r="E289" s="413"/>
      <c r="F289" s="367"/>
      <c r="G289" s="367"/>
      <c r="H289" s="367"/>
      <c r="I289" s="367"/>
      <c r="J289" s="367"/>
      <c r="K289" s="367"/>
      <c r="L289" s="367"/>
      <c r="M289" s="367"/>
      <c r="N289" s="367"/>
      <c r="O289" s="367"/>
      <c r="P289" s="367"/>
      <c r="Q289" s="367"/>
      <c r="R289" s="367"/>
      <c r="S289" s="367"/>
      <c r="T289" s="367"/>
      <c r="U289" s="367"/>
      <c r="V289" s="367"/>
      <c r="W289" s="367"/>
      <c r="X289" s="367"/>
      <c r="Y289" s="367"/>
      <c r="Z289" s="367"/>
    </row>
    <row r="290" ht="12.75" customHeight="1" spans="1:26">
      <c r="A290" s="363"/>
      <c r="B290" s="412"/>
      <c r="C290" s="367"/>
      <c r="D290" s="413"/>
      <c r="E290" s="413"/>
      <c r="F290" s="367"/>
      <c r="G290" s="367"/>
      <c r="H290" s="367"/>
      <c r="I290" s="367"/>
      <c r="J290" s="367"/>
      <c r="K290" s="367"/>
      <c r="L290" s="367"/>
      <c r="M290" s="367"/>
      <c r="N290" s="367"/>
      <c r="O290" s="367"/>
      <c r="P290" s="367"/>
      <c r="Q290" s="367"/>
      <c r="R290" s="367"/>
      <c r="S290" s="367"/>
      <c r="T290" s="367"/>
      <c r="U290" s="367"/>
      <c r="V290" s="367"/>
      <c r="W290" s="367"/>
      <c r="X290" s="367"/>
      <c r="Y290" s="367"/>
      <c r="Z290" s="367"/>
    </row>
    <row r="291" ht="12.75" customHeight="1" spans="1:26">
      <c r="A291" s="363"/>
      <c r="B291" s="412"/>
      <c r="C291" s="367"/>
      <c r="D291" s="413"/>
      <c r="E291" s="413"/>
      <c r="F291" s="367"/>
      <c r="G291" s="367"/>
      <c r="H291" s="367"/>
      <c r="I291" s="367"/>
      <c r="J291" s="367"/>
      <c r="K291" s="367"/>
      <c r="L291" s="367"/>
      <c r="M291" s="367"/>
      <c r="N291" s="367"/>
      <c r="O291" s="367"/>
      <c r="P291" s="367"/>
      <c r="Q291" s="367"/>
      <c r="R291" s="367"/>
      <c r="S291" s="367"/>
      <c r="T291" s="367"/>
      <c r="U291" s="367"/>
      <c r="V291" s="367"/>
      <c r="W291" s="367"/>
      <c r="X291" s="367"/>
      <c r="Y291" s="367"/>
      <c r="Z291" s="367"/>
    </row>
    <row r="292" ht="12.75" customHeight="1" spans="1:26">
      <c r="A292" s="363"/>
      <c r="B292" s="412"/>
      <c r="C292" s="367"/>
      <c r="D292" s="413"/>
      <c r="E292" s="413"/>
      <c r="F292" s="367"/>
      <c r="G292" s="367"/>
      <c r="H292" s="367"/>
      <c r="I292" s="367"/>
      <c r="J292" s="367"/>
      <c r="K292" s="367"/>
      <c r="L292" s="367"/>
      <c r="M292" s="367"/>
      <c r="N292" s="367"/>
      <c r="O292" s="367"/>
      <c r="P292" s="367"/>
      <c r="Q292" s="367"/>
      <c r="R292" s="367"/>
      <c r="S292" s="367"/>
      <c r="T292" s="367"/>
      <c r="U292" s="367"/>
      <c r="V292" s="367"/>
      <c r="W292" s="367"/>
      <c r="X292" s="367"/>
      <c r="Y292" s="367"/>
      <c r="Z292" s="367"/>
    </row>
    <row r="293" ht="12.75" customHeight="1" spans="1:26">
      <c r="A293" s="363"/>
      <c r="B293" s="412"/>
      <c r="C293" s="367"/>
      <c r="D293" s="413"/>
      <c r="E293" s="413"/>
      <c r="F293" s="367"/>
      <c r="G293" s="367"/>
      <c r="H293" s="367"/>
      <c r="I293" s="367"/>
      <c r="J293" s="367"/>
      <c r="K293" s="367"/>
      <c r="L293" s="367"/>
      <c r="M293" s="367"/>
      <c r="N293" s="367"/>
      <c r="O293" s="367"/>
      <c r="P293" s="367"/>
      <c r="Q293" s="367"/>
      <c r="R293" s="367"/>
      <c r="S293" s="367"/>
      <c r="T293" s="367"/>
      <c r="U293" s="367"/>
      <c r="V293" s="367"/>
      <c r="W293" s="367"/>
      <c r="X293" s="367"/>
      <c r="Y293" s="367"/>
      <c r="Z293" s="367"/>
    </row>
    <row r="294" ht="12.75" customHeight="1" spans="1:26">
      <c r="A294" s="363"/>
      <c r="B294" s="412"/>
      <c r="C294" s="367"/>
      <c r="D294" s="413"/>
      <c r="E294" s="413"/>
      <c r="F294" s="367"/>
      <c r="G294" s="367"/>
      <c r="H294" s="367"/>
      <c r="I294" s="367"/>
      <c r="J294" s="367"/>
      <c r="K294" s="367"/>
      <c r="L294" s="367"/>
      <c r="M294" s="367"/>
      <c r="N294" s="367"/>
      <c r="O294" s="367"/>
      <c r="P294" s="367"/>
      <c r="Q294" s="367"/>
      <c r="R294" s="367"/>
      <c r="S294" s="367"/>
      <c r="T294" s="367"/>
      <c r="U294" s="367"/>
      <c r="V294" s="367"/>
      <c r="W294" s="367"/>
      <c r="X294" s="367"/>
      <c r="Y294" s="367"/>
      <c r="Z294" s="367"/>
    </row>
    <row r="295" ht="12.75" customHeight="1" spans="1:26">
      <c r="A295" s="363"/>
      <c r="B295" s="412"/>
      <c r="C295" s="367"/>
      <c r="D295" s="413"/>
      <c r="E295" s="413"/>
      <c r="F295" s="367"/>
      <c r="G295" s="367"/>
      <c r="H295" s="367"/>
      <c r="I295" s="367"/>
      <c r="J295" s="367"/>
      <c r="K295" s="367"/>
      <c r="L295" s="367"/>
      <c r="M295" s="367"/>
      <c r="N295" s="367"/>
      <c r="O295" s="367"/>
      <c r="P295" s="367"/>
      <c r="Q295" s="367"/>
      <c r="R295" s="367"/>
      <c r="S295" s="367"/>
      <c r="T295" s="367"/>
      <c r="U295" s="367"/>
      <c r="V295" s="367"/>
      <c r="W295" s="367"/>
      <c r="X295" s="367"/>
      <c r="Y295" s="367"/>
      <c r="Z295" s="367"/>
    </row>
    <row r="296" ht="12.75" customHeight="1" spans="1:26">
      <c r="A296" s="363"/>
      <c r="B296" s="412"/>
      <c r="C296" s="367"/>
      <c r="D296" s="413"/>
      <c r="E296" s="413"/>
      <c r="F296" s="367"/>
      <c r="G296" s="367"/>
      <c r="H296" s="367"/>
      <c r="I296" s="367"/>
      <c r="J296" s="367"/>
      <c r="K296" s="367"/>
      <c r="L296" s="367"/>
      <c r="M296" s="367"/>
      <c r="N296" s="367"/>
      <c r="O296" s="367"/>
      <c r="P296" s="367"/>
      <c r="Q296" s="367"/>
      <c r="R296" s="367"/>
      <c r="S296" s="367"/>
      <c r="T296" s="367"/>
      <c r="U296" s="367"/>
      <c r="V296" s="367"/>
      <c r="W296" s="367"/>
      <c r="X296" s="367"/>
      <c r="Y296" s="367"/>
      <c r="Z296" s="367"/>
    </row>
    <row r="297" ht="12.75" customHeight="1" spans="1:26">
      <c r="A297" s="363"/>
      <c r="B297" s="412"/>
      <c r="C297" s="367"/>
      <c r="D297" s="413"/>
      <c r="E297" s="413"/>
      <c r="F297" s="367"/>
      <c r="G297" s="367"/>
      <c r="H297" s="367"/>
      <c r="I297" s="367"/>
      <c r="J297" s="367"/>
      <c r="K297" s="367"/>
      <c r="L297" s="367"/>
      <c r="M297" s="367"/>
      <c r="N297" s="367"/>
      <c r="O297" s="367"/>
      <c r="P297" s="367"/>
      <c r="Q297" s="367"/>
      <c r="R297" s="367"/>
      <c r="S297" s="367"/>
      <c r="T297" s="367"/>
      <c r="U297" s="367"/>
      <c r="V297" s="367"/>
      <c r="W297" s="367"/>
      <c r="X297" s="367"/>
      <c r="Y297" s="367"/>
      <c r="Z297" s="367"/>
    </row>
    <row r="298" ht="12.75" customHeight="1" spans="1:26">
      <c r="A298" s="363"/>
      <c r="B298" s="412"/>
      <c r="C298" s="367"/>
      <c r="D298" s="413"/>
      <c r="E298" s="413"/>
      <c r="F298" s="367"/>
      <c r="G298" s="367"/>
      <c r="H298" s="367"/>
      <c r="I298" s="367"/>
      <c r="J298" s="367"/>
      <c r="K298" s="367"/>
      <c r="L298" s="367"/>
      <c r="M298" s="367"/>
      <c r="N298" s="367"/>
      <c r="O298" s="367"/>
      <c r="P298" s="367"/>
      <c r="Q298" s="367"/>
      <c r="R298" s="367"/>
      <c r="S298" s="367"/>
      <c r="T298" s="367"/>
      <c r="U298" s="367"/>
      <c r="V298" s="367"/>
      <c r="W298" s="367"/>
      <c r="X298" s="367"/>
      <c r="Y298" s="367"/>
      <c r="Z298" s="367"/>
    </row>
    <row r="299" ht="12.75" customHeight="1" spans="1:26">
      <c r="A299" s="363"/>
      <c r="B299" s="412"/>
      <c r="C299" s="367"/>
      <c r="D299" s="413"/>
      <c r="E299" s="413"/>
      <c r="F299" s="367"/>
      <c r="G299" s="367"/>
      <c r="H299" s="367"/>
      <c r="I299" s="367"/>
      <c r="J299" s="367"/>
      <c r="K299" s="367"/>
      <c r="L299" s="367"/>
      <c r="M299" s="367"/>
      <c r="N299" s="367"/>
      <c r="O299" s="367"/>
      <c r="P299" s="367"/>
      <c r="Q299" s="367"/>
      <c r="R299" s="367"/>
      <c r="S299" s="367"/>
      <c r="T299" s="367"/>
      <c r="U299" s="367"/>
      <c r="V299" s="367"/>
      <c r="W299" s="367"/>
      <c r="X299" s="367"/>
      <c r="Y299" s="367"/>
      <c r="Z299" s="367"/>
    </row>
    <row r="300" ht="12.75" customHeight="1" spans="1:26">
      <c r="A300" s="363"/>
      <c r="B300" s="412"/>
      <c r="C300" s="367"/>
      <c r="D300" s="413"/>
      <c r="E300" s="413"/>
      <c r="F300" s="367"/>
      <c r="G300" s="367"/>
      <c r="H300" s="367"/>
      <c r="I300" s="367"/>
      <c r="J300" s="367"/>
      <c r="K300" s="367"/>
      <c r="L300" s="367"/>
      <c r="M300" s="367"/>
      <c r="N300" s="367"/>
      <c r="O300" s="367"/>
      <c r="P300" s="367"/>
      <c r="Q300" s="367"/>
      <c r="R300" s="367"/>
      <c r="S300" s="367"/>
      <c r="T300" s="367"/>
      <c r="U300" s="367"/>
      <c r="V300" s="367"/>
      <c r="W300" s="367"/>
      <c r="X300" s="367"/>
      <c r="Y300" s="367"/>
      <c r="Z300" s="367"/>
    </row>
    <row r="301" ht="12.75" customHeight="1" spans="1:26">
      <c r="A301" s="363"/>
      <c r="B301" s="412"/>
      <c r="C301" s="367"/>
      <c r="D301" s="413"/>
      <c r="E301" s="413"/>
      <c r="F301" s="367"/>
      <c r="G301" s="367"/>
      <c r="H301" s="367"/>
      <c r="I301" s="367"/>
      <c r="J301" s="367"/>
      <c r="K301" s="367"/>
      <c r="L301" s="367"/>
      <c r="M301" s="367"/>
      <c r="N301" s="367"/>
      <c r="O301" s="367"/>
      <c r="P301" s="367"/>
      <c r="Q301" s="367"/>
      <c r="R301" s="367"/>
      <c r="S301" s="367"/>
      <c r="T301" s="367"/>
      <c r="U301" s="367"/>
      <c r="V301" s="367"/>
      <c r="W301" s="367"/>
      <c r="X301" s="367"/>
      <c r="Y301" s="367"/>
      <c r="Z301" s="367"/>
    </row>
    <row r="302" ht="12.75" customHeight="1" spans="1:26">
      <c r="A302" s="363"/>
      <c r="B302" s="412"/>
      <c r="C302" s="367"/>
      <c r="D302" s="413"/>
      <c r="E302" s="413"/>
      <c r="F302" s="367"/>
      <c r="G302" s="367"/>
      <c r="H302" s="367"/>
      <c r="I302" s="367"/>
      <c r="J302" s="367"/>
      <c r="K302" s="367"/>
      <c r="L302" s="367"/>
      <c r="M302" s="367"/>
      <c r="N302" s="367"/>
      <c r="O302" s="367"/>
      <c r="P302" s="367"/>
      <c r="Q302" s="367"/>
      <c r="R302" s="367"/>
      <c r="S302" s="367"/>
      <c r="T302" s="367"/>
      <c r="U302" s="367"/>
      <c r="V302" s="367"/>
      <c r="W302" s="367"/>
      <c r="X302" s="367"/>
      <c r="Y302" s="367"/>
      <c r="Z302" s="367"/>
    </row>
    <row r="303" ht="12.75" customHeight="1" spans="1:26">
      <c r="A303" s="363"/>
      <c r="B303" s="412"/>
      <c r="C303" s="367"/>
      <c r="D303" s="413"/>
      <c r="E303" s="413"/>
      <c r="F303" s="367"/>
      <c r="G303" s="367"/>
      <c r="H303" s="367"/>
      <c r="I303" s="367"/>
      <c r="J303" s="367"/>
      <c r="K303" s="367"/>
      <c r="L303" s="367"/>
      <c r="M303" s="367"/>
      <c r="N303" s="367"/>
      <c r="O303" s="367"/>
      <c r="P303" s="367"/>
      <c r="Q303" s="367"/>
      <c r="R303" s="367"/>
      <c r="S303" s="367"/>
      <c r="T303" s="367"/>
      <c r="U303" s="367"/>
      <c r="V303" s="367"/>
      <c r="W303" s="367"/>
      <c r="X303" s="367"/>
      <c r="Y303" s="367"/>
      <c r="Z303" s="367"/>
    </row>
    <row r="304" ht="12.75" customHeight="1" spans="1:26">
      <c r="A304" s="363"/>
      <c r="B304" s="412"/>
      <c r="C304" s="367"/>
      <c r="D304" s="413"/>
      <c r="E304" s="413"/>
      <c r="F304" s="367"/>
      <c r="G304" s="367"/>
      <c r="H304" s="367"/>
      <c r="I304" s="367"/>
      <c r="J304" s="367"/>
      <c r="K304" s="367"/>
      <c r="L304" s="367"/>
      <c r="M304" s="367"/>
      <c r="N304" s="367"/>
      <c r="O304" s="367"/>
      <c r="P304" s="367"/>
      <c r="Q304" s="367"/>
      <c r="R304" s="367"/>
      <c r="S304" s="367"/>
      <c r="T304" s="367"/>
      <c r="U304" s="367"/>
      <c r="V304" s="367"/>
      <c r="W304" s="367"/>
      <c r="X304" s="367"/>
      <c r="Y304" s="367"/>
      <c r="Z304" s="367"/>
    </row>
    <row r="305" ht="12.75" customHeight="1" spans="1:26">
      <c r="A305" s="363"/>
      <c r="B305" s="412"/>
      <c r="C305" s="367"/>
      <c r="D305" s="413"/>
      <c r="E305" s="413"/>
      <c r="F305" s="367"/>
      <c r="G305" s="367"/>
      <c r="H305" s="367"/>
      <c r="I305" s="367"/>
      <c r="J305" s="367"/>
      <c r="K305" s="367"/>
      <c r="L305" s="367"/>
      <c r="M305" s="367"/>
      <c r="N305" s="367"/>
      <c r="O305" s="367"/>
      <c r="P305" s="367"/>
      <c r="Q305" s="367"/>
      <c r="R305" s="367"/>
      <c r="S305" s="367"/>
      <c r="T305" s="367"/>
      <c r="U305" s="367"/>
      <c r="V305" s="367"/>
      <c r="W305" s="367"/>
      <c r="X305" s="367"/>
      <c r="Y305" s="367"/>
      <c r="Z305" s="367"/>
    </row>
    <row r="306" ht="12.75" customHeight="1" spans="1:26">
      <c r="A306" s="363"/>
      <c r="B306" s="412"/>
      <c r="C306" s="367"/>
      <c r="D306" s="413"/>
      <c r="E306" s="413"/>
      <c r="F306" s="367"/>
      <c r="G306" s="367"/>
      <c r="H306" s="367"/>
      <c r="I306" s="367"/>
      <c r="J306" s="367"/>
      <c r="K306" s="367"/>
      <c r="L306" s="367"/>
      <c r="M306" s="367"/>
      <c r="N306" s="367"/>
      <c r="O306" s="367"/>
      <c r="P306" s="367"/>
      <c r="Q306" s="367"/>
      <c r="R306" s="367"/>
      <c r="S306" s="367"/>
      <c r="T306" s="367"/>
      <c r="U306" s="367"/>
      <c r="V306" s="367"/>
      <c r="W306" s="367"/>
      <c r="X306" s="367"/>
      <c r="Y306" s="367"/>
      <c r="Z306" s="367"/>
    </row>
    <row r="307" ht="12.75" customHeight="1" spans="1:26">
      <c r="A307" s="363"/>
      <c r="B307" s="412"/>
      <c r="C307" s="367"/>
      <c r="D307" s="413"/>
      <c r="E307" s="413"/>
      <c r="F307" s="367"/>
      <c r="G307" s="367"/>
      <c r="H307" s="367"/>
      <c r="I307" s="367"/>
      <c r="J307" s="367"/>
      <c r="K307" s="367"/>
      <c r="L307" s="367"/>
      <c r="M307" s="367"/>
      <c r="N307" s="367"/>
      <c r="O307" s="367"/>
      <c r="P307" s="367"/>
      <c r="Q307" s="367"/>
      <c r="R307" s="367"/>
      <c r="S307" s="367"/>
      <c r="T307" s="367"/>
      <c r="U307" s="367"/>
      <c r="V307" s="367"/>
      <c r="W307" s="367"/>
      <c r="X307" s="367"/>
      <c r="Y307" s="367"/>
      <c r="Z307" s="367"/>
    </row>
    <row r="308" ht="12.75" customHeight="1" spans="1:26">
      <c r="A308" s="363"/>
      <c r="B308" s="412"/>
      <c r="C308" s="367"/>
      <c r="D308" s="413"/>
      <c r="E308" s="413"/>
      <c r="F308" s="367"/>
      <c r="G308" s="367"/>
      <c r="H308" s="367"/>
      <c r="I308" s="367"/>
      <c r="J308" s="367"/>
      <c r="K308" s="367"/>
      <c r="L308" s="367"/>
      <c r="M308" s="367"/>
      <c r="N308" s="367"/>
      <c r="O308" s="367"/>
      <c r="P308" s="367"/>
      <c r="Q308" s="367"/>
      <c r="R308" s="367"/>
      <c r="S308" s="367"/>
      <c r="T308" s="367"/>
      <c r="U308" s="367"/>
      <c r="V308" s="367"/>
      <c r="W308" s="367"/>
      <c r="X308" s="367"/>
      <c r="Y308" s="367"/>
      <c r="Z308" s="367"/>
    </row>
    <row r="309" ht="12.75" customHeight="1" spans="1:26">
      <c r="A309" s="363"/>
      <c r="B309" s="412"/>
      <c r="C309" s="367"/>
      <c r="D309" s="413"/>
      <c r="E309" s="413"/>
      <c r="F309" s="367"/>
      <c r="G309" s="367"/>
      <c r="H309" s="367"/>
      <c r="I309" s="367"/>
      <c r="J309" s="367"/>
      <c r="K309" s="367"/>
      <c r="L309" s="367"/>
      <c r="M309" s="367"/>
      <c r="N309" s="367"/>
      <c r="O309" s="367"/>
      <c r="P309" s="367"/>
      <c r="Q309" s="367"/>
      <c r="R309" s="367"/>
      <c r="S309" s="367"/>
      <c r="T309" s="367"/>
      <c r="U309" s="367"/>
      <c r="V309" s="367"/>
      <c r="W309" s="367"/>
      <c r="X309" s="367"/>
      <c r="Y309" s="367"/>
      <c r="Z309" s="367"/>
    </row>
    <row r="310" ht="12.75" customHeight="1" spans="1:26">
      <c r="A310" s="363"/>
      <c r="B310" s="412"/>
      <c r="C310" s="367"/>
      <c r="D310" s="413"/>
      <c r="E310" s="413"/>
      <c r="F310" s="367"/>
      <c r="G310" s="367"/>
      <c r="H310" s="367"/>
      <c r="I310" s="367"/>
      <c r="J310" s="367"/>
      <c r="K310" s="367"/>
      <c r="L310" s="367"/>
      <c r="M310" s="367"/>
      <c r="N310" s="367"/>
      <c r="O310" s="367"/>
      <c r="P310" s="367"/>
      <c r="Q310" s="367"/>
      <c r="R310" s="367"/>
      <c r="S310" s="367"/>
      <c r="T310" s="367"/>
      <c r="U310" s="367"/>
      <c r="V310" s="367"/>
      <c r="W310" s="367"/>
      <c r="X310" s="367"/>
      <c r="Y310" s="367"/>
      <c r="Z310" s="367"/>
    </row>
    <row r="311" ht="12.75" customHeight="1" spans="1:26">
      <c r="A311" s="363"/>
      <c r="B311" s="412"/>
      <c r="C311" s="367"/>
      <c r="D311" s="413"/>
      <c r="E311" s="413"/>
      <c r="F311" s="367"/>
      <c r="G311" s="367"/>
      <c r="H311" s="367"/>
      <c r="I311" s="367"/>
      <c r="J311" s="367"/>
      <c r="K311" s="367"/>
      <c r="L311" s="367"/>
      <c r="M311" s="367"/>
      <c r="N311" s="367"/>
      <c r="O311" s="367"/>
      <c r="P311" s="367"/>
      <c r="Q311" s="367"/>
      <c r="R311" s="367"/>
      <c r="S311" s="367"/>
      <c r="T311" s="367"/>
      <c r="U311" s="367"/>
      <c r="V311" s="367"/>
      <c r="W311" s="367"/>
      <c r="X311" s="367"/>
      <c r="Y311" s="367"/>
      <c r="Z311" s="367"/>
    </row>
    <row r="312" ht="12.75" customHeight="1" spans="1:26">
      <c r="A312" s="363"/>
      <c r="B312" s="412"/>
      <c r="C312" s="367"/>
      <c r="D312" s="413"/>
      <c r="E312" s="413"/>
      <c r="F312" s="367"/>
      <c r="G312" s="367"/>
      <c r="H312" s="367"/>
      <c r="I312" s="367"/>
      <c r="J312" s="367"/>
      <c r="K312" s="367"/>
      <c r="L312" s="367"/>
      <c r="M312" s="367"/>
      <c r="N312" s="367"/>
      <c r="O312" s="367"/>
      <c r="P312" s="367"/>
      <c r="Q312" s="367"/>
      <c r="R312" s="367"/>
      <c r="S312" s="367"/>
      <c r="T312" s="367"/>
      <c r="U312" s="367"/>
      <c r="V312" s="367"/>
      <c r="W312" s="367"/>
      <c r="X312" s="367"/>
      <c r="Y312" s="367"/>
      <c r="Z312" s="367"/>
    </row>
    <row r="313" ht="12.75" customHeight="1" spans="1:26">
      <c r="A313" s="363"/>
      <c r="B313" s="412"/>
      <c r="C313" s="367"/>
      <c r="D313" s="413"/>
      <c r="E313" s="413"/>
      <c r="F313" s="367"/>
      <c r="G313" s="367"/>
      <c r="H313" s="367"/>
      <c r="I313" s="367"/>
      <c r="J313" s="367"/>
      <c r="K313" s="367"/>
      <c r="L313" s="367"/>
      <c r="M313" s="367"/>
      <c r="N313" s="367"/>
      <c r="O313" s="367"/>
      <c r="P313" s="367"/>
      <c r="Q313" s="367"/>
      <c r="R313" s="367"/>
      <c r="S313" s="367"/>
      <c r="T313" s="367"/>
      <c r="U313" s="367"/>
      <c r="V313" s="367"/>
      <c r="W313" s="367"/>
      <c r="X313" s="367"/>
      <c r="Y313" s="367"/>
      <c r="Z313" s="367"/>
    </row>
    <row r="314" ht="12.75" customHeight="1" spans="1:26">
      <c r="A314" s="363"/>
      <c r="B314" s="412"/>
      <c r="C314" s="367"/>
      <c r="D314" s="413"/>
      <c r="E314" s="413"/>
      <c r="F314" s="367"/>
      <c r="G314" s="367"/>
      <c r="H314" s="367"/>
      <c r="I314" s="367"/>
      <c r="J314" s="367"/>
      <c r="K314" s="367"/>
      <c r="L314" s="367"/>
      <c r="M314" s="367"/>
      <c r="N314" s="367"/>
      <c r="O314" s="367"/>
      <c r="P314" s="367"/>
      <c r="Q314" s="367"/>
      <c r="R314" s="367"/>
      <c r="S314" s="367"/>
      <c r="T314" s="367"/>
      <c r="U314" s="367"/>
      <c r="V314" s="367"/>
      <c r="W314" s="367"/>
      <c r="X314" s="367"/>
      <c r="Y314" s="367"/>
      <c r="Z314" s="367"/>
    </row>
    <row r="315" ht="12.75" customHeight="1" spans="1:26">
      <c r="A315" s="363"/>
      <c r="B315" s="412"/>
      <c r="C315" s="367"/>
      <c r="D315" s="413"/>
      <c r="E315" s="413"/>
      <c r="F315" s="367"/>
      <c r="G315" s="367"/>
      <c r="H315" s="367"/>
      <c r="I315" s="367"/>
      <c r="J315" s="367"/>
      <c r="K315" s="367"/>
      <c r="L315" s="367"/>
      <c r="M315" s="367"/>
      <c r="N315" s="367"/>
      <c r="O315" s="367"/>
      <c r="P315" s="367"/>
      <c r="Q315" s="367"/>
      <c r="R315" s="367"/>
      <c r="S315" s="367"/>
      <c r="T315" s="367"/>
      <c r="U315" s="367"/>
      <c r="V315" s="367"/>
      <c r="W315" s="367"/>
      <c r="X315" s="367"/>
      <c r="Y315" s="367"/>
      <c r="Z315" s="367"/>
    </row>
    <row r="316" ht="12.75" customHeight="1" spans="1:26">
      <c r="A316" s="363"/>
      <c r="B316" s="412"/>
      <c r="C316" s="367"/>
      <c r="D316" s="413"/>
      <c r="E316" s="413"/>
      <c r="F316" s="367"/>
      <c r="G316" s="367"/>
      <c r="H316" s="367"/>
      <c r="I316" s="367"/>
      <c r="J316" s="367"/>
      <c r="K316" s="367"/>
      <c r="L316" s="367"/>
      <c r="M316" s="367"/>
      <c r="N316" s="367"/>
      <c r="O316" s="367"/>
      <c r="P316" s="367"/>
      <c r="Q316" s="367"/>
      <c r="R316" s="367"/>
      <c r="S316" s="367"/>
      <c r="T316" s="367"/>
      <c r="U316" s="367"/>
      <c r="V316" s="367"/>
      <c r="W316" s="367"/>
      <c r="X316" s="367"/>
      <c r="Y316" s="367"/>
      <c r="Z316" s="367"/>
    </row>
    <row r="317" ht="12.75" customHeight="1" spans="1:26">
      <c r="A317" s="363"/>
      <c r="B317" s="412"/>
      <c r="C317" s="367"/>
      <c r="D317" s="413"/>
      <c r="E317" s="413"/>
      <c r="F317" s="367"/>
      <c r="G317" s="367"/>
      <c r="H317" s="367"/>
      <c r="I317" s="367"/>
      <c r="J317" s="367"/>
      <c r="K317" s="367"/>
      <c r="L317" s="367"/>
      <c r="M317" s="367"/>
      <c r="N317" s="367"/>
      <c r="O317" s="367"/>
      <c r="P317" s="367"/>
      <c r="Q317" s="367"/>
      <c r="R317" s="367"/>
      <c r="S317" s="367"/>
      <c r="T317" s="367"/>
      <c r="U317" s="367"/>
      <c r="V317" s="367"/>
      <c r="W317" s="367"/>
      <c r="X317" s="367"/>
      <c r="Y317" s="367"/>
      <c r="Z317" s="367"/>
    </row>
    <row r="318" ht="12.75" customHeight="1" spans="1:26">
      <c r="A318" s="363"/>
      <c r="B318" s="412"/>
      <c r="C318" s="367"/>
      <c r="D318" s="413"/>
      <c r="E318" s="413"/>
      <c r="F318" s="367"/>
      <c r="G318" s="367"/>
      <c r="H318" s="367"/>
      <c r="I318" s="367"/>
      <c r="J318" s="367"/>
      <c r="K318" s="367"/>
      <c r="L318" s="367"/>
      <c r="M318" s="367"/>
      <c r="N318" s="367"/>
      <c r="O318" s="367"/>
      <c r="P318" s="367"/>
      <c r="Q318" s="367"/>
      <c r="R318" s="367"/>
      <c r="S318" s="367"/>
      <c r="T318" s="367"/>
      <c r="U318" s="367"/>
      <c r="V318" s="367"/>
      <c r="W318" s="367"/>
      <c r="X318" s="367"/>
      <c r="Y318" s="367"/>
      <c r="Z318" s="367"/>
    </row>
    <row r="319" ht="12.75" customHeight="1" spans="1:26">
      <c r="A319" s="363"/>
      <c r="B319" s="412"/>
      <c r="C319" s="367"/>
      <c r="D319" s="413"/>
      <c r="E319" s="413"/>
      <c r="F319" s="367"/>
      <c r="G319" s="367"/>
      <c r="H319" s="367"/>
      <c r="I319" s="367"/>
      <c r="J319" s="367"/>
      <c r="K319" s="367"/>
      <c r="L319" s="367"/>
      <c r="M319" s="367"/>
      <c r="N319" s="367"/>
      <c r="O319" s="367"/>
      <c r="P319" s="367"/>
      <c r="Q319" s="367"/>
      <c r="R319" s="367"/>
      <c r="S319" s="367"/>
      <c r="T319" s="367"/>
      <c r="U319" s="367"/>
      <c r="V319" s="367"/>
      <c r="W319" s="367"/>
      <c r="X319" s="367"/>
      <c r="Y319" s="367"/>
      <c r="Z319" s="367"/>
    </row>
    <row r="320" ht="12.75" customHeight="1" spans="1:26">
      <c r="A320" s="363"/>
      <c r="B320" s="412"/>
      <c r="C320" s="367"/>
      <c r="D320" s="413"/>
      <c r="E320" s="413"/>
      <c r="F320" s="367"/>
      <c r="G320" s="367"/>
      <c r="H320" s="367"/>
      <c r="I320" s="367"/>
      <c r="J320" s="367"/>
      <c r="K320" s="367"/>
      <c r="L320" s="367"/>
      <c r="M320" s="367"/>
      <c r="N320" s="367"/>
      <c r="O320" s="367"/>
      <c r="P320" s="367"/>
      <c r="Q320" s="367"/>
      <c r="R320" s="367"/>
      <c r="S320" s="367"/>
      <c r="T320" s="367"/>
      <c r="U320" s="367"/>
      <c r="V320" s="367"/>
      <c r="W320" s="367"/>
      <c r="X320" s="367"/>
      <c r="Y320" s="367"/>
      <c r="Z320" s="367"/>
    </row>
    <row r="321" ht="12.75" customHeight="1" spans="1:26">
      <c r="A321" s="363"/>
      <c r="B321" s="412"/>
      <c r="C321" s="367"/>
      <c r="D321" s="413"/>
      <c r="E321" s="413"/>
      <c r="F321" s="367"/>
      <c r="G321" s="367"/>
      <c r="H321" s="367"/>
      <c r="I321" s="367"/>
      <c r="J321" s="367"/>
      <c r="K321" s="367"/>
      <c r="L321" s="367"/>
      <c r="M321" s="367"/>
      <c r="N321" s="367"/>
      <c r="O321" s="367"/>
      <c r="P321" s="367"/>
      <c r="Q321" s="367"/>
      <c r="R321" s="367"/>
      <c r="S321" s="367"/>
      <c r="T321" s="367"/>
      <c r="U321" s="367"/>
      <c r="V321" s="367"/>
      <c r="W321" s="367"/>
      <c r="X321" s="367"/>
      <c r="Y321" s="367"/>
      <c r="Z321" s="367"/>
    </row>
    <row r="322" ht="12.75" customHeight="1" spans="1:26">
      <c r="A322" s="363"/>
      <c r="B322" s="412"/>
      <c r="C322" s="367"/>
      <c r="D322" s="413"/>
      <c r="E322" s="413"/>
      <c r="F322" s="367"/>
      <c r="G322" s="367"/>
      <c r="H322" s="367"/>
      <c r="I322" s="367"/>
      <c r="J322" s="367"/>
      <c r="K322" s="367"/>
      <c r="L322" s="367"/>
      <c r="M322" s="367"/>
      <c r="N322" s="367"/>
      <c r="O322" s="367"/>
      <c r="P322" s="367"/>
      <c r="Q322" s="367"/>
      <c r="R322" s="367"/>
      <c r="S322" s="367"/>
      <c r="T322" s="367"/>
      <c r="U322" s="367"/>
      <c r="V322" s="367"/>
      <c r="W322" s="367"/>
      <c r="X322" s="367"/>
      <c r="Y322" s="367"/>
      <c r="Z322" s="367"/>
    </row>
    <row r="323" ht="12.75" customHeight="1" spans="1:26">
      <c r="A323" s="363"/>
      <c r="B323" s="412"/>
      <c r="C323" s="367"/>
      <c r="D323" s="413"/>
      <c r="E323" s="413"/>
      <c r="F323" s="367"/>
      <c r="G323" s="367"/>
      <c r="H323" s="367"/>
      <c r="I323" s="367"/>
      <c r="J323" s="367"/>
      <c r="K323" s="367"/>
      <c r="L323" s="367"/>
      <c r="M323" s="367"/>
      <c r="N323" s="367"/>
      <c r="O323" s="367"/>
      <c r="P323" s="367"/>
      <c r="Q323" s="367"/>
      <c r="R323" s="367"/>
      <c r="S323" s="367"/>
      <c r="T323" s="367"/>
      <c r="U323" s="367"/>
      <c r="V323" s="367"/>
      <c r="W323" s="367"/>
      <c r="X323" s="367"/>
      <c r="Y323" s="367"/>
      <c r="Z323" s="367"/>
    </row>
    <row r="324" ht="12.75" customHeight="1" spans="1:26">
      <c r="A324" s="363"/>
      <c r="B324" s="412"/>
      <c r="C324" s="367"/>
      <c r="D324" s="413"/>
      <c r="E324" s="413"/>
      <c r="F324" s="367"/>
      <c r="G324" s="367"/>
      <c r="H324" s="367"/>
      <c r="I324" s="367"/>
      <c r="J324" s="367"/>
      <c r="K324" s="367"/>
      <c r="L324" s="367"/>
      <c r="M324" s="367"/>
      <c r="N324" s="367"/>
      <c r="O324" s="367"/>
      <c r="P324" s="367"/>
      <c r="Q324" s="367"/>
      <c r="R324" s="367"/>
      <c r="S324" s="367"/>
      <c r="T324" s="367"/>
      <c r="U324" s="367"/>
      <c r="V324" s="367"/>
      <c r="W324" s="367"/>
      <c r="X324" s="367"/>
      <c r="Y324" s="367"/>
      <c r="Z324" s="367"/>
    </row>
    <row r="325" ht="12.75" customHeight="1" spans="1:26">
      <c r="A325" s="363"/>
      <c r="B325" s="412"/>
      <c r="C325" s="367"/>
      <c r="D325" s="413"/>
      <c r="E325" s="413"/>
      <c r="F325" s="367"/>
      <c r="G325" s="367"/>
      <c r="H325" s="367"/>
      <c r="I325" s="367"/>
      <c r="J325" s="367"/>
      <c r="K325" s="367"/>
      <c r="L325" s="367"/>
      <c r="M325" s="367"/>
      <c r="N325" s="367"/>
      <c r="O325" s="367"/>
      <c r="P325" s="367"/>
      <c r="Q325" s="367"/>
      <c r="R325" s="367"/>
      <c r="S325" s="367"/>
      <c r="T325" s="367"/>
      <c r="U325" s="367"/>
      <c r="V325" s="367"/>
      <c r="W325" s="367"/>
      <c r="X325" s="367"/>
      <c r="Y325" s="367"/>
      <c r="Z325" s="367"/>
    </row>
    <row r="326" ht="12.75" customHeight="1" spans="1:26">
      <c r="A326" s="363"/>
      <c r="B326" s="412"/>
      <c r="C326" s="367"/>
      <c r="D326" s="413"/>
      <c r="E326" s="413"/>
      <c r="F326" s="367"/>
      <c r="G326" s="367"/>
      <c r="H326" s="367"/>
      <c r="I326" s="367"/>
      <c r="J326" s="367"/>
      <c r="K326" s="367"/>
      <c r="L326" s="367"/>
      <c r="M326" s="367"/>
      <c r="N326" s="367"/>
      <c r="O326" s="367"/>
      <c r="P326" s="367"/>
      <c r="Q326" s="367"/>
      <c r="R326" s="367"/>
      <c r="S326" s="367"/>
      <c r="T326" s="367"/>
      <c r="U326" s="367"/>
      <c r="V326" s="367"/>
      <c r="W326" s="367"/>
      <c r="X326" s="367"/>
      <c r="Y326" s="367"/>
      <c r="Z326" s="367"/>
    </row>
    <row r="327" ht="12.75" customHeight="1" spans="1:26">
      <c r="A327" s="363"/>
      <c r="B327" s="412"/>
      <c r="C327" s="367"/>
      <c r="D327" s="413"/>
      <c r="E327" s="413"/>
      <c r="F327" s="367"/>
      <c r="G327" s="367"/>
      <c r="H327" s="367"/>
      <c r="I327" s="367"/>
      <c r="J327" s="367"/>
      <c r="K327" s="367"/>
      <c r="L327" s="367"/>
      <c r="M327" s="367"/>
      <c r="N327" s="367"/>
      <c r="O327" s="367"/>
      <c r="P327" s="367"/>
      <c r="Q327" s="367"/>
      <c r="R327" s="367"/>
      <c r="S327" s="367"/>
      <c r="T327" s="367"/>
      <c r="U327" s="367"/>
      <c r="V327" s="367"/>
      <c r="W327" s="367"/>
      <c r="X327" s="367"/>
      <c r="Y327" s="367"/>
      <c r="Z327" s="367"/>
    </row>
    <row r="328" ht="12.75" customHeight="1" spans="1:26">
      <c r="A328" s="363"/>
      <c r="B328" s="412"/>
      <c r="C328" s="367"/>
      <c r="D328" s="413"/>
      <c r="E328" s="413"/>
      <c r="F328" s="367"/>
      <c r="G328" s="367"/>
      <c r="H328" s="367"/>
      <c r="I328" s="367"/>
      <c r="J328" s="367"/>
      <c r="K328" s="367"/>
      <c r="L328" s="367"/>
      <c r="M328" s="367"/>
      <c r="N328" s="367"/>
      <c r="O328" s="367"/>
      <c r="P328" s="367"/>
      <c r="Q328" s="367"/>
      <c r="R328" s="367"/>
      <c r="S328" s="367"/>
      <c r="T328" s="367"/>
      <c r="U328" s="367"/>
      <c r="V328" s="367"/>
      <c r="W328" s="367"/>
      <c r="X328" s="367"/>
      <c r="Y328" s="367"/>
      <c r="Z328" s="367"/>
    </row>
    <row r="329" ht="12.75" customHeight="1" spans="1:26">
      <c r="A329" s="363"/>
      <c r="B329" s="412"/>
      <c r="C329" s="367"/>
      <c r="D329" s="413"/>
      <c r="E329" s="413"/>
      <c r="F329" s="367"/>
      <c r="G329" s="367"/>
      <c r="H329" s="367"/>
      <c r="I329" s="367"/>
      <c r="J329" s="367"/>
      <c r="K329" s="367"/>
      <c r="L329" s="367"/>
      <c r="M329" s="367"/>
      <c r="N329" s="367"/>
      <c r="O329" s="367"/>
      <c r="P329" s="367"/>
      <c r="Q329" s="367"/>
      <c r="R329" s="367"/>
      <c r="S329" s="367"/>
      <c r="T329" s="367"/>
      <c r="U329" s="367"/>
      <c r="V329" s="367"/>
      <c r="W329" s="367"/>
      <c r="X329" s="367"/>
      <c r="Y329" s="367"/>
      <c r="Z329" s="367"/>
    </row>
    <row r="330" ht="12.75" customHeight="1" spans="1:26">
      <c r="A330" s="363"/>
      <c r="B330" s="412"/>
      <c r="C330" s="367"/>
      <c r="D330" s="413"/>
      <c r="E330" s="413"/>
      <c r="F330" s="367"/>
      <c r="G330" s="367"/>
      <c r="H330" s="367"/>
      <c r="I330" s="367"/>
      <c r="J330" s="367"/>
      <c r="K330" s="367"/>
      <c r="L330" s="367"/>
      <c r="M330" s="367"/>
      <c r="N330" s="367"/>
      <c r="O330" s="367"/>
      <c r="P330" s="367"/>
      <c r="Q330" s="367"/>
      <c r="R330" s="367"/>
      <c r="S330" s="367"/>
      <c r="T330" s="367"/>
      <c r="U330" s="367"/>
      <c r="V330" s="367"/>
      <c r="W330" s="367"/>
      <c r="X330" s="367"/>
      <c r="Y330" s="367"/>
      <c r="Z330" s="367"/>
    </row>
    <row r="331" ht="12.75" customHeight="1" spans="1:26">
      <c r="A331" s="363"/>
      <c r="B331" s="412"/>
      <c r="C331" s="367"/>
      <c r="D331" s="413"/>
      <c r="E331" s="413"/>
      <c r="F331" s="367"/>
      <c r="G331" s="367"/>
      <c r="H331" s="367"/>
      <c r="I331" s="367"/>
      <c r="J331" s="367"/>
      <c r="K331" s="367"/>
      <c r="L331" s="367"/>
      <c r="M331" s="367"/>
      <c r="N331" s="367"/>
      <c r="O331" s="367"/>
      <c r="P331" s="367"/>
      <c r="Q331" s="367"/>
      <c r="R331" s="367"/>
      <c r="S331" s="367"/>
      <c r="T331" s="367"/>
      <c r="U331" s="367"/>
      <c r="V331" s="367"/>
      <c r="W331" s="367"/>
      <c r="X331" s="367"/>
      <c r="Y331" s="367"/>
      <c r="Z331" s="367"/>
    </row>
    <row r="332" ht="12.75" customHeight="1" spans="1:26">
      <c r="A332" s="363"/>
      <c r="B332" s="412"/>
      <c r="C332" s="367"/>
      <c r="D332" s="413"/>
      <c r="E332" s="413"/>
      <c r="F332" s="367"/>
      <c r="G332" s="367"/>
      <c r="H332" s="367"/>
      <c r="I332" s="367"/>
      <c r="J332" s="367"/>
      <c r="K332" s="367"/>
      <c r="L332" s="367"/>
      <c r="M332" s="367"/>
      <c r="N332" s="367"/>
      <c r="O332" s="367"/>
      <c r="P332" s="367"/>
      <c r="Q332" s="367"/>
      <c r="R332" s="367"/>
      <c r="S332" s="367"/>
      <c r="T332" s="367"/>
      <c r="U332" s="367"/>
      <c r="V332" s="367"/>
      <c r="W332" s="367"/>
      <c r="X332" s="367"/>
      <c r="Y332" s="367"/>
      <c r="Z332" s="367"/>
    </row>
    <row r="333" ht="12.75" customHeight="1" spans="1:26">
      <c r="A333" s="363"/>
      <c r="B333" s="412"/>
      <c r="C333" s="367"/>
      <c r="D333" s="413"/>
      <c r="E333" s="413"/>
      <c r="F333" s="367"/>
      <c r="G333" s="367"/>
      <c r="H333" s="367"/>
      <c r="I333" s="367"/>
      <c r="J333" s="367"/>
      <c r="K333" s="367"/>
      <c r="L333" s="367"/>
      <c r="M333" s="367"/>
      <c r="N333" s="367"/>
      <c r="O333" s="367"/>
      <c r="P333" s="367"/>
      <c r="Q333" s="367"/>
      <c r="R333" s="367"/>
      <c r="S333" s="367"/>
      <c r="T333" s="367"/>
      <c r="U333" s="367"/>
      <c r="V333" s="367"/>
      <c r="W333" s="367"/>
      <c r="X333" s="367"/>
      <c r="Y333" s="367"/>
      <c r="Z333" s="367"/>
    </row>
    <row r="334" ht="12.75" customHeight="1" spans="1:26">
      <c r="A334" s="363"/>
      <c r="B334" s="412"/>
      <c r="C334" s="367"/>
      <c r="D334" s="413"/>
      <c r="E334" s="413"/>
      <c r="F334" s="367"/>
      <c r="G334" s="367"/>
      <c r="H334" s="367"/>
      <c r="I334" s="367"/>
      <c r="J334" s="367"/>
      <c r="K334" s="367"/>
      <c r="L334" s="367"/>
      <c r="M334" s="367"/>
      <c r="N334" s="367"/>
      <c r="O334" s="367"/>
      <c r="P334" s="367"/>
      <c r="Q334" s="367"/>
      <c r="R334" s="367"/>
      <c r="S334" s="367"/>
      <c r="T334" s="367"/>
      <c r="U334" s="367"/>
      <c r="V334" s="367"/>
      <c r="W334" s="367"/>
      <c r="X334" s="367"/>
      <c r="Y334" s="367"/>
      <c r="Z334" s="367"/>
    </row>
    <row r="335" ht="12.75" customHeight="1" spans="1:26">
      <c r="A335" s="363"/>
      <c r="B335" s="412"/>
      <c r="C335" s="367"/>
      <c r="D335" s="413"/>
      <c r="E335" s="413"/>
      <c r="F335" s="367"/>
      <c r="G335" s="367"/>
      <c r="H335" s="367"/>
      <c r="I335" s="367"/>
      <c r="J335" s="367"/>
      <c r="K335" s="367"/>
      <c r="L335" s="367"/>
      <c r="M335" s="367"/>
      <c r="N335" s="367"/>
      <c r="O335" s="367"/>
      <c r="P335" s="367"/>
      <c r="Q335" s="367"/>
      <c r="R335" s="367"/>
      <c r="S335" s="367"/>
      <c r="T335" s="367"/>
      <c r="U335" s="367"/>
      <c r="V335" s="367"/>
      <c r="W335" s="367"/>
      <c r="X335" s="367"/>
      <c r="Y335" s="367"/>
      <c r="Z335" s="367"/>
    </row>
    <row r="336" ht="12.75" customHeight="1" spans="1:26">
      <c r="A336" s="363"/>
      <c r="B336" s="412"/>
      <c r="C336" s="367"/>
      <c r="D336" s="413"/>
      <c r="E336" s="413"/>
      <c r="F336" s="367"/>
      <c r="G336" s="367"/>
      <c r="H336" s="367"/>
      <c r="I336" s="367"/>
      <c r="J336" s="367"/>
      <c r="K336" s="367"/>
      <c r="L336" s="367"/>
      <c r="M336" s="367"/>
      <c r="N336" s="367"/>
      <c r="O336" s="367"/>
      <c r="P336" s="367"/>
      <c r="Q336" s="367"/>
      <c r="R336" s="367"/>
      <c r="S336" s="367"/>
      <c r="T336" s="367"/>
      <c r="U336" s="367"/>
      <c r="V336" s="367"/>
      <c r="W336" s="367"/>
      <c r="X336" s="367"/>
      <c r="Y336" s="367"/>
      <c r="Z336" s="367"/>
    </row>
    <row r="337" ht="12.75" customHeight="1" spans="1:26">
      <c r="A337" s="363"/>
      <c r="B337" s="412"/>
      <c r="C337" s="367"/>
      <c r="D337" s="413"/>
      <c r="E337" s="413"/>
      <c r="F337" s="367"/>
      <c r="G337" s="367"/>
      <c r="H337" s="367"/>
      <c r="I337" s="367"/>
      <c r="J337" s="367"/>
      <c r="K337" s="367"/>
      <c r="L337" s="367"/>
      <c r="M337" s="367"/>
      <c r="N337" s="367"/>
      <c r="O337" s="367"/>
      <c r="P337" s="367"/>
      <c r="Q337" s="367"/>
      <c r="R337" s="367"/>
      <c r="S337" s="367"/>
      <c r="T337" s="367"/>
      <c r="U337" s="367"/>
      <c r="V337" s="367"/>
      <c r="W337" s="367"/>
      <c r="X337" s="367"/>
      <c r="Y337" s="367"/>
      <c r="Z337" s="367"/>
    </row>
    <row r="338" ht="12.75" customHeight="1" spans="1:26">
      <c r="A338" s="363"/>
      <c r="B338" s="412"/>
      <c r="C338" s="367"/>
      <c r="D338" s="413"/>
      <c r="E338" s="413"/>
      <c r="F338" s="367"/>
      <c r="G338" s="367"/>
      <c r="H338" s="367"/>
      <c r="I338" s="367"/>
      <c r="J338" s="367"/>
      <c r="K338" s="367"/>
      <c r="L338" s="367"/>
      <c r="M338" s="367"/>
      <c r="N338" s="367"/>
      <c r="O338" s="367"/>
      <c r="P338" s="367"/>
      <c r="Q338" s="367"/>
      <c r="R338" s="367"/>
      <c r="S338" s="367"/>
      <c r="T338" s="367"/>
      <c r="U338" s="367"/>
      <c r="V338" s="367"/>
      <c r="W338" s="367"/>
      <c r="X338" s="367"/>
      <c r="Y338" s="367"/>
      <c r="Z338" s="367"/>
    </row>
    <row r="339" ht="12.75" customHeight="1" spans="1:26">
      <c r="A339" s="363"/>
      <c r="B339" s="412"/>
      <c r="C339" s="367"/>
      <c r="D339" s="413"/>
      <c r="E339" s="413"/>
      <c r="F339" s="367"/>
      <c r="G339" s="367"/>
      <c r="H339" s="367"/>
      <c r="I339" s="367"/>
      <c r="J339" s="367"/>
      <c r="K339" s="367"/>
      <c r="L339" s="367"/>
      <c r="M339" s="367"/>
      <c r="N339" s="367"/>
      <c r="O339" s="367"/>
      <c r="P339" s="367"/>
      <c r="Q339" s="367"/>
      <c r="R339" s="367"/>
      <c r="S339" s="367"/>
      <c r="T339" s="367"/>
      <c r="U339" s="367"/>
      <c r="V339" s="367"/>
      <c r="W339" s="367"/>
      <c r="X339" s="367"/>
      <c r="Y339" s="367"/>
      <c r="Z339" s="367"/>
    </row>
    <row r="340" ht="12.75" customHeight="1" spans="1:26">
      <c r="A340" s="363"/>
      <c r="B340" s="412"/>
      <c r="C340" s="367"/>
      <c r="D340" s="413"/>
      <c r="E340" s="413"/>
      <c r="F340" s="367"/>
      <c r="G340" s="367"/>
      <c r="H340" s="367"/>
      <c r="I340" s="367"/>
      <c r="J340" s="367"/>
      <c r="K340" s="367"/>
      <c r="L340" s="367"/>
      <c r="M340" s="367"/>
      <c r="N340" s="367"/>
      <c r="O340" s="367"/>
      <c r="P340" s="367"/>
      <c r="Q340" s="367"/>
      <c r="R340" s="367"/>
      <c r="S340" s="367"/>
      <c r="T340" s="367"/>
      <c r="U340" s="367"/>
      <c r="V340" s="367"/>
      <c r="W340" s="367"/>
      <c r="X340" s="367"/>
      <c r="Y340" s="367"/>
      <c r="Z340" s="367"/>
    </row>
    <row r="341" ht="12.75" customHeight="1" spans="1:26">
      <c r="A341" s="363"/>
      <c r="B341" s="412"/>
      <c r="C341" s="367"/>
      <c r="D341" s="413"/>
      <c r="E341" s="413"/>
      <c r="F341" s="367"/>
      <c r="G341" s="367"/>
      <c r="H341" s="367"/>
      <c r="I341" s="367"/>
      <c r="J341" s="367"/>
      <c r="K341" s="367"/>
      <c r="L341" s="367"/>
      <c r="M341" s="367"/>
      <c r="N341" s="367"/>
      <c r="O341" s="367"/>
      <c r="P341" s="367"/>
      <c r="Q341" s="367"/>
      <c r="R341" s="367"/>
      <c r="S341" s="367"/>
      <c r="T341" s="367"/>
      <c r="U341" s="367"/>
      <c r="V341" s="367"/>
      <c r="W341" s="367"/>
      <c r="X341" s="367"/>
      <c r="Y341" s="367"/>
      <c r="Z341" s="367"/>
    </row>
    <row r="342" ht="12.75" customHeight="1" spans="1:26">
      <c r="A342" s="363"/>
      <c r="B342" s="412"/>
      <c r="C342" s="367"/>
      <c r="D342" s="413"/>
      <c r="E342" s="413"/>
      <c r="F342" s="367"/>
      <c r="G342" s="367"/>
      <c r="H342" s="367"/>
      <c r="I342" s="367"/>
      <c r="J342" s="367"/>
      <c r="K342" s="367"/>
      <c r="L342" s="367"/>
      <c r="M342" s="367"/>
      <c r="N342" s="367"/>
      <c r="O342" s="367"/>
      <c r="P342" s="367"/>
      <c r="Q342" s="367"/>
      <c r="R342" s="367"/>
      <c r="S342" s="367"/>
      <c r="T342" s="367"/>
      <c r="U342" s="367"/>
      <c r="V342" s="367"/>
      <c r="W342" s="367"/>
      <c r="X342" s="367"/>
      <c r="Y342" s="367"/>
      <c r="Z342" s="367"/>
    </row>
    <row r="343" ht="12.75" customHeight="1" spans="1:26">
      <c r="A343" s="363"/>
      <c r="B343" s="412"/>
      <c r="C343" s="367"/>
      <c r="D343" s="413"/>
      <c r="E343" s="413"/>
      <c r="F343" s="367"/>
      <c r="G343" s="367"/>
      <c r="H343" s="367"/>
      <c r="I343" s="367"/>
      <c r="J343" s="367"/>
      <c r="K343" s="367"/>
      <c r="L343" s="367"/>
      <c r="M343" s="367"/>
      <c r="N343" s="367"/>
      <c r="O343" s="367"/>
      <c r="P343" s="367"/>
      <c r="Q343" s="367"/>
      <c r="R343" s="367"/>
      <c r="S343" s="367"/>
      <c r="T343" s="367"/>
      <c r="U343" s="367"/>
      <c r="V343" s="367"/>
      <c r="W343" s="367"/>
      <c r="X343" s="367"/>
      <c r="Y343" s="367"/>
      <c r="Z343" s="367"/>
    </row>
    <row r="344" ht="12.75" customHeight="1" spans="1:26">
      <c r="A344" s="363"/>
      <c r="B344" s="412"/>
      <c r="C344" s="367"/>
      <c r="D344" s="413"/>
      <c r="E344" s="413"/>
      <c r="F344" s="367"/>
      <c r="G344" s="367"/>
      <c r="H344" s="367"/>
      <c r="I344" s="367"/>
      <c r="J344" s="367"/>
      <c r="K344" s="367"/>
      <c r="L344" s="367"/>
      <c r="M344" s="367"/>
      <c r="N344" s="367"/>
      <c r="O344" s="367"/>
      <c r="P344" s="367"/>
      <c r="Q344" s="367"/>
      <c r="R344" s="367"/>
      <c r="S344" s="367"/>
      <c r="T344" s="367"/>
      <c r="U344" s="367"/>
      <c r="V344" s="367"/>
      <c r="W344" s="367"/>
      <c r="X344" s="367"/>
      <c r="Y344" s="367"/>
      <c r="Z344" s="367"/>
    </row>
    <row r="345" ht="12.75" customHeight="1" spans="1:26">
      <c r="A345" s="363"/>
      <c r="B345" s="412"/>
      <c r="C345" s="367"/>
      <c r="D345" s="413"/>
      <c r="E345" s="413"/>
      <c r="F345" s="367"/>
      <c r="G345" s="367"/>
      <c r="H345" s="367"/>
      <c r="I345" s="367"/>
      <c r="J345" s="367"/>
      <c r="K345" s="367"/>
      <c r="L345" s="367"/>
      <c r="M345" s="367"/>
      <c r="N345" s="367"/>
      <c r="O345" s="367"/>
      <c r="P345" s="367"/>
      <c r="Q345" s="367"/>
      <c r="R345" s="367"/>
      <c r="S345" s="367"/>
      <c r="T345" s="367"/>
      <c r="U345" s="367"/>
      <c r="V345" s="367"/>
      <c r="W345" s="367"/>
      <c r="X345" s="367"/>
      <c r="Y345" s="367"/>
      <c r="Z345" s="367"/>
    </row>
    <row r="346" ht="12.75" customHeight="1" spans="1:26">
      <c r="A346" s="363"/>
      <c r="B346" s="412"/>
      <c r="C346" s="367"/>
      <c r="D346" s="413"/>
      <c r="E346" s="413"/>
      <c r="F346" s="367"/>
      <c r="G346" s="367"/>
      <c r="H346" s="367"/>
      <c r="I346" s="367"/>
      <c r="J346" s="367"/>
      <c r="K346" s="367"/>
      <c r="L346" s="367"/>
      <c r="M346" s="367"/>
      <c r="N346" s="367"/>
      <c r="O346" s="367"/>
      <c r="P346" s="367"/>
      <c r="Q346" s="367"/>
      <c r="R346" s="367"/>
      <c r="S346" s="367"/>
      <c r="T346" s="367"/>
      <c r="U346" s="367"/>
      <c r="V346" s="367"/>
      <c r="W346" s="367"/>
      <c r="X346" s="367"/>
      <c r="Y346" s="367"/>
      <c r="Z346" s="367"/>
    </row>
    <row r="347" ht="12.75" customHeight="1" spans="1:26">
      <c r="A347" s="363"/>
      <c r="B347" s="412"/>
      <c r="C347" s="367"/>
      <c r="D347" s="413"/>
      <c r="E347" s="413"/>
      <c r="F347" s="367"/>
      <c r="G347" s="367"/>
      <c r="H347" s="367"/>
      <c r="I347" s="367"/>
      <c r="J347" s="367"/>
      <c r="K347" s="367"/>
      <c r="L347" s="367"/>
      <c r="M347" s="367"/>
      <c r="N347" s="367"/>
      <c r="O347" s="367"/>
      <c r="P347" s="367"/>
      <c r="Q347" s="367"/>
      <c r="R347" s="367"/>
      <c r="S347" s="367"/>
      <c r="T347" s="367"/>
      <c r="U347" s="367"/>
      <c r="V347" s="367"/>
      <c r="W347" s="367"/>
      <c r="X347" s="367"/>
      <c r="Y347" s="367"/>
      <c r="Z347" s="367"/>
    </row>
    <row r="348" ht="12.75" customHeight="1" spans="1:26">
      <c r="A348" s="363"/>
      <c r="B348" s="412"/>
      <c r="C348" s="367"/>
      <c r="D348" s="413"/>
      <c r="E348" s="413"/>
      <c r="F348" s="367"/>
      <c r="G348" s="367"/>
      <c r="H348" s="367"/>
      <c r="I348" s="367"/>
      <c r="J348" s="367"/>
      <c r="K348" s="367"/>
      <c r="L348" s="367"/>
      <c r="M348" s="367"/>
      <c r="N348" s="367"/>
      <c r="O348" s="367"/>
      <c r="P348" s="367"/>
      <c r="Q348" s="367"/>
      <c r="R348" s="367"/>
      <c r="S348" s="367"/>
      <c r="T348" s="367"/>
      <c r="U348" s="367"/>
      <c r="V348" s="367"/>
      <c r="W348" s="367"/>
      <c r="X348" s="367"/>
      <c r="Y348" s="367"/>
      <c r="Z348" s="367"/>
    </row>
    <row r="349" ht="12.75" customHeight="1" spans="1:26">
      <c r="A349" s="363"/>
      <c r="B349" s="412"/>
      <c r="C349" s="367"/>
      <c r="D349" s="413"/>
      <c r="E349" s="413"/>
      <c r="F349" s="367"/>
      <c r="G349" s="367"/>
      <c r="H349" s="367"/>
      <c r="I349" s="367"/>
      <c r="J349" s="367"/>
      <c r="K349" s="367"/>
      <c r="L349" s="367"/>
      <c r="M349" s="367"/>
      <c r="N349" s="367"/>
      <c r="O349" s="367"/>
      <c r="P349" s="367"/>
      <c r="Q349" s="367"/>
      <c r="R349" s="367"/>
      <c r="S349" s="367"/>
      <c r="T349" s="367"/>
      <c r="U349" s="367"/>
      <c r="V349" s="367"/>
      <c r="W349" s="367"/>
      <c r="X349" s="367"/>
      <c r="Y349" s="367"/>
      <c r="Z349" s="367"/>
    </row>
    <row r="350" ht="12.75" customHeight="1" spans="1:26">
      <c r="A350" s="363"/>
      <c r="B350" s="412"/>
      <c r="C350" s="367"/>
      <c r="D350" s="413"/>
      <c r="E350" s="413"/>
      <c r="F350" s="367"/>
      <c r="G350" s="367"/>
      <c r="H350" s="367"/>
      <c r="I350" s="367"/>
      <c r="J350" s="367"/>
      <c r="K350" s="367"/>
      <c r="L350" s="367"/>
      <c r="M350" s="367"/>
      <c r="N350" s="367"/>
      <c r="O350" s="367"/>
      <c r="P350" s="367"/>
      <c r="Q350" s="367"/>
      <c r="R350" s="367"/>
      <c r="S350" s="367"/>
      <c r="T350" s="367"/>
      <c r="U350" s="367"/>
      <c r="V350" s="367"/>
      <c r="W350" s="367"/>
      <c r="X350" s="367"/>
      <c r="Y350" s="367"/>
      <c r="Z350" s="367"/>
    </row>
    <row r="351" ht="12.75" customHeight="1" spans="1:26">
      <c r="A351" s="363"/>
      <c r="B351" s="412"/>
      <c r="C351" s="367"/>
      <c r="D351" s="413"/>
      <c r="E351" s="413"/>
      <c r="F351" s="367"/>
      <c r="G351" s="367"/>
      <c r="H351" s="367"/>
      <c r="I351" s="367"/>
      <c r="J351" s="367"/>
      <c r="K351" s="367"/>
      <c r="L351" s="367"/>
      <c r="M351" s="367"/>
      <c r="N351" s="367"/>
      <c r="O351" s="367"/>
      <c r="P351" s="367"/>
      <c r="Q351" s="367"/>
      <c r="R351" s="367"/>
      <c r="S351" s="367"/>
      <c r="T351" s="367"/>
      <c r="U351" s="367"/>
      <c r="V351" s="367"/>
      <c r="W351" s="367"/>
      <c r="X351" s="367"/>
      <c r="Y351" s="367"/>
      <c r="Z351" s="367"/>
    </row>
    <row r="352" ht="12.75" customHeight="1" spans="1:26">
      <c r="A352" s="363"/>
      <c r="B352" s="412"/>
      <c r="C352" s="367"/>
      <c r="D352" s="413"/>
      <c r="E352" s="413"/>
      <c r="F352" s="367"/>
      <c r="G352" s="367"/>
      <c r="H352" s="367"/>
      <c r="I352" s="367"/>
      <c r="J352" s="367"/>
      <c r="K352" s="367"/>
      <c r="L352" s="367"/>
      <c r="M352" s="367"/>
      <c r="N352" s="367"/>
      <c r="O352" s="367"/>
      <c r="P352" s="367"/>
      <c r="Q352" s="367"/>
      <c r="R352" s="367"/>
      <c r="S352" s="367"/>
      <c r="T352" s="367"/>
      <c r="U352" s="367"/>
      <c r="V352" s="367"/>
      <c r="W352" s="367"/>
      <c r="X352" s="367"/>
      <c r="Y352" s="367"/>
      <c r="Z352" s="367"/>
    </row>
    <row r="353" ht="12.75" customHeight="1" spans="1:26">
      <c r="A353" s="363"/>
      <c r="B353" s="412"/>
      <c r="C353" s="367"/>
      <c r="D353" s="413"/>
      <c r="E353" s="413"/>
      <c r="F353" s="367"/>
      <c r="G353" s="367"/>
      <c r="H353" s="367"/>
      <c r="I353" s="367"/>
      <c r="J353" s="367"/>
      <c r="K353" s="367"/>
      <c r="L353" s="367"/>
      <c r="M353" s="367"/>
      <c r="N353" s="367"/>
      <c r="O353" s="367"/>
      <c r="P353" s="367"/>
      <c r="Q353" s="367"/>
      <c r="R353" s="367"/>
      <c r="S353" s="367"/>
      <c r="T353" s="367"/>
      <c r="U353" s="367"/>
      <c r="V353" s="367"/>
      <c r="W353" s="367"/>
      <c r="X353" s="367"/>
      <c r="Y353" s="367"/>
      <c r="Z353" s="367"/>
    </row>
    <row r="354" ht="12.75" customHeight="1" spans="1:26">
      <c r="A354" s="363"/>
      <c r="B354" s="412"/>
      <c r="C354" s="367"/>
      <c r="D354" s="413"/>
      <c r="E354" s="413"/>
      <c r="F354" s="367"/>
      <c r="G354" s="367"/>
      <c r="H354" s="367"/>
      <c r="I354" s="367"/>
      <c r="J354" s="367"/>
      <c r="K354" s="367"/>
      <c r="L354" s="367"/>
      <c r="M354" s="367"/>
      <c r="N354" s="367"/>
      <c r="O354" s="367"/>
      <c r="P354" s="367"/>
      <c r="Q354" s="367"/>
      <c r="R354" s="367"/>
      <c r="S354" s="367"/>
      <c r="T354" s="367"/>
      <c r="U354" s="367"/>
      <c r="V354" s="367"/>
      <c r="W354" s="367"/>
      <c r="X354" s="367"/>
      <c r="Y354" s="367"/>
      <c r="Z354" s="367"/>
    </row>
    <row r="355" ht="12.75" customHeight="1" spans="1:26">
      <c r="A355" s="363"/>
      <c r="B355" s="412"/>
      <c r="C355" s="367"/>
      <c r="D355" s="413"/>
      <c r="E355" s="413"/>
      <c r="F355" s="367"/>
      <c r="G355" s="367"/>
      <c r="H355" s="367"/>
      <c r="I355" s="367"/>
      <c r="J355" s="367"/>
      <c r="K355" s="367"/>
      <c r="L355" s="367"/>
      <c r="M355" s="367"/>
      <c r="N355" s="367"/>
      <c r="O355" s="367"/>
      <c r="P355" s="367"/>
      <c r="Q355" s="367"/>
      <c r="R355" s="367"/>
      <c r="S355" s="367"/>
      <c r="T355" s="367"/>
      <c r="U355" s="367"/>
      <c r="V355" s="367"/>
      <c r="W355" s="367"/>
      <c r="X355" s="367"/>
      <c r="Y355" s="367"/>
      <c r="Z355" s="367"/>
    </row>
    <row r="356" ht="12.75" customHeight="1" spans="1:26">
      <c r="A356" s="363"/>
      <c r="B356" s="412"/>
      <c r="C356" s="367"/>
      <c r="D356" s="413"/>
      <c r="E356" s="413"/>
      <c r="F356" s="367"/>
      <c r="G356" s="367"/>
      <c r="H356" s="367"/>
      <c r="I356" s="367"/>
      <c r="J356" s="367"/>
      <c r="K356" s="367"/>
      <c r="L356" s="367"/>
      <c r="M356" s="367"/>
      <c r="N356" s="367"/>
      <c r="O356" s="367"/>
      <c r="P356" s="367"/>
      <c r="Q356" s="367"/>
      <c r="R356" s="367"/>
      <c r="S356" s="367"/>
      <c r="T356" s="367"/>
      <c r="U356" s="367"/>
      <c r="V356" s="367"/>
      <c r="W356" s="367"/>
      <c r="X356" s="367"/>
      <c r="Y356" s="367"/>
      <c r="Z356" s="367"/>
    </row>
    <row r="357" ht="12.75" customHeight="1" spans="1:26">
      <c r="A357" s="363"/>
      <c r="B357" s="412"/>
      <c r="C357" s="367"/>
      <c r="D357" s="413"/>
      <c r="E357" s="413"/>
      <c r="F357" s="367"/>
      <c r="G357" s="367"/>
      <c r="H357" s="367"/>
      <c r="I357" s="367"/>
      <c r="J357" s="367"/>
      <c r="K357" s="367"/>
      <c r="L357" s="367"/>
      <c r="M357" s="367"/>
      <c r="N357" s="367"/>
      <c r="O357" s="367"/>
      <c r="P357" s="367"/>
      <c r="Q357" s="367"/>
      <c r="R357" s="367"/>
      <c r="S357" s="367"/>
      <c r="T357" s="367"/>
      <c r="U357" s="367"/>
      <c r="V357" s="367"/>
      <c r="W357" s="367"/>
      <c r="X357" s="367"/>
      <c r="Y357" s="367"/>
      <c r="Z357" s="367"/>
    </row>
    <row r="358" ht="12.75" customHeight="1" spans="1:26">
      <c r="A358" s="363"/>
      <c r="B358" s="412"/>
      <c r="C358" s="367"/>
      <c r="D358" s="413"/>
      <c r="E358" s="413"/>
      <c r="F358" s="367"/>
      <c r="G358" s="367"/>
      <c r="H358" s="367"/>
      <c r="I358" s="367"/>
      <c r="J358" s="367"/>
      <c r="K358" s="367"/>
      <c r="L358" s="367"/>
      <c r="M358" s="367"/>
      <c r="N358" s="367"/>
      <c r="O358" s="367"/>
      <c r="P358" s="367"/>
      <c r="Q358" s="367"/>
      <c r="R358" s="367"/>
      <c r="S358" s="367"/>
      <c r="T358" s="367"/>
      <c r="U358" s="367"/>
      <c r="V358" s="367"/>
      <c r="W358" s="367"/>
      <c r="X358" s="367"/>
      <c r="Y358" s="367"/>
      <c r="Z358" s="367"/>
    </row>
    <row r="359" ht="12.75" customHeight="1" spans="1:26">
      <c r="A359" s="363"/>
      <c r="B359" s="412"/>
      <c r="C359" s="367"/>
      <c r="D359" s="413"/>
      <c r="E359" s="413"/>
      <c r="F359" s="367"/>
      <c r="G359" s="367"/>
      <c r="H359" s="367"/>
      <c r="I359" s="367"/>
      <c r="J359" s="367"/>
      <c r="K359" s="367"/>
      <c r="L359" s="367"/>
      <c r="M359" s="367"/>
      <c r="N359" s="367"/>
      <c r="O359" s="367"/>
      <c r="P359" s="367"/>
      <c r="Q359" s="367"/>
      <c r="R359" s="367"/>
      <c r="S359" s="367"/>
      <c r="T359" s="367"/>
      <c r="U359" s="367"/>
      <c r="V359" s="367"/>
      <c r="W359" s="367"/>
      <c r="X359" s="367"/>
      <c r="Y359" s="367"/>
      <c r="Z359" s="367"/>
    </row>
    <row r="360" ht="12.75" customHeight="1" spans="1:26">
      <c r="A360" s="363"/>
      <c r="B360" s="412"/>
      <c r="C360" s="367"/>
      <c r="D360" s="413"/>
      <c r="E360" s="413"/>
      <c r="F360" s="367"/>
      <c r="G360" s="367"/>
      <c r="H360" s="367"/>
      <c r="I360" s="367"/>
      <c r="J360" s="367"/>
      <c r="K360" s="367"/>
      <c r="L360" s="367"/>
      <c r="M360" s="367"/>
      <c r="N360" s="367"/>
      <c r="O360" s="367"/>
      <c r="P360" s="367"/>
      <c r="Q360" s="367"/>
      <c r="R360" s="367"/>
      <c r="S360" s="367"/>
      <c r="T360" s="367"/>
      <c r="U360" s="367"/>
      <c r="V360" s="367"/>
      <c r="W360" s="367"/>
      <c r="X360" s="367"/>
      <c r="Y360" s="367"/>
      <c r="Z360" s="367"/>
    </row>
    <row r="361" ht="12.75" customHeight="1" spans="1:26">
      <c r="A361" s="363"/>
      <c r="B361" s="412"/>
      <c r="C361" s="367"/>
      <c r="D361" s="413"/>
      <c r="E361" s="413"/>
      <c r="F361" s="367"/>
      <c r="G361" s="367"/>
      <c r="H361" s="367"/>
      <c r="I361" s="367"/>
      <c r="J361" s="367"/>
      <c r="K361" s="367"/>
      <c r="L361" s="367"/>
      <c r="M361" s="367"/>
      <c r="N361" s="367"/>
      <c r="O361" s="367"/>
      <c r="P361" s="367"/>
      <c r="Q361" s="367"/>
      <c r="R361" s="367"/>
      <c r="S361" s="367"/>
      <c r="T361" s="367"/>
      <c r="U361" s="367"/>
      <c r="V361" s="367"/>
      <c r="W361" s="367"/>
      <c r="X361" s="367"/>
      <c r="Y361" s="367"/>
      <c r="Z361" s="367"/>
    </row>
    <row r="362" ht="12.75" customHeight="1" spans="1:26">
      <c r="A362" s="363"/>
      <c r="B362" s="412"/>
      <c r="C362" s="367"/>
      <c r="D362" s="413"/>
      <c r="E362" s="413"/>
      <c r="F362" s="367"/>
      <c r="G362" s="367"/>
      <c r="H362" s="367"/>
      <c r="I362" s="367"/>
      <c r="J362" s="367"/>
      <c r="K362" s="367"/>
      <c r="L362" s="367"/>
      <c r="M362" s="367"/>
      <c r="N362" s="367"/>
      <c r="O362" s="367"/>
      <c r="P362" s="367"/>
      <c r="Q362" s="367"/>
      <c r="R362" s="367"/>
      <c r="S362" s="367"/>
      <c r="T362" s="367"/>
      <c r="U362" s="367"/>
      <c r="V362" s="367"/>
      <c r="W362" s="367"/>
      <c r="X362" s="367"/>
      <c r="Y362" s="367"/>
      <c r="Z362" s="367"/>
    </row>
    <row r="363" ht="12.75" customHeight="1" spans="1:26">
      <c r="A363" s="363"/>
      <c r="B363" s="412"/>
      <c r="C363" s="367"/>
      <c r="D363" s="413"/>
      <c r="E363" s="413"/>
      <c r="F363" s="367"/>
      <c r="G363" s="367"/>
      <c r="H363" s="367"/>
      <c r="I363" s="367"/>
      <c r="J363" s="367"/>
      <c r="K363" s="367"/>
      <c r="L363" s="367"/>
      <c r="M363" s="367"/>
      <c r="N363" s="367"/>
      <c r="O363" s="367"/>
      <c r="P363" s="367"/>
      <c r="Q363" s="367"/>
      <c r="R363" s="367"/>
      <c r="S363" s="367"/>
      <c r="T363" s="367"/>
      <c r="U363" s="367"/>
      <c r="V363" s="367"/>
      <c r="W363" s="367"/>
      <c r="X363" s="367"/>
      <c r="Y363" s="367"/>
      <c r="Z363" s="367"/>
    </row>
    <row r="364" ht="12.75" customHeight="1" spans="1:26">
      <c r="A364" s="363"/>
      <c r="B364" s="412"/>
      <c r="C364" s="367"/>
      <c r="D364" s="413"/>
      <c r="E364" s="413"/>
      <c r="F364" s="367"/>
      <c r="G364" s="367"/>
      <c r="H364" s="367"/>
      <c r="I364" s="367"/>
      <c r="J364" s="367"/>
      <c r="K364" s="367"/>
      <c r="L364" s="367"/>
      <c r="M364" s="367"/>
      <c r="N364" s="367"/>
      <c r="O364" s="367"/>
      <c r="P364" s="367"/>
      <c r="Q364" s="367"/>
      <c r="R364" s="367"/>
      <c r="S364" s="367"/>
      <c r="T364" s="367"/>
      <c r="U364" s="367"/>
      <c r="V364" s="367"/>
      <c r="W364" s="367"/>
      <c r="X364" s="367"/>
      <c r="Y364" s="367"/>
      <c r="Z364" s="367"/>
    </row>
    <row r="365" ht="12.75" customHeight="1" spans="1:26">
      <c r="A365" s="363"/>
      <c r="B365" s="412"/>
      <c r="C365" s="367"/>
      <c r="D365" s="413"/>
      <c r="E365" s="413"/>
      <c r="F365" s="367"/>
      <c r="G365" s="367"/>
      <c r="H365" s="367"/>
      <c r="I365" s="367"/>
      <c r="J365" s="367"/>
      <c r="K365" s="367"/>
      <c r="L365" s="367"/>
      <c r="M365" s="367"/>
      <c r="N365" s="367"/>
      <c r="O365" s="367"/>
      <c r="P365" s="367"/>
      <c r="Q365" s="367"/>
      <c r="R365" s="367"/>
      <c r="S365" s="367"/>
      <c r="T365" s="367"/>
      <c r="U365" s="367"/>
      <c r="V365" s="367"/>
      <c r="W365" s="367"/>
      <c r="X365" s="367"/>
      <c r="Y365" s="367"/>
      <c r="Z365" s="367"/>
    </row>
    <row r="366" ht="12.75" customHeight="1" spans="1:26">
      <c r="A366" s="363"/>
      <c r="B366" s="412"/>
      <c r="C366" s="367"/>
      <c r="D366" s="413"/>
      <c r="E366" s="413"/>
      <c r="F366" s="367"/>
      <c r="G366" s="367"/>
      <c r="H366" s="367"/>
      <c r="I366" s="367"/>
      <c r="J366" s="367"/>
      <c r="K366" s="367"/>
      <c r="L366" s="367"/>
      <c r="M366" s="367"/>
      <c r="N366" s="367"/>
      <c r="O366" s="367"/>
      <c r="P366" s="367"/>
      <c r="Q366" s="367"/>
      <c r="R366" s="367"/>
      <c r="S366" s="367"/>
      <c r="T366" s="367"/>
      <c r="U366" s="367"/>
      <c r="V366" s="367"/>
      <c r="W366" s="367"/>
      <c r="X366" s="367"/>
      <c r="Y366" s="367"/>
      <c r="Z366" s="367"/>
    </row>
    <row r="367" ht="12.75" customHeight="1" spans="1:26">
      <c r="A367" s="363"/>
      <c r="B367" s="412"/>
      <c r="C367" s="367"/>
      <c r="D367" s="413"/>
      <c r="E367" s="413"/>
      <c r="F367" s="367"/>
      <c r="G367" s="367"/>
      <c r="H367" s="367"/>
      <c r="I367" s="367"/>
      <c r="J367" s="367"/>
      <c r="K367" s="367"/>
      <c r="L367" s="367"/>
      <c r="M367" s="367"/>
      <c r="N367" s="367"/>
      <c r="O367" s="367"/>
      <c r="P367" s="367"/>
      <c r="Q367" s="367"/>
      <c r="R367" s="367"/>
      <c r="S367" s="367"/>
      <c r="T367" s="367"/>
      <c r="U367" s="367"/>
      <c r="V367" s="367"/>
      <c r="W367" s="367"/>
      <c r="X367" s="367"/>
      <c r="Y367" s="367"/>
      <c r="Z367" s="367"/>
    </row>
    <row r="368" ht="12.75" customHeight="1" spans="1:26">
      <c r="A368" s="363"/>
      <c r="B368" s="412"/>
      <c r="C368" s="367"/>
      <c r="D368" s="413"/>
      <c r="E368" s="413"/>
      <c r="F368" s="367"/>
      <c r="G368" s="367"/>
      <c r="H368" s="367"/>
      <c r="I368" s="367"/>
      <c r="J368" s="367"/>
      <c r="K368" s="367"/>
      <c r="L368" s="367"/>
      <c r="M368" s="367"/>
      <c r="N368" s="367"/>
      <c r="O368" s="367"/>
      <c r="P368" s="367"/>
      <c r="Q368" s="367"/>
      <c r="R368" s="367"/>
      <c r="S368" s="367"/>
      <c r="T368" s="367"/>
      <c r="U368" s="367"/>
      <c r="V368" s="367"/>
      <c r="W368" s="367"/>
      <c r="X368" s="367"/>
      <c r="Y368" s="367"/>
      <c r="Z368" s="367"/>
    </row>
    <row r="369" ht="12.75" customHeight="1" spans="1:26">
      <c r="A369" s="363"/>
      <c r="B369" s="412"/>
      <c r="C369" s="367"/>
      <c r="D369" s="413"/>
      <c r="E369" s="413"/>
      <c r="F369" s="367"/>
      <c r="G369" s="367"/>
      <c r="H369" s="367"/>
      <c r="I369" s="367"/>
      <c r="J369" s="367"/>
      <c r="K369" s="367"/>
      <c r="L369" s="367"/>
      <c r="M369" s="367"/>
      <c r="N369" s="367"/>
      <c r="O369" s="367"/>
      <c r="P369" s="367"/>
      <c r="Q369" s="367"/>
      <c r="R369" s="367"/>
      <c r="S369" s="367"/>
      <c r="T369" s="367"/>
      <c r="U369" s="367"/>
      <c r="V369" s="367"/>
      <c r="W369" s="367"/>
      <c r="X369" s="367"/>
      <c r="Y369" s="367"/>
      <c r="Z369" s="367"/>
    </row>
    <row r="370" ht="12.75" customHeight="1" spans="1:26">
      <c r="A370" s="363"/>
      <c r="B370" s="412"/>
      <c r="C370" s="367"/>
      <c r="D370" s="413"/>
      <c r="E370" s="413"/>
      <c r="F370" s="367"/>
      <c r="G370" s="367"/>
      <c r="H370" s="367"/>
      <c r="I370" s="367"/>
      <c r="J370" s="367"/>
      <c r="K370" s="367"/>
      <c r="L370" s="367"/>
      <c r="M370" s="367"/>
      <c r="N370" s="367"/>
      <c r="O370" s="367"/>
      <c r="P370" s="367"/>
      <c r="Q370" s="367"/>
      <c r="R370" s="367"/>
      <c r="S370" s="367"/>
      <c r="T370" s="367"/>
      <c r="U370" s="367"/>
      <c r="V370" s="367"/>
      <c r="W370" s="367"/>
      <c r="X370" s="367"/>
      <c r="Y370" s="367"/>
      <c r="Z370" s="367"/>
    </row>
    <row r="371" ht="12.75" customHeight="1" spans="1:26">
      <c r="A371" s="363"/>
      <c r="B371" s="412"/>
      <c r="C371" s="367"/>
      <c r="D371" s="413"/>
      <c r="E371" s="413"/>
      <c r="F371" s="367"/>
      <c r="G371" s="367"/>
      <c r="H371" s="367"/>
      <c r="I371" s="367"/>
      <c r="J371" s="367"/>
      <c r="K371" s="367"/>
      <c r="L371" s="367"/>
      <c r="M371" s="367"/>
      <c r="N371" s="367"/>
      <c r="O371" s="367"/>
      <c r="P371" s="367"/>
      <c r="Q371" s="367"/>
      <c r="R371" s="367"/>
      <c r="S371" s="367"/>
      <c r="T371" s="367"/>
      <c r="U371" s="367"/>
      <c r="V371" s="367"/>
      <c r="W371" s="367"/>
      <c r="X371" s="367"/>
      <c r="Y371" s="367"/>
      <c r="Z371" s="367"/>
    </row>
    <row r="372" ht="12.75" customHeight="1" spans="1:26">
      <c r="A372" s="363"/>
      <c r="B372" s="412"/>
      <c r="C372" s="367"/>
      <c r="D372" s="413"/>
      <c r="E372" s="413"/>
      <c r="F372" s="367"/>
      <c r="G372" s="367"/>
      <c r="H372" s="367"/>
      <c r="I372" s="367"/>
      <c r="J372" s="367"/>
      <c r="K372" s="367"/>
      <c r="L372" s="367"/>
      <c r="M372" s="367"/>
      <c r="N372" s="367"/>
      <c r="O372" s="367"/>
      <c r="P372" s="367"/>
      <c r="Q372" s="367"/>
      <c r="R372" s="367"/>
      <c r="S372" s="367"/>
      <c r="T372" s="367"/>
      <c r="U372" s="367"/>
      <c r="V372" s="367"/>
      <c r="W372" s="367"/>
      <c r="X372" s="367"/>
      <c r="Y372" s="367"/>
      <c r="Z372" s="367"/>
    </row>
    <row r="373" ht="12.75" customHeight="1" spans="1:26">
      <c r="A373" s="363"/>
      <c r="B373" s="412"/>
      <c r="C373" s="367"/>
      <c r="D373" s="413"/>
      <c r="E373" s="413"/>
      <c r="F373" s="367"/>
      <c r="G373" s="367"/>
      <c r="H373" s="367"/>
      <c r="I373" s="367"/>
      <c r="J373" s="367"/>
      <c r="K373" s="367"/>
      <c r="L373" s="367"/>
      <c r="M373" s="367"/>
      <c r="N373" s="367"/>
      <c r="O373" s="367"/>
      <c r="P373" s="367"/>
      <c r="Q373" s="367"/>
      <c r="R373" s="367"/>
      <c r="S373" s="367"/>
      <c r="T373" s="367"/>
      <c r="U373" s="367"/>
      <c r="V373" s="367"/>
      <c r="W373" s="367"/>
      <c r="X373" s="367"/>
      <c r="Y373" s="367"/>
      <c r="Z373" s="367"/>
    </row>
    <row r="374" ht="12.75" customHeight="1" spans="1:26">
      <c r="A374" s="363"/>
      <c r="B374" s="412"/>
      <c r="C374" s="367"/>
      <c r="D374" s="413"/>
      <c r="E374" s="413"/>
      <c r="F374" s="367"/>
      <c r="G374" s="367"/>
      <c r="H374" s="367"/>
      <c r="I374" s="367"/>
      <c r="J374" s="367"/>
      <c r="K374" s="367"/>
      <c r="L374" s="367"/>
      <c r="M374" s="367"/>
      <c r="N374" s="367"/>
      <c r="O374" s="367"/>
      <c r="P374" s="367"/>
      <c r="Q374" s="367"/>
      <c r="R374" s="367"/>
      <c r="S374" s="367"/>
      <c r="T374" s="367"/>
      <c r="U374" s="367"/>
      <c r="V374" s="367"/>
      <c r="W374" s="367"/>
      <c r="X374" s="367"/>
      <c r="Y374" s="367"/>
      <c r="Z374" s="367"/>
    </row>
    <row r="375" ht="12.75" customHeight="1" spans="1:26">
      <c r="A375" s="363"/>
      <c r="B375" s="412"/>
      <c r="C375" s="367"/>
      <c r="D375" s="413"/>
      <c r="E375" s="413"/>
      <c r="F375" s="367"/>
      <c r="G375" s="367"/>
      <c r="H375" s="367"/>
      <c r="I375" s="367"/>
      <c r="J375" s="367"/>
      <c r="K375" s="367"/>
      <c r="L375" s="367"/>
      <c r="M375" s="367"/>
      <c r="N375" s="367"/>
      <c r="O375" s="367"/>
      <c r="P375" s="367"/>
      <c r="Q375" s="367"/>
      <c r="R375" s="367"/>
      <c r="S375" s="367"/>
      <c r="T375" s="367"/>
      <c r="U375" s="367"/>
      <c r="V375" s="367"/>
      <c r="W375" s="367"/>
      <c r="X375" s="367"/>
      <c r="Y375" s="367"/>
      <c r="Z375" s="367"/>
    </row>
    <row r="376" ht="12.75" customHeight="1" spans="1:26">
      <c r="A376" s="363"/>
      <c r="B376" s="412"/>
      <c r="C376" s="367"/>
      <c r="D376" s="413"/>
      <c r="E376" s="413"/>
      <c r="F376" s="367"/>
      <c r="G376" s="367"/>
      <c r="H376" s="367"/>
      <c r="I376" s="367"/>
      <c r="J376" s="367"/>
      <c r="K376" s="367"/>
      <c r="L376" s="367"/>
      <c r="M376" s="367"/>
      <c r="N376" s="367"/>
      <c r="O376" s="367"/>
      <c r="P376" s="367"/>
      <c r="Q376" s="367"/>
      <c r="R376" s="367"/>
      <c r="S376" s="367"/>
      <c r="T376" s="367"/>
      <c r="U376" s="367"/>
      <c r="V376" s="367"/>
      <c r="W376" s="367"/>
      <c r="X376" s="367"/>
      <c r="Y376" s="367"/>
      <c r="Z376" s="367"/>
    </row>
    <row r="377" ht="12.75" customHeight="1" spans="1:26">
      <c r="A377" s="363"/>
      <c r="B377" s="412"/>
      <c r="C377" s="367"/>
      <c r="D377" s="413"/>
      <c r="E377" s="413"/>
      <c r="F377" s="367"/>
      <c r="G377" s="367"/>
      <c r="H377" s="367"/>
      <c r="I377" s="367"/>
      <c r="J377" s="367"/>
      <c r="K377" s="367"/>
      <c r="L377" s="367"/>
      <c r="M377" s="367"/>
      <c r="N377" s="367"/>
      <c r="O377" s="367"/>
      <c r="P377" s="367"/>
      <c r="Q377" s="367"/>
      <c r="R377" s="367"/>
      <c r="S377" s="367"/>
      <c r="T377" s="367"/>
      <c r="U377" s="367"/>
      <c r="V377" s="367"/>
      <c r="W377" s="367"/>
      <c r="X377" s="367"/>
      <c r="Y377" s="367"/>
      <c r="Z377" s="367"/>
    </row>
    <row r="378" ht="12.75" customHeight="1" spans="1:26">
      <c r="A378" s="363"/>
      <c r="B378" s="412"/>
      <c r="C378" s="367"/>
      <c r="D378" s="413"/>
      <c r="E378" s="413"/>
      <c r="F378" s="367"/>
      <c r="G378" s="367"/>
      <c r="H378" s="367"/>
      <c r="I378" s="367"/>
      <c r="J378" s="367"/>
      <c r="K378" s="367"/>
      <c r="L378" s="367"/>
      <c r="M378" s="367"/>
      <c r="N378" s="367"/>
      <c r="O378" s="367"/>
      <c r="P378" s="367"/>
      <c r="Q378" s="367"/>
      <c r="R378" s="367"/>
      <c r="S378" s="367"/>
      <c r="T378" s="367"/>
      <c r="U378" s="367"/>
      <c r="V378" s="367"/>
      <c r="W378" s="367"/>
      <c r="X378" s="367"/>
      <c r="Y378" s="367"/>
      <c r="Z378" s="367"/>
    </row>
    <row r="379" ht="12.75" customHeight="1" spans="1:26">
      <c r="A379" s="363"/>
      <c r="B379" s="412"/>
      <c r="C379" s="367"/>
      <c r="D379" s="413"/>
      <c r="E379" s="413"/>
      <c r="F379" s="367"/>
      <c r="G379" s="367"/>
      <c r="H379" s="367"/>
      <c r="I379" s="367"/>
      <c r="J379" s="367"/>
      <c r="K379" s="367"/>
      <c r="L379" s="367"/>
      <c r="M379" s="367"/>
      <c r="N379" s="367"/>
      <c r="O379" s="367"/>
      <c r="P379" s="367"/>
      <c r="Q379" s="367"/>
      <c r="R379" s="367"/>
      <c r="S379" s="367"/>
      <c r="T379" s="367"/>
      <c r="U379" s="367"/>
      <c r="V379" s="367"/>
      <c r="W379" s="367"/>
      <c r="X379" s="367"/>
      <c r="Y379" s="367"/>
      <c r="Z379" s="367"/>
    </row>
    <row r="380" ht="12.75" customHeight="1" spans="1:26">
      <c r="A380" s="363"/>
      <c r="B380" s="412"/>
      <c r="C380" s="367"/>
      <c r="D380" s="413"/>
      <c r="E380" s="413"/>
      <c r="F380" s="367"/>
      <c r="G380" s="367"/>
      <c r="H380" s="367"/>
      <c r="I380" s="367"/>
      <c r="J380" s="367"/>
      <c r="K380" s="367"/>
      <c r="L380" s="367"/>
      <c r="M380" s="367"/>
      <c r="N380" s="367"/>
      <c r="O380" s="367"/>
      <c r="P380" s="367"/>
      <c r="Q380" s="367"/>
      <c r="R380" s="367"/>
      <c r="S380" s="367"/>
      <c r="T380" s="367"/>
      <c r="U380" s="367"/>
      <c r="V380" s="367"/>
      <c r="W380" s="367"/>
      <c r="X380" s="367"/>
      <c r="Y380" s="367"/>
      <c r="Z380" s="367"/>
    </row>
    <row r="381" ht="12.75" customHeight="1" spans="1:26">
      <c r="A381" s="363"/>
      <c r="B381" s="412"/>
      <c r="C381" s="367"/>
      <c r="D381" s="413"/>
      <c r="E381" s="413"/>
      <c r="F381" s="367"/>
      <c r="G381" s="367"/>
      <c r="H381" s="367"/>
      <c r="I381" s="367"/>
      <c r="J381" s="367"/>
      <c r="K381" s="367"/>
      <c r="L381" s="367"/>
      <c r="M381" s="367"/>
      <c r="N381" s="367"/>
      <c r="O381" s="367"/>
      <c r="P381" s="367"/>
      <c r="Q381" s="367"/>
      <c r="R381" s="367"/>
      <c r="S381" s="367"/>
      <c r="T381" s="367"/>
      <c r="U381" s="367"/>
      <c r="V381" s="367"/>
      <c r="W381" s="367"/>
      <c r="X381" s="367"/>
      <c r="Y381" s="367"/>
      <c r="Z381" s="367"/>
    </row>
    <row r="382" ht="12.75" customHeight="1" spans="1:26">
      <c r="A382" s="363"/>
      <c r="B382" s="412"/>
      <c r="C382" s="367"/>
      <c r="D382" s="413"/>
      <c r="E382" s="413"/>
      <c r="F382" s="367"/>
      <c r="G382" s="367"/>
      <c r="H382" s="367"/>
      <c r="I382" s="367"/>
      <c r="J382" s="367"/>
      <c r="K382" s="367"/>
      <c r="L382" s="367"/>
      <c r="M382" s="367"/>
      <c r="N382" s="367"/>
      <c r="O382" s="367"/>
      <c r="P382" s="367"/>
      <c r="Q382" s="367"/>
      <c r="R382" s="367"/>
      <c r="S382" s="367"/>
      <c r="T382" s="367"/>
      <c r="U382" s="367"/>
      <c r="V382" s="367"/>
      <c r="W382" s="367"/>
      <c r="X382" s="367"/>
      <c r="Y382" s="367"/>
      <c r="Z382" s="367"/>
    </row>
    <row r="383" ht="12.75" customHeight="1" spans="1:26">
      <c r="A383" s="363"/>
      <c r="B383" s="412"/>
      <c r="C383" s="367"/>
      <c r="D383" s="413"/>
      <c r="E383" s="413"/>
      <c r="F383" s="367"/>
      <c r="G383" s="367"/>
      <c r="H383" s="367"/>
      <c r="I383" s="367"/>
      <c r="J383" s="367"/>
      <c r="K383" s="367"/>
      <c r="L383" s="367"/>
      <c r="M383" s="367"/>
      <c r="N383" s="367"/>
      <c r="O383" s="367"/>
      <c r="P383" s="367"/>
      <c r="Q383" s="367"/>
      <c r="R383" s="367"/>
      <c r="S383" s="367"/>
      <c r="T383" s="367"/>
      <c r="U383" s="367"/>
      <c r="V383" s="367"/>
      <c r="W383" s="367"/>
      <c r="X383" s="367"/>
      <c r="Y383" s="367"/>
      <c r="Z383" s="367"/>
    </row>
    <row r="384" ht="12.75" customHeight="1" spans="1:26">
      <c r="A384" s="363"/>
      <c r="B384" s="412"/>
      <c r="C384" s="367"/>
      <c r="D384" s="413"/>
      <c r="E384" s="413"/>
      <c r="F384" s="367"/>
      <c r="G384" s="367"/>
      <c r="H384" s="367"/>
      <c r="I384" s="367"/>
      <c r="J384" s="367"/>
      <c r="K384" s="367"/>
      <c r="L384" s="367"/>
      <c r="M384" s="367"/>
      <c r="N384" s="367"/>
      <c r="O384" s="367"/>
      <c r="P384" s="367"/>
      <c r="Q384" s="367"/>
      <c r="R384" s="367"/>
      <c r="S384" s="367"/>
      <c r="T384" s="367"/>
      <c r="U384" s="367"/>
      <c r="V384" s="367"/>
      <c r="W384" s="367"/>
      <c r="X384" s="367"/>
      <c r="Y384" s="367"/>
      <c r="Z384" s="367"/>
    </row>
    <row r="385" ht="12.75" customHeight="1" spans="1:26">
      <c r="A385" s="363"/>
      <c r="B385" s="412"/>
      <c r="C385" s="367"/>
      <c r="D385" s="413"/>
      <c r="E385" s="413"/>
      <c r="F385" s="367"/>
      <c r="G385" s="367"/>
      <c r="H385" s="367"/>
      <c r="I385" s="367"/>
      <c r="J385" s="367"/>
      <c r="K385" s="367"/>
      <c r="L385" s="367"/>
      <c r="M385" s="367"/>
      <c r="N385" s="367"/>
      <c r="O385" s="367"/>
      <c r="P385" s="367"/>
      <c r="Q385" s="367"/>
      <c r="R385" s="367"/>
      <c r="S385" s="367"/>
      <c r="T385" s="367"/>
      <c r="U385" s="367"/>
      <c r="V385" s="367"/>
      <c r="W385" s="367"/>
      <c r="X385" s="367"/>
      <c r="Y385" s="367"/>
      <c r="Z385" s="367"/>
    </row>
    <row r="386" ht="12.75" customHeight="1" spans="1:26">
      <c r="A386" s="363"/>
      <c r="B386" s="412"/>
      <c r="C386" s="367"/>
      <c r="D386" s="413"/>
      <c r="E386" s="413"/>
      <c r="F386" s="367"/>
      <c r="G386" s="367"/>
      <c r="H386" s="367"/>
      <c r="I386" s="367"/>
      <c r="J386" s="367"/>
      <c r="K386" s="367"/>
      <c r="L386" s="367"/>
      <c r="M386" s="367"/>
      <c r="N386" s="367"/>
      <c r="O386" s="367"/>
      <c r="P386" s="367"/>
      <c r="Q386" s="367"/>
      <c r="R386" s="367"/>
      <c r="S386" s="367"/>
      <c r="T386" s="367"/>
      <c r="U386" s="367"/>
      <c r="V386" s="367"/>
      <c r="W386" s="367"/>
      <c r="X386" s="367"/>
      <c r="Y386" s="367"/>
      <c r="Z386" s="367"/>
    </row>
    <row r="387" ht="12.75" customHeight="1" spans="1:26">
      <c r="A387" s="363"/>
      <c r="B387" s="412"/>
      <c r="C387" s="367"/>
      <c r="D387" s="413"/>
      <c r="E387" s="413"/>
      <c r="F387" s="367"/>
      <c r="G387" s="367"/>
      <c r="H387" s="367"/>
      <c r="I387" s="367"/>
      <c r="J387" s="367"/>
      <c r="K387" s="367"/>
      <c r="L387" s="367"/>
      <c r="M387" s="367"/>
      <c r="N387" s="367"/>
      <c r="O387" s="367"/>
      <c r="P387" s="367"/>
      <c r="Q387" s="367"/>
      <c r="R387" s="367"/>
      <c r="S387" s="367"/>
      <c r="T387" s="367"/>
      <c r="U387" s="367"/>
      <c r="V387" s="367"/>
      <c r="W387" s="367"/>
      <c r="X387" s="367"/>
      <c r="Y387" s="367"/>
      <c r="Z387" s="367"/>
    </row>
    <row r="388" ht="12.75" customHeight="1" spans="1:26">
      <c r="A388" s="363"/>
      <c r="B388" s="412"/>
      <c r="C388" s="367"/>
      <c r="D388" s="413"/>
      <c r="E388" s="413"/>
      <c r="F388" s="367"/>
      <c r="G388" s="367"/>
      <c r="H388" s="367"/>
      <c r="I388" s="367"/>
      <c r="J388" s="367"/>
      <c r="K388" s="367"/>
      <c r="L388" s="367"/>
      <c r="M388" s="367"/>
      <c r="N388" s="367"/>
      <c r="O388" s="367"/>
      <c r="P388" s="367"/>
      <c r="Q388" s="367"/>
      <c r="R388" s="367"/>
      <c r="S388" s="367"/>
      <c r="T388" s="367"/>
      <c r="U388" s="367"/>
      <c r="V388" s="367"/>
      <c r="W388" s="367"/>
      <c r="X388" s="367"/>
      <c r="Y388" s="367"/>
      <c r="Z388" s="367"/>
    </row>
    <row r="389" ht="12.75" customHeight="1" spans="1:26">
      <c r="A389" s="363"/>
      <c r="B389" s="412"/>
      <c r="C389" s="367"/>
      <c r="D389" s="413"/>
      <c r="E389" s="413"/>
      <c r="F389" s="367"/>
      <c r="G389" s="367"/>
      <c r="H389" s="367"/>
      <c r="I389" s="367"/>
      <c r="J389" s="367"/>
      <c r="K389" s="367"/>
      <c r="L389" s="367"/>
      <c r="M389" s="367"/>
      <c r="N389" s="367"/>
      <c r="O389" s="367"/>
      <c r="P389" s="367"/>
      <c r="Q389" s="367"/>
      <c r="R389" s="367"/>
      <c r="S389" s="367"/>
      <c r="T389" s="367"/>
      <c r="U389" s="367"/>
      <c r="V389" s="367"/>
      <c r="W389" s="367"/>
      <c r="X389" s="367"/>
      <c r="Y389" s="367"/>
      <c r="Z389" s="367"/>
    </row>
    <row r="390" ht="12.75" customHeight="1" spans="1:26">
      <c r="A390" s="363"/>
      <c r="B390" s="412"/>
      <c r="C390" s="367"/>
      <c r="D390" s="413"/>
      <c r="E390" s="413"/>
      <c r="F390" s="367"/>
      <c r="G390" s="367"/>
      <c r="H390" s="367"/>
      <c r="I390" s="367"/>
      <c r="J390" s="367"/>
      <c r="K390" s="367"/>
      <c r="L390" s="367"/>
      <c r="M390" s="367"/>
      <c r="N390" s="367"/>
      <c r="O390" s="367"/>
      <c r="P390" s="367"/>
      <c r="Q390" s="367"/>
      <c r="R390" s="367"/>
      <c r="S390" s="367"/>
      <c r="T390" s="367"/>
      <c r="U390" s="367"/>
      <c r="V390" s="367"/>
      <c r="W390" s="367"/>
      <c r="X390" s="367"/>
      <c r="Y390" s="367"/>
      <c r="Z390" s="367"/>
    </row>
    <row r="391" ht="12.75" customHeight="1" spans="1:26">
      <c r="A391" s="363"/>
      <c r="B391" s="412"/>
      <c r="C391" s="367"/>
      <c r="D391" s="413"/>
      <c r="E391" s="413"/>
      <c r="F391" s="367"/>
      <c r="G391" s="367"/>
      <c r="H391" s="367"/>
      <c r="I391" s="367"/>
      <c r="J391" s="367"/>
      <c r="K391" s="367"/>
      <c r="L391" s="367"/>
      <c r="M391" s="367"/>
      <c r="N391" s="367"/>
      <c r="O391" s="367"/>
      <c r="P391" s="367"/>
      <c r="Q391" s="367"/>
      <c r="R391" s="367"/>
      <c r="S391" s="367"/>
      <c r="T391" s="367"/>
      <c r="U391" s="367"/>
      <c r="V391" s="367"/>
      <c r="W391" s="367"/>
      <c r="X391" s="367"/>
      <c r="Y391" s="367"/>
      <c r="Z391" s="367"/>
    </row>
    <row r="392" ht="12.75" customHeight="1" spans="1:26">
      <c r="A392" s="363"/>
      <c r="B392" s="412"/>
      <c r="C392" s="367"/>
      <c r="D392" s="413"/>
      <c r="E392" s="413"/>
      <c r="F392" s="367"/>
      <c r="G392" s="367"/>
      <c r="H392" s="367"/>
      <c r="I392" s="367"/>
      <c r="J392" s="367"/>
      <c r="K392" s="367"/>
      <c r="L392" s="367"/>
      <c r="M392" s="367"/>
      <c r="N392" s="367"/>
      <c r="O392" s="367"/>
      <c r="P392" s="367"/>
      <c r="Q392" s="367"/>
      <c r="R392" s="367"/>
      <c r="S392" s="367"/>
      <c r="T392" s="367"/>
      <c r="U392" s="367"/>
      <c r="V392" s="367"/>
      <c r="W392" s="367"/>
      <c r="X392" s="367"/>
      <c r="Y392" s="367"/>
      <c r="Z392" s="367"/>
    </row>
    <row r="393" ht="12.75" customHeight="1" spans="1:26">
      <c r="A393" s="363"/>
      <c r="B393" s="412"/>
      <c r="C393" s="367"/>
      <c r="D393" s="413"/>
      <c r="E393" s="413"/>
      <c r="F393" s="367"/>
      <c r="G393" s="367"/>
      <c r="H393" s="367"/>
      <c r="I393" s="367"/>
      <c r="J393" s="367"/>
      <c r="K393" s="367"/>
      <c r="L393" s="367"/>
      <c r="M393" s="367"/>
      <c r="N393" s="367"/>
      <c r="O393" s="367"/>
      <c r="P393" s="367"/>
      <c r="Q393" s="367"/>
      <c r="R393" s="367"/>
      <c r="S393" s="367"/>
      <c r="T393" s="367"/>
      <c r="U393" s="367"/>
      <c r="V393" s="367"/>
      <c r="W393" s="367"/>
      <c r="X393" s="367"/>
      <c r="Y393" s="367"/>
      <c r="Z393" s="367"/>
    </row>
    <row r="394" ht="12.75" customHeight="1" spans="1:26">
      <c r="A394" s="363"/>
      <c r="B394" s="412"/>
      <c r="C394" s="367"/>
      <c r="D394" s="413"/>
      <c r="E394" s="413"/>
      <c r="F394" s="367"/>
      <c r="G394" s="367"/>
      <c r="H394" s="367"/>
      <c r="I394" s="367"/>
      <c r="J394" s="367"/>
      <c r="K394" s="367"/>
      <c r="L394" s="367"/>
      <c r="M394" s="367"/>
      <c r="N394" s="367"/>
      <c r="O394" s="367"/>
      <c r="P394" s="367"/>
      <c r="Q394" s="367"/>
      <c r="R394" s="367"/>
      <c r="S394" s="367"/>
      <c r="T394" s="367"/>
      <c r="U394" s="367"/>
      <c r="V394" s="367"/>
      <c r="W394" s="367"/>
      <c r="X394" s="367"/>
      <c r="Y394" s="367"/>
      <c r="Z394" s="367"/>
    </row>
    <row r="395" ht="12.75" customHeight="1" spans="1:26">
      <c r="A395" s="363"/>
      <c r="B395" s="412"/>
      <c r="C395" s="367"/>
      <c r="D395" s="413"/>
      <c r="E395" s="413"/>
      <c r="F395" s="367"/>
      <c r="G395" s="367"/>
      <c r="H395" s="367"/>
      <c r="I395" s="367"/>
      <c r="J395" s="367"/>
      <c r="K395" s="367"/>
      <c r="L395" s="367"/>
      <c r="M395" s="367"/>
      <c r="N395" s="367"/>
      <c r="O395" s="367"/>
      <c r="P395" s="367"/>
      <c r="Q395" s="367"/>
      <c r="R395" s="367"/>
      <c r="S395" s="367"/>
      <c r="T395" s="367"/>
      <c r="U395" s="367"/>
      <c r="V395" s="367"/>
      <c r="W395" s="367"/>
      <c r="X395" s="367"/>
      <c r="Y395" s="367"/>
      <c r="Z395" s="367"/>
    </row>
    <row r="396" ht="12.75" customHeight="1" spans="1:26">
      <c r="A396" s="363"/>
      <c r="B396" s="412"/>
      <c r="C396" s="367"/>
      <c r="D396" s="413"/>
      <c r="E396" s="413"/>
      <c r="F396" s="367"/>
      <c r="G396" s="367"/>
      <c r="H396" s="367"/>
      <c r="I396" s="367"/>
      <c r="J396" s="367"/>
      <c r="K396" s="367"/>
      <c r="L396" s="367"/>
      <c r="M396" s="367"/>
      <c r="N396" s="367"/>
      <c r="O396" s="367"/>
      <c r="P396" s="367"/>
      <c r="Q396" s="367"/>
      <c r="R396" s="367"/>
      <c r="S396" s="367"/>
      <c r="T396" s="367"/>
      <c r="U396" s="367"/>
      <c r="V396" s="367"/>
      <c r="W396" s="367"/>
      <c r="X396" s="367"/>
      <c r="Y396" s="367"/>
      <c r="Z396" s="367"/>
    </row>
    <row r="397" ht="12.75" customHeight="1" spans="1:26">
      <c r="A397" s="363"/>
      <c r="B397" s="412"/>
      <c r="C397" s="367"/>
      <c r="D397" s="413"/>
      <c r="E397" s="413"/>
      <c r="F397" s="367"/>
      <c r="G397" s="367"/>
      <c r="H397" s="367"/>
      <c r="I397" s="367"/>
      <c r="J397" s="367"/>
      <c r="K397" s="367"/>
      <c r="L397" s="367"/>
      <c r="M397" s="367"/>
      <c r="N397" s="367"/>
      <c r="O397" s="367"/>
      <c r="P397" s="367"/>
      <c r="Q397" s="367"/>
      <c r="R397" s="367"/>
      <c r="S397" s="367"/>
      <c r="T397" s="367"/>
      <c r="U397" s="367"/>
      <c r="V397" s="367"/>
      <c r="W397" s="367"/>
      <c r="X397" s="367"/>
      <c r="Y397" s="367"/>
      <c r="Z397" s="367"/>
    </row>
    <row r="398" ht="12.75" customHeight="1" spans="1:26">
      <c r="A398" s="363"/>
      <c r="B398" s="412"/>
      <c r="C398" s="367"/>
      <c r="D398" s="413"/>
      <c r="E398" s="413"/>
      <c r="F398" s="367"/>
      <c r="G398" s="367"/>
      <c r="H398" s="367"/>
      <c r="I398" s="367"/>
      <c r="J398" s="367"/>
      <c r="K398" s="367"/>
      <c r="L398" s="367"/>
      <c r="M398" s="367"/>
      <c r="N398" s="367"/>
      <c r="O398" s="367"/>
      <c r="P398" s="367"/>
      <c r="Q398" s="367"/>
      <c r="R398" s="367"/>
      <c r="S398" s="367"/>
      <c r="T398" s="367"/>
      <c r="U398" s="367"/>
      <c r="V398" s="367"/>
      <c r="W398" s="367"/>
      <c r="X398" s="367"/>
      <c r="Y398" s="367"/>
      <c r="Z398" s="367"/>
    </row>
    <row r="399" ht="12.75" customHeight="1" spans="1:26">
      <c r="A399" s="363"/>
      <c r="B399" s="412"/>
      <c r="C399" s="367"/>
      <c r="D399" s="413"/>
      <c r="E399" s="413"/>
      <c r="F399" s="367"/>
      <c r="G399" s="367"/>
      <c r="H399" s="367"/>
      <c r="I399" s="367"/>
      <c r="J399" s="367"/>
      <c r="K399" s="367"/>
      <c r="L399" s="367"/>
      <c r="M399" s="367"/>
      <c r="N399" s="367"/>
      <c r="O399" s="367"/>
      <c r="P399" s="367"/>
      <c r="Q399" s="367"/>
      <c r="R399" s="367"/>
      <c r="S399" s="367"/>
      <c r="T399" s="367"/>
      <c r="U399" s="367"/>
      <c r="V399" s="367"/>
      <c r="W399" s="367"/>
      <c r="X399" s="367"/>
      <c r="Y399" s="367"/>
      <c r="Z399" s="367"/>
    </row>
    <row r="400" ht="12.75" customHeight="1" spans="1:26">
      <c r="A400" s="363"/>
      <c r="B400" s="412"/>
      <c r="C400" s="367"/>
      <c r="D400" s="413"/>
      <c r="E400" s="413"/>
      <c r="F400" s="367"/>
      <c r="G400" s="367"/>
      <c r="H400" s="367"/>
      <c r="I400" s="367"/>
      <c r="J400" s="367"/>
      <c r="K400" s="367"/>
      <c r="L400" s="367"/>
      <c r="M400" s="367"/>
      <c r="N400" s="367"/>
      <c r="O400" s="367"/>
      <c r="P400" s="367"/>
      <c r="Q400" s="367"/>
      <c r="R400" s="367"/>
      <c r="S400" s="367"/>
      <c r="T400" s="367"/>
      <c r="U400" s="367"/>
      <c r="V400" s="367"/>
      <c r="W400" s="367"/>
      <c r="X400" s="367"/>
      <c r="Y400" s="367"/>
      <c r="Z400" s="367"/>
    </row>
    <row r="401" ht="12.75" customHeight="1" spans="1:26">
      <c r="A401" s="363"/>
      <c r="B401" s="412"/>
      <c r="C401" s="367"/>
      <c r="D401" s="413"/>
      <c r="E401" s="413"/>
      <c r="F401" s="367"/>
      <c r="G401" s="367"/>
      <c r="H401" s="367"/>
      <c r="I401" s="367"/>
      <c r="J401" s="367"/>
      <c r="K401" s="367"/>
      <c r="L401" s="367"/>
      <c r="M401" s="367"/>
      <c r="N401" s="367"/>
      <c r="O401" s="367"/>
      <c r="P401" s="367"/>
      <c r="Q401" s="367"/>
      <c r="R401" s="367"/>
      <c r="S401" s="367"/>
      <c r="T401" s="367"/>
      <c r="U401" s="367"/>
      <c r="V401" s="367"/>
      <c r="W401" s="367"/>
      <c r="X401" s="367"/>
      <c r="Y401" s="367"/>
      <c r="Z401" s="367"/>
    </row>
    <row r="402" ht="12.75" customHeight="1" spans="1:26">
      <c r="A402" s="363"/>
      <c r="B402" s="412"/>
      <c r="C402" s="367"/>
      <c r="D402" s="413"/>
      <c r="E402" s="413"/>
      <c r="F402" s="367"/>
      <c r="G402" s="367"/>
      <c r="H402" s="367"/>
      <c r="I402" s="367"/>
      <c r="J402" s="367"/>
      <c r="K402" s="367"/>
      <c r="L402" s="367"/>
      <c r="M402" s="367"/>
      <c r="N402" s="367"/>
      <c r="O402" s="367"/>
      <c r="P402" s="367"/>
      <c r="Q402" s="367"/>
      <c r="R402" s="367"/>
      <c r="S402" s="367"/>
      <c r="T402" s="367"/>
      <c r="U402" s="367"/>
      <c r="V402" s="367"/>
      <c r="W402" s="367"/>
      <c r="X402" s="367"/>
      <c r="Y402" s="367"/>
      <c r="Z402" s="367"/>
    </row>
    <row r="403" ht="12.75" customHeight="1" spans="1:26">
      <c r="A403" s="363"/>
      <c r="B403" s="412"/>
      <c r="C403" s="367"/>
      <c r="D403" s="413"/>
      <c r="E403" s="413"/>
      <c r="F403" s="367"/>
      <c r="G403" s="367"/>
      <c r="H403" s="367"/>
      <c r="I403" s="367"/>
      <c r="J403" s="367"/>
      <c r="K403" s="367"/>
      <c r="L403" s="367"/>
      <c r="M403" s="367"/>
      <c r="N403" s="367"/>
      <c r="O403" s="367"/>
      <c r="P403" s="367"/>
      <c r="Q403" s="367"/>
      <c r="R403" s="367"/>
      <c r="S403" s="367"/>
      <c r="T403" s="367"/>
      <c r="U403" s="367"/>
      <c r="V403" s="367"/>
      <c r="W403" s="367"/>
      <c r="X403" s="367"/>
      <c r="Y403" s="367"/>
      <c r="Z403" s="367"/>
    </row>
    <row r="404" ht="12.75" customHeight="1" spans="1:26">
      <c r="A404" s="363"/>
      <c r="B404" s="412"/>
      <c r="C404" s="367"/>
      <c r="D404" s="413"/>
      <c r="E404" s="413"/>
      <c r="F404" s="367"/>
      <c r="G404" s="367"/>
      <c r="H404" s="367"/>
      <c r="I404" s="367"/>
      <c r="J404" s="367"/>
      <c r="K404" s="367"/>
      <c r="L404" s="367"/>
      <c r="M404" s="367"/>
      <c r="N404" s="367"/>
      <c r="O404" s="367"/>
      <c r="P404" s="367"/>
      <c r="Q404" s="367"/>
      <c r="R404" s="367"/>
      <c r="S404" s="367"/>
      <c r="T404" s="367"/>
      <c r="U404" s="367"/>
      <c r="V404" s="367"/>
      <c r="W404" s="367"/>
      <c r="X404" s="367"/>
      <c r="Y404" s="367"/>
      <c r="Z404" s="367"/>
    </row>
    <row r="405" ht="12.75" customHeight="1" spans="1:26">
      <c r="A405" s="363"/>
      <c r="B405" s="412"/>
      <c r="C405" s="367"/>
      <c r="D405" s="413"/>
      <c r="E405" s="413"/>
      <c r="F405" s="367"/>
      <c r="G405" s="367"/>
      <c r="H405" s="367"/>
      <c r="I405" s="367"/>
      <c r="J405" s="367"/>
      <c r="K405" s="367"/>
      <c r="L405" s="367"/>
      <c r="M405" s="367"/>
      <c r="N405" s="367"/>
      <c r="O405" s="367"/>
      <c r="P405" s="367"/>
      <c r="Q405" s="367"/>
      <c r="R405" s="367"/>
      <c r="S405" s="367"/>
      <c r="T405" s="367"/>
      <c r="U405" s="367"/>
      <c r="V405" s="367"/>
      <c r="W405" s="367"/>
      <c r="X405" s="367"/>
      <c r="Y405" s="367"/>
      <c r="Z405" s="367"/>
    </row>
    <row r="406" ht="12.75" customHeight="1" spans="1:26">
      <c r="A406" s="363"/>
      <c r="B406" s="412"/>
      <c r="C406" s="367"/>
      <c r="D406" s="413"/>
      <c r="E406" s="413"/>
      <c r="F406" s="367"/>
      <c r="G406" s="367"/>
      <c r="H406" s="367"/>
      <c r="I406" s="367"/>
      <c r="J406" s="367"/>
      <c r="K406" s="367"/>
      <c r="L406" s="367"/>
      <c r="M406" s="367"/>
      <c r="N406" s="367"/>
      <c r="O406" s="367"/>
      <c r="P406" s="367"/>
      <c r="Q406" s="367"/>
      <c r="R406" s="367"/>
      <c r="S406" s="367"/>
      <c r="T406" s="367"/>
      <c r="U406" s="367"/>
      <c r="V406" s="367"/>
      <c r="W406" s="367"/>
      <c r="X406" s="367"/>
      <c r="Y406" s="367"/>
      <c r="Z406" s="367"/>
    </row>
    <row r="407" ht="12.75" customHeight="1" spans="1:26">
      <c r="A407" s="363"/>
      <c r="B407" s="412"/>
      <c r="C407" s="367"/>
      <c r="D407" s="413"/>
      <c r="E407" s="413"/>
      <c r="F407" s="367"/>
      <c r="G407" s="367"/>
      <c r="H407" s="367"/>
      <c r="I407" s="367"/>
      <c r="J407" s="367"/>
      <c r="K407" s="367"/>
      <c r="L407" s="367"/>
      <c r="M407" s="367"/>
      <c r="N407" s="367"/>
      <c r="O407" s="367"/>
      <c r="P407" s="367"/>
      <c r="Q407" s="367"/>
      <c r="R407" s="367"/>
      <c r="S407" s="367"/>
      <c r="T407" s="367"/>
      <c r="U407" s="367"/>
      <c r="V407" s="367"/>
      <c r="W407" s="367"/>
      <c r="X407" s="367"/>
      <c r="Y407" s="367"/>
      <c r="Z407" s="367"/>
    </row>
    <row r="408" ht="12.75" customHeight="1" spans="1:26">
      <c r="A408" s="363"/>
      <c r="B408" s="412"/>
      <c r="C408" s="367"/>
      <c r="D408" s="413"/>
      <c r="E408" s="413"/>
      <c r="F408" s="367"/>
      <c r="G408" s="367"/>
      <c r="H408" s="367"/>
      <c r="I408" s="367"/>
      <c r="J408" s="367"/>
      <c r="K408" s="367"/>
      <c r="L408" s="367"/>
      <c r="M408" s="367"/>
      <c r="N408" s="367"/>
      <c r="O408" s="367"/>
      <c r="P408" s="367"/>
      <c r="Q408" s="367"/>
      <c r="R408" s="367"/>
      <c r="S408" s="367"/>
      <c r="T408" s="367"/>
      <c r="U408" s="367"/>
      <c r="V408" s="367"/>
      <c r="W408" s="367"/>
      <c r="X408" s="367"/>
      <c r="Y408" s="367"/>
      <c r="Z408" s="367"/>
    </row>
    <row r="409" ht="12.75" customHeight="1" spans="1:26">
      <c r="A409" s="363"/>
      <c r="B409" s="412"/>
      <c r="C409" s="367"/>
      <c r="D409" s="413"/>
      <c r="E409" s="413"/>
      <c r="F409" s="367"/>
      <c r="G409" s="367"/>
      <c r="H409" s="367"/>
      <c r="I409" s="367"/>
      <c r="J409" s="367"/>
      <c r="K409" s="367"/>
      <c r="L409" s="367"/>
      <c r="M409" s="367"/>
      <c r="N409" s="367"/>
      <c r="O409" s="367"/>
      <c r="P409" s="367"/>
      <c r="Q409" s="367"/>
      <c r="R409" s="367"/>
      <c r="S409" s="367"/>
      <c r="T409" s="367"/>
      <c r="U409" s="367"/>
      <c r="V409" s="367"/>
      <c r="W409" s="367"/>
      <c r="X409" s="367"/>
      <c r="Y409" s="367"/>
      <c r="Z409" s="367"/>
    </row>
    <row r="410" ht="12.75" customHeight="1" spans="1:26">
      <c r="A410" s="363"/>
      <c r="B410" s="412"/>
      <c r="C410" s="367"/>
      <c r="D410" s="413"/>
      <c r="E410" s="413"/>
      <c r="F410" s="367"/>
      <c r="G410" s="367"/>
      <c r="H410" s="367"/>
      <c r="I410" s="367"/>
      <c r="J410" s="367"/>
      <c r="K410" s="367"/>
      <c r="L410" s="367"/>
      <c r="M410" s="367"/>
      <c r="N410" s="367"/>
      <c r="O410" s="367"/>
      <c r="P410" s="367"/>
      <c r="Q410" s="367"/>
      <c r="R410" s="367"/>
      <c r="S410" s="367"/>
      <c r="T410" s="367"/>
      <c r="U410" s="367"/>
      <c r="V410" s="367"/>
      <c r="W410" s="367"/>
      <c r="X410" s="367"/>
      <c r="Y410" s="367"/>
      <c r="Z410" s="367"/>
    </row>
    <row r="411" ht="12.75" customHeight="1" spans="1:26">
      <c r="A411" s="363"/>
      <c r="B411" s="412"/>
      <c r="C411" s="367"/>
      <c r="D411" s="413"/>
      <c r="E411" s="413"/>
      <c r="F411" s="367"/>
      <c r="G411" s="367"/>
      <c r="H411" s="367"/>
      <c r="I411" s="367"/>
      <c r="J411" s="367"/>
      <c r="K411" s="367"/>
      <c r="L411" s="367"/>
      <c r="M411" s="367"/>
      <c r="N411" s="367"/>
      <c r="O411" s="367"/>
      <c r="P411" s="367"/>
      <c r="Q411" s="367"/>
      <c r="R411" s="367"/>
      <c r="S411" s="367"/>
      <c r="T411" s="367"/>
      <c r="U411" s="367"/>
      <c r="V411" s="367"/>
      <c r="W411" s="367"/>
      <c r="X411" s="367"/>
      <c r="Y411" s="367"/>
      <c r="Z411" s="367"/>
    </row>
    <row r="412" ht="12.75" customHeight="1" spans="1:26">
      <c r="A412" s="363"/>
      <c r="B412" s="412"/>
      <c r="C412" s="367"/>
      <c r="D412" s="413"/>
      <c r="E412" s="413"/>
      <c r="F412" s="367"/>
      <c r="G412" s="367"/>
      <c r="H412" s="367"/>
      <c r="I412" s="367"/>
      <c r="J412" s="367"/>
      <c r="K412" s="367"/>
      <c r="L412" s="367"/>
      <c r="M412" s="367"/>
      <c r="N412" s="367"/>
      <c r="O412" s="367"/>
      <c r="P412" s="367"/>
      <c r="Q412" s="367"/>
      <c r="R412" s="367"/>
      <c r="S412" s="367"/>
      <c r="T412" s="367"/>
      <c r="U412" s="367"/>
      <c r="V412" s="367"/>
      <c r="W412" s="367"/>
      <c r="X412" s="367"/>
      <c r="Y412" s="367"/>
      <c r="Z412" s="367"/>
    </row>
    <row r="413" ht="12.75" customHeight="1" spans="1:26">
      <c r="A413" s="363"/>
      <c r="B413" s="412"/>
      <c r="C413" s="367"/>
      <c r="D413" s="413"/>
      <c r="E413" s="413"/>
      <c r="F413" s="367"/>
      <c r="G413" s="367"/>
      <c r="H413" s="367"/>
      <c r="I413" s="367"/>
      <c r="J413" s="367"/>
      <c r="K413" s="367"/>
      <c r="L413" s="367"/>
      <c r="M413" s="367"/>
      <c r="N413" s="367"/>
      <c r="O413" s="367"/>
      <c r="P413" s="367"/>
      <c r="Q413" s="367"/>
      <c r="R413" s="367"/>
      <c r="S413" s="367"/>
      <c r="T413" s="367"/>
      <c r="U413" s="367"/>
      <c r="V413" s="367"/>
      <c r="W413" s="367"/>
      <c r="X413" s="367"/>
      <c r="Y413" s="367"/>
      <c r="Z413" s="367"/>
    </row>
    <row r="414" ht="12.75" customHeight="1" spans="1:26">
      <c r="A414" s="363"/>
      <c r="B414" s="412"/>
      <c r="C414" s="367"/>
      <c r="D414" s="413"/>
      <c r="E414" s="413"/>
      <c r="F414" s="367"/>
      <c r="G414" s="367"/>
      <c r="H414" s="367"/>
      <c r="I414" s="367"/>
      <c r="J414" s="367"/>
      <c r="K414" s="367"/>
      <c r="L414" s="367"/>
      <c r="M414" s="367"/>
      <c r="N414" s="367"/>
      <c r="O414" s="367"/>
      <c r="P414" s="367"/>
      <c r="Q414" s="367"/>
      <c r="R414" s="367"/>
      <c r="S414" s="367"/>
      <c r="T414" s="367"/>
      <c r="U414" s="367"/>
      <c r="V414" s="367"/>
      <c r="W414" s="367"/>
      <c r="X414" s="367"/>
      <c r="Y414" s="367"/>
      <c r="Z414" s="367"/>
    </row>
    <row r="415" ht="12.75" customHeight="1" spans="1:26">
      <c r="A415" s="363"/>
      <c r="B415" s="412"/>
      <c r="C415" s="367"/>
      <c r="D415" s="413"/>
      <c r="E415" s="413"/>
      <c r="F415" s="367"/>
      <c r="G415" s="367"/>
      <c r="H415" s="367"/>
      <c r="I415" s="367"/>
      <c r="J415" s="367"/>
      <c r="K415" s="367"/>
      <c r="L415" s="367"/>
      <c r="M415" s="367"/>
      <c r="N415" s="367"/>
      <c r="O415" s="367"/>
      <c r="P415" s="367"/>
      <c r="Q415" s="367"/>
      <c r="R415" s="367"/>
      <c r="S415" s="367"/>
      <c r="T415" s="367"/>
      <c r="U415" s="367"/>
      <c r="V415" s="367"/>
      <c r="W415" s="367"/>
      <c r="X415" s="367"/>
      <c r="Y415" s="367"/>
      <c r="Z415" s="367"/>
    </row>
    <row r="416" ht="12.75" customHeight="1" spans="1:26">
      <c r="A416" s="363"/>
      <c r="B416" s="412"/>
      <c r="C416" s="367"/>
      <c r="D416" s="413"/>
      <c r="E416" s="413"/>
      <c r="F416" s="367"/>
      <c r="G416" s="367"/>
      <c r="H416" s="367"/>
      <c r="I416" s="367"/>
      <c r="J416" s="367"/>
      <c r="K416" s="367"/>
      <c r="L416" s="367"/>
      <c r="M416" s="367"/>
      <c r="N416" s="367"/>
      <c r="O416" s="367"/>
      <c r="P416" s="367"/>
      <c r="Q416" s="367"/>
      <c r="R416" s="367"/>
      <c r="S416" s="367"/>
      <c r="T416" s="367"/>
      <c r="U416" s="367"/>
      <c r="V416" s="367"/>
      <c r="W416" s="367"/>
      <c r="X416" s="367"/>
      <c r="Y416" s="367"/>
      <c r="Z416" s="367"/>
    </row>
    <row r="417" ht="12.75" customHeight="1" spans="1:26">
      <c r="A417" s="363"/>
      <c r="B417" s="412"/>
      <c r="C417" s="367"/>
      <c r="D417" s="413"/>
      <c r="E417" s="413"/>
      <c r="F417" s="367"/>
      <c r="G417" s="367"/>
      <c r="H417" s="367"/>
      <c r="I417" s="367"/>
      <c r="J417" s="367"/>
      <c r="K417" s="367"/>
      <c r="L417" s="367"/>
      <c r="M417" s="367"/>
      <c r="N417" s="367"/>
      <c r="O417" s="367"/>
      <c r="P417" s="367"/>
      <c r="Q417" s="367"/>
      <c r="R417" s="367"/>
      <c r="S417" s="367"/>
      <c r="T417" s="367"/>
      <c r="U417" s="367"/>
      <c r="V417" s="367"/>
      <c r="W417" s="367"/>
      <c r="X417" s="367"/>
      <c r="Y417" s="367"/>
      <c r="Z417" s="367"/>
    </row>
    <row r="418" ht="12.75" customHeight="1" spans="1:26">
      <c r="A418" s="363"/>
      <c r="B418" s="412"/>
      <c r="C418" s="367"/>
      <c r="D418" s="413"/>
      <c r="E418" s="413"/>
      <c r="F418" s="367"/>
      <c r="G418" s="367"/>
      <c r="H418" s="367"/>
      <c r="I418" s="367"/>
      <c r="J418" s="367"/>
      <c r="K418" s="367"/>
      <c r="L418" s="367"/>
      <c r="M418" s="367"/>
      <c r="N418" s="367"/>
      <c r="O418" s="367"/>
      <c r="P418" s="367"/>
      <c r="Q418" s="367"/>
      <c r="R418" s="367"/>
      <c r="S418" s="367"/>
      <c r="T418" s="367"/>
      <c r="U418" s="367"/>
      <c r="V418" s="367"/>
      <c r="W418" s="367"/>
      <c r="X418" s="367"/>
      <c r="Y418" s="367"/>
      <c r="Z418" s="367"/>
    </row>
    <row r="419" ht="12.75" customHeight="1" spans="1:26">
      <c r="A419" s="363"/>
      <c r="B419" s="412"/>
      <c r="C419" s="367"/>
      <c r="D419" s="413"/>
      <c r="E419" s="413"/>
      <c r="F419" s="367"/>
      <c r="G419" s="367"/>
      <c r="H419" s="367"/>
      <c r="I419" s="367"/>
      <c r="J419" s="367"/>
      <c r="K419" s="367"/>
      <c r="L419" s="367"/>
      <c r="M419" s="367"/>
      <c r="N419" s="367"/>
      <c r="O419" s="367"/>
      <c r="P419" s="367"/>
      <c r="Q419" s="367"/>
      <c r="R419" s="367"/>
      <c r="S419" s="367"/>
      <c r="T419" s="367"/>
      <c r="U419" s="367"/>
      <c r="V419" s="367"/>
      <c r="W419" s="367"/>
      <c r="X419" s="367"/>
      <c r="Y419" s="367"/>
      <c r="Z419" s="367"/>
    </row>
    <row r="420" ht="12.75" customHeight="1" spans="1:26">
      <c r="A420" s="363"/>
      <c r="B420" s="412"/>
      <c r="C420" s="367"/>
      <c r="D420" s="413"/>
      <c r="E420" s="413"/>
      <c r="F420" s="367"/>
      <c r="G420" s="367"/>
      <c r="H420" s="367"/>
      <c r="I420" s="367"/>
      <c r="J420" s="367"/>
      <c r="K420" s="367"/>
      <c r="L420" s="367"/>
      <c r="M420" s="367"/>
      <c r="N420" s="367"/>
      <c r="O420" s="367"/>
      <c r="P420" s="367"/>
      <c r="Q420" s="367"/>
      <c r="R420" s="367"/>
      <c r="S420" s="367"/>
      <c r="T420" s="367"/>
      <c r="U420" s="367"/>
      <c r="V420" s="367"/>
      <c r="W420" s="367"/>
      <c r="X420" s="367"/>
      <c r="Y420" s="367"/>
      <c r="Z420" s="367"/>
    </row>
    <row r="421" ht="12.75" customHeight="1" spans="1:26">
      <c r="A421" s="363"/>
      <c r="B421" s="412"/>
      <c r="C421" s="367"/>
      <c r="D421" s="413"/>
      <c r="E421" s="413"/>
      <c r="F421" s="367"/>
      <c r="G421" s="367"/>
      <c r="H421" s="367"/>
      <c r="I421" s="367"/>
      <c r="J421" s="367"/>
      <c r="K421" s="367"/>
      <c r="L421" s="367"/>
      <c r="M421" s="367"/>
      <c r="N421" s="367"/>
      <c r="O421" s="367"/>
      <c r="P421" s="367"/>
      <c r="Q421" s="367"/>
      <c r="R421" s="367"/>
      <c r="S421" s="367"/>
      <c r="T421" s="367"/>
      <c r="U421" s="367"/>
      <c r="V421" s="367"/>
      <c r="W421" s="367"/>
      <c r="X421" s="367"/>
      <c r="Y421" s="367"/>
      <c r="Z421" s="367"/>
    </row>
    <row r="422" ht="12.75" customHeight="1" spans="1:26">
      <c r="A422" s="363"/>
      <c r="B422" s="412"/>
      <c r="C422" s="367"/>
      <c r="D422" s="413"/>
      <c r="E422" s="413"/>
      <c r="F422" s="367"/>
      <c r="G422" s="367"/>
      <c r="H422" s="367"/>
      <c r="I422" s="367"/>
      <c r="J422" s="367"/>
      <c r="K422" s="367"/>
      <c r="L422" s="367"/>
      <c r="M422" s="367"/>
      <c r="N422" s="367"/>
      <c r="O422" s="367"/>
      <c r="P422" s="367"/>
      <c r="Q422" s="367"/>
      <c r="R422" s="367"/>
      <c r="S422" s="367"/>
      <c r="T422" s="367"/>
      <c r="U422" s="367"/>
      <c r="V422" s="367"/>
      <c r="W422" s="367"/>
      <c r="X422" s="367"/>
      <c r="Y422" s="367"/>
      <c r="Z422" s="367"/>
    </row>
    <row r="423" ht="12.75" customHeight="1" spans="1:26">
      <c r="A423" s="363"/>
      <c r="B423" s="412"/>
      <c r="C423" s="367"/>
      <c r="D423" s="413"/>
      <c r="E423" s="413"/>
      <c r="F423" s="367"/>
      <c r="G423" s="367"/>
      <c r="H423" s="367"/>
      <c r="I423" s="367"/>
      <c r="J423" s="367"/>
      <c r="K423" s="367"/>
      <c r="L423" s="367"/>
      <c r="M423" s="367"/>
      <c r="N423" s="367"/>
      <c r="O423" s="367"/>
      <c r="P423" s="367"/>
      <c r="Q423" s="367"/>
      <c r="R423" s="367"/>
      <c r="S423" s="367"/>
      <c r="T423" s="367"/>
      <c r="U423" s="367"/>
      <c r="V423" s="367"/>
      <c r="W423" s="367"/>
      <c r="X423" s="367"/>
      <c r="Y423" s="367"/>
      <c r="Z423" s="367"/>
    </row>
    <row r="424" ht="12.75" customHeight="1" spans="1:26">
      <c r="A424" s="363"/>
      <c r="B424" s="412"/>
      <c r="C424" s="367"/>
      <c r="D424" s="413"/>
      <c r="E424" s="413"/>
      <c r="F424" s="367"/>
      <c r="G424" s="367"/>
      <c r="H424" s="367"/>
      <c r="I424" s="367"/>
      <c r="J424" s="367"/>
      <c r="K424" s="367"/>
      <c r="L424" s="367"/>
      <c r="M424" s="367"/>
      <c r="N424" s="367"/>
      <c r="O424" s="367"/>
      <c r="P424" s="367"/>
      <c r="Q424" s="367"/>
      <c r="R424" s="367"/>
      <c r="S424" s="367"/>
      <c r="T424" s="367"/>
      <c r="U424" s="367"/>
      <c r="V424" s="367"/>
      <c r="W424" s="367"/>
      <c r="X424" s="367"/>
      <c r="Y424" s="367"/>
      <c r="Z424" s="367"/>
    </row>
    <row r="425" ht="12.75" customHeight="1" spans="1:26">
      <c r="A425" s="363"/>
      <c r="B425" s="412"/>
      <c r="C425" s="367"/>
      <c r="D425" s="413"/>
      <c r="E425" s="413"/>
      <c r="F425" s="367"/>
      <c r="G425" s="367"/>
      <c r="H425" s="367"/>
      <c r="I425" s="367"/>
      <c r="J425" s="367"/>
      <c r="K425" s="367"/>
      <c r="L425" s="367"/>
      <c r="M425" s="367"/>
      <c r="N425" s="367"/>
      <c r="O425" s="367"/>
      <c r="P425" s="367"/>
      <c r="Q425" s="367"/>
      <c r="R425" s="367"/>
      <c r="S425" s="367"/>
      <c r="T425" s="367"/>
      <c r="U425" s="367"/>
      <c r="V425" s="367"/>
      <c r="W425" s="367"/>
      <c r="X425" s="367"/>
      <c r="Y425" s="367"/>
      <c r="Z425" s="367"/>
    </row>
    <row r="426" ht="12.75" customHeight="1" spans="1:26">
      <c r="A426" s="363"/>
      <c r="B426" s="412"/>
      <c r="C426" s="367"/>
      <c r="D426" s="413"/>
      <c r="E426" s="413"/>
      <c r="F426" s="367"/>
      <c r="G426" s="367"/>
      <c r="H426" s="367"/>
      <c r="I426" s="367"/>
      <c r="J426" s="367"/>
      <c r="K426" s="367"/>
      <c r="L426" s="367"/>
      <c r="M426" s="367"/>
      <c r="N426" s="367"/>
      <c r="O426" s="367"/>
      <c r="P426" s="367"/>
      <c r="Q426" s="367"/>
      <c r="R426" s="367"/>
      <c r="S426" s="367"/>
      <c r="T426" s="367"/>
      <c r="U426" s="367"/>
      <c r="V426" s="367"/>
      <c r="W426" s="367"/>
      <c r="X426" s="367"/>
      <c r="Y426" s="367"/>
      <c r="Z426" s="367"/>
    </row>
    <row r="427" ht="12.75" customHeight="1" spans="1:26">
      <c r="A427" s="363"/>
      <c r="B427" s="412"/>
      <c r="C427" s="367"/>
      <c r="D427" s="413"/>
      <c r="E427" s="413"/>
      <c r="F427" s="367"/>
      <c r="G427" s="367"/>
      <c r="H427" s="367"/>
      <c r="I427" s="367"/>
      <c r="J427" s="367"/>
      <c r="K427" s="367"/>
      <c r="L427" s="367"/>
      <c r="M427" s="367"/>
      <c r="N427" s="367"/>
      <c r="O427" s="367"/>
      <c r="P427" s="367"/>
      <c r="Q427" s="367"/>
      <c r="R427" s="367"/>
      <c r="S427" s="367"/>
      <c r="T427" s="367"/>
      <c r="U427" s="367"/>
      <c r="V427" s="367"/>
      <c r="W427" s="367"/>
      <c r="X427" s="367"/>
      <c r="Y427" s="367"/>
      <c r="Z427" s="367"/>
    </row>
    <row r="428" ht="12.75" customHeight="1" spans="1:26">
      <c r="A428" s="363"/>
      <c r="B428" s="412"/>
      <c r="C428" s="367"/>
      <c r="D428" s="413"/>
      <c r="E428" s="413"/>
      <c r="F428" s="367"/>
      <c r="G428" s="367"/>
      <c r="H428" s="367"/>
      <c r="I428" s="367"/>
      <c r="J428" s="367"/>
      <c r="K428" s="367"/>
      <c r="L428" s="367"/>
      <c r="M428" s="367"/>
      <c r="N428" s="367"/>
      <c r="O428" s="367"/>
      <c r="P428" s="367"/>
      <c r="Q428" s="367"/>
      <c r="R428" s="367"/>
      <c r="S428" s="367"/>
      <c r="T428" s="367"/>
      <c r="U428" s="367"/>
      <c r="V428" s="367"/>
      <c r="W428" s="367"/>
      <c r="X428" s="367"/>
      <c r="Y428" s="367"/>
      <c r="Z428" s="367"/>
    </row>
    <row r="429" ht="12.75" customHeight="1" spans="1:26">
      <c r="A429" s="363"/>
      <c r="B429" s="412"/>
      <c r="C429" s="367"/>
      <c r="D429" s="413"/>
      <c r="E429" s="413"/>
      <c r="F429" s="367"/>
      <c r="G429" s="367"/>
      <c r="H429" s="367"/>
      <c r="I429" s="367"/>
      <c r="J429" s="367"/>
      <c r="K429" s="367"/>
      <c r="L429" s="367"/>
      <c r="M429" s="367"/>
      <c r="N429" s="367"/>
      <c r="O429" s="367"/>
      <c r="P429" s="367"/>
      <c r="Q429" s="367"/>
      <c r="R429" s="367"/>
      <c r="S429" s="367"/>
      <c r="T429" s="367"/>
      <c r="U429" s="367"/>
      <c r="V429" s="367"/>
      <c r="W429" s="367"/>
      <c r="X429" s="367"/>
      <c r="Y429" s="367"/>
      <c r="Z429" s="367"/>
    </row>
    <row r="430" ht="12.75" customHeight="1" spans="1:26">
      <c r="A430" s="363"/>
      <c r="B430" s="412"/>
      <c r="C430" s="367"/>
      <c r="D430" s="413"/>
      <c r="E430" s="413"/>
      <c r="F430" s="367"/>
      <c r="G430" s="367"/>
      <c r="H430" s="367"/>
      <c r="I430" s="367"/>
      <c r="J430" s="367"/>
      <c r="K430" s="367"/>
      <c r="L430" s="367"/>
      <c r="M430" s="367"/>
      <c r="N430" s="367"/>
      <c r="O430" s="367"/>
      <c r="P430" s="367"/>
      <c r="Q430" s="367"/>
      <c r="R430" s="367"/>
      <c r="S430" s="367"/>
      <c r="T430" s="367"/>
      <c r="U430" s="367"/>
      <c r="V430" s="367"/>
      <c r="W430" s="367"/>
      <c r="X430" s="367"/>
      <c r="Y430" s="367"/>
      <c r="Z430" s="367"/>
    </row>
    <row r="431" ht="12.75" customHeight="1" spans="1:26">
      <c r="A431" s="363"/>
      <c r="B431" s="412"/>
      <c r="C431" s="367"/>
      <c r="D431" s="413"/>
      <c r="E431" s="413"/>
      <c r="F431" s="367"/>
      <c r="G431" s="367"/>
      <c r="H431" s="367"/>
      <c r="I431" s="367"/>
      <c r="J431" s="367"/>
      <c r="K431" s="367"/>
      <c r="L431" s="367"/>
      <c r="M431" s="367"/>
      <c r="N431" s="367"/>
      <c r="O431" s="367"/>
      <c r="P431" s="367"/>
      <c r="Q431" s="367"/>
      <c r="R431" s="367"/>
      <c r="S431" s="367"/>
      <c r="T431" s="367"/>
      <c r="U431" s="367"/>
      <c r="V431" s="367"/>
      <c r="W431" s="367"/>
      <c r="X431" s="367"/>
      <c r="Y431" s="367"/>
      <c r="Z431" s="367"/>
    </row>
    <row r="432" ht="12.75" customHeight="1" spans="1:26">
      <c r="A432" s="363"/>
      <c r="B432" s="412"/>
      <c r="C432" s="367"/>
      <c r="D432" s="413"/>
      <c r="E432" s="413"/>
      <c r="F432" s="367"/>
      <c r="G432" s="367"/>
      <c r="H432" s="367"/>
      <c r="I432" s="367"/>
      <c r="J432" s="367"/>
      <c r="K432" s="367"/>
      <c r="L432" s="367"/>
      <c r="M432" s="367"/>
      <c r="N432" s="367"/>
      <c r="O432" s="367"/>
      <c r="P432" s="367"/>
      <c r="Q432" s="367"/>
      <c r="R432" s="367"/>
      <c r="S432" s="367"/>
      <c r="T432" s="367"/>
      <c r="U432" s="367"/>
      <c r="V432" s="367"/>
      <c r="W432" s="367"/>
      <c r="X432" s="367"/>
      <c r="Y432" s="367"/>
      <c r="Z432" s="367"/>
    </row>
    <row r="433" ht="12.75" customHeight="1" spans="1:26">
      <c r="A433" s="363"/>
      <c r="B433" s="412"/>
      <c r="C433" s="367"/>
      <c r="D433" s="413"/>
      <c r="E433" s="413"/>
      <c r="F433" s="367"/>
      <c r="G433" s="367"/>
      <c r="H433" s="367"/>
      <c r="I433" s="367"/>
      <c r="J433" s="367"/>
      <c r="K433" s="367"/>
      <c r="L433" s="367"/>
      <c r="M433" s="367"/>
      <c r="N433" s="367"/>
      <c r="O433" s="367"/>
      <c r="P433" s="367"/>
      <c r="Q433" s="367"/>
      <c r="R433" s="367"/>
      <c r="S433" s="367"/>
      <c r="T433" s="367"/>
      <c r="U433" s="367"/>
      <c r="V433" s="367"/>
      <c r="W433" s="367"/>
      <c r="X433" s="367"/>
      <c r="Y433" s="367"/>
      <c r="Z433" s="367"/>
    </row>
    <row r="434" ht="12.75" customHeight="1" spans="1:26">
      <c r="A434" s="363"/>
      <c r="B434" s="412"/>
      <c r="C434" s="367"/>
      <c r="D434" s="413"/>
      <c r="E434" s="413"/>
      <c r="F434" s="367"/>
      <c r="G434" s="367"/>
      <c r="H434" s="367"/>
      <c r="I434" s="367"/>
      <c r="J434" s="367"/>
      <c r="K434" s="367"/>
      <c r="L434" s="367"/>
      <c r="M434" s="367"/>
      <c r="N434" s="367"/>
      <c r="O434" s="367"/>
      <c r="P434" s="367"/>
      <c r="Q434" s="367"/>
      <c r="R434" s="367"/>
      <c r="S434" s="367"/>
      <c r="T434" s="367"/>
      <c r="U434" s="367"/>
      <c r="V434" s="367"/>
      <c r="W434" s="367"/>
      <c r="X434" s="367"/>
      <c r="Y434" s="367"/>
      <c r="Z434" s="367"/>
    </row>
    <row r="435" ht="12.75" customHeight="1" spans="1:26">
      <c r="A435" s="363"/>
      <c r="B435" s="412"/>
      <c r="C435" s="367"/>
      <c r="D435" s="413"/>
      <c r="E435" s="413"/>
      <c r="F435" s="367"/>
      <c r="G435" s="367"/>
      <c r="H435" s="367"/>
      <c r="I435" s="367"/>
      <c r="J435" s="367"/>
      <c r="K435" s="367"/>
      <c r="L435" s="367"/>
      <c r="M435" s="367"/>
      <c r="N435" s="367"/>
      <c r="O435" s="367"/>
      <c r="P435" s="367"/>
      <c r="Q435" s="367"/>
      <c r="R435" s="367"/>
      <c r="S435" s="367"/>
      <c r="T435" s="367"/>
      <c r="U435" s="367"/>
      <c r="V435" s="367"/>
      <c r="W435" s="367"/>
      <c r="X435" s="367"/>
      <c r="Y435" s="367"/>
      <c r="Z435" s="367"/>
    </row>
    <row r="436" ht="12.75" customHeight="1" spans="1:26">
      <c r="A436" s="363"/>
      <c r="B436" s="412"/>
      <c r="C436" s="367"/>
      <c r="D436" s="413"/>
      <c r="E436" s="413"/>
      <c r="F436" s="367"/>
      <c r="G436" s="367"/>
      <c r="H436" s="367"/>
      <c r="I436" s="367"/>
      <c r="J436" s="367"/>
      <c r="K436" s="367"/>
      <c r="L436" s="367"/>
      <c r="M436" s="367"/>
      <c r="N436" s="367"/>
      <c r="O436" s="367"/>
      <c r="P436" s="367"/>
      <c r="Q436" s="367"/>
      <c r="R436" s="367"/>
      <c r="S436" s="367"/>
      <c r="T436" s="367"/>
      <c r="U436" s="367"/>
      <c r="V436" s="367"/>
      <c r="W436" s="367"/>
      <c r="X436" s="367"/>
      <c r="Y436" s="367"/>
      <c r="Z436" s="367"/>
    </row>
    <row r="437" ht="12.75" customHeight="1" spans="1:26">
      <c r="A437" s="363"/>
      <c r="B437" s="412"/>
      <c r="C437" s="367"/>
      <c r="D437" s="413"/>
      <c r="E437" s="413"/>
      <c r="F437" s="367"/>
      <c r="G437" s="367"/>
      <c r="H437" s="367"/>
      <c r="I437" s="367"/>
      <c r="J437" s="367"/>
      <c r="K437" s="367"/>
      <c r="L437" s="367"/>
      <c r="M437" s="367"/>
      <c r="N437" s="367"/>
      <c r="O437" s="367"/>
      <c r="P437" s="367"/>
      <c r="Q437" s="367"/>
      <c r="R437" s="367"/>
      <c r="S437" s="367"/>
      <c r="T437" s="367"/>
      <c r="U437" s="367"/>
      <c r="V437" s="367"/>
      <c r="W437" s="367"/>
      <c r="X437" s="367"/>
      <c r="Y437" s="367"/>
      <c r="Z437" s="367"/>
    </row>
    <row r="438" ht="12.75" customHeight="1" spans="1:26">
      <c r="A438" s="363"/>
      <c r="B438" s="412"/>
      <c r="C438" s="367"/>
      <c r="D438" s="413"/>
      <c r="E438" s="413"/>
      <c r="F438" s="367"/>
      <c r="G438" s="367"/>
      <c r="H438" s="367"/>
      <c r="I438" s="367"/>
      <c r="J438" s="367"/>
      <c r="K438" s="367"/>
      <c r="L438" s="367"/>
      <c r="M438" s="367"/>
      <c r="N438" s="367"/>
      <c r="O438" s="367"/>
      <c r="P438" s="367"/>
      <c r="Q438" s="367"/>
      <c r="R438" s="367"/>
      <c r="S438" s="367"/>
      <c r="T438" s="367"/>
      <c r="U438" s="367"/>
      <c r="V438" s="367"/>
      <c r="W438" s="367"/>
      <c r="X438" s="367"/>
      <c r="Y438" s="367"/>
      <c r="Z438" s="367"/>
    </row>
    <row r="439" ht="12.75" customHeight="1" spans="1:26">
      <c r="A439" s="363"/>
      <c r="B439" s="412"/>
      <c r="C439" s="367"/>
      <c r="D439" s="413"/>
      <c r="E439" s="413"/>
      <c r="F439" s="367"/>
      <c r="G439" s="367"/>
      <c r="H439" s="367"/>
      <c r="I439" s="367"/>
      <c r="J439" s="367"/>
      <c r="K439" s="367"/>
      <c r="L439" s="367"/>
      <c r="M439" s="367"/>
      <c r="N439" s="367"/>
      <c r="O439" s="367"/>
      <c r="P439" s="367"/>
      <c r="Q439" s="367"/>
      <c r="R439" s="367"/>
      <c r="S439" s="367"/>
      <c r="T439" s="367"/>
      <c r="U439" s="367"/>
      <c r="V439" s="367"/>
      <c r="W439" s="367"/>
      <c r="X439" s="367"/>
      <c r="Y439" s="367"/>
      <c r="Z439" s="367"/>
    </row>
    <row r="440" ht="12.75" customHeight="1" spans="1:26">
      <c r="A440" s="363"/>
      <c r="B440" s="412"/>
      <c r="C440" s="367"/>
      <c r="D440" s="413"/>
      <c r="E440" s="413"/>
      <c r="F440" s="367"/>
      <c r="G440" s="367"/>
      <c r="H440" s="367"/>
      <c r="I440" s="367"/>
      <c r="J440" s="367"/>
      <c r="K440" s="367"/>
      <c r="L440" s="367"/>
      <c r="M440" s="367"/>
      <c r="N440" s="367"/>
      <c r="O440" s="367"/>
      <c r="P440" s="367"/>
      <c r="Q440" s="367"/>
      <c r="R440" s="367"/>
      <c r="S440" s="367"/>
      <c r="T440" s="367"/>
      <c r="U440" s="367"/>
      <c r="V440" s="367"/>
      <c r="W440" s="367"/>
      <c r="X440" s="367"/>
      <c r="Y440" s="367"/>
      <c r="Z440" s="367"/>
    </row>
    <row r="441" ht="12.75" customHeight="1" spans="1:26">
      <c r="A441" s="363"/>
      <c r="B441" s="412"/>
      <c r="C441" s="367"/>
      <c r="D441" s="413"/>
      <c r="E441" s="413"/>
      <c r="F441" s="367"/>
      <c r="G441" s="367"/>
      <c r="H441" s="367"/>
      <c r="I441" s="367"/>
      <c r="J441" s="367"/>
      <c r="K441" s="367"/>
      <c r="L441" s="367"/>
      <c r="M441" s="367"/>
      <c r="N441" s="367"/>
      <c r="O441" s="367"/>
      <c r="P441" s="367"/>
      <c r="Q441" s="367"/>
      <c r="R441" s="367"/>
      <c r="S441" s="367"/>
      <c r="T441" s="367"/>
      <c r="U441" s="367"/>
      <c r="V441" s="367"/>
      <c r="W441" s="367"/>
      <c r="X441" s="367"/>
      <c r="Y441" s="367"/>
      <c r="Z441" s="367"/>
    </row>
    <row r="442" ht="12.75" customHeight="1" spans="1:26">
      <c r="A442" s="363"/>
      <c r="B442" s="412"/>
      <c r="C442" s="367"/>
      <c r="D442" s="413"/>
      <c r="E442" s="413"/>
      <c r="F442" s="367"/>
      <c r="G442" s="367"/>
      <c r="H442" s="367"/>
      <c r="I442" s="367"/>
      <c r="J442" s="367"/>
      <c r="K442" s="367"/>
      <c r="L442" s="367"/>
      <c r="M442" s="367"/>
      <c r="N442" s="367"/>
      <c r="O442" s="367"/>
      <c r="P442" s="367"/>
      <c r="Q442" s="367"/>
      <c r="R442" s="367"/>
      <c r="S442" s="367"/>
      <c r="T442" s="367"/>
      <c r="U442" s="367"/>
      <c r="V442" s="367"/>
      <c r="W442" s="367"/>
      <c r="X442" s="367"/>
      <c r="Y442" s="367"/>
      <c r="Z442" s="367"/>
    </row>
    <row r="443" ht="12.75" customHeight="1" spans="1:26">
      <c r="A443" s="363"/>
      <c r="B443" s="412"/>
      <c r="C443" s="367"/>
      <c r="D443" s="413"/>
      <c r="E443" s="413"/>
      <c r="F443" s="367"/>
      <c r="G443" s="367"/>
      <c r="H443" s="367"/>
      <c r="I443" s="367"/>
      <c r="J443" s="367"/>
      <c r="K443" s="367"/>
      <c r="L443" s="367"/>
      <c r="M443" s="367"/>
      <c r="N443" s="367"/>
      <c r="O443" s="367"/>
      <c r="P443" s="367"/>
      <c r="Q443" s="367"/>
      <c r="R443" s="367"/>
      <c r="S443" s="367"/>
      <c r="T443" s="367"/>
      <c r="U443" s="367"/>
      <c r="V443" s="367"/>
      <c r="W443" s="367"/>
      <c r="X443" s="367"/>
      <c r="Y443" s="367"/>
      <c r="Z443" s="367"/>
    </row>
    <row r="444" ht="12.75" customHeight="1" spans="1:26">
      <c r="A444" s="363"/>
      <c r="B444" s="412"/>
      <c r="C444" s="367"/>
      <c r="D444" s="413"/>
      <c r="E444" s="413"/>
      <c r="F444" s="367"/>
      <c r="G444" s="367"/>
      <c r="H444" s="367"/>
      <c r="I444" s="367"/>
      <c r="J444" s="367"/>
      <c r="K444" s="367"/>
      <c r="L444" s="367"/>
      <c r="M444" s="367"/>
      <c r="N444" s="367"/>
      <c r="O444" s="367"/>
      <c r="P444" s="367"/>
      <c r="Q444" s="367"/>
      <c r="R444" s="367"/>
      <c r="S444" s="367"/>
      <c r="T444" s="367"/>
      <c r="U444" s="367"/>
      <c r="V444" s="367"/>
      <c r="W444" s="367"/>
      <c r="X444" s="367"/>
      <c r="Y444" s="367"/>
      <c r="Z444" s="367"/>
    </row>
    <row r="445" ht="12.75" customHeight="1" spans="1:26">
      <c r="A445" s="363"/>
      <c r="B445" s="412"/>
      <c r="C445" s="367"/>
      <c r="D445" s="413"/>
      <c r="E445" s="413"/>
      <c r="F445" s="367"/>
      <c r="G445" s="367"/>
      <c r="H445" s="367"/>
      <c r="I445" s="367"/>
      <c r="J445" s="367"/>
      <c r="K445" s="367"/>
      <c r="L445" s="367"/>
      <c r="M445" s="367"/>
      <c r="N445" s="367"/>
      <c r="O445" s="367"/>
      <c r="P445" s="367"/>
      <c r="Q445" s="367"/>
      <c r="R445" s="367"/>
      <c r="S445" s="367"/>
      <c r="T445" s="367"/>
      <c r="U445" s="367"/>
      <c r="V445" s="367"/>
      <c r="W445" s="367"/>
      <c r="X445" s="367"/>
      <c r="Y445" s="367"/>
      <c r="Z445" s="367"/>
    </row>
    <row r="446" ht="12.75" customHeight="1" spans="1:26">
      <c r="A446" s="363"/>
      <c r="B446" s="412"/>
      <c r="C446" s="367"/>
      <c r="D446" s="413"/>
      <c r="E446" s="413"/>
      <c r="F446" s="367"/>
      <c r="G446" s="367"/>
      <c r="H446" s="367"/>
      <c r="I446" s="367"/>
      <c r="J446" s="367"/>
      <c r="K446" s="367"/>
      <c r="L446" s="367"/>
      <c r="M446" s="367"/>
      <c r="N446" s="367"/>
      <c r="O446" s="367"/>
      <c r="P446" s="367"/>
      <c r="Q446" s="367"/>
      <c r="R446" s="367"/>
      <c r="S446" s="367"/>
      <c r="T446" s="367"/>
      <c r="U446" s="367"/>
      <c r="V446" s="367"/>
      <c r="W446" s="367"/>
      <c r="X446" s="367"/>
      <c r="Y446" s="367"/>
      <c r="Z446" s="367"/>
    </row>
    <row r="447" ht="12.75" customHeight="1" spans="1:26">
      <c r="A447" s="363"/>
      <c r="B447" s="412"/>
      <c r="C447" s="367"/>
      <c r="D447" s="413"/>
      <c r="E447" s="413"/>
      <c r="F447" s="367"/>
      <c r="G447" s="367"/>
      <c r="H447" s="367"/>
      <c r="I447" s="367"/>
      <c r="J447" s="367"/>
      <c r="K447" s="367"/>
      <c r="L447" s="367"/>
      <c r="M447" s="367"/>
      <c r="N447" s="367"/>
      <c r="O447" s="367"/>
      <c r="P447" s="367"/>
      <c r="Q447" s="367"/>
      <c r="R447" s="367"/>
      <c r="S447" s="367"/>
      <c r="T447" s="367"/>
      <c r="U447" s="367"/>
      <c r="V447" s="367"/>
      <c r="W447" s="367"/>
      <c r="X447" s="367"/>
      <c r="Y447" s="367"/>
      <c r="Z447" s="367"/>
    </row>
    <row r="448" ht="12.75" customHeight="1" spans="1:26">
      <c r="A448" s="363"/>
      <c r="B448" s="412"/>
      <c r="C448" s="367"/>
      <c r="D448" s="413"/>
      <c r="E448" s="413"/>
      <c r="F448" s="367"/>
      <c r="G448" s="367"/>
      <c r="H448" s="367"/>
      <c r="I448" s="367"/>
      <c r="J448" s="367"/>
      <c r="K448" s="367"/>
      <c r="L448" s="367"/>
      <c r="M448" s="367"/>
      <c r="N448" s="367"/>
      <c r="O448" s="367"/>
      <c r="P448" s="367"/>
      <c r="Q448" s="367"/>
      <c r="R448" s="367"/>
      <c r="S448" s="367"/>
      <c r="T448" s="367"/>
      <c r="U448" s="367"/>
      <c r="V448" s="367"/>
      <c r="W448" s="367"/>
      <c r="X448" s="367"/>
      <c r="Y448" s="367"/>
      <c r="Z448" s="367"/>
    </row>
    <row r="449" ht="12.75" customHeight="1" spans="1:26">
      <c r="A449" s="363"/>
      <c r="B449" s="412"/>
      <c r="C449" s="367"/>
      <c r="D449" s="413"/>
      <c r="E449" s="413"/>
      <c r="F449" s="367"/>
      <c r="G449" s="367"/>
      <c r="H449" s="367"/>
      <c r="I449" s="367"/>
      <c r="J449" s="367"/>
      <c r="K449" s="367"/>
      <c r="L449" s="367"/>
      <c r="M449" s="367"/>
      <c r="N449" s="367"/>
      <c r="O449" s="367"/>
      <c r="P449" s="367"/>
      <c r="Q449" s="367"/>
      <c r="R449" s="367"/>
      <c r="S449" s="367"/>
      <c r="T449" s="367"/>
      <c r="U449" s="367"/>
      <c r="V449" s="367"/>
      <c r="W449" s="367"/>
      <c r="X449" s="367"/>
      <c r="Y449" s="367"/>
      <c r="Z449" s="367"/>
    </row>
    <row r="450" ht="12.75" customHeight="1" spans="1:26">
      <c r="A450" s="363"/>
      <c r="B450" s="412"/>
      <c r="C450" s="367"/>
      <c r="D450" s="413"/>
      <c r="E450" s="413"/>
      <c r="F450" s="367"/>
      <c r="G450" s="367"/>
      <c r="H450" s="367"/>
      <c r="I450" s="367"/>
      <c r="J450" s="367"/>
      <c r="K450" s="367"/>
      <c r="L450" s="367"/>
      <c r="M450" s="367"/>
      <c r="N450" s="367"/>
      <c r="O450" s="367"/>
      <c r="P450" s="367"/>
      <c r="Q450" s="367"/>
      <c r="R450" s="367"/>
      <c r="S450" s="367"/>
      <c r="T450" s="367"/>
      <c r="U450" s="367"/>
      <c r="V450" s="367"/>
      <c r="W450" s="367"/>
      <c r="X450" s="367"/>
      <c r="Y450" s="367"/>
      <c r="Z450" s="367"/>
    </row>
    <row r="451" ht="12.75" customHeight="1" spans="1:26">
      <c r="A451" s="363"/>
      <c r="B451" s="412"/>
      <c r="C451" s="367"/>
      <c r="D451" s="413"/>
      <c r="E451" s="413"/>
      <c r="F451" s="367"/>
      <c r="G451" s="367"/>
      <c r="H451" s="367"/>
      <c r="I451" s="367"/>
      <c r="J451" s="367"/>
      <c r="K451" s="367"/>
      <c r="L451" s="367"/>
      <c r="M451" s="367"/>
      <c r="N451" s="367"/>
      <c r="O451" s="367"/>
      <c r="P451" s="367"/>
      <c r="Q451" s="367"/>
      <c r="R451" s="367"/>
      <c r="S451" s="367"/>
      <c r="T451" s="367"/>
      <c r="U451" s="367"/>
      <c r="V451" s="367"/>
      <c r="W451" s="367"/>
      <c r="X451" s="367"/>
      <c r="Y451" s="367"/>
      <c r="Z451" s="367"/>
    </row>
    <row r="452" ht="12.75" customHeight="1" spans="1:26">
      <c r="A452" s="363"/>
      <c r="B452" s="412"/>
      <c r="C452" s="367"/>
      <c r="D452" s="413"/>
      <c r="E452" s="413"/>
      <c r="F452" s="367"/>
      <c r="G452" s="367"/>
      <c r="H452" s="367"/>
      <c r="I452" s="367"/>
      <c r="J452" s="367"/>
      <c r="K452" s="367"/>
      <c r="L452" s="367"/>
      <c r="M452" s="367"/>
      <c r="N452" s="367"/>
      <c r="O452" s="367"/>
      <c r="P452" s="367"/>
      <c r="Q452" s="367"/>
      <c r="R452" s="367"/>
      <c r="S452" s="367"/>
      <c r="T452" s="367"/>
      <c r="U452" s="367"/>
      <c r="V452" s="367"/>
      <c r="W452" s="367"/>
      <c r="X452" s="367"/>
      <c r="Y452" s="367"/>
      <c r="Z452" s="367"/>
    </row>
    <row r="453" ht="12.75" customHeight="1" spans="1:26">
      <c r="A453" s="363"/>
      <c r="B453" s="412"/>
      <c r="C453" s="367"/>
      <c r="D453" s="413"/>
      <c r="E453" s="413"/>
      <c r="F453" s="367"/>
      <c r="G453" s="367"/>
      <c r="H453" s="367"/>
      <c r="I453" s="367"/>
      <c r="J453" s="367"/>
      <c r="K453" s="367"/>
      <c r="L453" s="367"/>
      <c r="M453" s="367"/>
      <c r="N453" s="367"/>
      <c r="O453" s="367"/>
      <c r="P453" s="367"/>
      <c r="Q453" s="367"/>
      <c r="R453" s="367"/>
      <c r="S453" s="367"/>
      <c r="T453" s="367"/>
      <c r="U453" s="367"/>
      <c r="V453" s="367"/>
      <c r="W453" s="367"/>
      <c r="X453" s="367"/>
      <c r="Y453" s="367"/>
      <c r="Z453" s="367"/>
    </row>
    <row r="454" ht="12.75" customHeight="1" spans="1:26">
      <c r="A454" s="363"/>
      <c r="B454" s="412"/>
      <c r="C454" s="367"/>
      <c r="D454" s="413"/>
      <c r="E454" s="413"/>
      <c r="F454" s="367"/>
      <c r="G454" s="367"/>
      <c r="H454" s="367"/>
      <c r="I454" s="367"/>
      <c r="J454" s="367"/>
      <c r="K454" s="367"/>
      <c r="L454" s="367"/>
      <c r="M454" s="367"/>
      <c r="N454" s="367"/>
      <c r="O454" s="367"/>
      <c r="P454" s="367"/>
      <c r="Q454" s="367"/>
      <c r="R454" s="367"/>
      <c r="S454" s="367"/>
      <c r="T454" s="367"/>
      <c r="U454" s="367"/>
      <c r="V454" s="367"/>
      <c r="W454" s="367"/>
      <c r="X454" s="367"/>
      <c r="Y454" s="367"/>
      <c r="Z454" s="367"/>
    </row>
    <row r="455" ht="12.75" customHeight="1" spans="1:26">
      <c r="A455" s="363"/>
      <c r="B455" s="412"/>
      <c r="C455" s="367"/>
      <c r="D455" s="413"/>
      <c r="E455" s="413"/>
      <c r="F455" s="367"/>
      <c r="G455" s="367"/>
      <c r="H455" s="367"/>
      <c r="I455" s="367"/>
      <c r="J455" s="367"/>
      <c r="K455" s="367"/>
      <c r="L455" s="367"/>
      <c r="M455" s="367"/>
      <c r="N455" s="367"/>
      <c r="O455" s="367"/>
      <c r="P455" s="367"/>
      <c r="Q455" s="367"/>
      <c r="R455" s="367"/>
      <c r="S455" s="367"/>
      <c r="T455" s="367"/>
      <c r="U455" s="367"/>
      <c r="V455" s="367"/>
      <c r="W455" s="367"/>
      <c r="X455" s="367"/>
      <c r="Y455" s="367"/>
      <c r="Z455" s="367"/>
    </row>
    <row r="456" ht="12.75" customHeight="1" spans="1:26">
      <c r="A456" s="363"/>
      <c r="B456" s="412"/>
      <c r="C456" s="367"/>
      <c r="D456" s="413"/>
      <c r="E456" s="413"/>
      <c r="F456" s="367"/>
      <c r="G456" s="367"/>
      <c r="H456" s="367"/>
      <c r="I456" s="367"/>
      <c r="J456" s="367"/>
      <c r="K456" s="367"/>
      <c r="L456" s="367"/>
      <c r="M456" s="367"/>
      <c r="N456" s="367"/>
      <c r="O456" s="367"/>
      <c r="P456" s="367"/>
      <c r="Q456" s="367"/>
      <c r="R456" s="367"/>
      <c r="S456" s="367"/>
      <c r="T456" s="367"/>
      <c r="U456" s="367"/>
      <c r="V456" s="367"/>
      <c r="W456" s="367"/>
      <c r="X456" s="367"/>
      <c r="Y456" s="367"/>
      <c r="Z456" s="367"/>
    </row>
    <row r="457" ht="12.75" customHeight="1" spans="1:26">
      <c r="A457" s="363"/>
      <c r="B457" s="412"/>
      <c r="C457" s="367"/>
      <c r="D457" s="413"/>
      <c r="E457" s="413"/>
      <c r="F457" s="367"/>
      <c r="G457" s="367"/>
      <c r="H457" s="367"/>
      <c r="I457" s="367"/>
      <c r="J457" s="367"/>
      <c r="K457" s="367"/>
      <c r="L457" s="367"/>
      <c r="M457" s="367"/>
      <c r="N457" s="367"/>
      <c r="O457" s="367"/>
      <c r="P457" s="367"/>
      <c r="Q457" s="367"/>
      <c r="R457" s="367"/>
      <c r="S457" s="367"/>
      <c r="T457" s="367"/>
      <c r="U457" s="367"/>
      <c r="V457" s="367"/>
      <c r="W457" s="367"/>
      <c r="X457" s="367"/>
      <c r="Y457" s="367"/>
      <c r="Z457" s="367"/>
    </row>
    <row r="458" ht="12.75" customHeight="1" spans="1:26">
      <c r="A458" s="363"/>
      <c r="B458" s="412"/>
      <c r="C458" s="367"/>
      <c r="D458" s="413"/>
      <c r="E458" s="413"/>
      <c r="F458" s="367"/>
      <c r="G458" s="367"/>
      <c r="H458" s="367"/>
      <c r="I458" s="367"/>
      <c r="J458" s="367"/>
      <c r="K458" s="367"/>
      <c r="L458" s="367"/>
      <c r="M458" s="367"/>
      <c r="N458" s="367"/>
      <c r="O458" s="367"/>
      <c r="P458" s="367"/>
      <c r="Q458" s="367"/>
      <c r="R458" s="367"/>
      <c r="S458" s="367"/>
      <c r="T458" s="367"/>
      <c r="U458" s="367"/>
      <c r="V458" s="367"/>
      <c r="W458" s="367"/>
      <c r="X458" s="367"/>
      <c r="Y458" s="367"/>
      <c r="Z458" s="367"/>
    </row>
    <row r="459" ht="12.75" customHeight="1" spans="1:26">
      <c r="A459" s="363"/>
      <c r="B459" s="412"/>
      <c r="C459" s="367"/>
      <c r="D459" s="413"/>
      <c r="E459" s="413"/>
      <c r="F459" s="367"/>
      <c r="G459" s="367"/>
      <c r="H459" s="367"/>
      <c r="I459" s="367"/>
      <c r="J459" s="367"/>
      <c r="K459" s="367"/>
      <c r="L459" s="367"/>
      <c r="M459" s="367"/>
      <c r="N459" s="367"/>
      <c r="O459" s="367"/>
      <c r="P459" s="367"/>
      <c r="Q459" s="367"/>
      <c r="R459" s="367"/>
      <c r="S459" s="367"/>
      <c r="T459" s="367"/>
      <c r="U459" s="367"/>
      <c r="V459" s="367"/>
      <c r="W459" s="367"/>
      <c r="X459" s="367"/>
      <c r="Y459" s="367"/>
      <c r="Z459" s="367"/>
    </row>
    <row r="460" ht="12.75" customHeight="1" spans="1:26">
      <c r="A460" s="363"/>
      <c r="B460" s="412"/>
      <c r="C460" s="367"/>
      <c r="D460" s="413"/>
      <c r="E460" s="413"/>
      <c r="F460" s="367"/>
      <c r="G460" s="367"/>
      <c r="H460" s="367"/>
      <c r="I460" s="367"/>
      <c r="J460" s="367"/>
      <c r="K460" s="367"/>
      <c r="L460" s="367"/>
      <c r="M460" s="367"/>
      <c r="N460" s="367"/>
      <c r="O460" s="367"/>
      <c r="P460" s="367"/>
      <c r="Q460" s="367"/>
      <c r="R460" s="367"/>
      <c r="S460" s="367"/>
      <c r="T460" s="367"/>
      <c r="U460" s="367"/>
      <c r="V460" s="367"/>
      <c r="W460" s="367"/>
      <c r="X460" s="367"/>
      <c r="Y460" s="367"/>
      <c r="Z460" s="367"/>
    </row>
    <row r="461" ht="12.75" customHeight="1" spans="1:26">
      <c r="A461" s="363"/>
      <c r="B461" s="412"/>
      <c r="C461" s="367"/>
      <c r="D461" s="413"/>
      <c r="E461" s="413"/>
      <c r="F461" s="367"/>
      <c r="G461" s="367"/>
      <c r="H461" s="367"/>
      <c r="I461" s="367"/>
      <c r="J461" s="367"/>
      <c r="K461" s="367"/>
      <c r="L461" s="367"/>
      <c r="M461" s="367"/>
      <c r="N461" s="367"/>
      <c r="O461" s="367"/>
      <c r="P461" s="367"/>
      <c r="Q461" s="367"/>
      <c r="R461" s="367"/>
      <c r="S461" s="367"/>
      <c r="T461" s="367"/>
      <c r="U461" s="367"/>
      <c r="V461" s="367"/>
      <c r="W461" s="367"/>
      <c r="X461" s="367"/>
      <c r="Y461" s="367"/>
      <c r="Z461" s="367"/>
    </row>
    <row r="462" ht="12.75" customHeight="1" spans="1:26">
      <c r="A462" s="363"/>
      <c r="B462" s="412"/>
      <c r="C462" s="367"/>
      <c r="D462" s="413"/>
      <c r="E462" s="413"/>
      <c r="F462" s="367"/>
      <c r="G462" s="367"/>
      <c r="H462" s="367"/>
      <c r="I462" s="367"/>
      <c r="J462" s="367"/>
      <c r="K462" s="367"/>
      <c r="L462" s="367"/>
      <c r="M462" s="367"/>
      <c r="N462" s="367"/>
      <c r="O462" s="367"/>
      <c r="P462" s="367"/>
      <c r="Q462" s="367"/>
      <c r="R462" s="367"/>
      <c r="S462" s="367"/>
      <c r="T462" s="367"/>
      <c r="U462" s="367"/>
      <c r="V462" s="367"/>
      <c r="W462" s="367"/>
      <c r="X462" s="367"/>
      <c r="Y462" s="367"/>
      <c r="Z462" s="367"/>
    </row>
    <row r="463" ht="12.75" customHeight="1" spans="1:26">
      <c r="A463" s="363"/>
      <c r="B463" s="412"/>
      <c r="C463" s="367"/>
      <c r="D463" s="413"/>
      <c r="E463" s="413"/>
      <c r="F463" s="367"/>
      <c r="G463" s="367"/>
      <c r="H463" s="367"/>
      <c r="I463" s="367"/>
      <c r="J463" s="367"/>
      <c r="K463" s="367"/>
      <c r="L463" s="367"/>
      <c r="M463" s="367"/>
      <c r="N463" s="367"/>
      <c r="O463" s="367"/>
      <c r="P463" s="367"/>
      <c r="Q463" s="367"/>
      <c r="R463" s="367"/>
      <c r="S463" s="367"/>
      <c r="T463" s="367"/>
      <c r="U463" s="367"/>
      <c r="V463" s="367"/>
      <c r="W463" s="367"/>
      <c r="X463" s="367"/>
      <c r="Y463" s="367"/>
      <c r="Z463" s="367"/>
    </row>
    <row r="464" ht="12.75" customHeight="1" spans="1:26">
      <c r="A464" s="363"/>
      <c r="B464" s="412"/>
      <c r="C464" s="367"/>
      <c r="D464" s="413"/>
      <c r="E464" s="413"/>
      <c r="F464" s="367"/>
      <c r="G464" s="367"/>
      <c r="H464" s="367"/>
      <c r="I464" s="367"/>
      <c r="J464" s="367"/>
      <c r="K464" s="367"/>
      <c r="L464" s="367"/>
      <c r="M464" s="367"/>
      <c r="N464" s="367"/>
      <c r="O464" s="367"/>
      <c r="P464" s="367"/>
      <c r="Q464" s="367"/>
      <c r="R464" s="367"/>
      <c r="S464" s="367"/>
      <c r="T464" s="367"/>
      <c r="U464" s="367"/>
      <c r="V464" s="367"/>
      <c r="W464" s="367"/>
      <c r="X464" s="367"/>
      <c r="Y464" s="367"/>
      <c r="Z464" s="367"/>
    </row>
    <row r="465" ht="12.75" customHeight="1" spans="1:26">
      <c r="A465" s="363"/>
      <c r="B465" s="412"/>
      <c r="C465" s="367"/>
      <c r="D465" s="413"/>
      <c r="E465" s="413"/>
      <c r="F465" s="367"/>
      <c r="G465" s="367"/>
      <c r="H465" s="367"/>
      <c r="I465" s="367"/>
      <c r="J465" s="367"/>
      <c r="K465" s="367"/>
      <c r="L465" s="367"/>
      <c r="M465" s="367"/>
      <c r="N465" s="367"/>
      <c r="O465" s="367"/>
      <c r="P465" s="367"/>
      <c r="Q465" s="367"/>
      <c r="R465" s="367"/>
      <c r="S465" s="367"/>
      <c r="T465" s="367"/>
      <c r="U465" s="367"/>
      <c r="V465" s="367"/>
      <c r="W465" s="367"/>
      <c r="X465" s="367"/>
      <c r="Y465" s="367"/>
      <c r="Z465" s="367"/>
    </row>
    <row r="466" ht="12.75" customHeight="1" spans="1:26">
      <c r="A466" s="363"/>
      <c r="B466" s="412"/>
      <c r="C466" s="367"/>
      <c r="D466" s="413"/>
      <c r="E466" s="413"/>
      <c r="F466" s="367"/>
      <c r="G466" s="367"/>
      <c r="H466" s="367"/>
      <c r="I466" s="367"/>
      <c r="J466" s="367"/>
      <c r="K466" s="367"/>
      <c r="L466" s="367"/>
      <c r="M466" s="367"/>
      <c r="N466" s="367"/>
      <c r="O466" s="367"/>
      <c r="P466" s="367"/>
      <c r="Q466" s="367"/>
      <c r="R466" s="367"/>
      <c r="S466" s="367"/>
      <c r="T466" s="367"/>
      <c r="U466" s="367"/>
      <c r="V466" s="367"/>
      <c r="W466" s="367"/>
      <c r="X466" s="367"/>
      <c r="Y466" s="367"/>
      <c r="Z466" s="367"/>
    </row>
    <row r="467" ht="12.75" customHeight="1" spans="1:26">
      <c r="A467" s="363"/>
      <c r="B467" s="412"/>
      <c r="C467" s="367"/>
      <c r="D467" s="413"/>
      <c r="E467" s="413"/>
      <c r="F467" s="367"/>
      <c r="G467" s="367"/>
      <c r="H467" s="367"/>
      <c r="I467" s="367"/>
      <c r="J467" s="367"/>
      <c r="K467" s="367"/>
      <c r="L467" s="367"/>
      <c r="M467" s="367"/>
      <c r="N467" s="367"/>
      <c r="O467" s="367"/>
      <c r="P467" s="367"/>
      <c r="Q467" s="367"/>
      <c r="R467" s="367"/>
      <c r="S467" s="367"/>
      <c r="T467" s="367"/>
      <c r="U467" s="367"/>
      <c r="V467" s="367"/>
      <c r="W467" s="367"/>
      <c r="X467" s="367"/>
      <c r="Y467" s="367"/>
      <c r="Z467" s="367"/>
    </row>
    <row r="468" ht="12.75" customHeight="1" spans="1:26">
      <c r="A468" s="363"/>
      <c r="B468" s="412"/>
      <c r="C468" s="367"/>
      <c r="D468" s="413"/>
      <c r="E468" s="413"/>
      <c r="F468" s="367"/>
      <c r="G468" s="367"/>
      <c r="H468" s="367"/>
      <c r="I468" s="367"/>
      <c r="J468" s="367"/>
      <c r="K468" s="367"/>
      <c r="L468" s="367"/>
      <c r="M468" s="367"/>
      <c r="N468" s="367"/>
      <c r="O468" s="367"/>
      <c r="P468" s="367"/>
      <c r="Q468" s="367"/>
      <c r="R468" s="367"/>
      <c r="S468" s="367"/>
      <c r="T468" s="367"/>
      <c r="U468" s="367"/>
      <c r="V468" s="367"/>
      <c r="W468" s="367"/>
      <c r="X468" s="367"/>
      <c r="Y468" s="367"/>
      <c r="Z468" s="367"/>
    </row>
    <row r="469" ht="12.75" customHeight="1" spans="1:26">
      <c r="A469" s="363"/>
      <c r="B469" s="412"/>
      <c r="C469" s="367"/>
      <c r="D469" s="413"/>
      <c r="E469" s="413"/>
      <c r="F469" s="367"/>
      <c r="G469" s="367"/>
      <c r="H469" s="367"/>
      <c r="I469" s="367"/>
      <c r="J469" s="367"/>
      <c r="K469" s="367"/>
      <c r="L469" s="367"/>
      <c r="M469" s="367"/>
      <c r="N469" s="367"/>
      <c r="O469" s="367"/>
      <c r="P469" s="367"/>
      <c r="Q469" s="367"/>
      <c r="R469" s="367"/>
      <c r="S469" s="367"/>
      <c r="T469" s="367"/>
      <c r="U469" s="367"/>
      <c r="V469" s="367"/>
      <c r="W469" s="367"/>
      <c r="X469" s="367"/>
      <c r="Y469" s="367"/>
      <c r="Z469" s="367"/>
    </row>
    <row r="470" ht="12.75" customHeight="1" spans="1:26">
      <c r="A470" s="363"/>
      <c r="B470" s="412"/>
      <c r="C470" s="367"/>
      <c r="D470" s="413"/>
      <c r="E470" s="413"/>
      <c r="F470" s="367"/>
      <c r="G470" s="367"/>
      <c r="H470" s="367"/>
      <c r="I470" s="367"/>
      <c r="J470" s="367"/>
      <c r="K470" s="367"/>
      <c r="L470" s="367"/>
      <c r="M470" s="367"/>
      <c r="N470" s="367"/>
      <c r="O470" s="367"/>
      <c r="P470" s="367"/>
      <c r="Q470" s="367"/>
      <c r="R470" s="367"/>
      <c r="S470" s="367"/>
      <c r="T470" s="367"/>
      <c r="U470" s="367"/>
      <c r="V470" s="367"/>
      <c r="W470" s="367"/>
      <c r="X470" s="367"/>
      <c r="Y470" s="367"/>
      <c r="Z470" s="367"/>
    </row>
    <row r="471" ht="12.75" customHeight="1" spans="1:26">
      <c r="A471" s="363"/>
      <c r="B471" s="412"/>
      <c r="C471" s="367"/>
      <c r="D471" s="413"/>
      <c r="E471" s="413"/>
      <c r="F471" s="367"/>
      <c r="G471" s="367"/>
      <c r="H471" s="367"/>
      <c r="I471" s="367"/>
      <c r="J471" s="367"/>
      <c r="K471" s="367"/>
      <c r="L471" s="367"/>
      <c r="M471" s="367"/>
      <c r="N471" s="367"/>
      <c r="O471" s="367"/>
      <c r="P471" s="367"/>
      <c r="Q471" s="367"/>
      <c r="R471" s="367"/>
      <c r="S471" s="367"/>
      <c r="T471" s="367"/>
      <c r="U471" s="367"/>
      <c r="V471" s="367"/>
      <c r="W471" s="367"/>
      <c r="X471" s="367"/>
      <c r="Y471" s="367"/>
      <c r="Z471" s="367"/>
    </row>
    <row r="472" ht="12.75" customHeight="1" spans="1:26">
      <c r="A472" s="363"/>
      <c r="B472" s="412"/>
      <c r="C472" s="367"/>
      <c r="D472" s="413"/>
      <c r="E472" s="413"/>
      <c r="F472" s="367"/>
      <c r="G472" s="367"/>
      <c r="H472" s="367"/>
      <c r="I472" s="367"/>
      <c r="J472" s="367"/>
      <c r="K472" s="367"/>
      <c r="L472" s="367"/>
      <c r="M472" s="367"/>
      <c r="N472" s="367"/>
      <c r="O472" s="367"/>
      <c r="P472" s="367"/>
      <c r="Q472" s="367"/>
      <c r="R472" s="367"/>
      <c r="S472" s="367"/>
      <c r="T472" s="367"/>
      <c r="U472" s="367"/>
      <c r="V472" s="367"/>
      <c r="W472" s="367"/>
      <c r="X472" s="367"/>
      <c r="Y472" s="367"/>
      <c r="Z472" s="367"/>
    </row>
    <row r="473" ht="12.75" customHeight="1" spans="1:26">
      <c r="A473" s="363"/>
      <c r="B473" s="412"/>
      <c r="C473" s="367"/>
      <c r="D473" s="413"/>
      <c r="E473" s="413"/>
      <c r="F473" s="367"/>
      <c r="G473" s="367"/>
      <c r="H473" s="367"/>
      <c r="I473" s="367"/>
      <c r="J473" s="367"/>
      <c r="K473" s="367"/>
      <c r="L473" s="367"/>
      <c r="M473" s="367"/>
      <c r="N473" s="367"/>
      <c r="O473" s="367"/>
      <c r="P473" s="367"/>
      <c r="Q473" s="367"/>
      <c r="R473" s="367"/>
      <c r="S473" s="367"/>
      <c r="T473" s="367"/>
      <c r="U473" s="367"/>
      <c r="V473" s="367"/>
      <c r="W473" s="367"/>
      <c r="X473" s="367"/>
      <c r="Y473" s="367"/>
      <c r="Z473" s="367"/>
    </row>
    <row r="474" ht="12.75" customHeight="1" spans="1:26">
      <c r="A474" s="363"/>
      <c r="B474" s="412"/>
      <c r="C474" s="367"/>
      <c r="D474" s="413"/>
      <c r="E474" s="413"/>
      <c r="F474" s="367"/>
      <c r="G474" s="367"/>
      <c r="H474" s="367"/>
      <c r="I474" s="367"/>
      <c r="J474" s="367"/>
      <c r="K474" s="367"/>
      <c r="L474" s="367"/>
      <c r="M474" s="367"/>
      <c r="N474" s="367"/>
      <c r="O474" s="367"/>
      <c r="P474" s="367"/>
      <c r="Q474" s="367"/>
      <c r="R474" s="367"/>
      <c r="S474" s="367"/>
      <c r="T474" s="367"/>
      <c r="U474" s="367"/>
      <c r="V474" s="367"/>
      <c r="W474" s="367"/>
      <c r="X474" s="367"/>
      <c r="Y474" s="367"/>
      <c r="Z474" s="367"/>
    </row>
    <row r="475" ht="12.75" customHeight="1" spans="1:26">
      <c r="A475" s="363"/>
      <c r="B475" s="412"/>
      <c r="C475" s="367"/>
      <c r="D475" s="413"/>
      <c r="E475" s="413"/>
      <c r="F475" s="367"/>
      <c r="G475" s="367"/>
      <c r="H475" s="367"/>
      <c r="I475" s="367"/>
      <c r="J475" s="367"/>
      <c r="K475" s="367"/>
      <c r="L475" s="367"/>
      <c r="M475" s="367"/>
      <c r="N475" s="367"/>
      <c r="O475" s="367"/>
      <c r="P475" s="367"/>
      <c r="Q475" s="367"/>
      <c r="R475" s="367"/>
      <c r="S475" s="367"/>
      <c r="T475" s="367"/>
      <c r="U475" s="367"/>
      <c r="V475" s="367"/>
      <c r="W475" s="367"/>
      <c r="X475" s="367"/>
      <c r="Y475" s="367"/>
      <c r="Z475" s="367"/>
    </row>
    <row r="476" ht="12.75" customHeight="1" spans="1:26">
      <c r="A476" s="363"/>
      <c r="B476" s="412"/>
      <c r="C476" s="367"/>
      <c r="D476" s="413"/>
      <c r="E476" s="413"/>
      <c r="F476" s="367"/>
      <c r="G476" s="367"/>
      <c r="H476" s="367"/>
      <c r="I476" s="367"/>
      <c r="J476" s="367"/>
      <c r="K476" s="367"/>
      <c r="L476" s="367"/>
      <c r="M476" s="367"/>
      <c r="N476" s="367"/>
      <c r="O476" s="367"/>
      <c r="P476" s="367"/>
      <c r="Q476" s="367"/>
      <c r="R476" s="367"/>
      <c r="S476" s="367"/>
      <c r="T476" s="367"/>
      <c r="U476" s="367"/>
      <c r="V476" s="367"/>
      <c r="W476" s="367"/>
      <c r="X476" s="367"/>
      <c r="Y476" s="367"/>
      <c r="Z476" s="367"/>
    </row>
    <row r="477" ht="12.75" customHeight="1" spans="1:26">
      <c r="A477" s="363"/>
      <c r="B477" s="412"/>
      <c r="C477" s="367"/>
      <c r="D477" s="413"/>
      <c r="E477" s="413"/>
      <c r="F477" s="367"/>
      <c r="G477" s="367"/>
      <c r="H477" s="367"/>
      <c r="I477" s="367"/>
      <c r="J477" s="367"/>
      <c r="K477" s="367"/>
      <c r="L477" s="367"/>
      <c r="M477" s="367"/>
      <c r="N477" s="367"/>
      <c r="O477" s="367"/>
      <c r="P477" s="367"/>
      <c r="Q477" s="367"/>
      <c r="R477" s="367"/>
      <c r="S477" s="367"/>
      <c r="T477" s="367"/>
      <c r="U477" s="367"/>
      <c r="V477" s="367"/>
      <c r="W477" s="367"/>
      <c r="X477" s="367"/>
      <c r="Y477" s="367"/>
      <c r="Z477" s="367"/>
    </row>
    <row r="478" ht="12.75" customHeight="1" spans="1:26">
      <c r="A478" s="363"/>
      <c r="B478" s="412"/>
      <c r="C478" s="367"/>
      <c r="D478" s="413"/>
      <c r="E478" s="413"/>
      <c r="F478" s="367"/>
      <c r="G478" s="367"/>
      <c r="H478" s="367"/>
      <c r="I478" s="367"/>
      <c r="J478" s="367"/>
      <c r="K478" s="367"/>
      <c r="L478" s="367"/>
      <c r="M478" s="367"/>
      <c r="N478" s="367"/>
      <c r="O478" s="367"/>
      <c r="P478" s="367"/>
      <c r="Q478" s="367"/>
      <c r="R478" s="367"/>
      <c r="S478" s="367"/>
      <c r="T478" s="367"/>
      <c r="U478" s="367"/>
      <c r="V478" s="367"/>
      <c r="W478" s="367"/>
      <c r="X478" s="367"/>
      <c r="Y478" s="367"/>
      <c r="Z478" s="367"/>
    </row>
    <row r="479" ht="12.75" customHeight="1" spans="1:26">
      <c r="A479" s="363"/>
      <c r="B479" s="412"/>
      <c r="C479" s="367"/>
      <c r="D479" s="413"/>
      <c r="E479" s="413"/>
      <c r="F479" s="367"/>
      <c r="G479" s="367"/>
      <c r="H479" s="367"/>
      <c r="I479" s="367"/>
      <c r="J479" s="367"/>
      <c r="K479" s="367"/>
      <c r="L479" s="367"/>
      <c r="M479" s="367"/>
      <c r="N479" s="367"/>
      <c r="O479" s="367"/>
      <c r="P479" s="367"/>
      <c r="Q479" s="367"/>
      <c r="R479" s="367"/>
      <c r="S479" s="367"/>
      <c r="T479" s="367"/>
      <c r="U479" s="367"/>
      <c r="V479" s="367"/>
      <c r="W479" s="367"/>
      <c r="X479" s="367"/>
      <c r="Y479" s="367"/>
      <c r="Z479" s="367"/>
    </row>
    <row r="480" ht="12.75" customHeight="1" spans="1:26">
      <c r="A480" s="363"/>
      <c r="B480" s="412"/>
      <c r="C480" s="367"/>
      <c r="D480" s="413"/>
      <c r="E480" s="413"/>
      <c r="F480" s="367"/>
      <c r="G480" s="367"/>
      <c r="H480" s="367"/>
      <c r="I480" s="367"/>
      <c r="J480" s="367"/>
      <c r="K480" s="367"/>
      <c r="L480" s="367"/>
      <c r="M480" s="367"/>
      <c r="N480" s="367"/>
      <c r="O480" s="367"/>
      <c r="P480" s="367"/>
      <c r="Q480" s="367"/>
      <c r="R480" s="367"/>
      <c r="S480" s="367"/>
      <c r="T480" s="367"/>
      <c r="U480" s="367"/>
      <c r="V480" s="367"/>
      <c r="W480" s="367"/>
      <c r="X480" s="367"/>
      <c r="Y480" s="367"/>
      <c r="Z480" s="367"/>
    </row>
    <row r="481" ht="12.75" customHeight="1" spans="1:26">
      <c r="A481" s="363"/>
      <c r="B481" s="412"/>
      <c r="C481" s="367"/>
      <c r="D481" s="413"/>
      <c r="E481" s="413"/>
      <c r="F481" s="367"/>
      <c r="G481" s="367"/>
      <c r="H481" s="367"/>
      <c r="I481" s="367"/>
      <c r="J481" s="367"/>
      <c r="K481" s="367"/>
      <c r="L481" s="367"/>
      <c r="M481" s="367"/>
      <c r="N481" s="367"/>
      <c r="O481" s="367"/>
      <c r="P481" s="367"/>
      <c r="Q481" s="367"/>
      <c r="R481" s="367"/>
      <c r="S481" s="367"/>
      <c r="T481" s="367"/>
      <c r="U481" s="367"/>
      <c r="V481" s="367"/>
      <c r="W481" s="367"/>
      <c r="X481" s="367"/>
      <c r="Y481" s="367"/>
      <c r="Z481" s="367"/>
    </row>
    <row r="482" ht="12.75" customHeight="1" spans="1:26">
      <c r="A482" s="363"/>
      <c r="B482" s="412"/>
      <c r="C482" s="367"/>
      <c r="D482" s="413"/>
      <c r="E482" s="413"/>
      <c r="F482" s="367"/>
      <c r="G482" s="367"/>
      <c r="H482" s="367"/>
      <c r="I482" s="367"/>
      <c r="J482" s="367"/>
      <c r="K482" s="367"/>
      <c r="L482" s="367"/>
      <c r="M482" s="367"/>
      <c r="N482" s="367"/>
      <c r="O482" s="367"/>
      <c r="P482" s="367"/>
      <c r="Q482" s="367"/>
      <c r="R482" s="367"/>
      <c r="S482" s="367"/>
      <c r="T482" s="367"/>
      <c r="U482" s="367"/>
      <c r="V482" s="367"/>
      <c r="W482" s="367"/>
      <c r="X482" s="367"/>
      <c r="Y482" s="367"/>
      <c r="Z482" s="367"/>
    </row>
    <row r="483" ht="12.75" customHeight="1" spans="1:26">
      <c r="A483" s="363"/>
      <c r="B483" s="412"/>
      <c r="C483" s="367"/>
      <c r="D483" s="413"/>
      <c r="E483" s="413"/>
      <c r="F483" s="367"/>
      <c r="G483" s="367"/>
      <c r="H483" s="367"/>
      <c r="I483" s="367"/>
      <c r="J483" s="367"/>
      <c r="K483" s="367"/>
      <c r="L483" s="367"/>
      <c r="M483" s="367"/>
      <c r="N483" s="367"/>
      <c r="O483" s="367"/>
      <c r="P483" s="367"/>
      <c r="Q483" s="367"/>
      <c r="R483" s="367"/>
      <c r="S483" s="367"/>
      <c r="T483" s="367"/>
      <c r="U483" s="367"/>
      <c r="V483" s="367"/>
      <c r="W483" s="367"/>
      <c r="X483" s="367"/>
      <c r="Y483" s="367"/>
      <c r="Z483" s="367"/>
    </row>
    <row r="484" ht="12.75" customHeight="1" spans="1:26">
      <c r="A484" s="363"/>
      <c r="B484" s="412"/>
      <c r="C484" s="367"/>
      <c r="D484" s="413"/>
      <c r="E484" s="413"/>
      <c r="F484" s="367"/>
      <c r="G484" s="367"/>
      <c r="H484" s="367"/>
      <c r="I484" s="367"/>
      <c r="J484" s="367"/>
      <c r="K484" s="367"/>
      <c r="L484" s="367"/>
      <c r="M484" s="367"/>
      <c r="N484" s="367"/>
      <c r="O484" s="367"/>
      <c r="P484" s="367"/>
      <c r="Q484" s="367"/>
      <c r="R484" s="367"/>
      <c r="S484" s="367"/>
      <c r="T484" s="367"/>
      <c r="U484" s="367"/>
      <c r="V484" s="367"/>
      <c r="W484" s="367"/>
      <c r="X484" s="367"/>
      <c r="Y484" s="367"/>
      <c r="Z484" s="367"/>
    </row>
    <row r="485" ht="12.75" customHeight="1" spans="1:26">
      <c r="A485" s="363"/>
      <c r="B485" s="412"/>
      <c r="C485" s="367"/>
      <c r="D485" s="413"/>
      <c r="E485" s="413"/>
      <c r="F485" s="367"/>
      <c r="G485" s="367"/>
      <c r="H485" s="367"/>
      <c r="I485" s="367"/>
      <c r="J485" s="367"/>
      <c r="K485" s="367"/>
      <c r="L485" s="367"/>
      <c r="M485" s="367"/>
      <c r="N485" s="367"/>
      <c r="O485" s="367"/>
      <c r="P485" s="367"/>
      <c r="Q485" s="367"/>
      <c r="R485" s="367"/>
      <c r="S485" s="367"/>
      <c r="T485" s="367"/>
      <c r="U485" s="367"/>
      <c r="V485" s="367"/>
      <c r="W485" s="367"/>
      <c r="X485" s="367"/>
      <c r="Y485" s="367"/>
      <c r="Z485" s="367"/>
    </row>
    <row r="486" ht="12.75" customHeight="1" spans="1:26">
      <c r="A486" s="363"/>
      <c r="B486" s="412"/>
      <c r="C486" s="367"/>
      <c r="D486" s="413"/>
      <c r="E486" s="413"/>
      <c r="F486" s="367"/>
      <c r="G486" s="367"/>
      <c r="H486" s="367"/>
      <c r="I486" s="367"/>
      <c r="J486" s="367"/>
      <c r="K486" s="367"/>
      <c r="L486" s="367"/>
      <c r="M486" s="367"/>
      <c r="N486" s="367"/>
      <c r="O486" s="367"/>
      <c r="P486" s="367"/>
      <c r="Q486" s="367"/>
      <c r="R486" s="367"/>
      <c r="S486" s="367"/>
      <c r="T486" s="367"/>
      <c r="U486" s="367"/>
      <c r="V486" s="367"/>
      <c r="W486" s="367"/>
      <c r="X486" s="367"/>
      <c r="Y486" s="367"/>
      <c r="Z486" s="367"/>
    </row>
    <row r="487" ht="12.75" customHeight="1" spans="1:26">
      <c r="A487" s="363"/>
      <c r="B487" s="412"/>
      <c r="C487" s="367"/>
      <c r="D487" s="413"/>
      <c r="E487" s="413"/>
      <c r="F487" s="367"/>
      <c r="G487" s="367"/>
      <c r="H487" s="367"/>
      <c r="I487" s="367"/>
      <c r="J487" s="367"/>
      <c r="K487" s="367"/>
      <c r="L487" s="367"/>
      <c r="M487" s="367"/>
      <c r="N487" s="367"/>
      <c r="O487" s="367"/>
      <c r="P487" s="367"/>
      <c r="Q487" s="367"/>
      <c r="R487" s="367"/>
      <c r="S487" s="367"/>
      <c r="T487" s="367"/>
      <c r="U487" s="367"/>
      <c r="V487" s="367"/>
      <c r="W487" s="367"/>
      <c r="X487" s="367"/>
      <c r="Y487" s="367"/>
      <c r="Z487" s="367"/>
    </row>
    <row r="488" ht="12.75" customHeight="1" spans="1:26">
      <c r="A488" s="363"/>
      <c r="B488" s="412"/>
      <c r="C488" s="367"/>
      <c r="D488" s="413"/>
      <c r="E488" s="413"/>
      <c r="F488" s="367"/>
      <c r="G488" s="367"/>
      <c r="H488" s="367"/>
      <c r="I488" s="367"/>
      <c r="J488" s="367"/>
      <c r="K488" s="367"/>
      <c r="L488" s="367"/>
      <c r="M488" s="367"/>
      <c r="N488" s="367"/>
      <c r="O488" s="367"/>
      <c r="P488" s="367"/>
      <c r="Q488" s="367"/>
      <c r="R488" s="367"/>
      <c r="S488" s="367"/>
      <c r="T488" s="367"/>
      <c r="U488" s="367"/>
      <c r="V488" s="367"/>
      <c r="W488" s="367"/>
      <c r="X488" s="367"/>
      <c r="Y488" s="367"/>
      <c r="Z488" s="367"/>
    </row>
    <row r="489" ht="12.75" customHeight="1" spans="1:26">
      <c r="A489" s="363"/>
      <c r="B489" s="412"/>
      <c r="C489" s="367"/>
      <c r="D489" s="413"/>
      <c r="E489" s="413"/>
      <c r="F489" s="367"/>
      <c r="G489" s="367"/>
      <c r="H489" s="367"/>
      <c r="I489" s="367"/>
      <c r="J489" s="367"/>
      <c r="K489" s="367"/>
      <c r="L489" s="367"/>
      <c r="M489" s="367"/>
      <c r="N489" s="367"/>
      <c r="O489" s="367"/>
      <c r="P489" s="367"/>
      <c r="Q489" s="367"/>
      <c r="R489" s="367"/>
      <c r="S489" s="367"/>
      <c r="T489" s="367"/>
      <c r="U489" s="367"/>
      <c r="V489" s="367"/>
      <c r="W489" s="367"/>
      <c r="X489" s="367"/>
      <c r="Y489" s="367"/>
      <c r="Z489" s="367"/>
    </row>
    <row r="490" ht="12.75" customHeight="1" spans="1:26">
      <c r="A490" s="363"/>
      <c r="B490" s="412"/>
      <c r="C490" s="367"/>
      <c r="D490" s="413"/>
      <c r="E490" s="413"/>
      <c r="F490" s="367"/>
      <c r="G490" s="367"/>
      <c r="H490" s="367"/>
      <c r="I490" s="367"/>
      <c r="J490" s="367"/>
      <c r="K490" s="367"/>
      <c r="L490" s="367"/>
      <c r="M490" s="367"/>
      <c r="N490" s="367"/>
      <c r="O490" s="367"/>
      <c r="P490" s="367"/>
      <c r="Q490" s="367"/>
      <c r="R490" s="367"/>
      <c r="S490" s="367"/>
      <c r="T490" s="367"/>
      <c r="U490" s="367"/>
      <c r="V490" s="367"/>
      <c r="W490" s="367"/>
      <c r="X490" s="367"/>
      <c r="Y490" s="367"/>
      <c r="Z490" s="367"/>
    </row>
    <row r="491" ht="12.75" customHeight="1" spans="1:26">
      <c r="A491" s="363"/>
      <c r="B491" s="412"/>
      <c r="C491" s="367"/>
      <c r="D491" s="413"/>
      <c r="E491" s="413"/>
      <c r="F491" s="367"/>
      <c r="G491" s="367"/>
      <c r="H491" s="367"/>
      <c r="I491" s="367"/>
      <c r="J491" s="367"/>
      <c r="K491" s="367"/>
      <c r="L491" s="367"/>
      <c r="M491" s="367"/>
      <c r="N491" s="367"/>
      <c r="O491" s="367"/>
      <c r="P491" s="367"/>
      <c r="Q491" s="367"/>
      <c r="R491" s="367"/>
      <c r="S491" s="367"/>
      <c r="T491" s="367"/>
      <c r="U491" s="367"/>
      <c r="V491" s="367"/>
      <c r="W491" s="367"/>
      <c r="X491" s="367"/>
      <c r="Y491" s="367"/>
      <c r="Z491" s="367"/>
    </row>
    <row r="492" ht="12.75" customHeight="1" spans="1:26">
      <c r="A492" s="363"/>
      <c r="B492" s="412"/>
      <c r="C492" s="367"/>
      <c r="D492" s="413"/>
      <c r="E492" s="413"/>
      <c r="F492" s="367"/>
      <c r="G492" s="367"/>
      <c r="H492" s="367"/>
      <c r="I492" s="367"/>
      <c r="J492" s="367"/>
      <c r="K492" s="367"/>
      <c r="L492" s="367"/>
      <c r="M492" s="367"/>
      <c r="N492" s="367"/>
      <c r="O492" s="367"/>
      <c r="P492" s="367"/>
      <c r="Q492" s="367"/>
      <c r="R492" s="367"/>
      <c r="S492" s="367"/>
      <c r="T492" s="367"/>
      <c r="U492" s="367"/>
      <c r="V492" s="367"/>
      <c r="W492" s="367"/>
      <c r="X492" s="367"/>
      <c r="Y492" s="367"/>
      <c r="Z492" s="367"/>
    </row>
    <row r="493" ht="12.75" customHeight="1" spans="1:26">
      <c r="A493" s="363"/>
      <c r="B493" s="412"/>
      <c r="C493" s="367"/>
      <c r="D493" s="413"/>
      <c r="E493" s="413"/>
      <c r="F493" s="367"/>
      <c r="G493" s="367"/>
      <c r="H493" s="367"/>
      <c r="I493" s="367"/>
      <c r="J493" s="367"/>
      <c r="K493" s="367"/>
      <c r="L493" s="367"/>
      <c r="M493" s="367"/>
      <c r="N493" s="367"/>
      <c r="O493" s="367"/>
      <c r="P493" s="367"/>
      <c r="Q493" s="367"/>
      <c r="R493" s="367"/>
      <c r="S493" s="367"/>
      <c r="T493" s="367"/>
      <c r="U493" s="367"/>
      <c r="V493" s="367"/>
      <c r="W493" s="367"/>
      <c r="X493" s="367"/>
      <c r="Y493" s="367"/>
      <c r="Z493" s="367"/>
    </row>
    <row r="494" ht="12.75" customHeight="1" spans="1:26">
      <c r="A494" s="363"/>
      <c r="B494" s="412"/>
      <c r="C494" s="367"/>
      <c r="D494" s="413"/>
      <c r="E494" s="413"/>
      <c r="F494" s="367"/>
      <c r="G494" s="367"/>
      <c r="H494" s="367"/>
      <c r="I494" s="367"/>
      <c r="J494" s="367"/>
      <c r="K494" s="367"/>
      <c r="L494" s="367"/>
      <c r="M494" s="367"/>
      <c r="N494" s="367"/>
      <c r="O494" s="367"/>
      <c r="P494" s="367"/>
      <c r="Q494" s="367"/>
      <c r="R494" s="367"/>
      <c r="S494" s="367"/>
      <c r="T494" s="367"/>
      <c r="U494" s="367"/>
      <c r="V494" s="367"/>
      <c r="W494" s="367"/>
      <c r="X494" s="367"/>
      <c r="Y494" s="367"/>
      <c r="Z494" s="367"/>
    </row>
    <row r="495" ht="12.75" customHeight="1" spans="1:26">
      <c r="A495" s="363"/>
      <c r="B495" s="412"/>
      <c r="C495" s="367"/>
      <c r="D495" s="413"/>
      <c r="E495" s="413"/>
      <c r="F495" s="367"/>
      <c r="G495" s="367"/>
      <c r="H495" s="367"/>
      <c r="I495" s="367"/>
      <c r="J495" s="367"/>
      <c r="K495" s="367"/>
      <c r="L495" s="367"/>
      <c r="M495" s="367"/>
      <c r="N495" s="367"/>
      <c r="O495" s="367"/>
      <c r="P495" s="367"/>
      <c r="Q495" s="367"/>
      <c r="R495" s="367"/>
      <c r="S495" s="367"/>
      <c r="T495" s="367"/>
      <c r="U495" s="367"/>
      <c r="V495" s="367"/>
      <c r="W495" s="367"/>
      <c r="X495" s="367"/>
      <c r="Y495" s="367"/>
      <c r="Z495" s="367"/>
    </row>
    <row r="496" ht="12.75" customHeight="1" spans="1:26">
      <c r="A496" s="363"/>
      <c r="B496" s="412"/>
      <c r="C496" s="367"/>
      <c r="D496" s="413"/>
      <c r="E496" s="413"/>
      <c r="F496" s="367"/>
      <c r="G496" s="367"/>
      <c r="H496" s="367"/>
      <c r="I496" s="367"/>
      <c r="J496" s="367"/>
      <c r="K496" s="367"/>
      <c r="L496" s="367"/>
      <c r="M496" s="367"/>
      <c r="N496" s="367"/>
      <c r="O496" s="367"/>
      <c r="P496" s="367"/>
      <c r="Q496" s="367"/>
      <c r="R496" s="367"/>
      <c r="S496" s="367"/>
      <c r="T496" s="367"/>
      <c r="U496" s="367"/>
      <c r="V496" s="367"/>
      <c r="W496" s="367"/>
      <c r="X496" s="367"/>
      <c r="Y496" s="367"/>
      <c r="Z496" s="367"/>
    </row>
    <row r="497" ht="12.75" customHeight="1" spans="1:26">
      <c r="A497" s="363"/>
      <c r="B497" s="412"/>
      <c r="C497" s="367"/>
      <c r="D497" s="413"/>
      <c r="E497" s="413"/>
      <c r="F497" s="367"/>
      <c r="G497" s="367"/>
      <c r="H497" s="367"/>
      <c r="I497" s="367"/>
      <c r="J497" s="367"/>
      <c r="K497" s="367"/>
      <c r="L497" s="367"/>
      <c r="M497" s="367"/>
      <c r="N497" s="367"/>
      <c r="O497" s="367"/>
      <c r="P497" s="367"/>
      <c r="Q497" s="367"/>
      <c r="R497" s="367"/>
      <c r="S497" s="367"/>
      <c r="T497" s="367"/>
      <c r="U497" s="367"/>
      <c r="V497" s="367"/>
      <c r="W497" s="367"/>
      <c r="X497" s="367"/>
      <c r="Y497" s="367"/>
      <c r="Z497" s="367"/>
    </row>
    <row r="498" ht="12.75" customHeight="1" spans="1:26">
      <c r="A498" s="363"/>
      <c r="B498" s="412"/>
      <c r="C498" s="367"/>
      <c r="D498" s="413"/>
      <c r="E498" s="413"/>
      <c r="F498" s="367"/>
      <c r="G498" s="367"/>
      <c r="H498" s="367"/>
      <c r="I498" s="367"/>
      <c r="J498" s="367"/>
      <c r="K498" s="367"/>
      <c r="L498" s="367"/>
      <c r="M498" s="367"/>
      <c r="N498" s="367"/>
      <c r="O498" s="367"/>
      <c r="P498" s="367"/>
      <c r="Q498" s="367"/>
      <c r="R498" s="367"/>
      <c r="S498" s="367"/>
      <c r="T498" s="367"/>
      <c r="U498" s="367"/>
      <c r="V498" s="367"/>
      <c r="W498" s="367"/>
      <c r="X498" s="367"/>
      <c r="Y498" s="367"/>
      <c r="Z498" s="367"/>
    </row>
    <row r="499" ht="12.75" customHeight="1" spans="1:26">
      <c r="A499" s="363"/>
      <c r="B499" s="412"/>
      <c r="C499" s="367"/>
      <c r="D499" s="413"/>
      <c r="E499" s="413"/>
      <c r="F499" s="367"/>
      <c r="G499" s="367"/>
      <c r="H499" s="367"/>
      <c r="I499" s="367"/>
      <c r="J499" s="367"/>
      <c r="K499" s="367"/>
      <c r="L499" s="367"/>
      <c r="M499" s="367"/>
      <c r="N499" s="367"/>
      <c r="O499" s="367"/>
      <c r="P499" s="367"/>
      <c r="Q499" s="367"/>
      <c r="R499" s="367"/>
      <c r="S499" s="367"/>
      <c r="T499" s="367"/>
      <c r="U499" s="367"/>
      <c r="V499" s="367"/>
      <c r="W499" s="367"/>
      <c r="X499" s="367"/>
      <c r="Y499" s="367"/>
      <c r="Z499" s="367"/>
    </row>
    <row r="500" ht="12.75" customHeight="1" spans="1:26">
      <c r="A500" s="363"/>
      <c r="B500" s="412"/>
      <c r="C500" s="367"/>
      <c r="D500" s="413"/>
      <c r="E500" s="413"/>
      <c r="F500" s="367"/>
      <c r="G500" s="367"/>
      <c r="H500" s="367"/>
      <c r="I500" s="367"/>
      <c r="J500" s="367"/>
      <c r="K500" s="367"/>
      <c r="L500" s="367"/>
      <c r="M500" s="367"/>
      <c r="N500" s="367"/>
      <c r="O500" s="367"/>
      <c r="P500" s="367"/>
      <c r="Q500" s="367"/>
      <c r="R500" s="367"/>
      <c r="S500" s="367"/>
      <c r="T500" s="367"/>
      <c r="U500" s="367"/>
      <c r="V500" s="367"/>
      <c r="W500" s="367"/>
      <c r="X500" s="367"/>
      <c r="Y500" s="367"/>
      <c r="Z500" s="367"/>
    </row>
    <row r="501" ht="12.75" customHeight="1" spans="1:26">
      <c r="A501" s="363"/>
      <c r="B501" s="412"/>
      <c r="C501" s="367"/>
      <c r="D501" s="413"/>
      <c r="E501" s="413"/>
      <c r="F501" s="367"/>
      <c r="G501" s="367"/>
      <c r="H501" s="367"/>
      <c r="I501" s="367"/>
      <c r="J501" s="367"/>
      <c r="K501" s="367"/>
      <c r="L501" s="367"/>
      <c r="M501" s="367"/>
      <c r="N501" s="367"/>
      <c r="O501" s="367"/>
      <c r="P501" s="367"/>
      <c r="Q501" s="367"/>
      <c r="R501" s="367"/>
      <c r="S501" s="367"/>
      <c r="T501" s="367"/>
      <c r="U501" s="367"/>
      <c r="V501" s="367"/>
      <c r="W501" s="367"/>
      <c r="X501" s="367"/>
      <c r="Y501" s="367"/>
      <c r="Z501" s="367"/>
    </row>
    <row r="502" ht="12.75" customHeight="1" spans="1:26">
      <c r="A502" s="363"/>
      <c r="B502" s="412"/>
      <c r="C502" s="367"/>
      <c r="D502" s="413"/>
      <c r="E502" s="413"/>
      <c r="F502" s="367"/>
      <c r="G502" s="367"/>
      <c r="H502" s="367"/>
      <c r="I502" s="367"/>
      <c r="J502" s="367"/>
      <c r="K502" s="367"/>
      <c r="L502" s="367"/>
      <c r="M502" s="367"/>
      <c r="N502" s="367"/>
      <c r="O502" s="367"/>
      <c r="P502" s="367"/>
      <c r="Q502" s="367"/>
      <c r="R502" s="367"/>
      <c r="S502" s="367"/>
      <c r="T502" s="367"/>
      <c r="U502" s="367"/>
      <c r="V502" s="367"/>
      <c r="W502" s="367"/>
      <c r="X502" s="367"/>
      <c r="Y502" s="367"/>
      <c r="Z502" s="367"/>
    </row>
    <row r="503" ht="12.75" customHeight="1" spans="1:26">
      <c r="A503" s="363"/>
      <c r="B503" s="412"/>
      <c r="C503" s="367"/>
      <c r="D503" s="413"/>
      <c r="E503" s="413"/>
      <c r="F503" s="367"/>
      <c r="G503" s="367"/>
      <c r="H503" s="367"/>
      <c r="I503" s="367"/>
      <c r="J503" s="367"/>
      <c r="K503" s="367"/>
      <c r="L503" s="367"/>
      <c r="M503" s="367"/>
      <c r="N503" s="367"/>
      <c r="O503" s="367"/>
      <c r="P503" s="367"/>
      <c r="Q503" s="367"/>
      <c r="R503" s="367"/>
      <c r="S503" s="367"/>
      <c r="T503" s="367"/>
      <c r="U503" s="367"/>
      <c r="V503" s="367"/>
      <c r="W503" s="367"/>
      <c r="X503" s="367"/>
      <c r="Y503" s="367"/>
      <c r="Z503" s="367"/>
    </row>
    <row r="504" ht="12.75" customHeight="1" spans="1:26">
      <c r="A504" s="363"/>
      <c r="B504" s="412"/>
      <c r="C504" s="367"/>
      <c r="D504" s="413"/>
      <c r="E504" s="413"/>
      <c r="F504" s="367"/>
      <c r="G504" s="367"/>
      <c r="H504" s="367"/>
      <c r="I504" s="367"/>
      <c r="J504" s="367"/>
      <c r="K504" s="367"/>
      <c r="L504" s="367"/>
      <c r="M504" s="367"/>
      <c r="N504" s="367"/>
      <c r="O504" s="367"/>
      <c r="P504" s="367"/>
      <c r="Q504" s="367"/>
      <c r="R504" s="367"/>
      <c r="S504" s="367"/>
      <c r="T504" s="367"/>
      <c r="U504" s="367"/>
      <c r="V504" s="367"/>
      <c r="W504" s="367"/>
      <c r="X504" s="367"/>
      <c r="Y504" s="367"/>
      <c r="Z504" s="367"/>
    </row>
    <row r="505" ht="12.75" customHeight="1" spans="1:26">
      <c r="A505" s="363"/>
      <c r="B505" s="412"/>
      <c r="C505" s="367"/>
      <c r="D505" s="413"/>
      <c r="E505" s="413"/>
      <c r="F505" s="367"/>
      <c r="G505" s="367"/>
      <c r="H505" s="367"/>
      <c r="I505" s="367"/>
      <c r="J505" s="367"/>
      <c r="K505" s="367"/>
      <c r="L505" s="367"/>
      <c r="M505" s="367"/>
      <c r="N505" s="367"/>
      <c r="O505" s="367"/>
      <c r="P505" s="367"/>
      <c r="Q505" s="367"/>
      <c r="R505" s="367"/>
      <c r="S505" s="367"/>
      <c r="T505" s="367"/>
      <c r="U505" s="367"/>
      <c r="V505" s="367"/>
      <c r="W505" s="367"/>
      <c r="X505" s="367"/>
      <c r="Y505" s="367"/>
      <c r="Z505" s="367"/>
    </row>
    <row r="506" ht="12.75" customHeight="1" spans="1:26">
      <c r="A506" s="363"/>
      <c r="B506" s="412"/>
      <c r="C506" s="367"/>
      <c r="D506" s="413"/>
      <c r="E506" s="413"/>
      <c r="F506" s="367"/>
      <c r="G506" s="367"/>
      <c r="H506" s="367"/>
      <c r="I506" s="367"/>
      <c r="J506" s="367"/>
      <c r="K506" s="367"/>
      <c r="L506" s="367"/>
      <c r="M506" s="367"/>
      <c r="N506" s="367"/>
      <c r="O506" s="367"/>
      <c r="P506" s="367"/>
      <c r="Q506" s="367"/>
      <c r="R506" s="367"/>
      <c r="S506" s="367"/>
      <c r="T506" s="367"/>
      <c r="U506" s="367"/>
      <c r="V506" s="367"/>
      <c r="W506" s="367"/>
      <c r="X506" s="367"/>
      <c r="Y506" s="367"/>
      <c r="Z506" s="367"/>
    </row>
    <row r="507" ht="12.75" customHeight="1" spans="1:26">
      <c r="A507" s="363"/>
      <c r="B507" s="412"/>
      <c r="C507" s="367"/>
      <c r="D507" s="413"/>
      <c r="E507" s="413"/>
      <c r="F507" s="367"/>
      <c r="G507" s="367"/>
      <c r="H507" s="367"/>
      <c r="I507" s="367"/>
      <c r="J507" s="367"/>
      <c r="K507" s="367"/>
      <c r="L507" s="367"/>
      <c r="M507" s="367"/>
      <c r="N507" s="367"/>
      <c r="O507" s="367"/>
      <c r="P507" s="367"/>
      <c r="Q507" s="367"/>
      <c r="R507" s="367"/>
      <c r="S507" s="367"/>
      <c r="T507" s="367"/>
      <c r="U507" s="367"/>
      <c r="V507" s="367"/>
      <c r="W507" s="367"/>
      <c r="X507" s="367"/>
      <c r="Y507" s="367"/>
      <c r="Z507" s="367"/>
    </row>
    <row r="508" ht="12.75" customHeight="1" spans="1:26">
      <c r="A508" s="363"/>
      <c r="B508" s="412"/>
      <c r="C508" s="367"/>
      <c r="D508" s="413"/>
      <c r="E508" s="413"/>
      <c r="F508" s="367"/>
      <c r="G508" s="367"/>
      <c r="H508" s="367"/>
      <c r="I508" s="367"/>
      <c r="J508" s="367"/>
      <c r="K508" s="367"/>
      <c r="L508" s="367"/>
      <c r="M508" s="367"/>
      <c r="N508" s="367"/>
      <c r="O508" s="367"/>
      <c r="P508" s="367"/>
      <c r="Q508" s="367"/>
      <c r="R508" s="367"/>
      <c r="S508" s="367"/>
      <c r="T508" s="367"/>
      <c r="U508" s="367"/>
      <c r="V508" s="367"/>
      <c r="W508" s="367"/>
      <c r="X508" s="367"/>
      <c r="Y508" s="367"/>
      <c r="Z508" s="367"/>
    </row>
    <row r="509" ht="12.75" customHeight="1" spans="1:26">
      <c r="A509" s="363"/>
      <c r="B509" s="412"/>
      <c r="C509" s="367"/>
      <c r="D509" s="413"/>
      <c r="E509" s="413"/>
      <c r="F509" s="367"/>
      <c r="G509" s="367"/>
      <c r="H509" s="367"/>
      <c r="I509" s="367"/>
      <c r="J509" s="367"/>
      <c r="K509" s="367"/>
      <c r="L509" s="367"/>
      <c r="M509" s="367"/>
      <c r="N509" s="367"/>
      <c r="O509" s="367"/>
      <c r="P509" s="367"/>
      <c r="Q509" s="367"/>
      <c r="R509" s="367"/>
      <c r="S509" s="367"/>
      <c r="T509" s="367"/>
      <c r="U509" s="367"/>
      <c r="V509" s="367"/>
      <c r="W509" s="367"/>
      <c r="X509" s="367"/>
      <c r="Y509" s="367"/>
      <c r="Z509" s="367"/>
    </row>
    <row r="510" ht="12.75" customHeight="1" spans="1:26">
      <c r="A510" s="363"/>
      <c r="B510" s="412"/>
      <c r="C510" s="367"/>
      <c r="D510" s="413"/>
      <c r="E510" s="413"/>
      <c r="F510" s="367"/>
      <c r="G510" s="367"/>
      <c r="H510" s="367"/>
      <c r="I510" s="367"/>
      <c r="J510" s="367"/>
      <c r="K510" s="367"/>
      <c r="L510" s="367"/>
      <c r="M510" s="367"/>
      <c r="N510" s="367"/>
      <c r="O510" s="367"/>
      <c r="P510" s="367"/>
      <c r="Q510" s="367"/>
      <c r="R510" s="367"/>
      <c r="S510" s="367"/>
      <c r="T510" s="367"/>
      <c r="U510" s="367"/>
      <c r="V510" s="367"/>
      <c r="W510" s="367"/>
      <c r="X510" s="367"/>
      <c r="Y510" s="367"/>
      <c r="Z510" s="367"/>
    </row>
    <row r="511" ht="12.75" customHeight="1" spans="1:26">
      <c r="A511" s="363"/>
      <c r="B511" s="412"/>
      <c r="C511" s="367"/>
      <c r="D511" s="413"/>
      <c r="E511" s="413"/>
      <c r="F511" s="367"/>
      <c r="G511" s="367"/>
      <c r="H511" s="367"/>
      <c r="I511" s="367"/>
      <c r="J511" s="367"/>
      <c r="K511" s="367"/>
      <c r="L511" s="367"/>
      <c r="M511" s="367"/>
      <c r="N511" s="367"/>
      <c r="O511" s="367"/>
      <c r="P511" s="367"/>
      <c r="Q511" s="367"/>
      <c r="R511" s="367"/>
      <c r="S511" s="367"/>
      <c r="T511" s="367"/>
      <c r="U511" s="367"/>
      <c r="V511" s="367"/>
      <c r="W511" s="367"/>
      <c r="X511" s="367"/>
      <c r="Y511" s="367"/>
      <c r="Z511" s="367"/>
    </row>
    <row r="512" ht="12.75" customHeight="1" spans="1:26">
      <c r="A512" s="363"/>
      <c r="B512" s="412"/>
      <c r="C512" s="367"/>
      <c r="D512" s="413"/>
      <c r="E512" s="413"/>
      <c r="F512" s="367"/>
      <c r="G512" s="367"/>
      <c r="H512" s="367"/>
      <c r="I512" s="367"/>
      <c r="J512" s="367"/>
      <c r="K512" s="367"/>
      <c r="L512" s="367"/>
      <c r="M512" s="367"/>
      <c r="N512" s="367"/>
      <c r="O512" s="367"/>
      <c r="P512" s="367"/>
      <c r="Q512" s="367"/>
      <c r="R512" s="367"/>
      <c r="S512" s="367"/>
      <c r="T512" s="367"/>
      <c r="U512" s="367"/>
      <c r="V512" s="367"/>
      <c r="W512" s="367"/>
      <c r="X512" s="367"/>
      <c r="Y512" s="367"/>
      <c r="Z512" s="367"/>
    </row>
    <row r="513" ht="12.75" customHeight="1" spans="1:26">
      <c r="A513" s="363"/>
      <c r="B513" s="412"/>
      <c r="C513" s="367"/>
      <c r="D513" s="413"/>
      <c r="E513" s="413"/>
      <c r="F513" s="367"/>
      <c r="G513" s="367"/>
      <c r="H513" s="367"/>
      <c r="I513" s="367"/>
      <c r="J513" s="367"/>
      <c r="K513" s="367"/>
      <c r="L513" s="367"/>
      <c r="M513" s="367"/>
      <c r="N513" s="367"/>
      <c r="O513" s="367"/>
      <c r="P513" s="367"/>
      <c r="Q513" s="367"/>
      <c r="R513" s="367"/>
      <c r="S513" s="367"/>
      <c r="T513" s="367"/>
      <c r="U513" s="367"/>
      <c r="V513" s="367"/>
      <c r="W513" s="367"/>
      <c r="X513" s="367"/>
      <c r="Y513" s="367"/>
      <c r="Z513" s="367"/>
    </row>
    <row r="514" ht="12.75" customHeight="1" spans="1:26">
      <c r="A514" s="363"/>
      <c r="B514" s="412"/>
      <c r="C514" s="367"/>
      <c r="D514" s="413"/>
      <c r="E514" s="413"/>
      <c r="F514" s="367"/>
      <c r="G514" s="367"/>
      <c r="H514" s="367"/>
      <c r="I514" s="367"/>
      <c r="J514" s="367"/>
      <c r="K514" s="367"/>
      <c r="L514" s="367"/>
      <c r="M514" s="367"/>
      <c r="N514" s="367"/>
      <c r="O514" s="367"/>
      <c r="P514" s="367"/>
      <c r="Q514" s="367"/>
      <c r="R514" s="367"/>
      <c r="S514" s="367"/>
      <c r="T514" s="367"/>
      <c r="U514" s="367"/>
      <c r="V514" s="367"/>
      <c r="W514" s="367"/>
      <c r="X514" s="367"/>
      <c r="Y514" s="367"/>
      <c r="Z514" s="367"/>
    </row>
    <row r="515" ht="12.75" customHeight="1" spans="1:26">
      <c r="A515" s="363"/>
      <c r="B515" s="412"/>
      <c r="C515" s="367"/>
      <c r="D515" s="413"/>
      <c r="E515" s="413"/>
      <c r="F515" s="367"/>
      <c r="G515" s="367"/>
      <c r="H515" s="367"/>
      <c r="I515" s="367"/>
      <c r="J515" s="367"/>
      <c r="K515" s="367"/>
      <c r="L515" s="367"/>
      <c r="M515" s="367"/>
      <c r="N515" s="367"/>
      <c r="O515" s="367"/>
      <c r="P515" s="367"/>
      <c r="Q515" s="367"/>
      <c r="R515" s="367"/>
      <c r="S515" s="367"/>
      <c r="T515" s="367"/>
      <c r="U515" s="367"/>
      <c r="V515" s="367"/>
      <c r="W515" s="367"/>
      <c r="X515" s="367"/>
      <c r="Y515" s="367"/>
      <c r="Z515" s="367"/>
    </row>
    <row r="516" ht="12.75" customHeight="1" spans="1:26">
      <c r="A516" s="363"/>
      <c r="B516" s="412"/>
      <c r="C516" s="367"/>
      <c r="D516" s="413"/>
      <c r="E516" s="413"/>
      <c r="F516" s="367"/>
      <c r="G516" s="367"/>
      <c r="H516" s="367"/>
      <c r="I516" s="367"/>
      <c r="J516" s="367"/>
      <c r="K516" s="367"/>
      <c r="L516" s="367"/>
      <c r="M516" s="367"/>
      <c r="N516" s="367"/>
      <c r="O516" s="367"/>
      <c r="P516" s="367"/>
      <c r="Q516" s="367"/>
      <c r="R516" s="367"/>
      <c r="S516" s="367"/>
      <c r="T516" s="367"/>
      <c r="U516" s="367"/>
      <c r="V516" s="367"/>
      <c r="W516" s="367"/>
      <c r="X516" s="367"/>
      <c r="Y516" s="367"/>
      <c r="Z516" s="367"/>
    </row>
    <row r="517" ht="12.75" customHeight="1" spans="1:26">
      <c r="A517" s="363"/>
      <c r="B517" s="412"/>
      <c r="C517" s="367"/>
      <c r="D517" s="413"/>
      <c r="E517" s="413"/>
      <c r="F517" s="367"/>
      <c r="G517" s="367"/>
      <c r="H517" s="367"/>
      <c r="I517" s="367"/>
      <c r="J517" s="367"/>
      <c r="K517" s="367"/>
      <c r="L517" s="367"/>
      <c r="M517" s="367"/>
      <c r="N517" s="367"/>
      <c r="O517" s="367"/>
      <c r="P517" s="367"/>
      <c r="Q517" s="367"/>
      <c r="R517" s="367"/>
      <c r="S517" s="367"/>
      <c r="T517" s="367"/>
      <c r="U517" s="367"/>
      <c r="V517" s="367"/>
      <c r="W517" s="367"/>
      <c r="X517" s="367"/>
      <c r="Y517" s="367"/>
      <c r="Z517" s="367"/>
    </row>
    <row r="518" ht="12.75" customHeight="1" spans="1:26">
      <c r="A518" s="363"/>
      <c r="B518" s="412"/>
      <c r="C518" s="367"/>
      <c r="D518" s="413"/>
      <c r="E518" s="413"/>
      <c r="F518" s="367"/>
      <c r="G518" s="367"/>
      <c r="H518" s="367"/>
      <c r="I518" s="367"/>
      <c r="J518" s="367"/>
      <c r="K518" s="367"/>
      <c r="L518" s="367"/>
      <c r="M518" s="367"/>
      <c r="N518" s="367"/>
      <c r="O518" s="367"/>
      <c r="P518" s="367"/>
      <c r="Q518" s="367"/>
      <c r="R518" s="367"/>
      <c r="S518" s="367"/>
      <c r="T518" s="367"/>
      <c r="U518" s="367"/>
      <c r="V518" s="367"/>
      <c r="W518" s="367"/>
      <c r="X518" s="367"/>
      <c r="Y518" s="367"/>
      <c r="Z518" s="367"/>
    </row>
    <row r="519" ht="12.75" customHeight="1" spans="1:26">
      <c r="A519" s="363"/>
      <c r="B519" s="412"/>
      <c r="C519" s="367"/>
      <c r="D519" s="413"/>
      <c r="E519" s="413"/>
      <c r="F519" s="367"/>
      <c r="G519" s="367"/>
      <c r="H519" s="367"/>
      <c r="I519" s="367"/>
      <c r="J519" s="367"/>
      <c r="K519" s="367"/>
      <c r="L519" s="367"/>
      <c r="M519" s="367"/>
      <c r="N519" s="367"/>
      <c r="O519" s="367"/>
      <c r="P519" s="367"/>
      <c r="Q519" s="367"/>
      <c r="R519" s="367"/>
      <c r="S519" s="367"/>
      <c r="T519" s="367"/>
      <c r="U519" s="367"/>
      <c r="V519" s="367"/>
      <c r="W519" s="367"/>
      <c r="X519" s="367"/>
      <c r="Y519" s="367"/>
      <c r="Z519" s="367"/>
    </row>
    <row r="520" ht="12.75" customHeight="1" spans="1:26">
      <c r="A520" s="363"/>
      <c r="B520" s="412"/>
      <c r="C520" s="367"/>
      <c r="D520" s="413"/>
      <c r="E520" s="413"/>
      <c r="F520" s="367"/>
      <c r="G520" s="367"/>
      <c r="H520" s="367"/>
      <c r="I520" s="367"/>
      <c r="J520" s="367"/>
      <c r="K520" s="367"/>
      <c r="L520" s="367"/>
      <c r="M520" s="367"/>
      <c r="N520" s="367"/>
      <c r="O520" s="367"/>
      <c r="P520" s="367"/>
      <c r="Q520" s="367"/>
      <c r="R520" s="367"/>
      <c r="S520" s="367"/>
      <c r="T520" s="367"/>
      <c r="U520" s="367"/>
      <c r="V520" s="367"/>
      <c r="W520" s="367"/>
      <c r="X520" s="367"/>
      <c r="Y520" s="367"/>
      <c r="Z520" s="367"/>
    </row>
    <row r="521" ht="12.75" customHeight="1" spans="1:26">
      <c r="A521" s="363"/>
      <c r="B521" s="412"/>
      <c r="C521" s="367"/>
      <c r="D521" s="413"/>
      <c r="E521" s="413"/>
      <c r="F521" s="367"/>
      <c r="G521" s="367"/>
      <c r="H521" s="367"/>
      <c r="I521" s="367"/>
      <c r="J521" s="367"/>
      <c r="K521" s="367"/>
      <c r="L521" s="367"/>
      <c r="M521" s="367"/>
      <c r="N521" s="367"/>
      <c r="O521" s="367"/>
      <c r="P521" s="367"/>
      <c r="Q521" s="367"/>
      <c r="R521" s="367"/>
      <c r="S521" s="367"/>
      <c r="T521" s="367"/>
      <c r="U521" s="367"/>
      <c r="V521" s="367"/>
      <c r="W521" s="367"/>
      <c r="X521" s="367"/>
      <c r="Y521" s="367"/>
      <c r="Z521" s="367"/>
    </row>
    <row r="522" ht="12.75" customHeight="1" spans="1:26">
      <c r="A522" s="363"/>
      <c r="B522" s="412"/>
      <c r="C522" s="367"/>
      <c r="D522" s="413"/>
      <c r="E522" s="413"/>
      <c r="F522" s="367"/>
      <c r="G522" s="367"/>
      <c r="H522" s="367"/>
      <c r="I522" s="367"/>
      <c r="J522" s="367"/>
      <c r="K522" s="367"/>
      <c r="L522" s="367"/>
      <c r="M522" s="367"/>
      <c r="N522" s="367"/>
      <c r="O522" s="367"/>
      <c r="P522" s="367"/>
      <c r="Q522" s="367"/>
      <c r="R522" s="367"/>
      <c r="S522" s="367"/>
      <c r="T522" s="367"/>
      <c r="U522" s="367"/>
      <c r="V522" s="367"/>
      <c r="W522" s="367"/>
      <c r="X522" s="367"/>
      <c r="Y522" s="367"/>
      <c r="Z522" s="367"/>
    </row>
    <row r="523" ht="12.75" customHeight="1" spans="1:26">
      <c r="A523" s="363"/>
      <c r="B523" s="412"/>
      <c r="C523" s="367"/>
      <c r="D523" s="413"/>
      <c r="E523" s="413"/>
      <c r="F523" s="367"/>
      <c r="G523" s="367"/>
      <c r="H523" s="367"/>
      <c r="I523" s="367"/>
      <c r="J523" s="367"/>
      <c r="K523" s="367"/>
      <c r="L523" s="367"/>
      <c r="M523" s="367"/>
      <c r="N523" s="367"/>
      <c r="O523" s="367"/>
      <c r="P523" s="367"/>
      <c r="Q523" s="367"/>
      <c r="R523" s="367"/>
      <c r="S523" s="367"/>
      <c r="T523" s="367"/>
      <c r="U523" s="367"/>
      <c r="V523" s="367"/>
      <c r="W523" s="367"/>
      <c r="X523" s="367"/>
      <c r="Y523" s="367"/>
      <c r="Z523" s="367"/>
    </row>
    <row r="524" ht="12.75" customHeight="1" spans="1:26">
      <c r="A524" s="363"/>
      <c r="B524" s="412"/>
      <c r="C524" s="367"/>
      <c r="D524" s="413"/>
      <c r="E524" s="413"/>
      <c r="F524" s="367"/>
      <c r="G524" s="367"/>
      <c r="H524" s="367"/>
      <c r="I524" s="367"/>
      <c r="J524" s="367"/>
      <c r="K524" s="367"/>
      <c r="L524" s="367"/>
      <c r="M524" s="367"/>
      <c r="N524" s="367"/>
      <c r="O524" s="367"/>
      <c r="P524" s="367"/>
      <c r="Q524" s="367"/>
      <c r="R524" s="367"/>
      <c r="S524" s="367"/>
      <c r="T524" s="367"/>
      <c r="U524" s="367"/>
      <c r="V524" s="367"/>
      <c r="W524" s="367"/>
      <c r="X524" s="367"/>
      <c r="Y524" s="367"/>
      <c r="Z524" s="367"/>
    </row>
    <row r="525" ht="12.75" customHeight="1" spans="1:26">
      <c r="A525" s="363"/>
      <c r="B525" s="412"/>
      <c r="C525" s="367"/>
      <c r="D525" s="413"/>
      <c r="E525" s="413"/>
      <c r="F525" s="367"/>
      <c r="G525" s="367"/>
      <c r="H525" s="367"/>
      <c r="I525" s="367"/>
      <c r="J525" s="367"/>
      <c r="K525" s="367"/>
      <c r="L525" s="367"/>
      <c r="M525" s="367"/>
      <c r="N525" s="367"/>
      <c r="O525" s="367"/>
      <c r="P525" s="367"/>
      <c r="Q525" s="367"/>
      <c r="R525" s="367"/>
      <c r="S525" s="367"/>
      <c r="T525" s="367"/>
      <c r="U525" s="367"/>
      <c r="V525" s="367"/>
      <c r="W525" s="367"/>
      <c r="X525" s="367"/>
      <c r="Y525" s="367"/>
      <c r="Z525" s="367"/>
    </row>
    <row r="526" ht="12.75" customHeight="1" spans="1:26">
      <c r="A526" s="363"/>
      <c r="B526" s="412"/>
      <c r="C526" s="367"/>
      <c r="D526" s="413"/>
      <c r="E526" s="413"/>
      <c r="F526" s="367"/>
      <c r="G526" s="367"/>
      <c r="H526" s="367"/>
      <c r="I526" s="367"/>
      <c r="J526" s="367"/>
      <c r="K526" s="367"/>
      <c r="L526" s="367"/>
      <c r="M526" s="367"/>
      <c r="N526" s="367"/>
      <c r="O526" s="367"/>
      <c r="P526" s="367"/>
      <c r="Q526" s="367"/>
      <c r="R526" s="367"/>
      <c r="S526" s="367"/>
      <c r="T526" s="367"/>
      <c r="U526" s="367"/>
      <c r="V526" s="367"/>
      <c r="W526" s="367"/>
      <c r="X526" s="367"/>
      <c r="Y526" s="367"/>
      <c r="Z526" s="367"/>
    </row>
    <row r="527" ht="12.75" customHeight="1" spans="1:26">
      <c r="A527" s="363"/>
      <c r="B527" s="412"/>
      <c r="C527" s="367"/>
      <c r="D527" s="413"/>
      <c r="E527" s="413"/>
      <c r="F527" s="367"/>
      <c r="G527" s="367"/>
      <c r="H527" s="367"/>
      <c r="I527" s="367"/>
      <c r="J527" s="367"/>
      <c r="K527" s="367"/>
      <c r="L527" s="367"/>
      <c r="M527" s="367"/>
      <c r="N527" s="367"/>
      <c r="O527" s="367"/>
      <c r="P527" s="367"/>
      <c r="Q527" s="367"/>
      <c r="R527" s="367"/>
      <c r="S527" s="367"/>
      <c r="T527" s="367"/>
      <c r="U527" s="367"/>
      <c r="V527" s="367"/>
      <c r="W527" s="367"/>
      <c r="X527" s="367"/>
      <c r="Y527" s="367"/>
      <c r="Z527" s="367"/>
    </row>
    <row r="528" ht="12.75" customHeight="1" spans="1:26">
      <c r="A528" s="363"/>
      <c r="B528" s="412"/>
      <c r="C528" s="367"/>
      <c r="D528" s="413"/>
      <c r="E528" s="413"/>
      <c r="F528" s="367"/>
      <c r="G528" s="367"/>
      <c r="H528" s="367"/>
      <c r="I528" s="367"/>
      <c r="J528" s="367"/>
      <c r="K528" s="367"/>
      <c r="L528" s="367"/>
      <c r="M528" s="367"/>
      <c r="N528" s="367"/>
      <c r="O528" s="367"/>
      <c r="P528" s="367"/>
      <c r="Q528" s="367"/>
      <c r="R528" s="367"/>
      <c r="S528" s="367"/>
      <c r="T528" s="367"/>
      <c r="U528" s="367"/>
      <c r="V528" s="367"/>
      <c r="W528" s="367"/>
      <c r="X528" s="367"/>
      <c r="Y528" s="367"/>
      <c r="Z528" s="367"/>
    </row>
    <row r="529" ht="12.75" customHeight="1" spans="1:26">
      <c r="A529" s="363"/>
      <c r="B529" s="412"/>
      <c r="C529" s="367"/>
      <c r="D529" s="413"/>
      <c r="E529" s="413"/>
      <c r="F529" s="367"/>
      <c r="G529" s="367"/>
      <c r="H529" s="367"/>
      <c r="I529" s="367"/>
      <c r="J529" s="367"/>
      <c r="K529" s="367"/>
      <c r="L529" s="367"/>
      <c r="M529" s="367"/>
      <c r="N529" s="367"/>
      <c r="O529" s="367"/>
      <c r="P529" s="367"/>
      <c r="Q529" s="367"/>
      <c r="R529" s="367"/>
      <c r="S529" s="367"/>
      <c r="T529" s="367"/>
      <c r="U529" s="367"/>
      <c r="V529" s="367"/>
      <c r="W529" s="367"/>
      <c r="X529" s="367"/>
      <c r="Y529" s="367"/>
      <c r="Z529" s="367"/>
    </row>
    <row r="530" ht="12.75" customHeight="1" spans="1:26">
      <c r="A530" s="363"/>
      <c r="B530" s="412"/>
      <c r="C530" s="367"/>
      <c r="D530" s="413"/>
      <c r="E530" s="413"/>
      <c r="F530" s="367"/>
      <c r="G530" s="367"/>
      <c r="H530" s="367"/>
      <c r="I530" s="367"/>
      <c r="J530" s="367"/>
      <c r="K530" s="367"/>
      <c r="L530" s="367"/>
      <c r="M530" s="367"/>
      <c r="N530" s="367"/>
      <c r="O530" s="367"/>
      <c r="P530" s="367"/>
      <c r="Q530" s="367"/>
      <c r="R530" s="367"/>
      <c r="S530" s="367"/>
      <c r="T530" s="367"/>
      <c r="U530" s="367"/>
      <c r="V530" s="367"/>
      <c r="W530" s="367"/>
      <c r="X530" s="367"/>
      <c r="Y530" s="367"/>
      <c r="Z530" s="367"/>
    </row>
    <row r="531" ht="12.75" customHeight="1" spans="1:26">
      <c r="A531" s="363"/>
      <c r="B531" s="412"/>
      <c r="C531" s="367"/>
      <c r="D531" s="413"/>
      <c r="E531" s="413"/>
      <c r="F531" s="367"/>
      <c r="G531" s="367"/>
      <c r="H531" s="367"/>
      <c r="I531" s="367"/>
      <c r="J531" s="367"/>
      <c r="K531" s="367"/>
      <c r="L531" s="367"/>
      <c r="M531" s="367"/>
      <c r="N531" s="367"/>
      <c r="O531" s="367"/>
      <c r="P531" s="367"/>
      <c r="Q531" s="367"/>
      <c r="R531" s="367"/>
      <c r="S531" s="367"/>
      <c r="T531" s="367"/>
      <c r="U531" s="367"/>
      <c r="V531" s="367"/>
      <c r="W531" s="367"/>
      <c r="X531" s="367"/>
      <c r="Y531" s="367"/>
      <c r="Z531" s="367"/>
    </row>
    <row r="532" ht="12.75" customHeight="1" spans="1:26">
      <c r="A532" s="363"/>
      <c r="B532" s="412"/>
      <c r="C532" s="367"/>
      <c r="D532" s="413"/>
      <c r="E532" s="413"/>
      <c r="F532" s="367"/>
      <c r="G532" s="367"/>
      <c r="H532" s="367"/>
      <c r="I532" s="367"/>
      <c r="J532" s="367"/>
      <c r="K532" s="367"/>
      <c r="L532" s="367"/>
      <c r="M532" s="367"/>
      <c r="N532" s="367"/>
      <c r="O532" s="367"/>
      <c r="P532" s="367"/>
      <c r="Q532" s="367"/>
      <c r="R532" s="367"/>
      <c r="S532" s="367"/>
      <c r="T532" s="367"/>
      <c r="U532" s="367"/>
      <c r="V532" s="367"/>
      <c r="W532" s="367"/>
      <c r="X532" s="367"/>
      <c r="Y532" s="367"/>
      <c r="Z532" s="367"/>
    </row>
    <row r="533" ht="12.75" customHeight="1" spans="1:26">
      <c r="A533" s="363"/>
      <c r="B533" s="412"/>
      <c r="C533" s="367"/>
      <c r="D533" s="413"/>
      <c r="E533" s="413"/>
      <c r="F533" s="367"/>
      <c r="G533" s="367"/>
      <c r="H533" s="367"/>
      <c r="I533" s="367"/>
      <c r="J533" s="367"/>
      <c r="K533" s="367"/>
      <c r="L533" s="367"/>
      <c r="M533" s="367"/>
      <c r="N533" s="367"/>
      <c r="O533" s="367"/>
      <c r="P533" s="367"/>
      <c r="Q533" s="367"/>
      <c r="R533" s="367"/>
      <c r="S533" s="367"/>
      <c r="T533" s="367"/>
      <c r="U533" s="367"/>
      <c r="V533" s="367"/>
      <c r="W533" s="367"/>
      <c r="X533" s="367"/>
      <c r="Y533" s="367"/>
      <c r="Z533" s="367"/>
    </row>
    <row r="534" ht="12.75" customHeight="1" spans="1:26">
      <c r="A534" s="363"/>
      <c r="B534" s="412"/>
      <c r="C534" s="367"/>
      <c r="D534" s="413"/>
      <c r="E534" s="413"/>
      <c r="F534" s="367"/>
      <c r="G534" s="367"/>
      <c r="H534" s="367"/>
      <c r="I534" s="367"/>
      <c r="J534" s="367"/>
      <c r="K534" s="367"/>
      <c r="L534" s="367"/>
      <c r="M534" s="367"/>
      <c r="N534" s="367"/>
      <c r="O534" s="367"/>
      <c r="P534" s="367"/>
      <c r="Q534" s="367"/>
      <c r="R534" s="367"/>
      <c r="S534" s="367"/>
      <c r="T534" s="367"/>
      <c r="U534" s="367"/>
      <c r="V534" s="367"/>
      <c r="W534" s="367"/>
      <c r="X534" s="367"/>
      <c r="Y534" s="367"/>
      <c r="Z534" s="367"/>
    </row>
    <row r="535" ht="12.75" customHeight="1" spans="1:26">
      <c r="A535" s="363"/>
      <c r="B535" s="412"/>
      <c r="C535" s="367"/>
      <c r="D535" s="413"/>
      <c r="E535" s="413"/>
      <c r="F535" s="367"/>
      <c r="G535" s="367"/>
      <c r="H535" s="367"/>
      <c r="I535" s="367"/>
      <c r="J535" s="367"/>
      <c r="K535" s="367"/>
      <c r="L535" s="367"/>
      <c r="M535" s="367"/>
      <c r="N535" s="367"/>
      <c r="O535" s="367"/>
      <c r="P535" s="367"/>
      <c r="Q535" s="367"/>
      <c r="R535" s="367"/>
      <c r="S535" s="367"/>
      <c r="T535" s="367"/>
      <c r="U535" s="367"/>
      <c r="V535" s="367"/>
      <c r="W535" s="367"/>
      <c r="X535" s="367"/>
      <c r="Y535" s="367"/>
      <c r="Z535" s="367"/>
    </row>
    <row r="536" ht="12.75" customHeight="1" spans="1:26">
      <c r="A536" s="363"/>
      <c r="B536" s="412"/>
      <c r="C536" s="367"/>
      <c r="D536" s="413"/>
      <c r="E536" s="413"/>
      <c r="F536" s="367"/>
      <c r="G536" s="367"/>
      <c r="H536" s="367"/>
      <c r="I536" s="367"/>
      <c r="J536" s="367"/>
      <c r="K536" s="367"/>
      <c r="L536" s="367"/>
      <c r="M536" s="367"/>
      <c r="N536" s="367"/>
      <c r="O536" s="367"/>
      <c r="P536" s="367"/>
      <c r="Q536" s="367"/>
      <c r="R536" s="367"/>
      <c r="S536" s="367"/>
      <c r="T536" s="367"/>
      <c r="U536" s="367"/>
      <c r="V536" s="367"/>
      <c r="W536" s="367"/>
      <c r="X536" s="367"/>
      <c r="Y536" s="367"/>
      <c r="Z536" s="367"/>
    </row>
    <row r="537" ht="12.75" customHeight="1" spans="1:26">
      <c r="A537" s="363"/>
      <c r="B537" s="412"/>
      <c r="C537" s="367"/>
      <c r="D537" s="413"/>
      <c r="E537" s="413"/>
      <c r="F537" s="367"/>
      <c r="G537" s="367"/>
      <c r="H537" s="367"/>
      <c r="I537" s="367"/>
      <c r="J537" s="367"/>
      <c r="K537" s="367"/>
      <c r="L537" s="367"/>
      <c r="M537" s="367"/>
      <c r="N537" s="367"/>
      <c r="O537" s="367"/>
      <c r="P537" s="367"/>
      <c r="Q537" s="367"/>
      <c r="R537" s="367"/>
      <c r="S537" s="367"/>
      <c r="T537" s="367"/>
      <c r="U537" s="367"/>
      <c r="V537" s="367"/>
      <c r="W537" s="367"/>
      <c r="X537" s="367"/>
      <c r="Y537" s="367"/>
      <c r="Z537" s="367"/>
    </row>
    <row r="538" ht="12.75" customHeight="1" spans="1:26">
      <c r="A538" s="363"/>
      <c r="B538" s="412"/>
      <c r="C538" s="367"/>
      <c r="D538" s="413"/>
      <c r="E538" s="413"/>
      <c r="F538" s="367"/>
      <c r="G538" s="367"/>
      <c r="H538" s="367"/>
      <c r="I538" s="367"/>
      <c r="J538" s="367"/>
      <c r="K538" s="367"/>
      <c r="L538" s="367"/>
      <c r="M538" s="367"/>
      <c r="N538" s="367"/>
      <c r="O538" s="367"/>
      <c r="P538" s="367"/>
      <c r="Q538" s="367"/>
      <c r="R538" s="367"/>
      <c r="S538" s="367"/>
      <c r="T538" s="367"/>
      <c r="U538" s="367"/>
      <c r="V538" s="367"/>
      <c r="W538" s="367"/>
      <c r="X538" s="367"/>
      <c r="Y538" s="367"/>
      <c r="Z538" s="367"/>
    </row>
    <row r="539" ht="12.75" customHeight="1" spans="1:26">
      <c r="A539" s="363"/>
      <c r="B539" s="412"/>
      <c r="C539" s="367"/>
      <c r="D539" s="413"/>
      <c r="E539" s="413"/>
      <c r="F539" s="367"/>
      <c r="G539" s="367"/>
      <c r="H539" s="367"/>
      <c r="I539" s="367"/>
      <c r="J539" s="367"/>
      <c r="K539" s="367"/>
      <c r="L539" s="367"/>
      <c r="M539" s="367"/>
      <c r="N539" s="367"/>
      <c r="O539" s="367"/>
      <c r="P539" s="367"/>
      <c r="Q539" s="367"/>
      <c r="R539" s="367"/>
      <c r="S539" s="367"/>
      <c r="T539" s="367"/>
      <c r="U539" s="367"/>
      <c r="V539" s="367"/>
      <c r="W539" s="367"/>
      <c r="X539" s="367"/>
      <c r="Y539" s="367"/>
      <c r="Z539" s="367"/>
    </row>
    <row r="540" ht="12.75" customHeight="1" spans="1:26">
      <c r="A540" s="363"/>
      <c r="B540" s="412"/>
      <c r="C540" s="367"/>
      <c r="D540" s="413"/>
      <c r="E540" s="413"/>
      <c r="F540" s="367"/>
      <c r="G540" s="367"/>
      <c r="H540" s="367"/>
      <c r="I540" s="367"/>
      <c r="J540" s="367"/>
      <c r="K540" s="367"/>
      <c r="L540" s="367"/>
      <c r="M540" s="367"/>
      <c r="N540" s="367"/>
      <c r="O540" s="367"/>
      <c r="P540" s="367"/>
      <c r="Q540" s="367"/>
      <c r="R540" s="367"/>
      <c r="S540" s="367"/>
      <c r="T540" s="367"/>
      <c r="U540" s="367"/>
      <c r="V540" s="367"/>
      <c r="W540" s="367"/>
      <c r="X540" s="367"/>
      <c r="Y540" s="367"/>
      <c r="Z540" s="367"/>
    </row>
    <row r="541" ht="12.75" customHeight="1" spans="1:26">
      <c r="A541" s="363"/>
      <c r="B541" s="412"/>
      <c r="C541" s="367"/>
      <c r="D541" s="413"/>
      <c r="E541" s="413"/>
      <c r="F541" s="367"/>
      <c r="G541" s="367"/>
      <c r="H541" s="367"/>
      <c r="I541" s="367"/>
      <c r="J541" s="367"/>
      <c r="K541" s="367"/>
      <c r="L541" s="367"/>
      <c r="M541" s="367"/>
      <c r="N541" s="367"/>
      <c r="O541" s="367"/>
      <c r="P541" s="367"/>
      <c r="Q541" s="367"/>
      <c r="R541" s="367"/>
      <c r="S541" s="367"/>
      <c r="T541" s="367"/>
      <c r="U541" s="367"/>
      <c r="V541" s="367"/>
      <c r="W541" s="367"/>
      <c r="X541" s="367"/>
      <c r="Y541" s="367"/>
      <c r="Z541" s="367"/>
    </row>
    <row r="542" ht="12.75" customHeight="1" spans="1:26">
      <c r="A542" s="363"/>
      <c r="B542" s="412"/>
      <c r="C542" s="367"/>
      <c r="D542" s="413"/>
      <c r="E542" s="413"/>
      <c r="F542" s="367"/>
      <c r="G542" s="367"/>
      <c r="H542" s="367"/>
      <c r="I542" s="367"/>
      <c r="J542" s="367"/>
      <c r="K542" s="367"/>
      <c r="L542" s="367"/>
      <c r="M542" s="367"/>
      <c r="N542" s="367"/>
      <c r="O542" s="367"/>
      <c r="P542" s="367"/>
      <c r="Q542" s="367"/>
      <c r="R542" s="367"/>
      <c r="S542" s="367"/>
      <c r="T542" s="367"/>
      <c r="U542" s="367"/>
      <c r="V542" s="367"/>
      <c r="W542" s="367"/>
      <c r="X542" s="367"/>
      <c r="Y542" s="367"/>
      <c r="Z542" s="367"/>
    </row>
    <row r="543" ht="12.75" customHeight="1" spans="1:26">
      <c r="A543" s="363"/>
      <c r="B543" s="412"/>
      <c r="C543" s="367"/>
      <c r="D543" s="413"/>
      <c r="E543" s="413"/>
      <c r="F543" s="367"/>
      <c r="G543" s="367"/>
      <c r="H543" s="367"/>
      <c r="I543" s="367"/>
      <c r="J543" s="367"/>
      <c r="K543" s="367"/>
      <c r="L543" s="367"/>
      <c r="M543" s="367"/>
      <c r="N543" s="367"/>
      <c r="O543" s="367"/>
      <c r="P543" s="367"/>
      <c r="Q543" s="367"/>
      <c r="R543" s="367"/>
      <c r="S543" s="367"/>
      <c r="T543" s="367"/>
      <c r="U543" s="367"/>
      <c r="V543" s="367"/>
      <c r="W543" s="367"/>
      <c r="X543" s="367"/>
      <c r="Y543" s="367"/>
      <c r="Z543" s="367"/>
    </row>
    <row r="544" ht="12.75" customHeight="1" spans="1:26">
      <c r="A544" s="363"/>
      <c r="B544" s="412"/>
      <c r="C544" s="367"/>
      <c r="D544" s="413"/>
      <c r="E544" s="413"/>
      <c r="F544" s="367"/>
      <c r="G544" s="367"/>
      <c r="H544" s="367"/>
      <c r="I544" s="367"/>
      <c r="J544" s="367"/>
      <c r="K544" s="367"/>
      <c r="L544" s="367"/>
      <c r="M544" s="367"/>
      <c r="N544" s="367"/>
      <c r="O544" s="367"/>
      <c r="P544" s="367"/>
      <c r="Q544" s="367"/>
      <c r="R544" s="367"/>
      <c r="S544" s="367"/>
      <c r="T544" s="367"/>
      <c r="U544" s="367"/>
      <c r="V544" s="367"/>
      <c r="W544" s="367"/>
      <c r="X544" s="367"/>
      <c r="Y544" s="367"/>
      <c r="Z544" s="367"/>
    </row>
    <row r="545" ht="12.75" customHeight="1" spans="1:26">
      <c r="A545" s="363"/>
      <c r="B545" s="412"/>
      <c r="C545" s="367"/>
      <c r="D545" s="413"/>
      <c r="E545" s="413"/>
      <c r="F545" s="367"/>
      <c r="G545" s="367"/>
      <c r="H545" s="367"/>
      <c r="I545" s="367"/>
      <c r="J545" s="367"/>
      <c r="K545" s="367"/>
      <c r="L545" s="367"/>
      <c r="M545" s="367"/>
      <c r="N545" s="367"/>
      <c r="O545" s="367"/>
      <c r="P545" s="367"/>
      <c r="Q545" s="367"/>
      <c r="R545" s="367"/>
      <c r="S545" s="367"/>
      <c r="T545" s="367"/>
      <c r="U545" s="367"/>
      <c r="V545" s="367"/>
      <c r="W545" s="367"/>
      <c r="X545" s="367"/>
      <c r="Y545" s="367"/>
      <c r="Z545" s="367"/>
    </row>
    <row r="546" ht="12.75" customHeight="1" spans="1:26">
      <c r="A546" s="363"/>
      <c r="B546" s="412"/>
      <c r="C546" s="367"/>
      <c r="D546" s="413"/>
      <c r="E546" s="413"/>
      <c r="F546" s="367"/>
      <c r="G546" s="367"/>
      <c r="H546" s="367"/>
      <c r="I546" s="367"/>
      <c r="J546" s="367"/>
      <c r="K546" s="367"/>
      <c r="L546" s="367"/>
      <c r="M546" s="367"/>
      <c r="N546" s="367"/>
      <c r="O546" s="367"/>
      <c r="P546" s="367"/>
      <c r="Q546" s="367"/>
      <c r="R546" s="367"/>
      <c r="S546" s="367"/>
      <c r="T546" s="367"/>
      <c r="U546" s="367"/>
      <c r="V546" s="367"/>
      <c r="W546" s="367"/>
      <c r="X546" s="367"/>
      <c r="Y546" s="367"/>
      <c r="Z546" s="367"/>
    </row>
    <row r="547" ht="12.75" customHeight="1" spans="1:26">
      <c r="A547" s="363"/>
      <c r="B547" s="412"/>
      <c r="C547" s="367"/>
      <c r="D547" s="413"/>
      <c r="E547" s="413"/>
      <c r="F547" s="367"/>
      <c r="G547" s="367"/>
      <c r="H547" s="367"/>
      <c r="I547" s="367"/>
      <c r="J547" s="367"/>
      <c r="K547" s="367"/>
      <c r="L547" s="367"/>
      <c r="M547" s="367"/>
      <c r="N547" s="367"/>
      <c r="O547" s="367"/>
      <c r="P547" s="367"/>
      <c r="Q547" s="367"/>
      <c r="R547" s="367"/>
      <c r="S547" s="367"/>
      <c r="T547" s="367"/>
      <c r="U547" s="367"/>
      <c r="V547" s="367"/>
      <c r="W547" s="367"/>
      <c r="X547" s="367"/>
      <c r="Y547" s="367"/>
      <c r="Z547" s="367"/>
    </row>
    <row r="548" ht="12.75" customHeight="1" spans="1:26">
      <c r="A548" s="363"/>
      <c r="B548" s="412"/>
      <c r="C548" s="367"/>
      <c r="D548" s="413"/>
      <c r="E548" s="413"/>
      <c r="F548" s="367"/>
      <c r="G548" s="367"/>
      <c r="H548" s="367"/>
      <c r="I548" s="367"/>
      <c r="J548" s="367"/>
      <c r="K548" s="367"/>
      <c r="L548" s="367"/>
      <c r="M548" s="367"/>
      <c r="N548" s="367"/>
      <c r="O548" s="367"/>
      <c r="P548" s="367"/>
      <c r="Q548" s="367"/>
      <c r="R548" s="367"/>
      <c r="S548" s="367"/>
      <c r="T548" s="367"/>
      <c r="U548" s="367"/>
      <c r="V548" s="367"/>
      <c r="W548" s="367"/>
      <c r="X548" s="367"/>
      <c r="Y548" s="367"/>
      <c r="Z548" s="367"/>
    </row>
    <row r="549" ht="12.75" customHeight="1" spans="1:26">
      <c r="A549" s="363"/>
      <c r="B549" s="412"/>
      <c r="C549" s="367"/>
      <c r="D549" s="413"/>
      <c r="E549" s="413"/>
      <c r="F549" s="367"/>
      <c r="G549" s="367"/>
      <c r="H549" s="367"/>
      <c r="I549" s="367"/>
      <c r="J549" s="367"/>
      <c r="K549" s="367"/>
      <c r="L549" s="367"/>
      <c r="M549" s="367"/>
      <c r="N549" s="367"/>
      <c r="O549" s="367"/>
      <c r="P549" s="367"/>
      <c r="Q549" s="367"/>
      <c r="R549" s="367"/>
      <c r="S549" s="367"/>
      <c r="T549" s="367"/>
      <c r="U549" s="367"/>
      <c r="V549" s="367"/>
      <c r="W549" s="367"/>
      <c r="X549" s="367"/>
      <c r="Y549" s="367"/>
      <c r="Z549" s="367"/>
    </row>
    <row r="550" ht="12.75" customHeight="1" spans="1:26">
      <c r="A550" s="363"/>
      <c r="B550" s="412"/>
      <c r="C550" s="367"/>
      <c r="D550" s="413"/>
      <c r="E550" s="413"/>
      <c r="F550" s="367"/>
      <c r="G550" s="367"/>
      <c r="H550" s="367"/>
      <c r="I550" s="367"/>
      <c r="J550" s="367"/>
      <c r="K550" s="367"/>
      <c r="L550" s="367"/>
      <c r="M550" s="367"/>
      <c r="N550" s="367"/>
      <c r="O550" s="367"/>
      <c r="P550" s="367"/>
      <c r="Q550" s="367"/>
      <c r="R550" s="367"/>
      <c r="S550" s="367"/>
      <c r="T550" s="367"/>
      <c r="U550" s="367"/>
      <c r="V550" s="367"/>
      <c r="W550" s="367"/>
      <c r="X550" s="367"/>
      <c r="Y550" s="367"/>
      <c r="Z550" s="367"/>
    </row>
    <row r="551" ht="12.75" customHeight="1" spans="1:26">
      <c r="A551" s="363"/>
      <c r="B551" s="412"/>
      <c r="C551" s="367"/>
      <c r="D551" s="413"/>
      <c r="E551" s="413"/>
      <c r="F551" s="367"/>
      <c r="G551" s="367"/>
      <c r="H551" s="367"/>
      <c r="I551" s="367"/>
      <c r="J551" s="367"/>
      <c r="K551" s="367"/>
      <c r="L551" s="367"/>
      <c r="M551" s="367"/>
      <c r="N551" s="367"/>
      <c r="O551" s="367"/>
      <c r="P551" s="367"/>
      <c r="Q551" s="367"/>
      <c r="R551" s="367"/>
      <c r="S551" s="367"/>
      <c r="T551" s="367"/>
      <c r="U551" s="367"/>
      <c r="V551" s="367"/>
      <c r="W551" s="367"/>
      <c r="X551" s="367"/>
      <c r="Y551" s="367"/>
      <c r="Z551" s="367"/>
    </row>
    <row r="552" ht="12.75" customHeight="1" spans="1:26">
      <c r="A552" s="363"/>
      <c r="B552" s="412"/>
      <c r="C552" s="367"/>
      <c r="D552" s="413"/>
      <c r="E552" s="413"/>
      <c r="F552" s="367"/>
      <c r="G552" s="367"/>
      <c r="H552" s="367"/>
      <c r="I552" s="367"/>
      <c r="J552" s="367"/>
      <c r="K552" s="367"/>
      <c r="L552" s="367"/>
      <c r="M552" s="367"/>
      <c r="N552" s="367"/>
      <c r="O552" s="367"/>
      <c r="P552" s="367"/>
      <c r="Q552" s="367"/>
      <c r="R552" s="367"/>
      <c r="S552" s="367"/>
      <c r="T552" s="367"/>
      <c r="U552" s="367"/>
      <c r="V552" s="367"/>
      <c r="W552" s="367"/>
      <c r="X552" s="367"/>
      <c r="Y552" s="367"/>
      <c r="Z552" s="367"/>
    </row>
    <row r="553" ht="12.75" customHeight="1" spans="1:26">
      <c r="A553" s="363"/>
      <c r="B553" s="412"/>
      <c r="C553" s="367"/>
      <c r="D553" s="413"/>
      <c r="E553" s="413"/>
      <c r="F553" s="367"/>
      <c r="G553" s="367"/>
      <c r="H553" s="367"/>
      <c r="I553" s="367"/>
      <c r="J553" s="367"/>
      <c r="K553" s="367"/>
      <c r="L553" s="367"/>
      <c r="M553" s="367"/>
      <c r="N553" s="367"/>
      <c r="O553" s="367"/>
      <c r="P553" s="367"/>
      <c r="Q553" s="367"/>
      <c r="R553" s="367"/>
      <c r="S553" s="367"/>
      <c r="T553" s="367"/>
      <c r="U553" s="367"/>
      <c r="V553" s="367"/>
      <c r="W553" s="367"/>
      <c r="X553" s="367"/>
      <c r="Y553" s="367"/>
      <c r="Z553" s="367"/>
    </row>
    <row r="554" ht="12.75" customHeight="1" spans="1:26">
      <c r="A554" s="363"/>
      <c r="B554" s="412"/>
      <c r="C554" s="367"/>
      <c r="D554" s="413"/>
      <c r="E554" s="413"/>
      <c r="F554" s="367"/>
      <c r="G554" s="367"/>
      <c r="H554" s="367"/>
      <c r="I554" s="367"/>
      <c r="J554" s="367"/>
      <c r="K554" s="367"/>
      <c r="L554" s="367"/>
      <c r="M554" s="367"/>
      <c r="N554" s="367"/>
      <c r="O554" s="367"/>
      <c r="P554" s="367"/>
      <c r="Q554" s="367"/>
      <c r="R554" s="367"/>
      <c r="S554" s="367"/>
      <c r="T554" s="367"/>
      <c r="U554" s="367"/>
      <c r="V554" s="367"/>
      <c r="W554" s="367"/>
      <c r="X554" s="367"/>
      <c r="Y554" s="367"/>
      <c r="Z554" s="367"/>
    </row>
    <row r="555" ht="12.75" customHeight="1" spans="1:26">
      <c r="A555" s="363"/>
      <c r="B555" s="412"/>
      <c r="C555" s="367"/>
      <c r="D555" s="413"/>
      <c r="E555" s="413"/>
      <c r="F555" s="367"/>
      <c r="G555" s="367"/>
      <c r="H555" s="367"/>
      <c r="I555" s="367"/>
      <c r="J555" s="367"/>
      <c r="K555" s="367"/>
      <c r="L555" s="367"/>
      <c r="M555" s="367"/>
      <c r="N555" s="367"/>
      <c r="O555" s="367"/>
      <c r="P555" s="367"/>
      <c r="Q555" s="367"/>
      <c r="R555" s="367"/>
      <c r="S555" s="367"/>
      <c r="T555" s="367"/>
      <c r="U555" s="367"/>
      <c r="V555" s="367"/>
      <c r="W555" s="367"/>
      <c r="X555" s="367"/>
      <c r="Y555" s="367"/>
      <c r="Z555" s="367"/>
    </row>
    <row r="556" ht="12.75" customHeight="1" spans="1:26">
      <c r="A556" s="363"/>
      <c r="B556" s="412"/>
      <c r="C556" s="367"/>
      <c r="D556" s="413"/>
      <c r="E556" s="413"/>
      <c r="F556" s="367"/>
      <c r="G556" s="367"/>
      <c r="H556" s="367"/>
      <c r="I556" s="367"/>
      <c r="J556" s="367"/>
      <c r="K556" s="367"/>
      <c r="L556" s="367"/>
      <c r="M556" s="367"/>
      <c r="N556" s="367"/>
      <c r="O556" s="367"/>
      <c r="P556" s="367"/>
      <c r="Q556" s="367"/>
      <c r="R556" s="367"/>
      <c r="S556" s="367"/>
      <c r="T556" s="367"/>
      <c r="U556" s="367"/>
      <c r="V556" s="367"/>
      <c r="W556" s="367"/>
      <c r="X556" s="367"/>
      <c r="Y556" s="367"/>
      <c r="Z556" s="367"/>
    </row>
    <row r="557" ht="12.75" customHeight="1" spans="1:26">
      <c r="A557" s="363"/>
      <c r="B557" s="412"/>
      <c r="C557" s="367"/>
      <c r="D557" s="413"/>
      <c r="E557" s="413"/>
      <c r="F557" s="367"/>
      <c r="G557" s="367"/>
      <c r="H557" s="367"/>
      <c r="I557" s="367"/>
      <c r="J557" s="367"/>
      <c r="K557" s="367"/>
      <c r="L557" s="367"/>
      <c r="M557" s="367"/>
      <c r="N557" s="367"/>
      <c r="O557" s="367"/>
      <c r="P557" s="367"/>
      <c r="Q557" s="367"/>
      <c r="R557" s="367"/>
      <c r="S557" s="367"/>
      <c r="T557" s="367"/>
      <c r="U557" s="367"/>
      <c r="V557" s="367"/>
      <c r="W557" s="367"/>
      <c r="X557" s="367"/>
      <c r="Y557" s="367"/>
      <c r="Z557" s="367"/>
    </row>
    <row r="558" ht="12.75" customHeight="1" spans="1:26">
      <c r="A558" s="363"/>
      <c r="B558" s="412"/>
      <c r="C558" s="367"/>
      <c r="D558" s="413"/>
      <c r="E558" s="413"/>
      <c r="F558" s="367"/>
      <c r="G558" s="367"/>
      <c r="H558" s="367"/>
      <c r="I558" s="367"/>
      <c r="J558" s="367"/>
      <c r="K558" s="367"/>
      <c r="L558" s="367"/>
      <c r="M558" s="367"/>
      <c r="N558" s="367"/>
      <c r="O558" s="367"/>
      <c r="P558" s="367"/>
      <c r="Q558" s="367"/>
      <c r="R558" s="367"/>
      <c r="S558" s="367"/>
      <c r="T558" s="367"/>
      <c r="U558" s="367"/>
      <c r="V558" s="367"/>
      <c r="W558" s="367"/>
      <c r="X558" s="367"/>
      <c r="Y558" s="367"/>
      <c r="Z558" s="367"/>
    </row>
    <row r="559" ht="12.75" customHeight="1" spans="1:26">
      <c r="A559" s="363"/>
      <c r="B559" s="412"/>
      <c r="C559" s="367"/>
      <c r="D559" s="413"/>
      <c r="E559" s="413"/>
      <c r="F559" s="367"/>
      <c r="G559" s="367"/>
      <c r="H559" s="367"/>
      <c r="I559" s="367"/>
      <c r="J559" s="367"/>
      <c r="K559" s="367"/>
      <c r="L559" s="367"/>
      <c r="M559" s="367"/>
      <c r="N559" s="367"/>
      <c r="O559" s="367"/>
      <c r="P559" s="367"/>
      <c r="Q559" s="367"/>
      <c r="R559" s="367"/>
      <c r="S559" s="367"/>
      <c r="T559" s="367"/>
      <c r="U559" s="367"/>
      <c r="V559" s="367"/>
      <c r="W559" s="367"/>
      <c r="X559" s="367"/>
      <c r="Y559" s="367"/>
      <c r="Z559" s="367"/>
    </row>
    <row r="560" ht="12.75" customHeight="1" spans="1:26">
      <c r="A560" s="363"/>
      <c r="B560" s="412"/>
      <c r="C560" s="367"/>
      <c r="D560" s="413"/>
      <c r="E560" s="413"/>
      <c r="F560" s="367"/>
      <c r="G560" s="367"/>
      <c r="H560" s="367"/>
      <c r="I560" s="367"/>
      <c r="J560" s="367"/>
      <c r="K560" s="367"/>
      <c r="L560" s="367"/>
      <c r="M560" s="367"/>
      <c r="N560" s="367"/>
      <c r="O560" s="367"/>
      <c r="P560" s="367"/>
      <c r="Q560" s="367"/>
      <c r="R560" s="367"/>
      <c r="S560" s="367"/>
      <c r="T560" s="367"/>
      <c r="U560" s="367"/>
      <c r="V560" s="367"/>
      <c r="W560" s="367"/>
      <c r="X560" s="367"/>
      <c r="Y560" s="367"/>
      <c r="Z560" s="367"/>
    </row>
    <row r="561" ht="12.75" customHeight="1" spans="1:26">
      <c r="A561" s="363"/>
      <c r="B561" s="412"/>
      <c r="C561" s="367"/>
      <c r="D561" s="413"/>
      <c r="E561" s="413"/>
      <c r="F561" s="367"/>
      <c r="G561" s="367"/>
      <c r="H561" s="367"/>
      <c r="I561" s="367"/>
      <c r="J561" s="367"/>
      <c r="K561" s="367"/>
      <c r="L561" s="367"/>
      <c r="M561" s="367"/>
      <c r="N561" s="367"/>
      <c r="O561" s="367"/>
      <c r="P561" s="367"/>
      <c r="Q561" s="367"/>
      <c r="R561" s="367"/>
      <c r="S561" s="367"/>
      <c r="T561" s="367"/>
      <c r="U561" s="367"/>
      <c r="V561" s="367"/>
      <c r="W561" s="367"/>
      <c r="X561" s="367"/>
      <c r="Y561" s="367"/>
      <c r="Z561" s="367"/>
    </row>
    <row r="562" ht="12.75" customHeight="1" spans="1:26">
      <c r="A562" s="363"/>
      <c r="B562" s="412"/>
      <c r="C562" s="367"/>
      <c r="D562" s="413"/>
      <c r="E562" s="413"/>
      <c r="F562" s="367"/>
      <c r="G562" s="367"/>
      <c r="H562" s="367"/>
      <c r="I562" s="367"/>
      <c r="J562" s="367"/>
      <c r="K562" s="367"/>
      <c r="L562" s="367"/>
      <c r="M562" s="367"/>
      <c r="N562" s="367"/>
      <c r="O562" s="367"/>
      <c r="P562" s="367"/>
      <c r="Q562" s="367"/>
      <c r="R562" s="367"/>
      <c r="S562" s="367"/>
      <c r="T562" s="367"/>
      <c r="U562" s="367"/>
      <c r="V562" s="367"/>
      <c r="W562" s="367"/>
      <c r="X562" s="367"/>
      <c r="Y562" s="367"/>
      <c r="Z562" s="367"/>
    </row>
    <row r="563" ht="12.75" customHeight="1" spans="1:26">
      <c r="A563" s="363"/>
      <c r="B563" s="412"/>
      <c r="C563" s="367"/>
      <c r="D563" s="413"/>
      <c r="E563" s="413"/>
      <c r="F563" s="367"/>
      <c r="G563" s="367"/>
      <c r="H563" s="367"/>
      <c r="I563" s="367"/>
      <c r="J563" s="367"/>
      <c r="K563" s="367"/>
      <c r="L563" s="367"/>
      <c r="M563" s="367"/>
      <c r="N563" s="367"/>
      <c r="O563" s="367"/>
      <c r="P563" s="367"/>
      <c r="Q563" s="367"/>
      <c r="R563" s="367"/>
      <c r="S563" s="367"/>
      <c r="T563" s="367"/>
      <c r="U563" s="367"/>
      <c r="V563" s="367"/>
      <c r="W563" s="367"/>
      <c r="X563" s="367"/>
      <c r="Y563" s="367"/>
      <c r="Z563" s="367"/>
    </row>
    <row r="564" ht="12.75" customHeight="1" spans="1:26">
      <c r="A564" s="363"/>
      <c r="B564" s="412"/>
      <c r="C564" s="367"/>
      <c r="D564" s="413"/>
      <c r="E564" s="413"/>
      <c r="F564" s="367"/>
      <c r="G564" s="367"/>
      <c r="H564" s="367"/>
      <c r="I564" s="367"/>
      <c r="J564" s="367"/>
      <c r="K564" s="367"/>
      <c r="L564" s="367"/>
      <c r="M564" s="367"/>
      <c r="N564" s="367"/>
      <c r="O564" s="367"/>
      <c r="P564" s="367"/>
      <c r="Q564" s="367"/>
      <c r="R564" s="367"/>
      <c r="S564" s="367"/>
      <c r="T564" s="367"/>
      <c r="U564" s="367"/>
      <c r="V564" s="367"/>
      <c r="W564" s="367"/>
      <c r="X564" s="367"/>
      <c r="Y564" s="367"/>
      <c r="Z564" s="367"/>
    </row>
    <row r="565" ht="12.75" customHeight="1" spans="1:26">
      <c r="A565" s="363"/>
      <c r="B565" s="412"/>
      <c r="C565" s="367"/>
      <c r="D565" s="413"/>
      <c r="E565" s="413"/>
      <c r="F565" s="367"/>
      <c r="G565" s="367"/>
      <c r="H565" s="367"/>
      <c r="I565" s="367"/>
      <c r="J565" s="367"/>
      <c r="K565" s="367"/>
      <c r="L565" s="367"/>
      <c r="M565" s="367"/>
      <c r="N565" s="367"/>
      <c r="O565" s="367"/>
      <c r="P565" s="367"/>
      <c r="Q565" s="367"/>
      <c r="R565" s="367"/>
      <c r="S565" s="367"/>
      <c r="T565" s="367"/>
      <c r="U565" s="367"/>
      <c r="V565" s="367"/>
      <c r="W565" s="367"/>
      <c r="X565" s="367"/>
      <c r="Y565" s="367"/>
      <c r="Z565" s="367"/>
    </row>
    <row r="566" ht="12.75" customHeight="1" spans="1:26">
      <c r="A566" s="363"/>
      <c r="B566" s="412"/>
      <c r="C566" s="367"/>
      <c r="D566" s="413"/>
      <c r="E566" s="413"/>
      <c r="F566" s="367"/>
      <c r="G566" s="367"/>
      <c r="H566" s="367"/>
      <c r="I566" s="367"/>
      <c r="J566" s="367"/>
      <c r="K566" s="367"/>
      <c r="L566" s="367"/>
      <c r="M566" s="367"/>
      <c r="N566" s="367"/>
      <c r="O566" s="367"/>
      <c r="P566" s="367"/>
      <c r="Q566" s="367"/>
      <c r="R566" s="367"/>
      <c r="S566" s="367"/>
      <c r="T566" s="367"/>
      <c r="U566" s="367"/>
      <c r="V566" s="367"/>
      <c r="W566" s="367"/>
      <c r="X566" s="367"/>
      <c r="Y566" s="367"/>
      <c r="Z566" s="367"/>
    </row>
    <row r="567" ht="12.75" customHeight="1" spans="1:26">
      <c r="A567" s="363"/>
      <c r="B567" s="412"/>
      <c r="C567" s="367"/>
      <c r="D567" s="413"/>
      <c r="E567" s="413"/>
      <c r="F567" s="367"/>
      <c r="G567" s="367"/>
      <c r="H567" s="367"/>
      <c r="I567" s="367"/>
      <c r="J567" s="367"/>
      <c r="K567" s="367"/>
      <c r="L567" s="367"/>
      <c r="M567" s="367"/>
      <c r="N567" s="367"/>
      <c r="O567" s="367"/>
      <c r="P567" s="367"/>
      <c r="Q567" s="367"/>
      <c r="R567" s="367"/>
      <c r="S567" s="367"/>
      <c r="T567" s="367"/>
      <c r="U567" s="367"/>
      <c r="V567" s="367"/>
      <c r="W567" s="367"/>
      <c r="X567" s="367"/>
      <c r="Y567" s="367"/>
      <c r="Z567" s="367"/>
    </row>
    <row r="568" ht="12.75" customHeight="1" spans="1:26">
      <c r="A568" s="363"/>
      <c r="B568" s="412"/>
      <c r="C568" s="367"/>
      <c r="D568" s="413"/>
      <c r="E568" s="413"/>
      <c r="F568" s="367"/>
      <c r="G568" s="367"/>
      <c r="H568" s="367"/>
      <c r="I568" s="367"/>
      <c r="J568" s="367"/>
      <c r="K568" s="367"/>
      <c r="L568" s="367"/>
      <c r="M568" s="367"/>
      <c r="N568" s="367"/>
      <c r="O568" s="367"/>
      <c r="P568" s="367"/>
      <c r="Q568" s="367"/>
      <c r="R568" s="367"/>
      <c r="S568" s="367"/>
      <c r="T568" s="367"/>
      <c r="U568" s="367"/>
      <c r="V568" s="367"/>
      <c r="W568" s="367"/>
      <c r="X568" s="367"/>
      <c r="Y568" s="367"/>
      <c r="Z568" s="367"/>
    </row>
    <row r="569" ht="12.75" customHeight="1" spans="1:26">
      <c r="A569" s="363"/>
      <c r="B569" s="412"/>
      <c r="C569" s="367"/>
      <c r="D569" s="413"/>
      <c r="E569" s="413"/>
      <c r="F569" s="367"/>
      <c r="G569" s="367"/>
      <c r="H569" s="367"/>
      <c r="I569" s="367"/>
      <c r="J569" s="367"/>
      <c r="K569" s="367"/>
      <c r="L569" s="367"/>
      <c r="M569" s="367"/>
      <c r="N569" s="367"/>
      <c r="O569" s="367"/>
      <c r="P569" s="367"/>
      <c r="Q569" s="367"/>
      <c r="R569" s="367"/>
      <c r="S569" s="367"/>
      <c r="T569" s="367"/>
      <c r="U569" s="367"/>
      <c r="V569" s="367"/>
      <c r="W569" s="367"/>
      <c r="X569" s="367"/>
      <c r="Y569" s="367"/>
      <c r="Z569" s="367"/>
    </row>
    <row r="570" ht="12.75" customHeight="1" spans="1:26">
      <c r="A570" s="363"/>
      <c r="B570" s="412"/>
      <c r="C570" s="367"/>
      <c r="D570" s="413"/>
      <c r="E570" s="413"/>
      <c r="F570" s="367"/>
      <c r="G570" s="367"/>
      <c r="H570" s="367"/>
      <c r="I570" s="367"/>
      <c r="J570" s="367"/>
      <c r="K570" s="367"/>
      <c r="L570" s="367"/>
      <c r="M570" s="367"/>
      <c r="N570" s="367"/>
      <c r="O570" s="367"/>
      <c r="P570" s="367"/>
      <c r="Q570" s="367"/>
      <c r="R570" s="367"/>
      <c r="S570" s="367"/>
      <c r="T570" s="367"/>
      <c r="U570" s="367"/>
      <c r="V570" s="367"/>
      <c r="W570" s="367"/>
      <c r="X570" s="367"/>
      <c r="Y570" s="367"/>
      <c r="Z570" s="367"/>
    </row>
    <row r="571" ht="12.75" customHeight="1" spans="1:26">
      <c r="A571" s="363"/>
      <c r="B571" s="412"/>
      <c r="C571" s="367"/>
      <c r="D571" s="413"/>
      <c r="E571" s="413"/>
      <c r="F571" s="367"/>
      <c r="G571" s="367"/>
      <c r="H571" s="367"/>
      <c r="I571" s="367"/>
      <c r="J571" s="367"/>
      <c r="K571" s="367"/>
      <c r="L571" s="367"/>
      <c r="M571" s="367"/>
      <c r="N571" s="367"/>
      <c r="O571" s="367"/>
      <c r="P571" s="367"/>
      <c r="Q571" s="367"/>
      <c r="R571" s="367"/>
      <c r="S571" s="367"/>
      <c r="T571" s="367"/>
      <c r="U571" s="367"/>
      <c r="V571" s="367"/>
      <c r="W571" s="367"/>
      <c r="X571" s="367"/>
      <c r="Y571" s="367"/>
      <c r="Z571" s="367"/>
    </row>
    <row r="572" ht="12.75" customHeight="1" spans="1:26">
      <c r="A572" s="363"/>
      <c r="B572" s="412"/>
      <c r="C572" s="367"/>
      <c r="D572" s="413"/>
      <c r="E572" s="413"/>
      <c r="F572" s="367"/>
      <c r="G572" s="367"/>
      <c r="H572" s="367"/>
      <c r="I572" s="367"/>
      <c r="J572" s="367"/>
      <c r="K572" s="367"/>
      <c r="L572" s="367"/>
      <c r="M572" s="367"/>
      <c r="N572" s="367"/>
      <c r="O572" s="367"/>
      <c r="P572" s="367"/>
      <c r="Q572" s="367"/>
      <c r="R572" s="367"/>
      <c r="S572" s="367"/>
      <c r="T572" s="367"/>
      <c r="U572" s="367"/>
      <c r="V572" s="367"/>
      <c r="W572" s="367"/>
      <c r="X572" s="367"/>
      <c r="Y572" s="367"/>
      <c r="Z572" s="367"/>
    </row>
    <row r="573" ht="12.75" customHeight="1" spans="1:26">
      <c r="A573" s="363"/>
      <c r="B573" s="412"/>
      <c r="C573" s="367"/>
      <c r="D573" s="413"/>
      <c r="E573" s="413"/>
      <c r="F573" s="367"/>
      <c r="G573" s="367"/>
      <c r="H573" s="367"/>
      <c r="I573" s="367"/>
      <c r="J573" s="367"/>
      <c r="K573" s="367"/>
      <c r="L573" s="367"/>
      <c r="M573" s="367"/>
      <c r="N573" s="367"/>
      <c r="O573" s="367"/>
      <c r="P573" s="367"/>
      <c r="Q573" s="367"/>
      <c r="R573" s="367"/>
      <c r="S573" s="367"/>
      <c r="T573" s="367"/>
      <c r="U573" s="367"/>
      <c r="V573" s="367"/>
      <c r="W573" s="367"/>
      <c r="X573" s="367"/>
      <c r="Y573" s="367"/>
      <c r="Z573" s="367"/>
    </row>
    <row r="574" ht="12.75" customHeight="1" spans="1:26">
      <c r="A574" s="363"/>
      <c r="B574" s="412"/>
      <c r="C574" s="367"/>
      <c r="D574" s="413"/>
      <c r="E574" s="413"/>
      <c r="F574" s="367"/>
      <c r="G574" s="367"/>
      <c r="H574" s="367"/>
      <c r="I574" s="367"/>
      <c r="J574" s="367"/>
      <c r="K574" s="367"/>
      <c r="L574" s="367"/>
      <c r="M574" s="367"/>
      <c r="N574" s="367"/>
      <c r="O574" s="367"/>
      <c r="P574" s="367"/>
      <c r="Q574" s="367"/>
      <c r="R574" s="367"/>
      <c r="S574" s="367"/>
      <c r="T574" s="367"/>
      <c r="U574" s="367"/>
      <c r="V574" s="367"/>
      <c r="W574" s="367"/>
      <c r="X574" s="367"/>
      <c r="Y574" s="367"/>
      <c r="Z574" s="367"/>
    </row>
    <row r="575" ht="12.75" customHeight="1" spans="1:26">
      <c r="A575" s="363"/>
      <c r="B575" s="412"/>
      <c r="C575" s="367"/>
      <c r="D575" s="413"/>
      <c r="E575" s="413"/>
      <c r="F575" s="367"/>
      <c r="G575" s="367"/>
      <c r="H575" s="367"/>
      <c r="I575" s="367"/>
      <c r="J575" s="367"/>
      <c r="K575" s="367"/>
      <c r="L575" s="367"/>
      <c r="M575" s="367"/>
      <c r="N575" s="367"/>
      <c r="O575" s="367"/>
      <c r="P575" s="367"/>
      <c r="Q575" s="367"/>
      <c r="R575" s="367"/>
      <c r="S575" s="367"/>
      <c r="T575" s="367"/>
      <c r="U575" s="367"/>
      <c r="V575" s="367"/>
      <c r="W575" s="367"/>
      <c r="X575" s="367"/>
      <c r="Y575" s="367"/>
      <c r="Z575" s="367"/>
    </row>
    <row r="576" ht="12.75" customHeight="1" spans="1:26">
      <c r="A576" s="363"/>
      <c r="B576" s="412"/>
      <c r="C576" s="367"/>
      <c r="D576" s="413"/>
      <c r="E576" s="413"/>
      <c r="F576" s="367"/>
      <c r="G576" s="367"/>
      <c r="H576" s="367"/>
      <c r="I576" s="367"/>
      <c r="J576" s="367"/>
      <c r="K576" s="367"/>
      <c r="L576" s="367"/>
      <c r="M576" s="367"/>
      <c r="N576" s="367"/>
      <c r="O576" s="367"/>
      <c r="P576" s="367"/>
      <c r="Q576" s="367"/>
      <c r="R576" s="367"/>
      <c r="S576" s="367"/>
      <c r="T576" s="367"/>
      <c r="U576" s="367"/>
      <c r="V576" s="367"/>
      <c r="W576" s="367"/>
      <c r="X576" s="367"/>
      <c r="Y576" s="367"/>
      <c r="Z576" s="367"/>
    </row>
    <row r="577" ht="12.75" customHeight="1" spans="1:26">
      <c r="A577" s="363"/>
      <c r="B577" s="412"/>
      <c r="C577" s="367"/>
      <c r="D577" s="413"/>
      <c r="E577" s="413"/>
      <c r="F577" s="367"/>
      <c r="G577" s="367"/>
      <c r="H577" s="367"/>
      <c r="I577" s="367"/>
      <c r="J577" s="367"/>
      <c r="K577" s="367"/>
      <c r="L577" s="367"/>
      <c r="M577" s="367"/>
      <c r="N577" s="367"/>
      <c r="O577" s="367"/>
      <c r="P577" s="367"/>
      <c r="Q577" s="367"/>
      <c r="R577" s="367"/>
      <c r="S577" s="367"/>
      <c r="T577" s="367"/>
      <c r="U577" s="367"/>
      <c r="V577" s="367"/>
      <c r="W577" s="367"/>
      <c r="X577" s="367"/>
      <c r="Y577" s="367"/>
      <c r="Z577" s="367"/>
    </row>
    <row r="578" ht="12.75" customHeight="1" spans="1:26">
      <c r="A578" s="363"/>
      <c r="B578" s="412"/>
      <c r="C578" s="367"/>
      <c r="D578" s="413"/>
      <c r="E578" s="413"/>
      <c r="F578" s="367"/>
      <c r="G578" s="367"/>
      <c r="H578" s="367"/>
      <c r="I578" s="367"/>
      <c r="J578" s="367"/>
      <c r="K578" s="367"/>
      <c r="L578" s="367"/>
      <c r="M578" s="367"/>
      <c r="N578" s="367"/>
      <c r="O578" s="367"/>
      <c r="P578" s="367"/>
      <c r="Q578" s="367"/>
      <c r="R578" s="367"/>
      <c r="S578" s="367"/>
      <c r="T578" s="367"/>
      <c r="U578" s="367"/>
      <c r="V578" s="367"/>
      <c r="W578" s="367"/>
      <c r="X578" s="367"/>
      <c r="Y578" s="367"/>
      <c r="Z578" s="367"/>
    </row>
    <row r="579" ht="12.75" customHeight="1" spans="1:26">
      <c r="A579" s="363"/>
      <c r="B579" s="412"/>
      <c r="C579" s="367"/>
      <c r="D579" s="413"/>
      <c r="E579" s="413"/>
      <c r="F579" s="367"/>
      <c r="G579" s="367"/>
      <c r="H579" s="367"/>
      <c r="I579" s="367"/>
      <c r="J579" s="367"/>
      <c r="K579" s="367"/>
      <c r="L579" s="367"/>
      <c r="M579" s="367"/>
      <c r="N579" s="367"/>
      <c r="O579" s="367"/>
      <c r="P579" s="367"/>
      <c r="Q579" s="367"/>
      <c r="R579" s="367"/>
      <c r="S579" s="367"/>
      <c r="T579" s="367"/>
      <c r="U579" s="367"/>
      <c r="V579" s="367"/>
      <c r="W579" s="367"/>
      <c r="X579" s="367"/>
      <c r="Y579" s="367"/>
      <c r="Z579" s="367"/>
    </row>
    <row r="580" ht="12.75" customHeight="1" spans="1:26">
      <c r="A580" s="363"/>
      <c r="B580" s="412"/>
      <c r="C580" s="367"/>
      <c r="D580" s="413"/>
      <c r="E580" s="413"/>
      <c r="F580" s="367"/>
      <c r="G580" s="367"/>
      <c r="H580" s="367"/>
      <c r="I580" s="367"/>
      <c r="J580" s="367"/>
      <c r="K580" s="367"/>
      <c r="L580" s="367"/>
      <c r="M580" s="367"/>
      <c r="N580" s="367"/>
      <c r="O580" s="367"/>
      <c r="P580" s="367"/>
      <c r="Q580" s="367"/>
      <c r="R580" s="367"/>
      <c r="S580" s="367"/>
      <c r="T580" s="367"/>
      <c r="U580" s="367"/>
      <c r="V580" s="367"/>
      <c r="W580" s="367"/>
      <c r="X580" s="367"/>
      <c r="Y580" s="367"/>
      <c r="Z580" s="367"/>
    </row>
    <row r="581" ht="12.75" customHeight="1" spans="1:26">
      <c r="A581" s="363"/>
      <c r="B581" s="412"/>
      <c r="C581" s="367"/>
      <c r="D581" s="413"/>
      <c r="E581" s="413"/>
      <c r="F581" s="367"/>
      <c r="G581" s="367"/>
      <c r="H581" s="367"/>
      <c r="I581" s="367"/>
      <c r="J581" s="367"/>
      <c r="K581" s="367"/>
      <c r="L581" s="367"/>
      <c r="M581" s="367"/>
      <c r="N581" s="367"/>
      <c r="O581" s="367"/>
      <c r="P581" s="367"/>
      <c r="Q581" s="367"/>
      <c r="R581" s="367"/>
      <c r="S581" s="367"/>
      <c r="T581" s="367"/>
      <c r="U581" s="367"/>
      <c r="V581" s="367"/>
      <c r="W581" s="367"/>
      <c r="X581" s="367"/>
      <c r="Y581" s="367"/>
      <c r="Z581" s="367"/>
    </row>
    <row r="582" ht="12.75" customHeight="1" spans="1:26">
      <c r="A582" s="363"/>
      <c r="B582" s="412"/>
      <c r="C582" s="367"/>
      <c r="D582" s="413"/>
      <c r="E582" s="413"/>
      <c r="F582" s="367"/>
      <c r="G582" s="367"/>
      <c r="H582" s="367"/>
      <c r="I582" s="367"/>
      <c r="J582" s="367"/>
      <c r="K582" s="367"/>
      <c r="L582" s="367"/>
      <c r="M582" s="367"/>
      <c r="N582" s="367"/>
      <c r="O582" s="367"/>
      <c r="P582" s="367"/>
      <c r="Q582" s="367"/>
      <c r="R582" s="367"/>
      <c r="S582" s="367"/>
      <c r="T582" s="367"/>
      <c r="U582" s="367"/>
      <c r="V582" s="367"/>
      <c r="W582" s="367"/>
      <c r="X582" s="367"/>
      <c r="Y582" s="367"/>
      <c r="Z582" s="367"/>
    </row>
    <row r="583" ht="12.75" customHeight="1" spans="1:26">
      <c r="A583" s="363"/>
      <c r="B583" s="412"/>
      <c r="C583" s="367"/>
      <c r="D583" s="413"/>
      <c r="E583" s="413"/>
      <c r="F583" s="367"/>
      <c r="G583" s="367"/>
      <c r="H583" s="367"/>
      <c r="I583" s="367"/>
      <c r="J583" s="367"/>
      <c r="K583" s="367"/>
      <c r="L583" s="367"/>
      <c r="M583" s="367"/>
      <c r="N583" s="367"/>
      <c r="O583" s="367"/>
      <c r="P583" s="367"/>
      <c r="Q583" s="367"/>
      <c r="R583" s="367"/>
      <c r="S583" s="367"/>
      <c r="T583" s="367"/>
      <c r="U583" s="367"/>
      <c r="V583" s="367"/>
      <c r="W583" s="367"/>
      <c r="X583" s="367"/>
      <c r="Y583" s="367"/>
      <c r="Z583" s="367"/>
    </row>
    <row r="584" ht="12.75" customHeight="1" spans="1:26">
      <c r="A584" s="363"/>
      <c r="B584" s="412"/>
      <c r="C584" s="367"/>
      <c r="D584" s="413"/>
      <c r="E584" s="413"/>
      <c r="F584" s="367"/>
      <c r="G584" s="367"/>
      <c r="H584" s="367"/>
      <c r="I584" s="367"/>
      <c r="J584" s="367"/>
      <c r="K584" s="367"/>
      <c r="L584" s="367"/>
      <c r="M584" s="367"/>
      <c r="N584" s="367"/>
      <c r="O584" s="367"/>
      <c r="P584" s="367"/>
      <c r="Q584" s="367"/>
      <c r="R584" s="367"/>
      <c r="S584" s="367"/>
      <c r="T584" s="367"/>
      <c r="U584" s="367"/>
      <c r="V584" s="367"/>
      <c r="W584" s="367"/>
      <c r="X584" s="367"/>
      <c r="Y584" s="367"/>
      <c r="Z584" s="367"/>
    </row>
    <row r="585" ht="12.75" customHeight="1" spans="1:26">
      <c r="A585" s="363"/>
      <c r="B585" s="412"/>
      <c r="C585" s="367"/>
      <c r="D585" s="413"/>
      <c r="E585" s="413"/>
      <c r="F585" s="367"/>
      <c r="G585" s="367"/>
      <c r="H585" s="367"/>
      <c r="I585" s="367"/>
      <c r="J585" s="367"/>
      <c r="K585" s="367"/>
      <c r="L585" s="367"/>
      <c r="M585" s="367"/>
      <c r="N585" s="367"/>
      <c r="O585" s="367"/>
      <c r="P585" s="367"/>
      <c r="Q585" s="367"/>
      <c r="R585" s="367"/>
      <c r="S585" s="367"/>
      <c r="T585" s="367"/>
      <c r="U585" s="367"/>
      <c r="V585" s="367"/>
      <c r="W585" s="367"/>
      <c r="X585" s="367"/>
      <c r="Y585" s="367"/>
      <c r="Z585" s="367"/>
    </row>
    <row r="586" ht="12.75" customHeight="1" spans="1:26">
      <c r="A586" s="363"/>
      <c r="B586" s="412"/>
      <c r="C586" s="367"/>
      <c r="D586" s="413"/>
      <c r="E586" s="413"/>
      <c r="F586" s="367"/>
      <c r="G586" s="367"/>
      <c r="H586" s="367"/>
      <c r="I586" s="367"/>
      <c r="J586" s="367"/>
      <c r="K586" s="367"/>
      <c r="L586" s="367"/>
      <c r="M586" s="367"/>
      <c r="N586" s="367"/>
      <c r="O586" s="367"/>
      <c r="P586" s="367"/>
      <c r="Q586" s="367"/>
      <c r="R586" s="367"/>
      <c r="S586" s="367"/>
      <c r="T586" s="367"/>
      <c r="U586" s="367"/>
      <c r="V586" s="367"/>
      <c r="W586" s="367"/>
      <c r="X586" s="367"/>
      <c r="Y586" s="367"/>
      <c r="Z586" s="367"/>
    </row>
    <row r="587" ht="12.75" customHeight="1" spans="1:26">
      <c r="A587" s="363"/>
      <c r="B587" s="412"/>
      <c r="C587" s="367"/>
      <c r="D587" s="413"/>
      <c r="E587" s="413"/>
      <c r="F587" s="367"/>
      <c r="G587" s="367"/>
      <c r="H587" s="367"/>
      <c r="I587" s="367"/>
      <c r="J587" s="367"/>
      <c r="K587" s="367"/>
      <c r="L587" s="367"/>
      <c r="M587" s="367"/>
      <c r="N587" s="367"/>
      <c r="O587" s="367"/>
      <c r="P587" s="367"/>
      <c r="Q587" s="367"/>
      <c r="R587" s="367"/>
      <c r="S587" s="367"/>
      <c r="T587" s="367"/>
      <c r="U587" s="367"/>
      <c r="V587" s="367"/>
      <c r="W587" s="367"/>
      <c r="X587" s="367"/>
      <c r="Y587" s="367"/>
      <c r="Z587" s="367"/>
    </row>
    <row r="588" ht="12.75" customHeight="1" spans="1:26">
      <c r="A588" s="363"/>
      <c r="B588" s="412"/>
      <c r="C588" s="367"/>
      <c r="D588" s="413"/>
      <c r="E588" s="413"/>
      <c r="F588" s="367"/>
      <c r="G588" s="367"/>
      <c r="H588" s="367"/>
      <c r="I588" s="367"/>
      <c r="J588" s="367"/>
      <c r="K588" s="367"/>
      <c r="L588" s="367"/>
      <c r="M588" s="367"/>
      <c r="N588" s="367"/>
      <c r="O588" s="367"/>
      <c r="P588" s="367"/>
      <c r="Q588" s="367"/>
      <c r="R588" s="367"/>
      <c r="S588" s="367"/>
      <c r="T588" s="367"/>
      <c r="U588" s="367"/>
      <c r="V588" s="367"/>
      <c r="W588" s="367"/>
      <c r="X588" s="367"/>
      <c r="Y588" s="367"/>
      <c r="Z588" s="367"/>
    </row>
    <row r="589" ht="12.75" customHeight="1" spans="1:26">
      <c r="A589" s="363"/>
      <c r="B589" s="412"/>
      <c r="C589" s="367"/>
      <c r="D589" s="413"/>
      <c r="E589" s="413"/>
      <c r="F589" s="367"/>
      <c r="G589" s="367"/>
      <c r="H589" s="367"/>
      <c r="I589" s="367"/>
      <c r="J589" s="367"/>
      <c r="K589" s="367"/>
      <c r="L589" s="367"/>
      <c r="M589" s="367"/>
      <c r="N589" s="367"/>
      <c r="O589" s="367"/>
      <c r="P589" s="367"/>
      <c r="Q589" s="367"/>
      <c r="R589" s="367"/>
      <c r="S589" s="367"/>
      <c r="T589" s="367"/>
      <c r="U589" s="367"/>
      <c r="V589" s="367"/>
      <c r="W589" s="367"/>
      <c r="X589" s="367"/>
      <c r="Y589" s="367"/>
      <c r="Z589" s="367"/>
    </row>
    <row r="590" ht="12.75" customHeight="1" spans="1:26">
      <c r="A590" s="363"/>
      <c r="B590" s="412"/>
      <c r="C590" s="367"/>
      <c r="D590" s="413"/>
      <c r="E590" s="413"/>
      <c r="F590" s="367"/>
      <c r="G590" s="367"/>
      <c r="H590" s="367"/>
      <c r="I590" s="367"/>
      <c r="J590" s="367"/>
      <c r="K590" s="367"/>
      <c r="L590" s="367"/>
      <c r="M590" s="367"/>
      <c r="N590" s="367"/>
      <c r="O590" s="367"/>
      <c r="P590" s="367"/>
      <c r="Q590" s="367"/>
      <c r="R590" s="367"/>
      <c r="S590" s="367"/>
      <c r="T590" s="367"/>
      <c r="U590" s="367"/>
      <c r="V590" s="367"/>
      <c r="W590" s="367"/>
      <c r="X590" s="367"/>
      <c r="Y590" s="367"/>
      <c r="Z590" s="367"/>
    </row>
    <row r="591" ht="12.75" customHeight="1" spans="1:26">
      <c r="A591" s="363"/>
      <c r="B591" s="412"/>
      <c r="C591" s="367"/>
      <c r="D591" s="413"/>
      <c r="E591" s="413"/>
      <c r="F591" s="367"/>
      <c r="G591" s="367"/>
      <c r="H591" s="367"/>
      <c r="I591" s="367"/>
      <c r="J591" s="367"/>
      <c r="K591" s="367"/>
      <c r="L591" s="367"/>
      <c r="M591" s="367"/>
      <c r="N591" s="367"/>
      <c r="O591" s="367"/>
      <c r="P591" s="367"/>
      <c r="Q591" s="367"/>
      <c r="R591" s="367"/>
      <c r="S591" s="367"/>
      <c r="T591" s="367"/>
      <c r="U591" s="367"/>
      <c r="V591" s="367"/>
      <c r="W591" s="367"/>
      <c r="X591" s="367"/>
      <c r="Y591" s="367"/>
      <c r="Z591" s="367"/>
    </row>
    <row r="592" ht="12.75" customHeight="1" spans="1:26">
      <c r="A592" s="363"/>
      <c r="B592" s="412"/>
      <c r="C592" s="367"/>
      <c r="D592" s="413"/>
      <c r="E592" s="413"/>
      <c r="F592" s="367"/>
      <c r="G592" s="367"/>
      <c r="H592" s="367"/>
      <c r="I592" s="367"/>
      <c r="J592" s="367"/>
      <c r="K592" s="367"/>
      <c r="L592" s="367"/>
      <c r="M592" s="367"/>
      <c r="N592" s="367"/>
      <c r="O592" s="367"/>
      <c r="P592" s="367"/>
      <c r="Q592" s="367"/>
      <c r="R592" s="367"/>
      <c r="S592" s="367"/>
      <c r="T592" s="367"/>
      <c r="U592" s="367"/>
      <c r="V592" s="367"/>
      <c r="W592" s="367"/>
      <c r="X592" s="367"/>
      <c r="Y592" s="367"/>
      <c r="Z592" s="367"/>
    </row>
    <row r="593" ht="12.75" customHeight="1" spans="1:26">
      <c r="A593" s="363"/>
      <c r="B593" s="412"/>
      <c r="C593" s="367"/>
      <c r="D593" s="413"/>
      <c r="E593" s="413"/>
      <c r="F593" s="367"/>
      <c r="G593" s="367"/>
      <c r="H593" s="367"/>
      <c r="I593" s="367"/>
      <c r="J593" s="367"/>
      <c r="K593" s="367"/>
      <c r="L593" s="367"/>
      <c r="M593" s="367"/>
      <c r="N593" s="367"/>
      <c r="O593" s="367"/>
      <c r="P593" s="367"/>
      <c r="Q593" s="367"/>
      <c r="R593" s="367"/>
      <c r="S593" s="367"/>
      <c r="T593" s="367"/>
      <c r="U593" s="367"/>
      <c r="V593" s="367"/>
      <c r="W593" s="367"/>
      <c r="X593" s="367"/>
      <c r="Y593" s="367"/>
      <c r="Z593" s="367"/>
    </row>
    <row r="594" ht="12.75" customHeight="1" spans="1:26">
      <c r="A594" s="363"/>
      <c r="B594" s="412"/>
      <c r="C594" s="367"/>
      <c r="D594" s="413"/>
      <c r="E594" s="413"/>
      <c r="F594" s="367"/>
      <c r="G594" s="367"/>
      <c r="H594" s="367"/>
      <c r="I594" s="367"/>
      <c r="J594" s="367"/>
      <c r="K594" s="367"/>
      <c r="L594" s="367"/>
      <c r="M594" s="367"/>
      <c r="N594" s="367"/>
      <c r="O594" s="367"/>
      <c r="P594" s="367"/>
      <c r="Q594" s="367"/>
      <c r="R594" s="367"/>
      <c r="S594" s="367"/>
      <c r="T594" s="367"/>
      <c r="U594" s="367"/>
      <c r="V594" s="367"/>
      <c r="W594" s="367"/>
      <c r="X594" s="367"/>
      <c r="Y594" s="367"/>
      <c r="Z594" s="367"/>
    </row>
    <row r="595" ht="12.75" customHeight="1" spans="1:26">
      <c r="A595" s="363"/>
      <c r="B595" s="412"/>
      <c r="C595" s="367"/>
      <c r="D595" s="413"/>
      <c r="E595" s="413"/>
      <c r="F595" s="367"/>
      <c r="G595" s="367"/>
      <c r="H595" s="367"/>
      <c r="I595" s="367"/>
      <c r="J595" s="367"/>
      <c r="K595" s="367"/>
      <c r="L595" s="367"/>
      <c r="M595" s="367"/>
      <c r="N595" s="367"/>
      <c r="O595" s="367"/>
      <c r="P595" s="367"/>
      <c r="Q595" s="367"/>
      <c r="R595" s="367"/>
      <c r="S595" s="367"/>
      <c r="T595" s="367"/>
      <c r="U595" s="367"/>
      <c r="V595" s="367"/>
      <c r="W595" s="367"/>
      <c r="X595" s="367"/>
      <c r="Y595" s="367"/>
      <c r="Z595" s="367"/>
    </row>
    <row r="596" ht="12.75" customHeight="1" spans="1:26">
      <c r="A596" s="363"/>
      <c r="B596" s="412"/>
      <c r="C596" s="367"/>
      <c r="D596" s="413"/>
      <c r="E596" s="413"/>
      <c r="F596" s="367"/>
      <c r="G596" s="367"/>
      <c r="H596" s="367"/>
      <c r="I596" s="367"/>
      <c r="J596" s="367"/>
      <c r="K596" s="367"/>
      <c r="L596" s="367"/>
      <c r="M596" s="367"/>
      <c r="N596" s="367"/>
      <c r="O596" s="367"/>
      <c r="P596" s="367"/>
      <c r="Q596" s="367"/>
      <c r="R596" s="367"/>
      <c r="S596" s="367"/>
      <c r="T596" s="367"/>
      <c r="U596" s="367"/>
      <c r="V596" s="367"/>
      <c r="W596" s="367"/>
      <c r="X596" s="367"/>
      <c r="Y596" s="367"/>
      <c r="Z596" s="367"/>
    </row>
    <row r="597" ht="12.75" customHeight="1" spans="1:26">
      <c r="A597" s="363"/>
      <c r="B597" s="412"/>
      <c r="C597" s="367"/>
      <c r="D597" s="413"/>
      <c r="E597" s="413"/>
      <c r="F597" s="367"/>
      <c r="G597" s="367"/>
      <c r="H597" s="367"/>
      <c r="I597" s="367"/>
      <c r="J597" s="367"/>
      <c r="K597" s="367"/>
      <c r="L597" s="367"/>
      <c r="M597" s="367"/>
      <c r="N597" s="367"/>
      <c r="O597" s="367"/>
      <c r="P597" s="367"/>
      <c r="Q597" s="367"/>
      <c r="R597" s="367"/>
      <c r="S597" s="367"/>
      <c r="T597" s="367"/>
      <c r="U597" s="367"/>
      <c r="V597" s="367"/>
      <c r="W597" s="367"/>
      <c r="X597" s="367"/>
      <c r="Y597" s="367"/>
      <c r="Z597" s="367"/>
    </row>
    <row r="598" ht="12.75" customHeight="1" spans="1:26">
      <c r="A598" s="363"/>
      <c r="B598" s="412"/>
      <c r="C598" s="367"/>
      <c r="D598" s="413"/>
      <c r="E598" s="413"/>
      <c r="F598" s="367"/>
      <c r="G598" s="367"/>
      <c r="H598" s="367"/>
      <c r="I598" s="367"/>
      <c r="J598" s="367"/>
      <c r="K598" s="367"/>
      <c r="L598" s="367"/>
      <c r="M598" s="367"/>
      <c r="N598" s="367"/>
      <c r="O598" s="367"/>
      <c r="P598" s="367"/>
      <c r="Q598" s="367"/>
      <c r="R598" s="367"/>
      <c r="S598" s="367"/>
      <c r="T598" s="367"/>
      <c r="U598" s="367"/>
      <c r="V598" s="367"/>
      <c r="W598" s="367"/>
      <c r="X598" s="367"/>
      <c r="Y598" s="367"/>
      <c r="Z598" s="367"/>
    </row>
    <row r="599" ht="12.75" customHeight="1" spans="1:26">
      <c r="A599" s="363"/>
      <c r="B599" s="412"/>
      <c r="C599" s="367"/>
      <c r="D599" s="413"/>
      <c r="E599" s="413"/>
      <c r="F599" s="367"/>
      <c r="G599" s="367"/>
      <c r="H599" s="367"/>
      <c r="I599" s="367"/>
      <c r="J599" s="367"/>
      <c r="K599" s="367"/>
      <c r="L599" s="367"/>
      <c r="M599" s="367"/>
      <c r="N599" s="367"/>
      <c r="O599" s="367"/>
      <c r="P599" s="367"/>
      <c r="Q599" s="367"/>
      <c r="R599" s="367"/>
      <c r="S599" s="367"/>
      <c r="T599" s="367"/>
      <c r="U599" s="367"/>
      <c r="V599" s="367"/>
      <c r="W599" s="367"/>
      <c r="X599" s="367"/>
      <c r="Y599" s="367"/>
      <c r="Z599" s="367"/>
    </row>
    <row r="600" ht="12.75" customHeight="1" spans="1:26">
      <c r="A600" s="363"/>
      <c r="B600" s="412"/>
      <c r="C600" s="367"/>
      <c r="D600" s="413"/>
      <c r="E600" s="413"/>
      <c r="F600" s="367"/>
      <c r="G600" s="367"/>
      <c r="H600" s="367"/>
      <c r="I600" s="367"/>
      <c r="J600" s="367"/>
      <c r="K600" s="367"/>
      <c r="L600" s="367"/>
      <c r="M600" s="367"/>
      <c r="N600" s="367"/>
      <c r="O600" s="367"/>
      <c r="P600" s="367"/>
      <c r="Q600" s="367"/>
      <c r="R600" s="367"/>
      <c r="S600" s="367"/>
      <c r="T600" s="367"/>
      <c r="U600" s="367"/>
      <c r="V600" s="367"/>
      <c r="W600" s="367"/>
      <c r="X600" s="367"/>
      <c r="Y600" s="367"/>
      <c r="Z600" s="367"/>
    </row>
    <row r="601" ht="12.75" customHeight="1" spans="1:26">
      <c r="A601" s="363"/>
      <c r="B601" s="412"/>
      <c r="C601" s="367"/>
      <c r="D601" s="413"/>
      <c r="E601" s="413"/>
      <c r="F601" s="367"/>
      <c r="G601" s="367"/>
      <c r="H601" s="367"/>
      <c r="I601" s="367"/>
      <c r="J601" s="367"/>
      <c r="K601" s="367"/>
      <c r="L601" s="367"/>
      <c r="M601" s="367"/>
      <c r="N601" s="367"/>
      <c r="O601" s="367"/>
      <c r="P601" s="367"/>
      <c r="Q601" s="367"/>
      <c r="R601" s="367"/>
      <c r="S601" s="367"/>
      <c r="T601" s="367"/>
      <c r="U601" s="367"/>
      <c r="V601" s="367"/>
      <c r="W601" s="367"/>
      <c r="X601" s="367"/>
      <c r="Y601" s="367"/>
      <c r="Z601" s="367"/>
    </row>
    <row r="602" ht="12.75" customHeight="1" spans="1:26">
      <c r="A602" s="363"/>
      <c r="B602" s="412"/>
      <c r="C602" s="367"/>
      <c r="D602" s="413"/>
      <c r="E602" s="413"/>
      <c r="F602" s="367"/>
      <c r="G602" s="367"/>
      <c r="H602" s="367"/>
      <c r="I602" s="367"/>
      <c r="J602" s="367"/>
      <c r="K602" s="367"/>
      <c r="L602" s="367"/>
      <c r="M602" s="367"/>
      <c r="N602" s="367"/>
      <c r="O602" s="367"/>
      <c r="P602" s="367"/>
      <c r="Q602" s="367"/>
      <c r="R602" s="367"/>
      <c r="S602" s="367"/>
      <c r="T602" s="367"/>
      <c r="U602" s="367"/>
      <c r="V602" s="367"/>
      <c r="W602" s="367"/>
      <c r="X602" s="367"/>
      <c r="Y602" s="367"/>
      <c r="Z602" s="367"/>
    </row>
    <row r="603" ht="12.75" customHeight="1" spans="1:26">
      <c r="A603" s="363"/>
      <c r="B603" s="412"/>
      <c r="C603" s="367"/>
      <c r="D603" s="413"/>
      <c r="E603" s="413"/>
      <c r="F603" s="367"/>
      <c r="G603" s="367"/>
      <c r="H603" s="367"/>
      <c r="I603" s="367"/>
      <c r="J603" s="367"/>
      <c r="K603" s="367"/>
      <c r="L603" s="367"/>
      <c r="M603" s="367"/>
      <c r="N603" s="367"/>
      <c r="O603" s="367"/>
      <c r="P603" s="367"/>
      <c r="Q603" s="367"/>
      <c r="R603" s="367"/>
      <c r="S603" s="367"/>
      <c r="T603" s="367"/>
      <c r="U603" s="367"/>
      <c r="V603" s="367"/>
      <c r="W603" s="367"/>
      <c r="X603" s="367"/>
      <c r="Y603" s="367"/>
      <c r="Z603" s="367"/>
    </row>
    <row r="604" ht="12.75" customHeight="1" spans="1:26">
      <c r="A604" s="363"/>
      <c r="B604" s="412"/>
      <c r="C604" s="367"/>
      <c r="D604" s="413"/>
      <c r="E604" s="413"/>
      <c r="F604" s="367"/>
      <c r="G604" s="367"/>
      <c r="H604" s="367"/>
      <c r="I604" s="367"/>
      <c r="J604" s="367"/>
      <c r="K604" s="367"/>
      <c r="L604" s="367"/>
      <c r="M604" s="367"/>
      <c r="N604" s="367"/>
      <c r="O604" s="367"/>
      <c r="P604" s="367"/>
      <c r="Q604" s="367"/>
      <c r="R604" s="367"/>
      <c r="S604" s="367"/>
      <c r="T604" s="367"/>
      <c r="U604" s="367"/>
      <c r="V604" s="367"/>
      <c r="W604" s="367"/>
      <c r="X604" s="367"/>
      <c r="Y604" s="367"/>
      <c r="Z604" s="367"/>
    </row>
    <row r="605" ht="12.75" customHeight="1" spans="1:26">
      <c r="A605" s="363"/>
      <c r="B605" s="412"/>
      <c r="C605" s="367"/>
      <c r="D605" s="413"/>
      <c r="E605" s="413"/>
      <c r="F605" s="367"/>
      <c r="G605" s="367"/>
      <c r="H605" s="367"/>
      <c r="I605" s="367"/>
      <c r="J605" s="367"/>
      <c r="K605" s="367"/>
      <c r="L605" s="367"/>
      <c r="M605" s="367"/>
      <c r="N605" s="367"/>
      <c r="O605" s="367"/>
      <c r="P605" s="367"/>
      <c r="Q605" s="367"/>
      <c r="R605" s="367"/>
      <c r="S605" s="367"/>
      <c r="T605" s="367"/>
      <c r="U605" s="367"/>
      <c r="V605" s="367"/>
      <c r="W605" s="367"/>
      <c r="X605" s="367"/>
      <c r="Y605" s="367"/>
      <c r="Z605" s="367"/>
    </row>
    <row r="606" ht="12.75" customHeight="1" spans="1:26">
      <c r="A606" s="363"/>
      <c r="B606" s="412"/>
      <c r="C606" s="367"/>
      <c r="D606" s="413"/>
      <c r="E606" s="413"/>
      <c r="F606" s="367"/>
      <c r="G606" s="367"/>
      <c r="H606" s="367"/>
      <c r="I606" s="367"/>
      <c r="J606" s="367"/>
      <c r="K606" s="367"/>
      <c r="L606" s="367"/>
      <c r="M606" s="367"/>
      <c r="N606" s="367"/>
      <c r="O606" s="367"/>
      <c r="P606" s="367"/>
      <c r="Q606" s="367"/>
      <c r="R606" s="367"/>
      <c r="S606" s="367"/>
      <c r="T606" s="367"/>
      <c r="U606" s="367"/>
      <c r="V606" s="367"/>
      <c r="W606" s="367"/>
      <c r="X606" s="367"/>
      <c r="Y606" s="367"/>
      <c r="Z606" s="367"/>
    </row>
    <row r="607" ht="12.75" customHeight="1" spans="1:26">
      <c r="A607" s="363"/>
      <c r="B607" s="412"/>
      <c r="C607" s="367"/>
      <c r="D607" s="413"/>
      <c r="E607" s="413"/>
      <c r="F607" s="367"/>
      <c r="G607" s="367"/>
      <c r="H607" s="367"/>
      <c r="I607" s="367"/>
      <c r="J607" s="367"/>
      <c r="K607" s="367"/>
      <c r="L607" s="367"/>
      <c r="M607" s="367"/>
      <c r="N607" s="367"/>
      <c r="O607" s="367"/>
      <c r="P607" s="367"/>
      <c r="Q607" s="367"/>
      <c r="R607" s="367"/>
      <c r="S607" s="367"/>
      <c r="T607" s="367"/>
      <c r="U607" s="367"/>
      <c r="V607" s="367"/>
      <c r="W607" s="367"/>
      <c r="X607" s="367"/>
      <c r="Y607" s="367"/>
      <c r="Z607" s="367"/>
    </row>
    <row r="608" ht="12.75" customHeight="1" spans="1:26">
      <c r="A608" s="363"/>
      <c r="B608" s="412"/>
      <c r="C608" s="367"/>
      <c r="D608" s="413"/>
      <c r="E608" s="413"/>
      <c r="F608" s="367"/>
      <c r="G608" s="367"/>
      <c r="H608" s="367"/>
      <c r="I608" s="367"/>
      <c r="J608" s="367"/>
      <c r="K608" s="367"/>
      <c r="L608" s="367"/>
      <c r="M608" s="367"/>
      <c r="N608" s="367"/>
      <c r="O608" s="367"/>
      <c r="P608" s="367"/>
      <c r="Q608" s="367"/>
      <c r="R608" s="367"/>
      <c r="S608" s="367"/>
      <c r="T608" s="367"/>
      <c r="U608" s="367"/>
      <c r="V608" s="367"/>
      <c r="W608" s="367"/>
      <c r="X608" s="367"/>
      <c r="Y608" s="367"/>
      <c r="Z608" s="367"/>
    </row>
    <row r="609" ht="12.75" customHeight="1" spans="1:26">
      <c r="A609" s="363"/>
      <c r="B609" s="412"/>
      <c r="C609" s="367"/>
      <c r="D609" s="413"/>
      <c r="E609" s="413"/>
      <c r="F609" s="367"/>
      <c r="G609" s="367"/>
      <c r="H609" s="367"/>
      <c r="I609" s="367"/>
      <c r="J609" s="367"/>
      <c r="K609" s="367"/>
      <c r="L609" s="367"/>
      <c r="M609" s="367"/>
      <c r="N609" s="367"/>
      <c r="O609" s="367"/>
      <c r="P609" s="367"/>
      <c r="Q609" s="367"/>
      <c r="R609" s="367"/>
      <c r="S609" s="367"/>
      <c r="T609" s="367"/>
      <c r="U609" s="367"/>
      <c r="V609" s="367"/>
      <c r="W609" s="367"/>
      <c r="X609" s="367"/>
      <c r="Y609" s="367"/>
      <c r="Z609" s="367"/>
    </row>
    <row r="610" ht="12.75" customHeight="1" spans="1:26">
      <c r="A610" s="363"/>
      <c r="B610" s="412"/>
      <c r="C610" s="367"/>
      <c r="D610" s="413"/>
      <c r="E610" s="413"/>
      <c r="F610" s="367"/>
      <c r="G610" s="367"/>
      <c r="H610" s="367"/>
      <c r="I610" s="367"/>
      <c r="J610" s="367"/>
      <c r="K610" s="367"/>
      <c r="L610" s="367"/>
      <c r="M610" s="367"/>
      <c r="N610" s="367"/>
      <c r="O610" s="367"/>
      <c r="P610" s="367"/>
      <c r="Q610" s="367"/>
      <c r="R610" s="367"/>
      <c r="S610" s="367"/>
      <c r="T610" s="367"/>
      <c r="U610" s="367"/>
      <c r="V610" s="367"/>
      <c r="W610" s="367"/>
      <c r="X610" s="367"/>
      <c r="Y610" s="367"/>
      <c r="Z610" s="367"/>
    </row>
    <row r="611" ht="12.75" customHeight="1" spans="1:26">
      <c r="A611" s="363"/>
      <c r="B611" s="412"/>
      <c r="C611" s="367"/>
      <c r="D611" s="413"/>
      <c r="E611" s="413"/>
      <c r="F611" s="367"/>
      <c r="G611" s="367"/>
      <c r="H611" s="367"/>
      <c r="I611" s="367"/>
      <c r="J611" s="367"/>
      <c r="K611" s="367"/>
      <c r="L611" s="367"/>
      <c r="M611" s="367"/>
      <c r="N611" s="367"/>
      <c r="O611" s="367"/>
      <c r="P611" s="367"/>
      <c r="Q611" s="367"/>
      <c r="R611" s="367"/>
      <c r="S611" s="367"/>
      <c r="T611" s="367"/>
      <c r="U611" s="367"/>
      <c r="V611" s="367"/>
      <c r="W611" s="367"/>
      <c r="X611" s="367"/>
      <c r="Y611" s="367"/>
      <c r="Z611" s="367"/>
    </row>
    <row r="612" ht="12.75" customHeight="1" spans="1:26">
      <c r="A612" s="363"/>
      <c r="B612" s="412"/>
      <c r="C612" s="367"/>
      <c r="D612" s="413"/>
      <c r="E612" s="413"/>
      <c r="F612" s="367"/>
      <c r="G612" s="367"/>
      <c r="H612" s="367"/>
      <c r="I612" s="367"/>
      <c r="J612" s="367"/>
      <c r="K612" s="367"/>
      <c r="L612" s="367"/>
      <c r="M612" s="367"/>
      <c r="N612" s="367"/>
      <c r="O612" s="367"/>
      <c r="P612" s="367"/>
      <c r="Q612" s="367"/>
      <c r="R612" s="367"/>
      <c r="S612" s="367"/>
      <c r="T612" s="367"/>
      <c r="U612" s="367"/>
      <c r="V612" s="367"/>
      <c r="W612" s="367"/>
      <c r="X612" s="367"/>
      <c r="Y612" s="367"/>
      <c r="Z612" s="367"/>
    </row>
    <row r="613" ht="12.75" customHeight="1" spans="1:26">
      <c r="A613" s="363"/>
      <c r="B613" s="412"/>
      <c r="C613" s="367"/>
      <c r="D613" s="413"/>
      <c r="E613" s="413"/>
      <c r="F613" s="367"/>
      <c r="G613" s="367"/>
      <c r="H613" s="367"/>
      <c r="I613" s="367"/>
      <c r="J613" s="367"/>
      <c r="K613" s="367"/>
      <c r="L613" s="367"/>
      <c r="M613" s="367"/>
      <c r="N613" s="367"/>
      <c r="O613" s="367"/>
      <c r="P613" s="367"/>
      <c r="Q613" s="367"/>
      <c r="R613" s="367"/>
      <c r="S613" s="367"/>
      <c r="T613" s="367"/>
      <c r="U613" s="367"/>
      <c r="V613" s="367"/>
      <c r="W613" s="367"/>
      <c r="X613" s="367"/>
      <c r="Y613" s="367"/>
      <c r="Z613" s="367"/>
    </row>
    <row r="614" ht="12.75" customHeight="1" spans="1:26">
      <c r="A614" s="363"/>
      <c r="B614" s="412"/>
      <c r="C614" s="367"/>
      <c r="D614" s="413"/>
      <c r="E614" s="413"/>
      <c r="F614" s="367"/>
      <c r="G614" s="367"/>
      <c r="H614" s="367"/>
      <c r="I614" s="367"/>
      <c r="J614" s="367"/>
      <c r="K614" s="367"/>
      <c r="L614" s="367"/>
      <c r="M614" s="367"/>
      <c r="N614" s="367"/>
      <c r="O614" s="367"/>
      <c r="P614" s="367"/>
      <c r="Q614" s="367"/>
      <c r="R614" s="367"/>
      <c r="S614" s="367"/>
      <c r="T614" s="367"/>
      <c r="U614" s="367"/>
      <c r="V614" s="367"/>
      <c r="W614" s="367"/>
      <c r="X614" s="367"/>
      <c r="Y614" s="367"/>
      <c r="Z614" s="367"/>
    </row>
    <row r="615" ht="12.75" customHeight="1" spans="1:26">
      <c r="A615" s="363"/>
      <c r="B615" s="412"/>
      <c r="C615" s="367"/>
      <c r="D615" s="413"/>
      <c r="E615" s="413"/>
      <c r="F615" s="367"/>
      <c r="G615" s="367"/>
      <c r="H615" s="367"/>
      <c r="I615" s="367"/>
      <c r="J615" s="367"/>
      <c r="K615" s="367"/>
      <c r="L615" s="367"/>
      <c r="M615" s="367"/>
      <c r="N615" s="367"/>
      <c r="O615" s="367"/>
      <c r="P615" s="367"/>
      <c r="Q615" s="367"/>
      <c r="R615" s="367"/>
      <c r="S615" s="367"/>
      <c r="T615" s="367"/>
      <c r="U615" s="367"/>
      <c r="V615" s="367"/>
      <c r="W615" s="367"/>
      <c r="X615" s="367"/>
      <c r="Y615" s="367"/>
      <c r="Z615" s="367"/>
    </row>
    <row r="616" ht="12.75" customHeight="1" spans="1:26">
      <c r="A616" s="363"/>
      <c r="B616" s="412"/>
      <c r="C616" s="367"/>
      <c r="D616" s="413"/>
      <c r="E616" s="413"/>
      <c r="F616" s="367"/>
      <c r="G616" s="367"/>
      <c r="H616" s="367"/>
      <c r="I616" s="367"/>
      <c r="J616" s="367"/>
      <c r="K616" s="367"/>
      <c r="L616" s="367"/>
      <c r="M616" s="367"/>
      <c r="N616" s="367"/>
      <c r="O616" s="367"/>
      <c r="P616" s="367"/>
      <c r="Q616" s="367"/>
      <c r="R616" s="367"/>
      <c r="S616" s="367"/>
      <c r="T616" s="367"/>
      <c r="U616" s="367"/>
      <c r="V616" s="367"/>
      <c r="W616" s="367"/>
      <c r="X616" s="367"/>
      <c r="Y616" s="367"/>
      <c r="Z616" s="367"/>
    </row>
    <row r="617" ht="12.75" customHeight="1" spans="1:26">
      <c r="A617" s="363"/>
      <c r="B617" s="412"/>
      <c r="C617" s="367"/>
      <c r="D617" s="413"/>
      <c r="E617" s="413"/>
      <c r="F617" s="367"/>
      <c r="G617" s="367"/>
      <c r="H617" s="367"/>
      <c r="I617" s="367"/>
      <c r="J617" s="367"/>
      <c r="K617" s="367"/>
      <c r="L617" s="367"/>
      <c r="M617" s="367"/>
      <c r="N617" s="367"/>
      <c r="O617" s="367"/>
      <c r="P617" s="367"/>
      <c r="Q617" s="367"/>
      <c r="R617" s="367"/>
      <c r="S617" s="367"/>
      <c r="T617" s="367"/>
      <c r="U617" s="367"/>
      <c r="V617" s="367"/>
      <c r="W617" s="367"/>
      <c r="X617" s="367"/>
      <c r="Y617" s="367"/>
      <c r="Z617" s="367"/>
    </row>
    <row r="618" ht="12.75" customHeight="1" spans="1:26">
      <c r="A618" s="363"/>
      <c r="B618" s="412"/>
      <c r="C618" s="367"/>
      <c r="D618" s="413"/>
      <c r="E618" s="413"/>
      <c r="F618" s="367"/>
      <c r="G618" s="367"/>
      <c r="H618" s="367"/>
      <c r="I618" s="367"/>
      <c r="J618" s="367"/>
      <c r="K618" s="367"/>
      <c r="L618" s="367"/>
      <c r="M618" s="367"/>
      <c r="N618" s="367"/>
      <c r="O618" s="367"/>
      <c r="P618" s="367"/>
      <c r="Q618" s="367"/>
      <c r="R618" s="367"/>
      <c r="S618" s="367"/>
      <c r="T618" s="367"/>
      <c r="U618" s="367"/>
      <c r="V618" s="367"/>
      <c r="W618" s="367"/>
      <c r="X618" s="367"/>
      <c r="Y618" s="367"/>
      <c r="Z618" s="367"/>
    </row>
    <row r="619" ht="12.75" customHeight="1" spans="1:26">
      <c r="A619" s="363"/>
      <c r="B619" s="412"/>
      <c r="C619" s="367"/>
      <c r="D619" s="413"/>
      <c r="E619" s="413"/>
      <c r="F619" s="367"/>
      <c r="G619" s="367"/>
      <c r="H619" s="367"/>
      <c r="I619" s="367"/>
      <c r="J619" s="367"/>
      <c r="K619" s="367"/>
      <c r="L619" s="367"/>
      <c r="M619" s="367"/>
      <c r="N619" s="367"/>
      <c r="O619" s="367"/>
      <c r="P619" s="367"/>
      <c r="Q619" s="367"/>
      <c r="R619" s="367"/>
      <c r="S619" s="367"/>
      <c r="T619" s="367"/>
      <c r="U619" s="367"/>
      <c r="V619" s="367"/>
      <c r="W619" s="367"/>
      <c r="X619" s="367"/>
      <c r="Y619" s="367"/>
      <c r="Z619" s="367"/>
    </row>
    <row r="620" ht="12.75" customHeight="1" spans="1:26">
      <c r="A620" s="363"/>
      <c r="B620" s="412"/>
      <c r="C620" s="367"/>
      <c r="D620" s="413"/>
      <c r="E620" s="413"/>
      <c r="F620" s="367"/>
      <c r="G620" s="367"/>
      <c r="H620" s="367"/>
      <c r="I620" s="367"/>
      <c r="J620" s="367"/>
      <c r="K620" s="367"/>
      <c r="L620" s="367"/>
      <c r="M620" s="367"/>
      <c r="N620" s="367"/>
      <c r="O620" s="367"/>
      <c r="P620" s="367"/>
      <c r="Q620" s="367"/>
      <c r="R620" s="367"/>
      <c r="S620" s="367"/>
      <c r="T620" s="367"/>
      <c r="U620" s="367"/>
      <c r="V620" s="367"/>
      <c r="W620" s="367"/>
      <c r="X620" s="367"/>
      <c r="Y620" s="367"/>
      <c r="Z620" s="367"/>
    </row>
    <row r="621" ht="12.75" customHeight="1" spans="1:26">
      <c r="A621" s="363"/>
      <c r="B621" s="412"/>
      <c r="C621" s="367"/>
      <c r="D621" s="413"/>
      <c r="E621" s="413"/>
      <c r="F621" s="367"/>
      <c r="G621" s="367"/>
      <c r="H621" s="367"/>
      <c r="I621" s="367"/>
      <c r="J621" s="367"/>
      <c r="K621" s="367"/>
      <c r="L621" s="367"/>
      <c r="M621" s="367"/>
      <c r="N621" s="367"/>
      <c r="O621" s="367"/>
      <c r="P621" s="367"/>
      <c r="Q621" s="367"/>
      <c r="R621" s="367"/>
      <c r="S621" s="367"/>
      <c r="T621" s="367"/>
      <c r="U621" s="367"/>
      <c r="V621" s="367"/>
      <c r="W621" s="367"/>
      <c r="X621" s="367"/>
      <c r="Y621" s="367"/>
      <c r="Z621" s="367"/>
    </row>
    <row r="622" ht="12.75" customHeight="1" spans="1:26">
      <c r="A622" s="363"/>
      <c r="B622" s="412"/>
      <c r="C622" s="367"/>
      <c r="D622" s="413"/>
      <c r="E622" s="413"/>
      <c r="F622" s="367"/>
      <c r="G622" s="367"/>
      <c r="H622" s="367"/>
      <c r="I622" s="367"/>
      <c r="J622" s="367"/>
      <c r="K622" s="367"/>
      <c r="L622" s="367"/>
      <c r="M622" s="367"/>
      <c r="N622" s="367"/>
      <c r="O622" s="367"/>
      <c r="P622" s="367"/>
      <c r="Q622" s="367"/>
      <c r="R622" s="367"/>
      <c r="S622" s="367"/>
      <c r="T622" s="367"/>
      <c r="U622" s="367"/>
      <c r="V622" s="367"/>
      <c r="W622" s="367"/>
      <c r="X622" s="367"/>
      <c r="Y622" s="367"/>
      <c r="Z622" s="367"/>
    </row>
    <row r="623" ht="12.75" customHeight="1" spans="1:26">
      <c r="A623" s="363"/>
      <c r="B623" s="412"/>
      <c r="C623" s="367"/>
      <c r="D623" s="413"/>
      <c r="E623" s="413"/>
      <c r="F623" s="367"/>
      <c r="G623" s="367"/>
      <c r="H623" s="367"/>
      <c r="I623" s="367"/>
      <c r="J623" s="367"/>
      <c r="K623" s="367"/>
      <c r="L623" s="367"/>
      <c r="M623" s="367"/>
      <c r="N623" s="367"/>
      <c r="O623" s="367"/>
      <c r="P623" s="367"/>
      <c r="Q623" s="367"/>
      <c r="R623" s="367"/>
      <c r="S623" s="367"/>
      <c r="T623" s="367"/>
      <c r="U623" s="367"/>
      <c r="V623" s="367"/>
      <c r="W623" s="367"/>
      <c r="X623" s="367"/>
      <c r="Y623" s="367"/>
      <c r="Z623" s="367"/>
    </row>
    <row r="624" ht="12.75" customHeight="1" spans="1:26">
      <c r="A624" s="363"/>
      <c r="B624" s="412"/>
      <c r="C624" s="367"/>
      <c r="D624" s="413"/>
      <c r="E624" s="413"/>
      <c r="F624" s="367"/>
      <c r="G624" s="367"/>
      <c r="H624" s="367"/>
      <c r="I624" s="367"/>
      <c r="J624" s="367"/>
      <c r="K624" s="367"/>
      <c r="L624" s="367"/>
      <c r="M624" s="367"/>
      <c r="N624" s="367"/>
      <c r="O624" s="367"/>
      <c r="P624" s="367"/>
      <c r="Q624" s="367"/>
      <c r="R624" s="367"/>
      <c r="S624" s="367"/>
      <c r="T624" s="367"/>
      <c r="U624" s="367"/>
      <c r="V624" s="367"/>
      <c r="W624" s="367"/>
      <c r="X624" s="367"/>
      <c r="Y624" s="367"/>
      <c r="Z624" s="367"/>
    </row>
    <row r="625" ht="12.75" customHeight="1" spans="1:26">
      <c r="A625" s="363"/>
      <c r="B625" s="412"/>
      <c r="C625" s="367"/>
      <c r="D625" s="413"/>
      <c r="E625" s="413"/>
      <c r="F625" s="367"/>
      <c r="G625" s="367"/>
      <c r="H625" s="367"/>
      <c r="I625" s="367"/>
      <c r="J625" s="367"/>
      <c r="K625" s="367"/>
      <c r="L625" s="367"/>
      <c r="M625" s="367"/>
      <c r="N625" s="367"/>
      <c r="O625" s="367"/>
      <c r="P625" s="367"/>
      <c r="Q625" s="367"/>
      <c r="R625" s="367"/>
      <c r="S625" s="367"/>
      <c r="T625" s="367"/>
      <c r="U625" s="367"/>
      <c r="V625" s="367"/>
      <c r="W625" s="367"/>
      <c r="X625" s="367"/>
      <c r="Y625" s="367"/>
      <c r="Z625" s="367"/>
    </row>
    <row r="626" ht="12.75" customHeight="1" spans="1:26">
      <c r="A626" s="363"/>
      <c r="B626" s="412"/>
      <c r="C626" s="367"/>
      <c r="D626" s="413"/>
      <c r="E626" s="413"/>
      <c r="F626" s="367"/>
      <c r="G626" s="367"/>
      <c r="H626" s="367"/>
      <c r="I626" s="367"/>
      <c r="J626" s="367"/>
      <c r="K626" s="367"/>
      <c r="L626" s="367"/>
      <c r="M626" s="367"/>
      <c r="N626" s="367"/>
      <c r="O626" s="367"/>
      <c r="P626" s="367"/>
      <c r="Q626" s="367"/>
      <c r="R626" s="367"/>
      <c r="S626" s="367"/>
      <c r="T626" s="367"/>
      <c r="U626" s="367"/>
      <c r="V626" s="367"/>
      <c r="W626" s="367"/>
      <c r="X626" s="367"/>
      <c r="Y626" s="367"/>
      <c r="Z626" s="367"/>
    </row>
    <row r="627" ht="12.75" customHeight="1" spans="1:26">
      <c r="A627" s="363"/>
      <c r="B627" s="412"/>
      <c r="C627" s="367"/>
      <c r="D627" s="413"/>
      <c r="E627" s="413"/>
      <c r="F627" s="367"/>
      <c r="G627" s="367"/>
      <c r="H627" s="367"/>
      <c r="I627" s="367"/>
      <c r="J627" s="367"/>
      <c r="K627" s="367"/>
      <c r="L627" s="367"/>
      <c r="M627" s="367"/>
      <c r="N627" s="367"/>
      <c r="O627" s="367"/>
      <c r="P627" s="367"/>
      <c r="Q627" s="367"/>
      <c r="R627" s="367"/>
      <c r="S627" s="367"/>
      <c r="T627" s="367"/>
      <c r="U627" s="367"/>
      <c r="V627" s="367"/>
      <c r="W627" s="367"/>
      <c r="X627" s="367"/>
      <c r="Y627" s="367"/>
      <c r="Z627" s="367"/>
    </row>
    <row r="628" ht="12.75" customHeight="1" spans="1:26">
      <c r="A628" s="363"/>
      <c r="B628" s="412"/>
      <c r="C628" s="367"/>
      <c r="D628" s="413"/>
      <c r="E628" s="413"/>
      <c r="F628" s="367"/>
      <c r="G628" s="367"/>
      <c r="H628" s="367"/>
      <c r="I628" s="367"/>
      <c r="J628" s="367"/>
      <c r="K628" s="367"/>
      <c r="L628" s="367"/>
      <c r="M628" s="367"/>
      <c r="N628" s="367"/>
      <c r="O628" s="367"/>
      <c r="P628" s="367"/>
      <c r="Q628" s="367"/>
      <c r="R628" s="367"/>
      <c r="S628" s="367"/>
      <c r="T628" s="367"/>
      <c r="U628" s="367"/>
      <c r="V628" s="367"/>
      <c r="W628" s="367"/>
      <c r="X628" s="367"/>
      <c r="Y628" s="367"/>
      <c r="Z628" s="367"/>
    </row>
    <row r="629" ht="12.75" customHeight="1" spans="1:26">
      <c r="A629" s="363"/>
      <c r="B629" s="412"/>
      <c r="C629" s="367"/>
      <c r="D629" s="413"/>
      <c r="E629" s="413"/>
      <c r="F629" s="367"/>
      <c r="G629" s="367"/>
      <c r="H629" s="367"/>
      <c r="I629" s="367"/>
      <c r="J629" s="367"/>
      <c r="K629" s="367"/>
      <c r="L629" s="367"/>
      <c r="M629" s="367"/>
      <c r="N629" s="367"/>
      <c r="O629" s="367"/>
      <c r="P629" s="367"/>
      <c r="Q629" s="367"/>
      <c r="R629" s="367"/>
      <c r="S629" s="367"/>
      <c r="T629" s="367"/>
      <c r="U629" s="367"/>
      <c r="V629" s="367"/>
      <c r="W629" s="367"/>
      <c r="X629" s="367"/>
      <c r="Y629" s="367"/>
      <c r="Z629" s="367"/>
    </row>
    <row r="630" ht="12.75" customHeight="1" spans="1:26">
      <c r="A630" s="363"/>
      <c r="B630" s="412"/>
      <c r="C630" s="367"/>
      <c r="D630" s="413"/>
      <c r="E630" s="413"/>
      <c r="F630" s="367"/>
      <c r="G630" s="367"/>
      <c r="H630" s="367"/>
      <c r="I630" s="367"/>
      <c r="J630" s="367"/>
      <c r="K630" s="367"/>
      <c r="L630" s="367"/>
      <c r="M630" s="367"/>
      <c r="N630" s="367"/>
      <c r="O630" s="367"/>
      <c r="P630" s="367"/>
      <c r="Q630" s="367"/>
      <c r="R630" s="367"/>
      <c r="S630" s="367"/>
      <c r="T630" s="367"/>
      <c r="U630" s="367"/>
      <c r="V630" s="367"/>
      <c r="W630" s="367"/>
      <c r="X630" s="367"/>
      <c r="Y630" s="367"/>
      <c r="Z630" s="367"/>
    </row>
    <row r="631" ht="12.75" customHeight="1" spans="1:26">
      <c r="A631" s="363"/>
      <c r="B631" s="412"/>
      <c r="C631" s="367"/>
      <c r="D631" s="413"/>
      <c r="E631" s="413"/>
      <c r="F631" s="367"/>
      <c r="G631" s="367"/>
      <c r="H631" s="367"/>
      <c r="I631" s="367"/>
      <c r="J631" s="367"/>
      <c r="K631" s="367"/>
      <c r="L631" s="367"/>
      <c r="M631" s="367"/>
      <c r="N631" s="367"/>
      <c r="O631" s="367"/>
      <c r="P631" s="367"/>
      <c r="Q631" s="367"/>
      <c r="R631" s="367"/>
      <c r="S631" s="367"/>
      <c r="T631" s="367"/>
      <c r="U631" s="367"/>
      <c r="V631" s="367"/>
      <c r="W631" s="367"/>
      <c r="X631" s="367"/>
      <c r="Y631" s="367"/>
      <c r="Z631" s="367"/>
    </row>
    <row r="632" ht="12.75" customHeight="1" spans="1:26">
      <c r="A632" s="363"/>
      <c r="B632" s="412"/>
      <c r="C632" s="367"/>
      <c r="D632" s="413"/>
      <c r="E632" s="413"/>
      <c r="F632" s="367"/>
      <c r="G632" s="367"/>
      <c r="H632" s="367"/>
      <c r="I632" s="367"/>
      <c r="J632" s="367"/>
      <c r="K632" s="367"/>
      <c r="L632" s="367"/>
      <c r="M632" s="367"/>
      <c r="N632" s="367"/>
      <c r="O632" s="367"/>
      <c r="P632" s="367"/>
      <c r="Q632" s="367"/>
      <c r="R632" s="367"/>
      <c r="S632" s="367"/>
      <c r="T632" s="367"/>
      <c r="U632" s="367"/>
      <c r="V632" s="367"/>
      <c r="W632" s="367"/>
      <c r="X632" s="367"/>
      <c r="Y632" s="367"/>
      <c r="Z632" s="367"/>
    </row>
    <row r="633" ht="12.75" customHeight="1" spans="1:26">
      <c r="A633" s="363"/>
      <c r="B633" s="412"/>
      <c r="C633" s="367"/>
      <c r="D633" s="413"/>
      <c r="E633" s="413"/>
      <c r="F633" s="367"/>
      <c r="G633" s="367"/>
      <c r="H633" s="367"/>
      <c r="I633" s="367"/>
      <c r="J633" s="367"/>
      <c r="K633" s="367"/>
      <c r="L633" s="367"/>
      <c r="M633" s="367"/>
      <c r="N633" s="367"/>
      <c r="O633" s="367"/>
      <c r="P633" s="367"/>
      <c r="Q633" s="367"/>
      <c r="R633" s="367"/>
      <c r="S633" s="367"/>
      <c r="T633" s="367"/>
      <c r="U633" s="367"/>
      <c r="V633" s="367"/>
      <c r="W633" s="367"/>
      <c r="X633" s="367"/>
      <c r="Y633" s="367"/>
      <c r="Z633" s="367"/>
    </row>
    <row r="634" ht="12.75" customHeight="1" spans="1:26">
      <c r="A634" s="363"/>
      <c r="B634" s="412"/>
      <c r="C634" s="367"/>
      <c r="D634" s="413"/>
      <c r="E634" s="413"/>
      <c r="F634" s="367"/>
      <c r="G634" s="367"/>
      <c r="H634" s="367"/>
      <c r="I634" s="367"/>
      <c r="J634" s="367"/>
      <c r="K634" s="367"/>
      <c r="L634" s="367"/>
      <c r="M634" s="367"/>
      <c r="N634" s="367"/>
      <c r="O634" s="367"/>
      <c r="P634" s="367"/>
      <c r="Q634" s="367"/>
      <c r="R634" s="367"/>
      <c r="S634" s="367"/>
      <c r="T634" s="367"/>
      <c r="U634" s="367"/>
      <c r="V634" s="367"/>
      <c r="W634" s="367"/>
      <c r="X634" s="367"/>
      <c r="Y634" s="367"/>
      <c r="Z634" s="367"/>
    </row>
    <row r="635" ht="12.75" customHeight="1" spans="1:26">
      <c r="A635" s="363"/>
      <c r="B635" s="412"/>
      <c r="C635" s="367"/>
      <c r="D635" s="413"/>
      <c r="E635" s="413"/>
      <c r="F635" s="367"/>
      <c r="G635" s="367"/>
      <c r="H635" s="367"/>
      <c r="I635" s="367"/>
      <c r="J635" s="367"/>
      <c r="K635" s="367"/>
      <c r="L635" s="367"/>
      <c r="M635" s="367"/>
      <c r="N635" s="367"/>
      <c r="O635" s="367"/>
      <c r="P635" s="367"/>
      <c r="Q635" s="367"/>
      <c r="R635" s="367"/>
      <c r="S635" s="367"/>
      <c r="T635" s="367"/>
      <c r="U635" s="367"/>
      <c r="V635" s="367"/>
      <c r="W635" s="367"/>
      <c r="X635" s="367"/>
      <c r="Y635" s="367"/>
      <c r="Z635" s="367"/>
    </row>
    <row r="636" ht="12.75" customHeight="1" spans="1:26">
      <c r="A636" s="363"/>
      <c r="B636" s="412"/>
      <c r="C636" s="367"/>
      <c r="D636" s="413"/>
      <c r="E636" s="413"/>
      <c r="F636" s="367"/>
      <c r="G636" s="367"/>
      <c r="H636" s="367"/>
      <c r="I636" s="367"/>
      <c r="J636" s="367"/>
      <c r="K636" s="367"/>
      <c r="L636" s="367"/>
      <c r="M636" s="367"/>
      <c r="N636" s="367"/>
      <c r="O636" s="367"/>
      <c r="P636" s="367"/>
      <c r="Q636" s="367"/>
      <c r="R636" s="367"/>
      <c r="S636" s="367"/>
      <c r="T636" s="367"/>
      <c r="U636" s="367"/>
      <c r="V636" s="367"/>
      <c r="W636" s="367"/>
      <c r="X636" s="367"/>
      <c r="Y636" s="367"/>
      <c r="Z636" s="367"/>
    </row>
    <row r="637" ht="12.75" customHeight="1" spans="1:26">
      <c r="A637" s="363"/>
      <c r="B637" s="412"/>
      <c r="C637" s="367"/>
      <c r="D637" s="413"/>
      <c r="E637" s="413"/>
      <c r="F637" s="367"/>
      <c r="G637" s="367"/>
      <c r="H637" s="367"/>
      <c r="I637" s="367"/>
      <c r="J637" s="367"/>
      <c r="K637" s="367"/>
      <c r="L637" s="367"/>
      <c r="M637" s="367"/>
      <c r="N637" s="367"/>
      <c r="O637" s="367"/>
      <c r="P637" s="367"/>
      <c r="Q637" s="367"/>
      <c r="R637" s="367"/>
      <c r="S637" s="367"/>
      <c r="T637" s="367"/>
      <c r="U637" s="367"/>
      <c r="V637" s="367"/>
      <c r="W637" s="367"/>
      <c r="X637" s="367"/>
      <c r="Y637" s="367"/>
      <c r="Z637" s="367"/>
    </row>
    <row r="638" ht="12.75" customHeight="1" spans="1:26">
      <c r="A638" s="363"/>
      <c r="B638" s="412"/>
      <c r="C638" s="367"/>
      <c r="D638" s="413"/>
      <c r="E638" s="413"/>
      <c r="F638" s="367"/>
      <c r="G638" s="367"/>
      <c r="H638" s="367"/>
      <c r="I638" s="367"/>
      <c r="J638" s="367"/>
      <c r="K638" s="367"/>
      <c r="L638" s="367"/>
      <c r="M638" s="367"/>
      <c r="N638" s="367"/>
      <c r="O638" s="367"/>
      <c r="P638" s="367"/>
      <c r="Q638" s="367"/>
      <c r="R638" s="367"/>
      <c r="S638" s="367"/>
      <c r="T638" s="367"/>
      <c r="U638" s="367"/>
      <c r="V638" s="367"/>
      <c r="W638" s="367"/>
      <c r="X638" s="367"/>
      <c r="Y638" s="367"/>
      <c r="Z638" s="367"/>
    </row>
    <row r="639" ht="12.75" customHeight="1" spans="1:26">
      <c r="A639" s="363"/>
      <c r="B639" s="412"/>
      <c r="C639" s="367"/>
      <c r="D639" s="413"/>
      <c r="E639" s="413"/>
      <c r="F639" s="367"/>
      <c r="G639" s="367"/>
      <c r="H639" s="367"/>
      <c r="I639" s="367"/>
      <c r="J639" s="367"/>
      <c r="K639" s="367"/>
      <c r="L639" s="367"/>
      <c r="M639" s="367"/>
      <c r="N639" s="367"/>
      <c r="O639" s="367"/>
      <c r="P639" s="367"/>
      <c r="Q639" s="367"/>
      <c r="R639" s="367"/>
      <c r="S639" s="367"/>
      <c r="T639" s="367"/>
      <c r="U639" s="367"/>
      <c r="V639" s="367"/>
      <c r="W639" s="367"/>
      <c r="X639" s="367"/>
      <c r="Y639" s="367"/>
      <c r="Z639" s="367"/>
    </row>
    <row r="640" ht="12.75" customHeight="1" spans="1:26">
      <c r="A640" s="363"/>
      <c r="B640" s="412"/>
      <c r="C640" s="367"/>
      <c r="D640" s="413"/>
      <c r="E640" s="413"/>
      <c r="F640" s="367"/>
      <c r="G640" s="367"/>
      <c r="H640" s="367"/>
      <c r="I640" s="367"/>
      <c r="J640" s="367"/>
      <c r="K640" s="367"/>
      <c r="L640" s="367"/>
      <c r="M640" s="367"/>
      <c r="N640" s="367"/>
      <c r="O640" s="367"/>
      <c r="P640" s="367"/>
      <c r="Q640" s="367"/>
      <c r="R640" s="367"/>
      <c r="S640" s="367"/>
      <c r="T640" s="367"/>
      <c r="U640" s="367"/>
      <c r="V640" s="367"/>
      <c r="W640" s="367"/>
      <c r="X640" s="367"/>
      <c r="Y640" s="367"/>
      <c r="Z640" s="367"/>
    </row>
    <row r="641" ht="12.75" customHeight="1" spans="1:26">
      <c r="A641" s="363"/>
      <c r="B641" s="412"/>
      <c r="C641" s="367"/>
      <c r="D641" s="413"/>
      <c r="E641" s="413"/>
      <c r="F641" s="367"/>
      <c r="G641" s="367"/>
      <c r="H641" s="367"/>
      <c r="I641" s="367"/>
      <c r="J641" s="367"/>
      <c r="K641" s="367"/>
      <c r="L641" s="367"/>
      <c r="M641" s="367"/>
      <c r="N641" s="367"/>
      <c r="O641" s="367"/>
      <c r="P641" s="367"/>
      <c r="Q641" s="367"/>
      <c r="R641" s="367"/>
      <c r="S641" s="367"/>
      <c r="T641" s="367"/>
      <c r="U641" s="367"/>
      <c r="V641" s="367"/>
      <c r="W641" s="367"/>
      <c r="X641" s="367"/>
      <c r="Y641" s="367"/>
      <c r="Z641" s="367"/>
    </row>
    <row r="642" ht="12.75" customHeight="1" spans="1:26">
      <c r="A642" s="363"/>
      <c r="B642" s="412"/>
      <c r="C642" s="367"/>
      <c r="D642" s="413"/>
      <c r="E642" s="413"/>
      <c r="F642" s="367"/>
      <c r="G642" s="367"/>
      <c r="H642" s="367"/>
      <c r="I642" s="367"/>
      <c r="J642" s="367"/>
      <c r="K642" s="367"/>
      <c r="L642" s="367"/>
      <c r="M642" s="367"/>
      <c r="N642" s="367"/>
      <c r="O642" s="367"/>
      <c r="P642" s="367"/>
      <c r="Q642" s="367"/>
      <c r="R642" s="367"/>
      <c r="S642" s="367"/>
      <c r="T642" s="367"/>
      <c r="U642" s="367"/>
      <c r="V642" s="367"/>
      <c r="W642" s="367"/>
      <c r="X642" s="367"/>
      <c r="Y642" s="367"/>
      <c r="Z642" s="367"/>
    </row>
    <row r="643" ht="12.75" customHeight="1" spans="1:26">
      <c r="A643" s="363"/>
      <c r="B643" s="412"/>
      <c r="C643" s="367"/>
      <c r="D643" s="413"/>
      <c r="E643" s="413"/>
      <c r="F643" s="367"/>
      <c r="G643" s="367"/>
      <c r="H643" s="367"/>
      <c r="I643" s="367"/>
      <c r="J643" s="367"/>
      <c r="K643" s="367"/>
      <c r="L643" s="367"/>
      <c r="M643" s="367"/>
      <c r="N643" s="367"/>
      <c r="O643" s="367"/>
      <c r="P643" s="367"/>
      <c r="Q643" s="367"/>
      <c r="R643" s="367"/>
      <c r="S643" s="367"/>
      <c r="T643" s="367"/>
      <c r="U643" s="367"/>
      <c r="V643" s="367"/>
      <c r="W643" s="367"/>
      <c r="X643" s="367"/>
      <c r="Y643" s="367"/>
      <c r="Z643" s="367"/>
    </row>
    <row r="644" ht="12.75" customHeight="1" spans="1:26">
      <c r="A644" s="363"/>
      <c r="B644" s="412"/>
      <c r="C644" s="367"/>
      <c r="D644" s="413"/>
      <c r="E644" s="413"/>
      <c r="F644" s="367"/>
      <c r="G644" s="367"/>
      <c r="H644" s="367"/>
      <c r="I644" s="367"/>
      <c r="J644" s="367"/>
      <c r="K644" s="367"/>
      <c r="L644" s="367"/>
      <c r="M644" s="367"/>
      <c r="N644" s="367"/>
      <c r="O644" s="367"/>
      <c r="P644" s="367"/>
      <c r="Q644" s="367"/>
      <c r="R644" s="367"/>
      <c r="S644" s="367"/>
      <c r="T644" s="367"/>
      <c r="U644" s="367"/>
      <c r="V644" s="367"/>
      <c r="W644" s="367"/>
      <c r="X644" s="367"/>
      <c r="Y644" s="367"/>
      <c r="Z644" s="367"/>
    </row>
    <row r="645" ht="12.75" customHeight="1" spans="1:26">
      <c r="A645" s="363"/>
      <c r="B645" s="412"/>
      <c r="C645" s="367"/>
      <c r="D645" s="413"/>
      <c r="E645" s="413"/>
      <c r="F645" s="367"/>
      <c r="G645" s="367"/>
      <c r="H645" s="367"/>
      <c r="I645" s="367"/>
      <c r="J645" s="367"/>
      <c r="K645" s="367"/>
      <c r="L645" s="367"/>
      <c r="M645" s="367"/>
      <c r="N645" s="367"/>
      <c r="O645" s="367"/>
      <c r="P645" s="367"/>
      <c r="Q645" s="367"/>
      <c r="R645" s="367"/>
      <c r="S645" s="367"/>
      <c r="T645" s="367"/>
      <c r="U645" s="367"/>
      <c r="V645" s="367"/>
      <c r="W645" s="367"/>
      <c r="X645" s="367"/>
      <c r="Y645" s="367"/>
      <c r="Z645" s="367"/>
    </row>
    <row r="646" ht="12.75" customHeight="1" spans="1:26">
      <c r="A646" s="363"/>
      <c r="B646" s="412"/>
      <c r="C646" s="367"/>
      <c r="D646" s="413"/>
      <c r="E646" s="413"/>
      <c r="F646" s="367"/>
      <c r="G646" s="367"/>
      <c r="H646" s="367"/>
      <c r="I646" s="367"/>
      <c r="J646" s="367"/>
      <c r="K646" s="367"/>
      <c r="L646" s="367"/>
      <c r="M646" s="367"/>
      <c r="N646" s="367"/>
      <c r="O646" s="367"/>
      <c r="P646" s="367"/>
      <c r="Q646" s="367"/>
      <c r="R646" s="367"/>
      <c r="S646" s="367"/>
      <c r="T646" s="367"/>
      <c r="U646" s="367"/>
      <c r="V646" s="367"/>
      <c r="W646" s="367"/>
      <c r="X646" s="367"/>
      <c r="Y646" s="367"/>
      <c r="Z646" s="367"/>
    </row>
    <row r="647" ht="12.75" customHeight="1" spans="1:26">
      <c r="A647" s="363"/>
      <c r="B647" s="412"/>
      <c r="C647" s="367"/>
      <c r="D647" s="413"/>
      <c r="E647" s="413"/>
      <c r="F647" s="367"/>
      <c r="G647" s="367"/>
      <c r="H647" s="367"/>
      <c r="I647" s="367"/>
      <c r="J647" s="367"/>
      <c r="K647" s="367"/>
      <c r="L647" s="367"/>
      <c r="M647" s="367"/>
      <c r="N647" s="367"/>
      <c r="O647" s="367"/>
      <c r="P647" s="367"/>
      <c r="Q647" s="367"/>
      <c r="R647" s="367"/>
      <c r="S647" s="367"/>
      <c r="T647" s="367"/>
      <c r="U647" s="367"/>
      <c r="V647" s="367"/>
      <c r="W647" s="367"/>
      <c r="X647" s="367"/>
      <c r="Y647" s="367"/>
      <c r="Z647" s="367"/>
    </row>
    <row r="648" ht="12.75" customHeight="1" spans="1:26">
      <c r="A648" s="363"/>
      <c r="B648" s="412"/>
      <c r="C648" s="367"/>
      <c r="D648" s="413"/>
      <c r="E648" s="413"/>
      <c r="F648" s="367"/>
      <c r="G648" s="367"/>
      <c r="H648" s="367"/>
      <c r="I648" s="367"/>
      <c r="J648" s="367"/>
      <c r="K648" s="367"/>
      <c r="L648" s="367"/>
      <c r="M648" s="367"/>
      <c r="N648" s="367"/>
      <c r="O648" s="367"/>
      <c r="P648" s="367"/>
      <c r="Q648" s="367"/>
      <c r="R648" s="367"/>
      <c r="S648" s="367"/>
      <c r="T648" s="367"/>
      <c r="U648" s="367"/>
      <c r="V648" s="367"/>
      <c r="W648" s="367"/>
      <c r="X648" s="367"/>
      <c r="Y648" s="367"/>
      <c r="Z648" s="367"/>
    </row>
    <row r="649" ht="12.75" customHeight="1" spans="1:26">
      <c r="A649" s="363"/>
      <c r="B649" s="412"/>
      <c r="C649" s="367"/>
      <c r="D649" s="413"/>
      <c r="E649" s="413"/>
      <c r="F649" s="367"/>
      <c r="G649" s="367"/>
      <c r="H649" s="367"/>
      <c r="I649" s="367"/>
      <c r="J649" s="367"/>
      <c r="K649" s="367"/>
      <c r="L649" s="367"/>
      <c r="M649" s="367"/>
      <c r="N649" s="367"/>
      <c r="O649" s="367"/>
      <c r="P649" s="367"/>
      <c r="Q649" s="367"/>
      <c r="R649" s="367"/>
      <c r="S649" s="367"/>
      <c r="T649" s="367"/>
      <c r="U649" s="367"/>
      <c r="V649" s="367"/>
      <c r="W649" s="367"/>
      <c r="X649" s="367"/>
      <c r="Y649" s="367"/>
      <c r="Z649" s="367"/>
    </row>
    <row r="650" ht="12.75" customHeight="1" spans="1:26">
      <c r="A650" s="363"/>
      <c r="B650" s="412"/>
      <c r="C650" s="367"/>
      <c r="D650" s="413"/>
      <c r="E650" s="413"/>
      <c r="F650" s="367"/>
      <c r="G650" s="367"/>
      <c r="H650" s="367"/>
      <c r="I650" s="367"/>
      <c r="J650" s="367"/>
      <c r="K650" s="367"/>
      <c r="L650" s="367"/>
      <c r="M650" s="367"/>
      <c r="N650" s="367"/>
      <c r="O650" s="367"/>
      <c r="P650" s="367"/>
      <c r="Q650" s="367"/>
      <c r="R650" s="367"/>
      <c r="S650" s="367"/>
      <c r="T650" s="367"/>
      <c r="U650" s="367"/>
      <c r="V650" s="367"/>
      <c r="W650" s="367"/>
      <c r="X650" s="367"/>
      <c r="Y650" s="367"/>
      <c r="Z650" s="367"/>
    </row>
    <row r="651" ht="12.75" customHeight="1" spans="1:26">
      <c r="A651" s="363"/>
      <c r="B651" s="412"/>
      <c r="C651" s="367"/>
      <c r="D651" s="413"/>
      <c r="E651" s="413"/>
      <c r="F651" s="367"/>
      <c r="G651" s="367"/>
      <c r="H651" s="367"/>
      <c r="I651" s="367"/>
      <c r="J651" s="367"/>
      <c r="K651" s="367"/>
      <c r="L651" s="367"/>
      <c r="M651" s="367"/>
      <c r="N651" s="367"/>
      <c r="O651" s="367"/>
      <c r="P651" s="367"/>
      <c r="Q651" s="367"/>
      <c r="R651" s="367"/>
      <c r="S651" s="367"/>
      <c r="T651" s="367"/>
      <c r="U651" s="367"/>
      <c r="V651" s="367"/>
      <c r="W651" s="367"/>
      <c r="X651" s="367"/>
      <c r="Y651" s="367"/>
      <c r="Z651" s="367"/>
    </row>
    <row r="652" ht="12.75" customHeight="1" spans="1:26">
      <c r="A652" s="363"/>
      <c r="B652" s="412"/>
      <c r="C652" s="367"/>
      <c r="D652" s="413"/>
      <c r="E652" s="413"/>
      <c r="F652" s="367"/>
      <c r="G652" s="367"/>
      <c r="H652" s="367"/>
      <c r="I652" s="367"/>
      <c r="J652" s="367"/>
      <c r="K652" s="367"/>
      <c r="L652" s="367"/>
      <c r="M652" s="367"/>
      <c r="N652" s="367"/>
      <c r="O652" s="367"/>
      <c r="P652" s="367"/>
      <c r="Q652" s="367"/>
      <c r="R652" s="367"/>
      <c r="S652" s="367"/>
      <c r="T652" s="367"/>
      <c r="U652" s="367"/>
      <c r="V652" s="367"/>
      <c r="W652" s="367"/>
      <c r="X652" s="367"/>
      <c r="Y652" s="367"/>
      <c r="Z652" s="367"/>
    </row>
    <row r="653" ht="12.75" customHeight="1" spans="1:26">
      <c r="A653" s="363"/>
      <c r="B653" s="412"/>
      <c r="C653" s="367"/>
      <c r="D653" s="413"/>
      <c r="E653" s="413"/>
      <c r="F653" s="367"/>
      <c r="G653" s="367"/>
      <c r="H653" s="367"/>
      <c r="I653" s="367"/>
      <c r="J653" s="367"/>
      <c r="K653" s="367"/>
      <c r="L653" s="367"/>
      <c r="M653" s="367"/>
      <c r="N653" s="367"/>
      <c r="O653" s="367"/>
      <c r="P653" s="367"/>
      <c r="Q653" s="367"/>
      <c r="R653" s="367"/>
      <c r="S653" s="367"/>
      <c r="T653" s="367"/>
      <c r="U653" s="367"/>
      <c r="V653" s="367"/>
      <c r="W653" s="367"/>
      <c r="X653" s="367"/>
      <c r="Y653" s="367"/>
      <c r="Z653" s="367"/>
    </row>
    <row r="654" ht="12.75" customHeight="1" spans="1:26">
      <c r="A654" s="363"/>
      <c r="B654" s="412"/>
      <c r="C654" s="367"/>
      <c r="D654" s="413"/>
      <c r="E654" s="413"/>
      <c r="F654" s="367"/>
      <c r="G654" s="367"/>
      <c r="H654" s="367"/>
      <c r="I654" s="367"/>
      <c r="J654" s="367"/>
      <c r="K654" s="367"/>
      <c r="L654" s="367"/>
      <c r="M654" s="367"/>
      <c r="N654" s="367"/>
      <c r="O654" s="367"/>
      <c r="P654" s="367"/>
      <c r="Q654" s="367"/>
      <c r="R654" s="367"/>
      <c r="S654" s="367"/>
      <c r="T654" s="367"/>
      <c r="U654" s="367"/>
      <c r="V654" s="367"/>
      <c r="W654" s="367"/>
      <c r="X654" s="367"/>
      <c r="Y654" s="367"/>
      <c r="Z654" s="367"/>
    </row>
    <row r="655" ht="12.75" customHeight="1" spans="1:26">
      <c r="A655" s="363"/>
      <c r="B655" s="412"/>
      <c r="C655" s="367"/>
      <c r="D655" s="413"/>
      <c r="E655" s="413"/>
      <c r="F655" s="367"/>
      <c r="G655" s="367"/>
      <c r="H655" s="367"/>
      <c r="I655" s="367"/>
      <c r="J655" s="367"/>
      <c r="K655" s="367"/>
      <c r="L655" s="367"/>
      <c r="M655" s="367"/>
      <c r="N655" s="367"/>
      <c r="O655" s="367"/>
      <c r="P655" s="367"/>
      <c r="Q655" s="367"/>
      <c r="R655" s="367"/>
      <c r="S655" s="367"/>
      <c r="T655" s="367"/>
      <c r="U655" s="367"/>
      <c r="V655" s="367"/>
      <c r="W655" s="367"/>
      <c r="X655" s="367"/>
      <c r="Y655" s="367"/>
      <c r="Z655" s="367"/>
    </row>
    <row r="656" ht="12.75" customHeight="1" spans="1:26">
      <c r="A656" s="363"/>
      <c r="B656" s="412"/>
      <c r="C656" s="367"/>
      <c r="D656" s="413"/>
      <c r="E656" s="413"/>
      <c r="F656" s="367"/>
      <c r="G656" s="367"/>
      <c r="H656" s="367"/>
      <c r="I656" s="367"/>
      <c r="J656" s="367"/>
      <c r="K656" s="367"/>
      <c r="L656" s="367"/>
      <c r="M656" s="367"/>
      <c r="N656" s="367"/>
      <c r="O656" s="367"/>
      <c r="P656" s="367"/>
      <c r="Q656" s="367"/>
      <c r="R656" s="367"/>
      <c r="S656" s="367"/>
      <c r="T656" s="367"/>
      <c r="U656" s="367"/>
      <c r="V656" s="367"/>
      <c r="W656" s="367"/>
      <c r="X656" s="367"/>
      <c r="Y656" s="367"/>
      <c r="Z656" s="367"/>
    </row>
    <row r="657" ht="12.75" customHeight="1" spans="1:26">
      <c r="A657" s="363"/>
      <c r="B657" s="412"/>
      <c r="C657" s="367"/>
      <c r="D657" s="413"/>
      <c r="E657" s="413"/>
      <c r="F657" s="367"/>
      <c r="G657" s="367"/>
      <c r="H657" s="367"/>
      <c r="I657" s="367"/>
      <c r="J657" s="367"/>
      <c r="K657" s="367"/>
      <c r="L657" s="367"/>
      <c r="M657" s="367"/>
      <c r="N657" s="367"/>
      <c r="O657" s="367"/>
      <c r="P657" s="367"/>
      <c r="Q657" s="367"/>
      <c r="R657" s="367"/>
      <c r="S657" s="367"/>
      <c r="T657" s="367"/>
      <c r="U657" s="367"/>
      <c r="V657" s="367"/>
      <c r="W657" s="367"/>
      <c r="X657" s="367"/>
      <c r="Y657" s="367"/>
      <c r="Z657" s="367"/>
    </row>
    <row r="658" ht="12.75" customHeight="1" spans="1:26">
      <c r="A658" s="363"/>
      <c r="B658" s="412"/>
      <c r="C658" s="367"/>
      <c r="D658" s="413"/>
      <c r="E658" s="413"/>
      <c r="F658" s="367"/>
      <c r="G658" s="367"/>
      <c r="H658" s="367"/>
      <c r="I658" s="367"/>
      <c r="J658" s="367"/>
      <c r="K658" s="367"/>
      <c r="L658" s="367"/>
      <c r="M658" s="367"/>
      <c r="N658" s="367"/>
      <c r="O658" s="367"/>
      <c r="P658" s="367"/>
      <c r="Q658" s="367"/>
      <c r="R658" s="367"/>
      <c r="S658" s="367"/>
      <c r="T658" s="367"/>
      <c r="U658" s="367"/>
      <c r="V658" s="367"/>
      <c r="W658" s="367"/>
      <c r="X658" s="367"/>
      <c r="Y658" s="367"/>
      <c r="Z658" s="367"/>
    </row>
    <row r="659" ht="12.75" customHeight="1" spans="1:26">
      <c r="A659" s="363"/>
      <c r="B659" s="412"/>
      <c r="C659" s="367"/>
      <c r="D659" s="413"/>
      <c r="E659" s="413"/>
      <c r="F659" s="367"/>
      <c r="G659" s="367"/>
      <c r="H659" s="367"/>
      <c r="I659" s="367"/>
      <c r="J659" s="367"/>
      <c r="K659" s="367"/>
      <c r="L659" s="367"/>
      <c r="M659" s="367"/>
      <c r="N659" s="367"/>
      <c r="O659" s="367"/>
      <c r="P659" s="367"/>
      <c r="Q659" s="367"/>
      <c r="R659" s="367"/>
      <c r="S659" s="367"/>
      <c r="T659" s="367"/>
      <c r="U659" s="367"/>
      <c r="V659" s="367"/>
      <c r="W659" s="367"/>
      <c r="X659" s="367"/>
      <c r="Y659" s="367"/>
      <c r="Z659" s="367"/>
    </row>
    <row r="660" ht="12.75" customHeight="1" spans="1:26">
      <c r="A660" s="363"/>
      <c r="B660" s="412"/>
      <c r="C660" s="367"/>
      <c r="D660" s="413"/>
      <c r="E660" s="413"/>
      <c r="F660" s="367"/>
      <c r="G660" s="367"/>
      <c r="H660" s="367"/>
      <c r="I660" s="367"/>
      <c r="J660" s="367"/>
      <c r="K660" s="367"/>
      <c r="L660" s="367"/>
      <c r="M660" s="367"/>
      <c r="N660" s="367"/>
      <c r="O660" s="367"/>
      <c r="P660" s="367"/>
      <c r="Q660" s="367"/>
      <c r="R660" s="367"/>
      <c r="S660" s="367"/>
      <c r="T660" s="367"/>
      <c r="U660" s="367"/>
      <c r="V660" s="367"/>
      <c r="W660" s="367"/>
      <c r="X660" s="367"/>
      <c r="Y660" s="367"/>
      <c r="Z660" s="367"/>
    </row>
    <row r="661" ht="12.75" customHeight="1" spans="1:26">
      <c r="A661" s="363"/>
      <c r="B661" s="412"/>
      <c r="C661" s="367"/>
      <c r="D661" s="413"/>
      <c r="E661" s="413"/>
      <c r="F661" s="367"/>
      <c r="G661" s="367"/>
      <c r="H661" s="367"/>
      <c r="I661" s="367"/>
      <c r="J661" s="367"/>
      <c r="K661" s="367"/>
      <c r="L661" s="367"/>
      <c r="M661" s="367"/>
      <c r="N661" s="367"/>
      <c r="O661" s="367"/>
      <c r="P661" s="367"/>
      <c r="Q661" s="367"/>
      <c r="R661" s="367"/>
      <c r="S661" s="367"/>
      <c r="T661" s="367"/>
      <c r="U661" s="367"/>
      <c r="V661" s="367"/>
      <c r="W661" s="367"/>
      <c r="X661" s="367"/>
      <c r="Y661" s="367"/>
      <c r="Z661" s="367"/>
    </row>
    <row r="662" ht="12.75" customHeight="1" spans="1:26">
      <c r="A662" s="363"/>
      <c r="B662" s="412"/>
      <c r="C662" s="367"/>
      <c r="D662" s="413"/>
      <c r="E662" s="413"/>
      <c r="F662" s="367"/>
      <c r="G662" s="367"/>
      <c r="H662" s="367"/>
      <c r="I662" s="367"/>
      <c r="J662" s="367"/>
      <c r="K662" s="367"/>
      <c r="L662" s="367"/>
      <c r="M662" s="367"/>
      <c r="N662" s="367"/>
      <c r="O662" s="367"/>
      <c r="P662" s="367"/>
      <c r="Q662" s="367"/>
      <c r="R662" s="367"/>
      <c r="S662" s="367"/>
      <c r="T662" s="367"/>
      <c r="U662" s="367"/>
      <c r="V662" s="367"/>
      <c r="W662" s="367"/>
      <c r="X662" s="367"/>
      <c r="Y662" s="367"/>
      <c r="Z662" s="367"/>
    </row>
    <row r="663" ht="12.75" customHeight="1" spans="1:26">
      <c r="A663" s="363"/>
      <c r="B663" s="412"/>
      <c r="C663" s="367"/>
      <c r="D663" s="413"/>
      <c r="E663" s="413"/>
      <c r="F663" s="367"/>
      <c r="G663" s="367"/>
      <c r="H663" s="367"/>
      <c r="I663" s="367"/>
      <c r="J663" s="367"/>
      <c r="K663" s="367"/>
      <c r="L663" s="367"/>
      <c r="M663" s="367"/>
      <c r="N663" s="367"/>
      <c r="O663" s="367"/>
      <c r="P663" s="367"/>
      <c r="Q663" s="367"/>
      <c r="R663" s="367"/>
      <c r="S663" s="367"/>
      <c r="T663" s="367"/>
      <c r="U663" s="367"/>
      <c r="V663" s="367"/>
      <c r="W663" s="367"/>
      <c r="X663" s="367"/>
      <c r="Y663" s="367"/>
      <c r="Z663" s="367"/>
    </row>
    <row r="664" ht="12.75" customHeight="1" spans="1:26">
      <c r="A664" s="363"/>
      <c r="B664" s="412"/>
      <c r="C664" s="367"/>
      <c r="D664" s="413"/>
      <c r="E664" s="413"/>
      <c r="F664" s="367"/>
      <c r="G664" s="367"/>
      <c r="H664" s="367"/>
      <c r="I664" s="367"/>
      <c r="J664" s="367"/>
      <c r="K664" s="367"/>
      <c r="L664" s="367"/>
      <c r="M664" s="367"/>
      <c r="N664" s="367"/>
      <c r="O664" s="367"/>
      <c r="P664" s="367"/>
      <c r="Q664" s="367"/>
      <c r="R664" s="367"/>
      <c r="S664" s="367"/>
      <c r="T664" s="367"/>
      <c r="U664" s="367"/>
      <c r="V664" s="367"/>
      <c r="W664" s="367"/>
      <c r="X664" s="367"/>
      <c r="Y664" s="367"/>
      <c r="Z664" s="367"/>
    </row>
    <row r="665" ht="12.75" customHeight="1" spans="1:26">
      <c r="A665" s="363"/>
      <c r="B665" s="412"/>
      <c r="C665" s="367"/>
      <c r="D665" s="413"/>
      <c r="E665" s="413"/>
      <c r="F665" s="367"/>
      <c r="G665" s="367"/>
      <c r="H665" s="367"/>
      <c r="I665" s="367"/>
      <c r="J665" s="367"/>
      <c r="K665" s="367"/>
      <c r="L665" s="367"/>
      <c r="M665" s="367"/>
      <c r="N665" s="367"/>
      <c r="O665" s="367"/>
      <c r="P665" s="367"/>
      <c r="Q665" s="367"/>
      <c r="R665" s="367"/>
      <c r="S665" s="367"/>
      <c r="T665" s="367"/>
      <c r="U665" s="367"/>
      <c r="V665" s="367"/>
      <c r="W665" s="367"/>
      <c r="X665" s="367"/>
      <c r="Y665" s="367"/>
      <c r="Z665" s="367"/>
    </row>
    <row r="666" ht="12.75" customHeight="1" spans="1:26">
      <c r="A666" s="363"/>
      <c r="B666" s="412"/>
      <c r="C666" s="367"/>
      <c r="D666" s="413"/>
      <c r="E666" s="413"/>
      <c r="F666" s="367"/>
      <c r="G666" s="367"/>
      <c r="H666" s="367"/>
      <c r="I666" s="367"/>
      <c r="J666" s="367"/>
      <c r="K666" s="367"/>
      <c r="L666" s="367"/>
      <c r="M666" s="367"/>
      <c r="N666" s="367"/>
      <c r="O666" s="367"/>
      <c r="P666" s="367"/>
      <c r="Q666" s="367"/>
      <c r="R666" s="367"/>
      <c r="S666" s="367"/>
      <c r="T666" s="367"/>
      <c r="U666" s="367"/>
      <c r="V666" s="367"/>
      <c r="W666" s="367"/>
      <c r="X666" s="367"/>
      <c r="Y666" s="367"/>
      <c r="Z666" s="367"/>
    </row>
    <row r="667" ht="12.75" customHeight="1" spans="1:26">
      <c r="A667" s="363"/>
      <c r="B667" s="412"/>
      <c r="C667" s="367"/>
      <c r="D667" s="413"/>
      <c r="E667" s="413"/>
      <c r="F667" s="367"/>
      <c r="G667" s="367"/>
      <c r="H667" s="367"/>
      <c r="I667" s="367"/>
      <c r="J667" s="367"/>
      <c r="K667" s="367"/>
      <c r="L667" s="367"/>
      <c r="M667" s="367"/>
      <c r="N667" s="367"/>
      <c r="O667" s="367"/>
      <c r="P667" s="367"/>
      <c r="Q667" s="367"/>
      <c r="R667" s="367"/>
      <c r="S667" s="367"/>
      <c r="T667" s="367"/>
      <c r="U667" s="367"/>
      <c r="V667" s="367"/>
      <c r="W667" s="367"/>
      <c r="X667" s="367"/>
      <c r="Y667" s="367"/>
      <c r="Z667" s="367"/>
    </row>
    <row r="668" ht="12.75" customHeight="1" spans="1:26">
      <c r="A668" s="363"/>
      <c r="B668" s="412"/>
      <c r="C668" s="367"/>
      <c r="D668" s="413"/>
      <c r="E668" s="413"/>
      <c r="F668" s="367"/>
      <c r="G668" s="367"/>
      <c r="H668" s="367"/>
      <c r="I668" s="367"/>
      <c r="J668" s="367"/>
      <c r="K668" s="367"/>
      <c r="L668" s="367"/>
      <c r="M668" s="367"/>
      <c r="N668" s="367"/>
      <c r="O668" s="367"/>
      <c r="P668" s="367"/>
      <c r="Q668" s="367"/>
      <c r="R668" s="367"/>
      <c r="S668" s="367"/>
      <c r="T668" s="367"/>
      <c r="U668" s="367"/>
      <c r="V668" s="367"/>
      <c r="W668" s="367"/>
      <c r="X668" s="367"/>
      <c r="Y668" s="367"/>
      <c r="Z668" s="367"/>
    </row>
    <row r="669" ht="12.75" customHeight="1" spans="1:26">
      <c r="A669" s="363"/>
      <c r="B669" s="412"/>
      <c r="C669" s="367"/>
      <c r="D669" s="413"/>
      <c r="E669" s="413"/>
      <c r="F669" s="367"/>
      <c r="G669" s="367"/>
      <c r="H669" s="367"/>
      <c r="I669" s="367"/>
      <c r="J669" s="367"/>
      <c r="K669" s="367"/>
      <c r="L669" s="367"/>
      <c r="M669" s="367"/>
      <c r="N669" s="367"/>
      <c r="O669" s="367"/>
      <c r="P669" s="367"/>
      <c r="Q669" s="367"/>
      <c r="R669" s="367"/>
      <c r="S669" s="367"/>
      <c r="T669" s="367"/>
      <c r="U669" s="367"/>
      <c r="V669" s="367"/>
      <c r="W669" s="367"/>
      <c r="X669" s="367"/>
      <c r="Y669" s="367"/>
      <c r="Z669" s="367"/>
    </row>
    <row r="670" ht="12.75" customHeight="1" spans="1:26">
      <c r="A670" s="363"/>
      <c r="B670" s="412"/>
      <c r="C670" s="367"/>
      <c r="D670" s="413"/>
      <c r="E670" s="413"/>
      <c r="F670" s="367"/>
      <c r="G670" s="367"/>
      <c r="H670" s="367"/>
      <c r="I670" s="367"/>
      <c r="J670" s="367"/>
      <c r="K670" s="367"/>
      <c r="L670" s="367"/>
      <c r="M670" s="367"/>
      <c r="N670" s="367"/>
      <c r="O670" s="367"/>
      <c r="P670" s="367"/>
      <c r="Q670" s="367"/>
      <c r="R670" s="367"/>
      <c r="S670" s="367"/>
      <c r="T670" s="367"/>
      <c r="U670" s="367"/>
      <c r="V670" s="367"/>
      <c r="W670" s="367"/>
      <c r="X670" s="367"/>
      <c r="Y670" s="367"/>
      <c r="Z670" s="367"/>
    </row>
    <row r="671" ht="12.75" customHeight="1" spans="1:26">
      <c r="A671" s="363"/>
      <c r="B671" s="412"/>
      <c r="C671" s="367"/>
      <c r="D671" s="413"/>
      <c r="E671" s="413"/>
      <c r="F671" s="367"/>
      <c r="G671" s="367"/>
      <c r="H671" s="367"/>
      <c r="I671" s="367"/>
      <c r="J671" s="367"/>
      <c r="K671" s="367"/>
      <c r="L671" s="367"/>
      <c r="M671" s="367"/>
      <c r="N671" s="367"/>
      <c r="O671" s="367"/>
      <c r="P671" s="367"/>
      <c r="Q671" s="367"/>
      <c r="R671" s="367"/>
      <c r="S671" s="367"/>
      <c r="T671" s="367"/>
      <c r="U671" s="367"/>
      <c r="V671" s="367"/>
      <c r="W671" s="367"/>
      <c r="X671" s="367"/>
      <c r="Y671" s="367"/>
      <c r="Z671" s="367"/>
    </row>
    <row r="672" ht="12.75" customHeight="1" spans="1:26">
      <c r="A672" s="363"/>
      <c r="B672" s="412"/>
      <c r="C672" s="367"/>
      <c r="D672" s="413"/>
      <c r="E672" s="413"/>
      <c r="F672" s="367"/>
      <c r="G672" s="367"/>
      <c r="H672" s="367"/>
      <c r="I672" s="367"/>
      <c r="J672" s="367"/>
      <c r="K672" s="367"/>
      <c r="L672" s="367"/>
      <c r="M672" s="367"/>
      <c r="N672" s="367"/>
      <c r="O672" s="367"/>
      <c r="P672" s="367"/>
      <c r="Q672" s="367"/>
      <c r="R672" s="367"/>
      <c r="S672" s="367"/>
      <c r="T672" s="367"/>
      <c r="U672" s="367"/>
      <c r="V672" s="367"/>
      <c r="W672" s="367"/>
      <c r="X672" s="367"/>
      <c r="Y672" s="367"/>
      <c r="Z672" s="367"/>
    </row>
    <row r="673" ht="12.75" customHeight="1" spans="1:26">
      <c r="A673" s="363"/>
      <c r="B673" s="412"/>
      <c r="C673" s="367"/>
      <c r="D673" s="413"/>
      <c r="E673" s="413"/>
      <c r="F673" s="367"/>
      <c r="G673" s="367"/>
      <c r="H673" s="367"/>
      <c r="I673" s="367"/>
      <c r="J673" s="367"/>
      <c r="K673" s="367"/>
      <c r="L673" s="367"/>
      <c r="M673" s="367"/>
      <c r="N673" s="367"/>
      <c r="O673" s="367"/>
      <c r="P673" s="367"/>
      <c r="Q673" s="367"/>
      <c r="R673" s="367"/>
      <c r="S673" s="367"/>
      <c r="T673" s="367"/>
      <c r="U673" s="367"/>
      <c r="V673" s="367"/>
      <c r="W673" s="367"/>
      <c r="X673" s="367"/>
      <c r="Y673" s="367"/>
      <c r="Z673" s="367"/>
    </row>
    <row r="674" ht="12.75" customHeight="1" spans="1:26">
      <c r="A674" s="363"/>
      <c r="B674" s="412"/>
      <c r="C674" s="367"/>
      <c r="D674" s="413"/>
      <c r="E674" s="413"/>
      <c r="F674" s="367"/>
      <c r="G674" s="367"/>
      <c r="H674" s="367"/>
      <c r="I674" s="367"/>
      <c r="J674" s="367"/>
      <c r="K674" s="367"/>
      <c r="L674" s="367"/>
      <c r="M674" s="367"/>
      <c r="N674" s="367"/>
      <c r="O674" s="367"/>
      <c r="P674" s="367"/>
      <c r="Q674" s="367"/>
      <c r="R674" s="367"/>
      <c r="S674" s="367"/>
      <c r="T674" s="367"/>
      <c r="U674" s="367"/>
      <c r="V674" s="367"/>
      <c r="W674" s="367"/>
      <c r="X674" s="367"/>
      <c r="Y674" s="367"/>
      <c r="Z674" s="367"/>
    </row>
    <row r="675" ht="12.75" customHeight="1" spans="1:26">
      <c r="A675" s="363"/>
      <c r="B675" s="412"/>
      <c r="C675" s="367"/>
      <c r="D675" s="413"/>
      <c r="E675" s="413"/>
      <c r="F675" s="367"/>
      <c r="G675" s="367"/>
      <c r="H675" s="367"/>
      <c r="I675" s="367"/>
      <c r="J675" s="367"/>
      <c r="K675" s="367"/>
      <c r="L675" s="367"/>
      <c r="M675" s="367"/>
      <c r="N675" s="367"/>
      <c r="O675" s="367"/>
      <c r="P675" s="367"/>
      <c r="Q675" s="367"/>
      <c r="R675" s="367"/>
      <c r="S675" s="367"/>
      <c r="T675" s="367"/>
      <c r="U675" s="367"/>
      <c r="V675" s="367"/>
      <c r="W675" s="367"/>
      <c r="X675" s="367"/>
      <c r="Y675" s="367"/>
      <c r="Z675" s="367"/>
    </row>
    <row r="676" ht="12.75" customHeight="1" spans="1:26">
      <c r="A676" s="363"/>
      <c r="B676" s="412"/>
      <c r="C676" s="367"/>
      <c r="D676" s="413"/>
      <c r="E676" s="413"/>
      <c r="F676" s="367"/>
      <c r="G676" s="367"/>
      <c r="H676" s="367"/>
      <c r="I676" s="367"/>
      <c r="J676" s="367"/>
      <c r="K676" s="367"/>
      <c r="L676" s="367"/>
      <c r="M676" s="367"/>
      <c r="N676" s="367"/>
      <c r="O676" s="367"/>
      <c r="P676" s="367"/>
      <c r="Q676" s="367"/>
      <c r="R676" s="367"/>
      <c r="S676" s="367"/>
      <c r="T676" s="367"/>
      <c r="U676" s="367"/>
      <c r="V676" s="367"/>
      <c r="W676" s="367"/>
      <c r="X676" s="367"/>
      <c r="Y676" s="367"/>
      <c r="Z676" s="367"/>
    </row>
    <row r="677" ht="12.75" customHeight="1" spans="1:26">
      <c r="A677" s="363"/>
      <c r="B677" s="412"/>
      <c r="C677" s="367"/>
      <c r="D677" s="413"/>
      <c r="E677" s="413"/>
      <c r="F677" s="367"/>
      <c r="G677" s="367"/>
      <c r="H677" s="367"/>
      <c r="I677" s="367"/>
      <c r="J677" s="367"/>
      <c r="K677" s="367"/>
      <c r="L677" s="367"/>
      <c r="M677" s="367"/>
      <c r="N677" s="367"/>
      <c r="O677" s="367"/>
      <c r="P677" s="367"/>
      <c r="Q677" s="367"/>
      <c r="R677" s="367"/>
      <c r="S677" s="367"/>
      <c r="T677" s="367"/>
      <c r="U677" s="367"/>
      <c r="V677" s="367"/>
      <c r="W677" s="367"/>
      <c r="X677" s="367"/>
      <c r="Y677" s="367"/>
      <c r="Z677" s="367"/>
    </row>
    <row r="678" ht="12.75" customHeight="1" spans="1:26">
      <c r="A678" s="363"/>
      <c r="B678" s="412"/>
      <c r="C678" s="367"/>
      <c r="D678" s="413"/>
      <c r="E678" s="413"/>
      <c r="F678" s="367"/>
      <c r="G678" s="367"/>
      <c r="H678" s="367"/>
      <c r="I678" s="367"/>
      <c r="J678" s="367"/>
      <c r="K678" s="367"/>
      <c r="L678" s="367"/>
      <c r="M678" s="367"/>
      <c r="N678" s="367"/>
      <c r="O678" s="367"/>
      <c r="P678" s="367"/>
      <c r="Q678" s="367"/>
      <c r="R678" s="367"/>
      <c r="S678" s="367"/>
      <c r="T678" s="367"/>
      <c r="U678" s="367"/>
      <c r="V678" s="367"/>
      <c r="W678" s="367"/>
      <c r="X678" s="367"/>
      <c r="Y678" s="367"/>
      <c r="Z678" s="367"/>
    </row>
    <row r="679" ht="12.75" customHeight="1" spans="1:26">
      <c r="A679" s="363"/>
      <c r="B679" s="412"/>
      <c r="C679" s="367"/>
      <c r="D679" s="413"/>
      <c r="E679" s="413"/>
      <c r="F679" s="367"/>
      <c r="G679" s="367"/>
      <c r="H679" s="367"/>
      <c r="I679" s="367"/>
      <c r="J679" s="367"/>
      <c r="K679" s="367"/>
      <c r="L679" s="367"/>
      <c r="M679" s="367"/>
      <c r="N679" s="367"/>
      <c r="O679" s="367"/>
      <c r="P679" s="367"/>
      <c r="Q679" s="367"/>
      <c r="R679" s="367"/>
      <c r="S679" s="367"/>
      <c r="T679" s="367"/>
      <c r="U679" s="367"/>
      <c r="V679" s="367"/>
      <c r="W679" s="367"/>
      <c r="X679" s="367"/>
      <c r="Y679" s="367"/>
      <c r="Z679" s="367"/>
    </row>
    <row r="680" ht="12.75" customHeight="1" spans="1:26">
      <c r="A680" s="363"/>
      <c r="B680" s="412"/>
      <c r="C680" s="367"/>
      <c r="D680" s="413"/>
      <c r="E680" s="413"/>
      <c r="F680" s="367"/>
      <c r="G680" s="367"/>
      <c r="H680" s="367"/>
      <c r="I680" s="367"/>
      <c r="J680" s="367"/>
      <c r="K680" s="367"/>
      <c r="L680" s="367"/>
      <c r="M680" s="367"/>
      <c r="N680" s="367"/>
      <c r="O680" s="367"/>
      <c r="P680" s="367"/>
      <c r="Q680" s="367"/>
      <c r="R680" s="367"/>
      <c r="S680" s="367"/>
      <c r="T680" s="367"/>
      <c r="U680" s="367"/>
      <c r="V680" s="367"/>
      <c r="W680" s="367"/>
      <c r="X680" s="367"/>
      <c r="Y680" s="367"/>
      <c r="Z680" s="367"/>
    </row>
    <row r="681" ht="12.75" customHeight="1" spans="1:26">
      <c r="A681" s="363"/>
      <c r="B681" s="412"/>
      <c r="C681" s="367"/>
      <c r="D681" s="413"/>
      <c r="E681" s="413"/>
      <c r="F681" s="367"/>
      <c r="G681" s="367"/>
      <c r="H681" s="367"/>
      <c r="I681" s="367"/>
      <c r="J681" s="367"/>
      <c r="K681" s="367"/>
      <c r="L681" s="367"/>
      <c r="M681" s="367"/>
      <c r="N681" s="367"/>
      <c r="O681" s="367"/>
      <c r="P681" s="367"/>
      <c r="Q681" s="367"/>
      <c r="R681" s="367"/>
      <c r="S681" s="367"/>
      <c r="T681" s="367"/>
      <c r="U681" s="367"/>
      <c r="V681" s="367"/>
      <c r="W681" s="367"/>
      <c r="X681" s="367"/>
      <c r="Y681" s="367"/>
      <c r="Z681" s="367"/>
    </row>
    <row r="682" ht="12.75" customHeight="1" spans="1:26">
      <c r="A682" s="363"/>
      <c r="B682" s="412"/>
      <c r="C682" s="367"/>
      <c r="D682" s="413"/>
      <c r="E682" s="413"/>
      <c r="F682" s="367"/>
      <c r="G682" s="367"/>
      <c r="H682" s="367"/>
      <c r="I682" s="367"/>
      <c r="J682" s="367"/>
      <c r="K682" s="367"/>
      <c r="L682" s="367"/>
      <c r="M682" s="367"/>
      <c r="N682" s="367"/>
      <c r="O682" s="367"/>
      <c r="P682" s="367"/>
      <c r="Q682" s="367"/>
      <c r="R682" s="367"/>
      <c r="S682" s="367"/>
      <c r="T682" s="367"/>
      <c r="U682" s="367"/>
      <c r="V682" s="367"/>
      <c r="W682" s="367"/>
      <c r="X682" s="367"/>
      <c r="Y682" s="367"/>
      <c r="Z682" s="367"/>
    </row>
    <row r="683" ht="12.75" customHeight="1" spans="1:26">
      <c r="A683" s="363"/>
      <c r="B683" s="412"/>
      <c r="C683" s="367"/>
      <c r="D683" s="413"/>
      <c r="E683" s="413"/>
      <c r="F683" s="367"/>
      <c r="G683" s="367"/>
      <c r="H683" s="367"/>
      <c r="I683" s="367"/>
      <c r="J683" s="367"/>
      <c r="K683" s="367"/>
      <c r="L683" s="367"/>
      <c r="M683" s="367"/>
      <c r="N683" s="367"/>
      <c r="O683" s="367"/>
      <c r="P683" s="367"/>
      <c r="Q683" s="367"/>
      <c r="R683" s="367"/>
      <c r="S683" s="367"/>
      <c r="T683" s="367"/>
      <c r="U683" s="367"/>
      <c r="V683" s="367"/>
      <c r="W683" s="367"/>
      <c r="X683" s="367"/>
      <c r="Y683" s="367"/>
      <c r="Z683" s="367"/>
    </row>
    <row r="684" ht="12.75" customHeight="1" spans="1:26">
      <c r="A684" s="363"/>
      <c r="B684" s="412"/>
      <c r="C684" s="367"/>
      <c r="D684" s="413"/>
      <c r="E684" s="413"/>
      <c r="F684" s="367"/>
      <c r="G684" s="367"/>
      <c r="H684" s="367"/>
      <c r="I684" s="367"/>
      <c r="J684" s="367"/>
      <c r="K684" s="367"/>
      <c r="L684" s="367"/>
      <c r="M684" s="367"/>
      <c r="N684" s="367"/>
      <c r="O684" s="367"/>
      <c r="P684" s="367"/>
      <c r="Q684" s="367"/>
      <c r="R684" s="367"/>
      <c r="S684" s="367"/>
      <c r="T684" s="367"/>
      <c r="U684" s="367"/>
      <c r="V684" s="367"/>
      <c r="W684" s="367"/>
      <c r="X684" s="367"/>
      <c r="Y684" s="367"/>
      <c r="Z684" s="367"/>
    </row>
    <row r="685" ht="12.75" customHeight="1" spans="1:26">
      <c r="A685" s="363"/>
      <c r="B685" s="412"/>
      <c r="C685" s="367"/>
      <c r="D685" s="413"/>
      <c r="E685" s="413"/>
      <c r="F685" s="367"/>
      <c r="G685" s="367"/>
      <c r="H685" s="367"/>
      <c r="I685" s="367"/>
      <c r="J685" s="367"/>
      <c r="K685" s="367"/>
      <c r="L685" s="367"/>
      <c r="M685" s="367"/>
      <c r="N685" s="367"/>
      <c r="O685" s="367"/>
      <c r="P685" s="367"/>
      <c r="Q685" s="367"/>
      <c r="R685" s="367"/>
      <c r="S685" s="367"/>
      <c r="T685" s="367"/>
      <c r="U685" s="367"/>
      <c r="V685" s="367"/>
      <c r="W685" s="367"/>
      <c r="X685" s="367"/>
      <c r="Y685" s="367"/>
      <c r="Z685" s="367"/>
    </row>
    <row r="686" ht="12.75" customHeight="1" spans="1:26">
      <c r="A686" s="363"/>
      <c r="B686" s="412"/>
      <c r="C686" s="367"/>
      <c r="D686" s="413"/>
      <c r="E686" s="413"/>
      <c r="F686" s="367"/>
      <c r="G686" s="367"/>
      <c r="H686" s="367"/>
      <c r="I686" s="367"/>
      <c r="J686" s="367"/>
      <c r="K686" s="367"/>
      <c r="L686" s="367"/>
      <c r="M686" s="367"/>
      <c r="N686" s="367"/>
      <c r="O686" s="367"/>
      <c r="P686" s="367"/>
      <c r="Q686" s="367"/>
      <c r="R686" s="367"/>
      <c r="S686" s="367"/>
      <c r="T686" s="367"/>
      <c r="U686" s="367"/>
      <c r="V686" s="367"/>
      <c r="W686" s="367"/>
      <c r="X686" s="367"/>
      <c r="Y686" s="367"/>
      <c r="Z686" s="367"/>
    </row>
    <row r="687" ht="12.75" customHeight="1" spans="1:26">
      <c r="A687" s="363"/>
      <c r="B687" s="412"/>
      <c r="C687" s="367"/>
      <c r="D687" s="413"/>
      <c r="E687" s="413"/>
      <c r="F687" s="367"/>
      <c r="G687" s="367"/>
      <c r="H687" s="367"/>
      <c r="I687" s="367"/>
      <c r="J687" s="367"/>
      <c r="K687" s="367"/>
      <c r="L687" s="367"/>
      <c r="M687" s="367"/>
      <c r="N687" s="367"/>
      <c r="O687" s="367"/>
      <c r="P687" s="367"/>
      <c r="Q687" s="367"/>
      <c r="R687" s="367"/>
      <c r="S687" s="367"/>
      <c r="T687" s="367"/>
      <c r="U687" s="367"/>
      <c r="V687" s="367"/>
      <c r="W687" s="367"/>
      <c r="X687" s="367"/>
      <c r="Y687" s="367"/>
      <c r="Z687" s="367"/>
    </row>
    <row r="688" ht="12.75" customHeight="1" spans="1:26">
      <c r="A688" s="363"/>
      <c r="B688" s="412"/>
      <c r="C688" s="367"/>
      <c r="D688" s="413"/>
      <c r="E688" s="413"/>
      <c r="F688" s="367"/>
      <c r="G688" s="367"/>
      <c r="H688" s="367"/>
      <c r="I688" s="367"/>
      <c r="J688" s="367"/>
      <c r="K688" s="367"/>
      <c r="L688" s="367"/>
      <c r="M688" s="367"/>
      <c r="N688" s="367"/>
      <c r="O688" s="367"/>
      <c r="P688" s="367"/>
      <c r="Q688" s="367"/>
      <c r="R688" s="367"/>
      <c r="S688" s="367"/>
      <c r="T688" s="367"/>
      <c r="U688" s="367"/>
      <c r="V688" s="367"/>
      <c r="W688" s="367"/>
      <c r="X688" s="367"/>
      <c r="Y688" s="367"/>
      <c r="Z688" s="367"/>
    </row>
    <row r="689" ht="12.75" customHeight="1" spans="1:26">
      <c r="A689" s="363"/>
      <c r="B689" s="412"/>
      <c r="C689" s="367"/>
      <c r="D689" s="413"/>
      <c r="E689" s="413"/>
      <c r="F689" s="367"/>
      <c r="G689" s="367"/>
      <c r="H689" s="367"/>
      <c r="I689" s="367"/>
      <c r="J689" s="367"/>
      <c r="K689" s="367"/>
      <c r="L689" s="367"/>
      <c r="M689" s="367"/>
      <c r="N689" s="367"/>
      <c r="O689" s="367"/>
      <c r="P689" s="367"/>
      <c r="Q689" s="367"/>
      <c r="R689" s="367"/>
      <c r="S689" s="367"/>
      <c r="T689" s="367"/>
      <c r="U689" s="367"/>
      <c r="V689" s="367"/>
      <c r="W689" s="367"/>
      <c r="X689" s="367"/>
      <c r="Y689" s="367"/>
      <c r="Z689" s="367"/>
    </row>
    <row r="690" ht="12.75" customHeight="1" spans="1:26">
      <c r="A690" s="363"/>
      <c r="B690" s="412"/>
      <c r="C690" s="367"/>
      <c r="D690" s="413"/>
      <c r="E690" s="413"/>
      <c r="F690" s="367"/>
      <c r="G690" s="367"/>
      <c r="H690" s="367"/>
      <c r="I690" s="367"/>
      <c r="J690" s="367"/>
      <c r="K690" s="367"/>
      <c r="L690" s="367"/>
      <c r="M690" s="367"/>
      <c r="N690" s="367"/>
      <c r="O690" s="367"/>
      <c r="P690" s="367"/>
      <c r="Q690" s="367"/>
      <c r="R690" s="367"/>
      <c r="S690" s="367"/>
      <c r="T690" s="367"/>
      <c r="U690" s="367"/>
      <c r="V690" s="367"/>
      <c r="W690" s="367"/>
      <c r="X690" s="367"/>
      <c r="Y690" s="367"/>
      <c r="Z690" s="367"/>
    </row>
    <row r="691" ht="12.75" customHeight="1" spans="1:26">
      <c r="A691" s="363"/>
      <c r="B691" s="412"/>
      <c r="C691" s="367"/>
      <c r="D691" s="413"/>
      <c r="E691" s="413"/>
      <c r="F691" s="367"/>
      <c r="G691" s="367"/>
      <c r="H691" s="367"/>
      <c r="I691" s="367"/>
      <c r="J691" s="367"/>
      <c r="K691" s="367"/>
      <c r="L691" s="367"/>
      <c r="M691" s="367"/>
      <c r="N691" s="367"/>
      <c r="O691" s="367"/>
      <c r="P691" s="367"/>
      <c r="Q691" s="367"/>
      <c r="R691" s="367"/>
      <c r="S691" s="367"/>
      <c r="T691" s="367"/>
      <c r="U691" s="367"/>
      <c r="V691" s="367"/>
      <c r="W691" s="367"/>
      <c r="X691" s="367"/>
      <c r="Y691" s="367"/>
      <c r="Z691" s="367"/>
    </row>
    <row r="692" ht="12.75" customHeight="1" spans="1:26">
      <c r="A692" s="363"/>
      <c r="B692" s="412"/>
      <c r="C692" s="367"/>
      <c r="D692" s="413"/>
      <c r="E692" s="413"/>
      <c r="F692" s="367"/>
      <c r="G692" s="367"/>
      <c r="H692" s="367"/>
      <c r="I692" s="367"/>
      <c r="J692" s="367"/>
      <c r="K692" s="367"/>
      <c r="L692" s="367"/>
      <c r="M692" s="367"/>
      <c r="N692" s="367"/>
      <c r="O692" s="367"/>
      <c r="P692" s="367"/>
      <c r="Q692" s="367"/>
      <c r="R692" s="367"/>
      <c r="S692" s="367"/>
      <c r="T692" s="367"/>
      <c r="U692" s="367"/>
      <c r="V692" s="367"/>
      <c r="W692" s="367"/>
      <c r="X692" s="367"/>
      <c r="Y692" s="367"/>
      <c r="Z692" s="367"/>
    </row>
    <row r="693" ht="12.75" customHeight="1" spans="1:26">
      <c r="A693" s="363"/>
      <c r="B693" s="412"/>
      <c r="C693" s="367"/>
      <c r="D693" s="413"/>
      <c r="E693" s="413"/>
      <c r="F693" s="367"/>
      <c r="G693" s="367"/>
      <c r="H693" s="367"/>
      <c r="I693" s="367"/>
      <c r="J693" s="367"/>
      <c r="K693" s="367"/>
      <c r="L693" s="367"/>
      <c r="M693" s="367"/>
      <c r="N693" s="367"/>
      <c r="O693" s="367"/>
      <c r="P693" s="367"/>
      <c r="Q693" s="367"/>
      <c r="R693" s="367"/>
      <c r="S693" s="367"/>
      <c r="T693" s="367"/>
      <c r="U693" s="367"/>
      <c r="V693" s="367"/>
      <c r="W693" s="367"/>
      <c r="X693" s="367"/>
      <c r="Y693" s="367"/>
      <c r="Z693" s="367"/>
    </row>
    <row r="694" ht="12.75" customHeight="1" spans="1:26">
      <c r="A694" s="363"/>
      <c r="B694" s="412"/>
      <c r="C694" s="367"/>
      <c r="D694" s="413"/>
      <c r="E694" s="413"/>
      <c r="F694" s="367"/>
      <c r="G694" s="367"/>
      <c r="H694" s="367"/>
      <c r="I694" s="367"/>
      <c r="J694" s="367"/>
      <c r="K694" s="367"/>
      <c r="L694" s="367"/>
      <c r="M694" s="367"/>
      <c r="N694" s="367"/>
      <c r="O694" s="367"/>
      <c r="P694" s="367"/>
      <c r="Q694" s="367"/>
      <c r="R694" s="367"/>
      <c r="S694" s="367"/>
      <c r="T694" s="367"/>
      <c r="U694" s="367"/>
      <c r="V694" s="367"/>
      <c r="W694" s="367"/>
      <c r="X694" s="367"/>
      <c r="Y694" s="367"/>
      <c r="Z694" s="367"/>
    </row>
    <row r="695" ht="12.75" customHeight="1" spans="1:26">
      <c r="A695" s="363"/>
      <c r="B695" s="412"/>
      <c r="C695" s="367"/>
      <c r="D695" s="413"/>
      <c r="E695" s="413"/>
      <c r="F695" s="367"/>
      <c r="G695" s="367"/>
      <c r="H695" s="367"/>
      <c r="I695" s="367"/>
      <c r="J695" s="367"/>
      <c r="K695" s="367"/>
      <c r="L695" s="367"/>
      <c r="M695" s="367"/>
      <c r="N695" s="367"/>
      <c r="O695" s="367"/>
      <c r="P695" s="367"/>
      <c r="Q695" s="367"/>
      <c r="R695" s="367"/>
      <c r="S695" s="367"/>
      <c r="T695" s="367"/>
      <c r="U695" s="367"/>
      <c r="V695" s="367"/>
      <c r="W695" s="367"/>
      <c r="X695" s="367"/>
      <c r="Y695" s="367"/>
      <c r="Z695" s="367"/>
    </row>
    <row r="696" ht="12.75" customHeight="1" spans="1:26">
      <c r="A696" s="363"/>
      <c r="B696" s="412"/>
      <c r="C696" s="367"/>
      <c r="D696" s="413"/>
      <c r="E696" s="413"/>
      <c r="F696" s="367"/>
      <c r="G696" s="367"/>
      <c r="H696" s="367"/>
      <c r="I696" s="367"/>
      <c r="J696" s="367"/>
      <c r="K696" s="367"/>
      <c r="L696" s="367"/>
      <c r="M696" s="367"/>
      <c r="N696" s="367"/>
      <c r="O696" s="367"/>
      <c r="P696" s="367"/>
      <c r="Q696" s="367"/>
      <c r="R696" s="367"/>
      <c r="S696" s="367"/>
      <c r="T696" s="367"/>
      <c r="U696" s="367"/>
      <c r="V696" s="367"/>
      <c r="W696" s="367"/>
      <c r="X696" s="367"/>
      <c r="Y696" s="367"/>
      <c r="Z696" s="367"/>
    </row>
    <row r="697" ht="12.75" customHeight="1" spans="1:26">
      <c r="A697" s="363"/>
      <c r="B697" s="412"/>
      <c r="C697" s="367"/>
      <c r="D697" s="413"/>
      <c r="E697" s="413"/>
      <c r="F697" s="367"/>
      <c r="G697" s="367"/>
      <c r="H697" s="367"/>
      <c r="I697" s="367"/>
      <c r="J697" s="367"/>
      <c r="K697" s="367"/>
      <c r="L697" s="367"/>
      <c r="M697" s="367"/>
      <c r="N697" s="367"/>
      <c r="O697" s="367"/>
      <c r="P697" s="367"/>
      <c r="Q697" s="367"/>
      <c r="R697" s="367"/>
      <c r="S697" s="367"/>
      <c r="T697" s="367"/>
      <c r="U697" s="367"/>
      <c r="V697" s="367"/>
      <c r="W697" s="367"/>
      <c r="X697" s="367"/>
      <c r="Y697" s="367"/>
      <c r="Z697" s="367"/>
    </row>
    <row r="698" ht="12.75" customHeight="1" spans="1:26">
      <c r="A698" s="363"/>
      <c r="B698" s="412"/>
      <c r="C698" s="367"/>
      <c r="D698" s="413"/>
      <c r="E698" s="413"/>
      <c r="F698" s="367"/>
      <c r="G698" s="367"/>
      <c r="H698" s="367"/>
      <c r="I698" s="367"/>
      <c r="J698" s="367"/>
      <c r="K698" s="367"/>
      <c r="L698" s="367"/>
      <c r="M698" s="367"/>
      <c r="N698" s="367"/>
      <c r="O698" s="367"/>
      <c r="P698" s="367"/>
      <c r="Q698" s="367"/>
      <c r="R698" s="367"/>
      <c r="S698" s="367"/>
      <c r="T698" s="367"/>
      <c r="U698" s="367"/>
      <c r="V698" s="367"/>
      <c r="W698" s="367"/>
      <c r="X698" s="367"/>
      <c r="Y698" s="367"/>
      <c r="Z698" s="367"/>
    </row>
    <row r="699" ht="12.75" customHeight="1" spans="1:26">
      <c r="A699" s="363"/>
      <c r="B699" s="412"/>
      <c r="C699" s="367"/>
      <c r="D699" s="413"/>
      <c r="E699" s="413"/>
      <c r="F699" s="367"/>
      <c r="G699" s="367"/>
      <c r="H699" s="367"/>
      <c r="I699" s="367"/>
      <c r="J699" s="367"/>
      <c r="K699" s="367"/>
      <c r="L699" s="367"/>
      <c r="M699" s="367"/>
      <c r="N699" s="367"/>
      <c r="O699" s="367"/>
      <c r="P699" s="367"/>
      <c r="Q699" s="367"/>
      <c r="R699" s="367"/>
      <c r="S699" s="367"/>
      <c r="T699" s="367"/>
      <c r="U699" s="367"/>
      <c r="V699" s="367"/>
      <c r="W699" s="367"/>
      <c r="X699" s="367"/>
      <c r="Y699" s="367"/>
      <c r="Z699" s="367"/>
    </row>
    <row r="700" ht="12.75" customHeight="1" spans="1:26">
      <c r="A700" s="363"/>
      <c r="B700" s="412"/>
      <c r="C700" s="367"/>
      <c r="D700" s="413"/>
      <c r="E700" s="413"/>
      <c r="F700" s="367"/>
      <c r="G700" s="367"/>
      <c r="H700" s="367"/>
      <c r="I700" s="367"/>
      <c r="J700" s="367"/>
      <c r="K700" s="367"/>
      <c r="L700" s="367"/>
      <c r="M700" s="367"/>
      <c r="N700" s="367"/>
      <c r="O700" s="367"/>
      <c r="P700" s="367"/>
      <c r="Q700" s="367"/>
      <c r="R700" s="367"/>
      <c r="S700" s="367"/>
      <c r="T700" s="367"/>
      <c r="U700" s="367"/>
      <c r="V700" s="367"/>
      <c r="W700" s="367"/>
      <c r="X700" s="367"/>
      <c r="Y700" s="367"/>
      <c r="Z700" s="367"/>
    </row>
    <row r="701" ht="12.75" customHeight="1" spans="1:26">
      <c r="A701" s="363"/>
      <c r="B701" s="412"/>
      <c r="C701" s="367"/>
      <c r="D701" s="413"/>
      <c r="E701" s="413"/>
      <c r="F701" s="367"/>
      <c r="G701" s="367"/>
      <c r="H701" s="367"/>
      <c r="I701" s="367"/>
      <c r="J701" s="367"/>
      <c r="K701" s="367"/>
      <c r="L701" s="367"/>
      <c r="M701" s="367"/>
      <c r="N701" s="367"/>
      <c r="O701" s="367"/>
      <c r="P701" s="367"/>
      <c r="Q701" s="367"/>
      <c r="R701" s="367"/>
      <c r="S701" s="367"/>
      <c r="T701" s="367"/>
      <c r="U701" s="367"/>
      <c r="V701" s="367"/>
      <c r="W701" s="367"/>
      <c r="X701" s="367"/>
      <c r="Y701" s="367"/>
      <c r="Z701" s="367"/>
    </row>
    <row r="702" ht="12.75" customHeight="1" spans="1:26">
      <c r="A702" s="363"/>
      <c r="B702" s="412"/>
      <c r="C702" s="367"/>
      <c r="D702" s="413"/>
      <c r="E702" s="413"/>
      <c r="F702" s="367"/>
      <c r="G702" s="367"/>
      <c r="H702" s="367"/>
      <c r="I702" s="367"/>
      <c r="J702" s="367"/>
      <c r="K702" s="367"/>
      <c r="L702" s="367"/>
      <c r="M702" s="367"/>
      <c r="N702" s="367"/>
      <c r="O702" s="367"/>
      <c r="P702" s="367"/>
      <c r="Q702" s="367"/>
      <c r="R702" s="367"/>
      <c r="S702" s="367"/>
      <c r="T702" s="367"/>
      <c r="U702" s="367"/>
      <c r="V702" s="367"/>
      <c r="W702" s="367"/>
      <c r="X702" s="367"/>
      <c r="Y702" s="367"/>
      <c r="Z702" s="367"/>
    </row>
    <row r="703" ht="12.75" customHeight="1" spans="1:26">
      <c r="A703" s="363"/>
      <c r="B703" s="412"/>
      <c r="C703" s="367"/>
      <c r="D703" s="413"/>
      <c r="E703" s="413"/>
      <c r="F703" s="367"/>
      <c r="G703" s="367"/>
      <c r="H703" s="367"/>
      <c r="I703" s="367"/>
      <c r="J703" s="367"/>
      <c r="K703" s="367"/>
      <c r="L703" s="367"/>
      <c r="M703" s="367"/>
      <c r="N703" s="367"/>
      <c r="O703" s="367"/>
      <c r="P703" s="367"/>
      <c r="Q703" s="367"/>
      <c r="R703" s="367"/>
      <c r="S703" s="367"/>
      <c r="T703" s="367"/>
      <c r="U703" s="367"/>
      <c r="V703" s="367"/>
      <c r="W703" s="367"/>
      <c r="X703" s="367"/>
      <c r="Y703" s="367"/>
      <c r="Z703" s="367"/>
    </row>
    <row r="704" ht="12.75" customHeight="1" spans="1:26">
      <c r="A704" s="363"/>
      <c r="B704" s="412"/>
      <c r="C704" s="367"/>
      <c r="D704" s="413"/>
      <c r="E704" s="413"/>
      <c r="F704" s="367"/>
      <c r="G704" s="367"/>
      <c r="H704" s="367"/>
      <c r="I704" s="367"/>
      <c r="J704" s="367"/>
      <c r="K704" s="367"/>
      <c r="L704" s="367"/>
      <c r="M704" s="367"/>
      <c r="N704" s="367"/>
      <c r="O704" s="367"/>
      <c r="P704" s="367"/>
      <c r="Q704" s="367"/>
      <c r="R704" s="367"/>
      <c r="S704" s="367"/>
      <c r="T704" s="367"/>
      <c r="U704" s="367"/>
      <c r="V704" s="367"/>
      <c r="W704" s="367"/>
      <c r="X704" s="367"/>
      <c r="Y704" s="367"/>
      <c r="Z704" s="367"/>
    </row>
    <row r="705" ht="12.75" customHeight="1" spans="1:26">
      <c r="A705" s="363"/>
      <c r="B705" s="412"/>
      <c r="C705" s="367"/>
      <c r="D705" s="413"/>
      <c r="E705" s="413"/>
      <c r="F705" s="367"/>
      <c r="G705" s="367"/>
      <c r="H705" s="367"/>
      <c r="I705" s="367"/>
      <c r="J705" s="367"/>
      <c r="K705" s="367"/>
      <c r="L705" s="367"/>
      <c r="M705" s="367"/>
      <c r="N705" s="367"/>
      <c r="O705" s="367"/>
      <c r="P705" s="367"/>
      <c r="Q705" s="367"/>
      <c r="R705" s="367"/>
      <c r="S705" s="367"/>
      <c r="T705" s="367"/>
      <c r="U705" s="367"/>
      <c r="V705" s="367"/>
      <c r="W705" s="367"/>
      <c r="X705" s="367"/>
      <c r="Y705" s="367"/>
      <c r="Z705" s="367"/>
    </row>
    <row r="706" ht="12.75" customHeight="1" spans="1:26">
      <c r="A706" s="363"/>
      <c r="B706" s="412"/>
      <c r="C706" s="367"/>
      <c r="D706" s="413"/>
      <c r="E706" s="413"/>
      <c r="F706" s="367"/>
      <c r="G706" s="367"/>
      <c r="H706" s="367"/>
      <c r="I706" s="367"/>
      <c r="J706" s="367"/>
      <c r="K706" s="367"/>
      <c r="L706" s="367"/>
      <c r="M706" s="367"/>
      <c r="N706" s="367"/>
      <c r="O706" s="367"/>
      <c r="P706" s="367"/>
      <c r="Q706" s="367"/>
      <c r="R706" s="367"/>
      <c r="S706" s="367"/>
      <c r="T706" s="367"/>
      <c r="U706" s="367"/>
      <c r="V706" s="367"/>
      <c r="W706" s="367"/>
      <c r="X706" s="367"/>
      <c r="Y706" s="367"/>
      <c r="Z706" s="367"/>
    </row>
    <row r="707" ht="12.75" customHeight="1" spans="1:26">
      <c r="A707" s="363"/>
      <c r="B707" s="412"/>
      <c r="C707" s="367"/>
      <c r="D707" s="413"/>
      <c r="E707" s="413"/>
      <c r="F707" s="367"/>
      <c r="G707" s="367"/>
      <c r="H707" s="367"/>
      <c r="I707" s="367"/>
      <c r="J707" s="367"/>
      <c r="K707" s="367"/>
      <c r="L707" s="367"/>
      <c r="M707" s="367"/>
      <c r="N707" s="367"/>
      <c r="O707" s="367"/>
      <c r="P707" s="367"/>
      <c r="Q707" s="367"/>
      <c r="R707" s="367"/>
      <c r="S707" s="367"/>
      <c r="T707" s="367"/>
      <c r="U707" s="367"/>
      <c r="V707" s="367"/>
      <c r="W707" s="367"/>
      <c r="X707" s="367"/>
      <c r="Y707" s="367"/>
      <c r="Z707" s="367"/>
    </row>
    <row r="708" ht="12.75" customHeight="1" spans="1:26">
      <c r="A708" s="363"/>
      <c r="B708" s="412"/>
      <c r="C708" s="367"/>
      <c r="D708" s="413"/>
      <c r="E708" s="413"/>
      <c r="F708" s="367"/>
      <c r="G708" s="367"/>
      <c r="H708" s="367"/>
      <c r="I708" s="367"/>
      <c r="J708" s="367"/>
      <c r="K708" s="367"/>
      <c r="L708" s="367"/>
      <c r="M708" s="367"/>
      <c r="N708" s="367"/>
      <c r="O708" s="367"/>
      <c r="P708" s="367"/>
      <c r="Q708" s="367"/>
      <c r="R708" s="367"/>
      <c r="S708" s="367"/>
      <c r="T708" s="367"/>
      <c r="U708" s="367"/>
      <c r="V708" s="367"/>
      <c r="W708" s="367"/>
      <c r="X708" s="367"/>
      <c r="Y708" s="367"/>
      <c r="Z708" s="367"/>
    </row>
    <row r="709" ht="12.75" customHeight="1" spans="1:26">
      <c r="A709" s="363"/>
      <c r="B709" s="412"/>
      <c r="C709" s="367"/>
      <c r="D709" s="413"/>
      <c r="E709" s="413"/>
      <c r="F709" s="367"/>
      <c r="G709" s="367"/>
      <c r="H709" s="367"/>
      <c r="I709" s="367"/>
      <c r="J709" s="367"/>
      <c r="K709" s="367"/>
      <c r="L709" s="367"/>
      <c r="M709" s="367"/>
      <c r="N709" s="367"/>
      <c r="O709" s="367"/>
      <c r="P709" s="367"/>
      <c r="Q709" s="367"/>
      <c r="R709" s="367"/>
      <c r="S709" s="367"/>
      <c r="T709" s="367"/>
      <c r="U709" s="367"/>
      <c r="V709" s="367"/>
      <c r="W709" s="367"/>
      <c r="X709" s="367"/>
      <c r="Y709" s="367"/>
      <c r="Z709" s="367"/>
    </row>
    <row r="710" ht="12.75" customHeight="1" spans="1:26">
      <c r="A710" s="363"/>
      <c r="B710" s="412"/>
      <c r="C710" s="367"/>
      <c r="D710" s="413"/>
      <c r="E710" s="413"/>
      <c r="F710" s="367"/>
      <c r="G710" s="367"/>
      <c r="H710" s="367"/>
      <c r="I710" s="367"/>
      <c r="J710" s="367"/>
      <c r="K710" s="367"/>
      <c r="L710" s="367"/>
      <c r="M710" s="367"/>
      <c r="N710" s="367"/>
      <c r="O710" s="367"/>
      <c r="P710" s="367"/>
      <c r="Q710" s="367"/>
      <c r="R710" s="367"/>
      <c r="S710" s="367"/>
      <c r="T710" s="367"/>
      <c r="U710" s="367"/>
      <c r="V710" s="367"/>
      <c r="W710" s="367"/>
      <c r="X710" s="367"/>
      <c r="Y710" s="367"/>
      <c r="Z710" s="367"/>
    </row>
    <row r="711" ht="12.75" customHeight="1" spans="1:26">
      <c r="A711" s="363"/>
      <c r="B711" s="412"/>
      <c r="C711" s="367"/>
      <c r="D711" s="413"/>
      <c r="E711" s="413"/>
      <c r="F711" s="367"/>
      <c r="G711" s="367"/>
      <c r="H711" s="367"/>
      <c r="I711" s="367"/>
      <c r="J711" s="367"/>
      <c r="K711" s="367"/>
      <c r="L711" s="367"/>
      <c r="M711" s="367"/>
      <c r="N711" s="367"/>
      <c r="O711" s="367"/>
      <c r="P711" s="367"/>
      <c r="Q711" s="367"/>
      <c r="R711" s="367"/>
      <c r="S711" s="367"/>
      <c r="T711" s="367"/>
      <c r="U711" s="367"/>
      <c r="V711" s="367"/>
      <c r="W711" s="367"/>
      <c r="X711" s="367"/>
      <c r="Y711" s="367"/>
      <c r="Z711" s="367"/>
    </row>
    <row r="712" ht="12.75" customHeight="1" spans="1:26">
      <c r="A712" s="363"/>
      <c r="B712" s="412"/>
      <c r="C712" s="367"/>
      <c r="D712" s="413"/>
      <c r="E712" s="413"/>
      <c r="F712" s="367"/>
      <c r="G712" s="367"/>
      <c r="H712" s="367"/>
      <c r="I712" s="367"/>
      <c r="J712" s="367"/>
      <c r="K712" s="367"/>
      <c r="L712" s="367"/>
      <c r="M712" s="367"/>
      <c r="N712" s="367"/>
      <c r="O712" s="367"/>
      <c r="P712" s="367"/>
      <c r="Q712" s="367"/>
      <c r="R712" s="367"/>
      <c r="S712" s="367"/>
      <c r="T712" s="367"/>
      <c r="U712" s="367"/>
      <c r="V712" s="367"/>
      <c r="W712" s="367"/>
      <c r="X712" s="367"/>
      <c r="Y712" s="367"/>
      <c r="Z712" s="367"/>
    </row>
    <row r="713" ht="12.75" customHeight="1" spans="1:26">
      <c r="A713" s="363"/>
      <c r="B713" s="412"/>
      <c r="C713" s="367"/>
      <c r="D713" s="413"/>
      <c r="E713" s="413"/>
      <c r="F713" s="367"/>
      <c r="G713" s="367"/>
      <c r="H713" s="367"/>
      <c r="I713" s="367"/>
      <c r="J713" s="367"/>
      <c r="K713" s="367"/>
      <c r="L713" s="367"/>
      <c r="M713" s="367"/>
      <c r="N713" s="367"/>
      <c r="O713" s="367"/>
      <c r="P713" s="367"/>
      <c r="Q713" s="367"/>
      <c r="R713" s="367"/>
      <c r="S713" s="367"/>
      <c r="T713" s="367"/>
      <c r="U713" s="367"/>
      <c r="V713" s="367"/>
      <c r="W713" s="367"/>
      <c r="X713" s="367"/>
      <c r="Y713" s="367"/>
      <c r="Z713" s="367"/>
    </row>
    <row r="714" ht="12.75" customHeight="1" spans="1:26">
      <c r="A714" s="363"/>
      <c r="B714" s="412"/>
      <c r="C714" s="367"/>
      <c r="D714" s="413"/>
      <c r="E714" s="413"/>
      <c r="F714" s="367"/>
      <c r="G714" s="367"/>
      <c r="H714" s="367"/>
      <c r="I714" s="367"/>
      <c r="J714" s="367"/>
      <c r="K714" s="367"/>
      <c r="L714" s="367"/>
      <c r="M714" s="367"/>
      <c r="N714" s="367"/>
      <c r="O714" s="367"/>
      <c r="P714" s="367"/>
      <c r="Q714" s="367"/>
      <c r="R714" s="367"/>
      <c r="S714" s="367"/>
      <c r="T714" s="367"/>
      <c r="U714" s="367"/>
      <c r="V714" s="367"/>
      <c r="W714" s="367"/>
      <c r="X714" s="367"/>
      <c r="Y714" s="367"/>
      <c r="Z714" s="367"/>
    </row>
    <row r="715" ht="12.75" customHeight="1" spans="1:26">
      <c r="A715" s="363"/>
      <c r="B715" s="412"/>
      <c r="C715" s="367"/>
      <c r="D715" s="413"/>
      <c r="E715" s="413"/>
      <c r="F715" s="367"/>
      <c r="G715" s="367"/>
      <c r="H715" s="367"/>
      <c r="I715" s="367"/>
      <c r="J715" s="367"/>
      <c r="K715" s="367"/>
      <c r="L715" s="367"/>
      <c r="M715" s="367"/>
      <c r="N715" s="367"/>
      <c r="O715" s="367"/>
      <c r="P715" s="367"/>
      <c r="Q715" s="367"/>
      <c r="R715" s="367"/>
      <c r="S715" s="367"/>
      <c r="T715" s="367"/>
      <c r="U715" s="367"/>
      <c r="V715" s="367"/>
      <c r="W715" s="367"/>
      <c r="X715" s="367"/>
      <c r="Y715" s="367"/>
      <c r="Z715" s="367"/>
    </row>
    <row r="716" ht="12.75" customHeight="1" spans="1:26">
      <c r="A716" s="363"/>
      <c r="B716" s="412"/>
      <c r="C716" s="367"/>
      <c r="D716" s="413"/>
      <c r="E716" s="413"/>
      <c r="F716" s="367"/>
      <c r="G716" s="367"/>
      <c r="H716" s="367"/>
      <c r="I716" s="367"/>
      <c r="J716" s="367"/>
      <c r="K716" s="367"/>
      <c r="L716" s="367"/>
      <c r="M716" s="367"/>
      <c r="N716" s="367"/>
      <c r="O716" s="367"/>
      <c r="P716" s="367"/>
      <c r="Q716" s="367"/>
      <c r="R716" s="367"/>
      <c r="S716" s="367"/>
      <c r="T716" s="367"/>
      <c r="U716" s="367"/>
      <c r="V716" s="367"/>
      <c r="W716" s="367"/>
      <c r="X716" s="367"/>
      <c r="Y716" s="367"/>
      <c r="Z716" s="367"/>
    </row>
    <row r="717" ht="12.75" customHeight="1" spans="1:26">
      <c r="A717" s="363"/>
      <c r="B717" s="412"/>
      <c r="C717" s="367"/>
      <c r="D717" s="413"/>
      <c r="E717" s="413"/>
      <c r="F717" s="367"/>
      <c r="G717" s="367"/>
      <c r="H717" s="367"/>
      <c r="I717" s="367"/>
      <c r="J717" s="367"/>
      <c r="K717" s="367"/>
      <c r="L717" s="367"/>
      <c r="M717" s="367"/>
      <c r="N717" s="367"/>
      <c r="O717" s="367"/>
      <c r="P717" s="367"/>
      <c r="Q717" s="367"/>
      <c r="R717" s="367"/>
      <c r="S717" s="367"/>
      <c r="T717" s="367"/>
      <c r="U717" s="367"/>
      <c r="V717" s="367"/>
      <c r="W717" s="367"/>
      <c r="X717" s="367"/>
      <c r="Y717" s="367"/>
      <c r="Z717" s="367"/>
    </row>
    <row r="718" ht="12.75" customHeight="1" spans="1:26">
      <c r="A718" s="363"/>
      <c r="B718" s="412"/>
      <c r="C718" s="367"/>
      <c r="D718" s="413"/>
      <c r="E718" s="413"/>
      <c r="F718" s="367"/>
      <c r="G718" s="367"/>
      <c r="H718" s="367"/>
      <c r="I718" s="367"/>
      <c r="J718" s="367"/>
      <c r="K718" s="367"/>
      <c r="L718" s="367"/>
      <c r="M718" s="367"/>
      <c r="N718" s="367"/>
      <c r="O718" s="367"/>
      <c r="P718" s="367"/>
      <c r="Q718" s="367"/>
      <c r="R718" s="367"/>
      <c r="S718" s="367"/>
      <c r="T718" s="367"/>
      <c r="U718" s="367"/>
      <c r="V718" s="367"/>
      <c r="W718" s="367"/>
      <c r="X718" s="367"/>
      <c r="Y718" s="367"/>
      <c r="Z718" s="367"/>
    </row>
    <row r="719" ht="12.75" customHeight="1" spans="1:26">
      <c r="A719" s="363"/>
      <c r="B719" s="412"/>
      <c r="C719" s="367"/>
      <c r="D719" s="413"/>
      <c r="E719" s="413"/>
      <c r="F719" s="367"/>
      <c r="G719" s="367"/>
      <c r="H719" s="367"/>
      <c r="I719" s="367"/>
      <c r="J719" s="367"/>
      <c r="K719" s="367"/>
      <c r="L719" s="367"/>
      <c r="M719" s="367"/>
      <c r="N719" s="367"/>
      <c r="O719" s="367"/>
      <c r="P719" s="367"/>
      <c r="Q719" s="367"/>
      <c r="R719" s="367"/>
      <c r="S719" s="367"/>
      <c r="T719" s="367"/>
      <c r="U719" s="367"/>
      <c r="V719" s="367"/>
      <c r="W719" s="367"/>
      <c r="X719" s="367"/>
      <c r="Y719" s="367"/>
      <c r="Z719" s="367"/>
    </row>
    <row r="720" ht="12.75" customHeight="1" spans="1:26">
      <c r="A720" s="363"/>
      <c r="B720" s="412"/>
      <c r="C720" s="367"/>
      <c r="D720" s="413"/>
      <c r="E720" s="413"/>
      <c r="F720" s="367"/>
      <c r="G720" s="367"/>
      <c r="H720" s="367"/>
      <c r="I720" s="367"/>
      <c r="J720" s="367"/>
      <c r="K720" s="367"/>
      <c r="L720" s="367"/>
      <c r="M720" s="367"/>
      <c r="N720" s="367"/>
      <c r="O720" s="367"/>
      <c r="P720" s="367"/>
      <c r="Q720" s="367"/>
      <c r="R720" s="367"/>
      <c r="S720" s="367"/>
      <c r="T720" s="367"/>
      <c r="U720" s="367"/>
      <c r="V720" s="367"/>
      <c r="W720" s="367"/>
      <c r="X720" s="367"/>
      <c r="Y720" s="367"/>
      <c r="Z720" s="367"/>
    </row>
    <row r="721" ht="12.75" customHeight="1" spans="1:26">
      <c r="A721" s="363"/>
      <c r="B721" s="412"/>
      <c r="C721" s="367"/>
      <c r="D721" s="413"/>
      <c r="E721" s="413"/>
      <c r="F721" s="367"/>
      <c r="G721" s="367"/>
      <c r="H721" s="367"/>
      <c r="I721" s="367"/>
      <c r="J721" s="367"/>
      <c r="K721" s="367"/>
      <c r="L721" s="367"/>
      <c r="M721" s="367"/>
      <c r="N721" s="367"/>
      <c r="O721" s="367"/>
      <c r="P721" s="367"/>
      <c r="Q721" s="367"/>
      <c r="R721" s="367"/>
      <c r="S721" s="367"/>
      <c r="T721" s="367"/>
      <c r="U721" s="367"/>
      <c r="V721" s="367"/>
      <c r="W721" s="367"/>
      <c r="X721" s="367"/>
      <c r="Y721" s="367"/>
      <c r="Z721" s="367"/>
    </row>
    <row r="722" ht="12.75" customHeight="1" spans="1:26">
      <c r="A722" s="363"/>
      <c r="B722" s="412"/>
      <c r="C722" s="367"/>
      <c r="D722" s="413"/>
      <c r="E722" s="413"/>
      <c r="F722" s="367"/>
      <c r="G722" s="367"/>
      <c r="H722" s="367"/>
      <c r="I722" s="367"/>
      <c r="J722" s="367"/>
      <c r="K722" s="367"/>
      <c r="L722" s="367"/>
      <c r="M722" s="367"/>
      <c r="N722" s="367"/>
      <c r="O722" s="367"/>
      <c r="P722" s="367"/>
      <c r="Q722" s="367"/>
      <c r="R722" s="367"/>
      <c r="S722" s="367"/>
      <c r="T722" s="367"/>
      <c r="U722" s="367"/>
      <c r="V722" s="367"/>
      <c r="W722" s="367"/>
      <c r="X722" s="367"/>
      <c r="Y722" s="367"/>
      <c r="Z722" s="367"/>
    </row>
    <row r="723" ht="12.75" customHeight="1" spans="1:26">
      <c r="A723" s="363"/>
      <c r="B723" s="412"/>
      <c r="C723" s="367"/>
      <c r="D723" s="413"/>
      <c r="E723" s="413"/>
      <c r="F723" s="367"/>
      <c r="G723" s="367"/>
      <c r="H723" s="367"/>
      <c r="I723" s="367"/>
      <c r="J723" s="367"/>
      <c r="K723" s="367"/>
      <c r="L723" s="367"/>
      <c r="M723" s="367"/>
      <c r="N723" s="367"/>
      <c r="O723" s="367"/>
      <c r="P723" s="367"/>
      <c r="Q723" s="367"/>
      <c r="R723" s="367"/>
      <c r="S723" s="367"/>
      <c r="T723" s="367"/>
      <c r="U723" s="367"/>
      <c r="V723" s="367"/>
      <c r="W723" s="367"/>
      <c r="X723" s="367"/>
      <c r="Y723" s="367"/>
      <c r="Z723" s="367"/>
    </row>
    <row r="724" ht="12.75" customHeight="1" spans="1:26">
      <c r="A724" s="363"/>
      <c r="B724" s="412"/>
      <c r="C724" s="367"/>
      <c r="D724" s="413"/>
      <c r="E724" s="413"/>
      <c r="F724" s="367"/>
      <c r="G724" s="367"/>
      <c r="H724" s="367"/>
      <c r="I724" s="367"/>
      <c r="J724" s="367"/>
      <c r="K724" s="367"/>
      <c r="L724" s="367"/>
      <c r="M724" s="367"/>
      <c r="N724" s="367"/>
      <c r="O724" s="367"/>
      <c r="P724" s="367"/>
      <c r="Q724" s="367"/>
      <c r="R724" s="367"/>
      <c r="S724" s="367"/>
      <c r="T724" s="367"/>
      <c r="U724" s="367"/>
      <c r="V724" s="367"/>
      <c r="W724" s="367"/>
      <c r="X724" s="367"/>
      <c r="Y724" s="367"/>
      <c r="Z724" s="367"/>
    </row>
    <row r="725" ht="12.75" customHeight="1" spans="1:26">
      <c r="A725" s="363"/>
      <c r="B725" s="412"/>
      <c r="C725" s="367"/>
      <c r="D725" s="413"/>
      <c r="E725" s="413"/>
      <c r="F725" s="367"/>
      <c r="G725" s="367"/>
      <c r="H725" s="367"/>
      <c r="I725" s="367"/>
      <c r="J725" s="367"/>
      <c r="K725" s="367"/>
      <c r="L725" s="367"/>
      <c r="M725" s="367"/>
      <c r="N725" s="367"/>
      <c r="O725" s="367"/>
      <c r="P725" s="367"/>
      <c r="Q725" s="367"/>
      <c r="R725" s="367"/>
      <c r="S725" s="367"/>
      <c r="T725" s="367"/>
      <c r="U725" s="367"/>
      <c r="V725" s="367"/>
      <c r="W725" s="367"/>
      <c r="X725" s="367"/>
      <c r="Y725" s="367"/>
      <c r="Z725" s="367"/>
    </row>
    <row r="726" ht="12.75" customHeight="1" spans="1:26">
      <c r="A726" s="363"/>
      <c r="B726" s="412"/>
      <c r="C726" s="367"/>
      <c r="D726" s="413"/>
      <c r="E726" s="413"/>
      <c r="F726" s="367"/>
      <c r="G726" s="367"/>
      <c r="H726" s="367"/>
      <c r="I726" s="367"/>
      <c r="J726" s="367"/>
      <c r="K726" s="367"/>
      <c r="L726" s="367"/>
      <c r="M726" s="367"/>
      <c r="N726" s="367"/>
      <c r="O726" s="367"/>
      <c r="P726" s="367"/>
      <c r="Q726" s="367"/>
      <c r="R726" s="367"/>
      <c r="S726" s="367"/>
      <c r="T726" s="367"/>
      <c r="U726" s="367"/>
      <c r="V726" s="367"/>
      <c r="W726" s="367"/>
      <c r="X726" s="367"/>
      <c r="Y726" s="367"/>
      <c r="Z726" s="367"/>
    </row>
    <row r="727" ht="12.75" customHeight="1" spans="1:26">
      <c r="A727" s="363"/>
      <c r="B727" s="412"/>
      <c r="C727" s="367"/>
      <c r="D727" s="413"/>
      <c r="E727" s="413"/>
      <c r="F727" s="367"/>
      <c r="G727" s="367"/>
      <c r="H727" s="367"/>
      <c r="I727" s="367"/>
      <c r="J727" s="367"/>
      <c r="K727" s="367"/>
      <c r="L727" s="367"/>
      <c r="M727" s="367"/>
      <c r="N727" s="367"/>
      <c r="O727" s="367"/>
      <c r="P727" s="367"/>
      <c r="Q727" s="367"/>
      <c r="R727" s="367"/>
      <c r="S727" s="367"/>
      <c r="T727" s="367"/>
      <c r="U727" s="367"/>
      <c r="V727" s="367"/>
      <c r="W727" s="367"/>
      <c r="X727" s="367"/>
      <c r="Y727" s="367"/>
      <c r="Z727" s="367"/>
    </row>
    <row r="728" ht="12.75" customHeight="1" spans="1:26">
      <c r="A728" s="363"/>
      <c r="B728" s="412"/>
      <c r="C728" s="367"/>
      <c r="D728" s="413"/>
      <c r="E728" s="413"/>
      <c r="F728" s="367"/>
      <c r="G728" s="367"/>
      <c r="H728" s="367"/>
      <c r="I728" s="367"/>
      <c r="J728" s="367"/>
      <c r="K728" s="367"/>
      <c r="L728" s="367"/>
      <c r="M728" s="367"/>
      <c r="N728" s="367"/>
      <c r="O728" s="367"/>
      <c r="P728" s="367"/>
      <c r="Q728" s="367"/>
      <c r="R728" s="367"/>
      <c r="S728" s="367"/>
      <c r="T728" s="367"/>
      <c r="U728" s="367"/>
      <c r="V728" s="367"/>
      <c r="W728" s="367"/>
      <c r="X728" s="367"/>
      <c r="Y728" s="367"/>
      <c r="Z728" s="367"/>
    </row>
    <row r="729" ht="12.75" customHeight="1" spans="1:26">
      <c r="A729" s="363"/>
      <c r="B729" s="412"/>
      <c r="C729" s="367"/>
      <c r="D729" s="413"/>
      <c r="E729" s="413"/>
      <c r="F729" s="367"/>
      <c r="G729" s="367"/>
      <c r="H729" s="367"/>
      <c r="I729" s="367"/>
      <c r="J729" s="367"/>
      <c r="K729" s="367"/>
      <c r="L729" s="367"/>
      <c r="M729" s="367"/>
      <c r="N729" s="367"/>
      <c r="O729" s="367"/>
      <c r="P729" s="367"/>
      <c r="Q729" s="367"/>
      <c r="R729" s="367"/>
      <c r="S729" s="367"/>
      <c r="T729" s="367"/>
      <c r="U729" s="367"/>
      <c r="V729" s="367"/>
      <c r="W729" s="367"/>
      <c r="X729" s="367"/>
      <c r="Y729" s="367"/>
      <c r="Z729" s="367"/>
    </row>
    <row r="730" ht="12.75" customHeight="1" spans="1:26">
      <c r="A730" s="363"/>
      <c r="B730" s="412"/>
      <c r="C730" s="367"/>
      <c r="D730" s="413"/>
      <c r="E730" s="413"/>
      <c r="F730" s="367"/>
      <c r="G730" s="367"/>
      <c r="H730" s="367"/>
      <c r="I730" s="367"/>
      <c r="J730" s="367"/>
      <c r="K730" s="367"/>
      <c r="L730" s="367"/>
      <c r="M730" s="367"/>
      <c r="N730" s="367"/>
      <c r="O730" s="367"/>
      <c r="P730" s="367"/>
      <c r="Q730" s="367"/>
      <c r="R730" s="367"/>
      <c r="S730" s="367"/>
      <c r="T730" s="367"/>
      <c r="U730" s="367"/>
      <c r="V730" s="367"/>
      <c r="W730" s="367"/>
      <c r="X730" s="367"/>
      <c r="Y730" s="367"/>
      <c r="Z730" s="367"/>
    </row>
    <row r="731" ht="12.75" customHeight="1" spans="1:26">
      <c r="A731" s="363"/>
      <c r="B731" s="412"/>
      <c r="C731" s="367"/>
      <c r="D731" s="413"/>
      <c r="E731" s="413"/>
      <c r="F731" s="367"/>
      <c r="G731" s="367"/>
      <c r="H731" s="367"/>
      <c r="I731" s="367"/>
      <c r="J731" s="367"/>
      <c r="K731" s="367"/>
      <c r="L731" s="367"/>
      <c r="M731" s="367"/>
      <c r="N731" s="367"/>
      <c r="O731" s="367"/>
      <c r="P731" s="367"/>
      <c r="Q731" s="367"/>
      <c r="R731" s="367"/>
      <c r="S731" s="367"/>
      <c r="T731" s="367"/>
      <c r="U731" s="367"/>
      <c r="V731" s="367"/>
      <c r="W731" s="367"/>
      <c r="X731" s="367"/>
      <c r="Y731" s="367"/>
      <c r="Z731" s="367"/>
    </row>
    <row r="732" ht="12.75" customHeight="1" spans="1:26">
      <c r="A732" s="363"/>
      <c r="B732" s="412"/>
      <c r="C732" s="367"/>
      <c r="D732" s="413"/>
      <c r="E732" s="413"/>
      <c r="F732" s="367"/>
      <c r="G732" s="367"/>
      <c r="H732" s="367"/>
      <c r="I732" s="367"/>
      <c r="J732" s="367"/>
      <c r="K732" s="367"/>
      <c r="L732" s="367"/>
      <c r="M732" s="367"/>
      <c r="N732" s="367"/>
      <c r="O732" s="367"/>
      <c r="P732" s="367"/>
      <c r="Q732" s="367"/>
      <c r="R732" s="367"/>
      <c r="S732" s="367"/>
      <c r="T732" s="367"/>
      <c r="U732" s="367"/>
      <c r="V732" s="367"/>
      <c r="W732" s="367"/>
      <c r="X732" s="367"/>
      <c r="Y732" s="367"/>
      <c r="Z732" s="367"/>
    </row>
    <row r="733" ht="12.75" customHeight="1" spans="1:26">
      <c r="A733" s="363"/>
      <c r="B733" s="412"/>
      <c r="C733" s="367"/>
      <c r="D733" s="413"/>
      <c r="E733" s="413"/>
      <c r="F733" s="367"/>
      <c r="G733" s="367"/>
      <c r="H733" s="367"/>
      <c r="I733" s="367"/>
      <c r="J733" s="367"/>
      <c r="K733" s="367"/>
      <c r="L733" s="367"/>
      <c r="M733" s="367"/>
      <c r="N733" s="367"/>
      <c r="O733" s="367"/>
      <c r="P733" s="367"/>
      <c r="Q733" s="367"/>
      <c r="R733" s="367"/>
      <c r="S733" s="367"/>
      <c r="T733" s="367"/>
      <c r="U733" s="367"/>
      <c r="V733" s="367"/>
      <c r="W733" s="367"/>
      <c r="X733" s="367"/>
      <c r="Y733" s="367"/>
      <c r="Z733" s="367"/>
    </row>
    <row r="734" ht="12.75" customHeight="1" spans="1:26">
      <c r="A734" s="363"/>
      <c r="B734" s="412"/>
      <c r="C734" s="367"/>
      <c r="D734" s="413"/>
      <c r="E734" s="413"/>
      <c r="F734" s="367"/>
      <c r="G734" s="367"/>
      <c r="H734" s="367"/>
      <c r="I734" s="367"/>
      <c r="J734" s="367"/>
      <c r="K734" s="367"/>
      <c r="L734" s="367"/>
      <c r="M734" s="367"/>
      <c r="N734" s="367"/>
      <c r="O734" s="367"/>
      <c r="P734" s="367"/>
      <c r="Q734" s="367"/>
      <c r="R734" s="367"/>
      <c r="S734" s="367"/>
      <c r="T734" s="367"/>
      <c r="U734" s="367"/>
      <c r="V734" s="367"/>
      <c r="W734" s="367"/>
      <c r="X734" s="367"/>
      <c r="Y734" s="367"/>
      <c r="Z734" s="367"/>
    </row>
    <row r="735" ht="12.75" customHeight="1" spans="1:26">
      <c r="A735" s="363"/>
      <c r="B735" s="412"/>
      <c r="C735" s="367"/>
      <c r="D735" s="413"/>
      <c r="E735" s="413"/>
      <c r="F735" s="367"/>
      <c r="G735" s="367"/>
      <c r="H735" s="367"/>
      <c r="I735" s="367"/>
      <c r="J735" s="367"/>
      <c r="K735" s="367"/>
      <c r="L735" s="367"/>
      <c r="M735" s="367"/>
      <c r="N735" s="367"/>
      <c r="O735" s="367"/>
      <c r="P735" s="367"/>
      <c r="Q735" s="367"/>
      <c r="R735" s="367"/>
      <c r="S735" s="367"/>
      <c r="T735" s="367"/>
      <c r="U735" s="367"/>
      <c r="V735" s="367"/>
      <c r="W735" s="367"/>
      <c r="X735" s="367"/>
      <c r="Y735" s="367"/>
      <c r="Z735" s="367"/>
    </row>
    <row r="736" ht="12.75" customHeight="1" spans="1:26">
      <c r="A736" s="363"/>
      <c r="B736" s="412"/>
      <c r="C736" s="367"/>
      <c r="D736" s="413"/>
      <c r="E736" s="413"/>
      <c r="F736" s="367"/>
      <c r="G736" s="367"/>
      <c r="H736" s="367"/>
      <c r="I736" s="367"/>
      <c r="J736" s="367"/>
      <c r="K736" s="367"/>
      <c r="L736" s="367"/>
      <c r="M736" s="367"/>
      <c r="N736" s="367"/>
      <c r="O736" s="367"/>
      <c r="P736" s="367"/>
      <c r="Q736" s="367"/>
      <c r="R736" s="367"/>
      <c r="S736" s="367"/>
      <c r="T736" s="367"/>
      <c r="U736" s="367"/>
      <c r="V736" s="367"/>
      <c r="W736" s="367"/>
      <c r="X736" s="367"/>
      <c r="Y736" s="367"/>
      <c r="Z736" s="367"/>
    </row>
    <row r="737" ht="12.75" customHeight="1" spans="1:26">
      <c r="A737" s="363"/>
      <c r="B737" s="412"/>
      <c r="C737" s="367"/>
      <c r="D737" s="413"/>
      <c r="E737" s="413"/>
      <c r="F737" s="367"/>
      <c r="G737" s="367"/>
      <c r="H737" s="367"/>
      <c r="I737" s="367"/>
      <c r="J737" s="367"/>
      <c r="K737" s="367"/>
      <c r="L737" s="367"/>
      <c r="M737" s="367"/>
      <c r="N737" s="367"/>
      <c r="O737" s="367"/>
      <c r="P737" s="367"/>
      <c r="Q737" s="367"/>
      <c r="R737" s="367"/>
      <c r="S737" s="367"/>
      <c r="T737" s="367"/>
      <c r="U737" s="367"/>
      <c r="V737" s="367"/>
      <c r="W737" s="367"/>
      <c r="X737" s="367"/>
      <c r="Y737" s="367"/>
      <c r="Z737" s="367"/>
    </row>
    <row r="738" ht="12.75" customHeight="1" spans="1:26">
      <c r="A738" s="363"/>
      <c r="B738" s="412"/>
      <c r="C738" s="367"/>
      <c r="D738" s="413"/>
      <c r="E738" s="413"/>
      <c r="F738" s="367"/>
      <c r="G738" s="367"/>
      <c r="H738" s="367"/>
      <c r="I738" s="367"/>
      <c r="J738" s="367"/>
      <c r="K738" s="367"/>
      <c r="L738" s="367"/>
      <c r="M738" s="367"/>
      <c r="N738" s="367"/>
      <c r="O738" s="367"/>
      <c r="P738" s="367"/>
      <c r="Q738" s="367"/>
      <c r="R738" s="367"/>
      <c r="S738" s="367"/>
      <c r="T738" s="367"/>
      <c r="U738" s="367"/>
      <c r="V738" s="367"/>
      <c r="W738" s="367"/>
      <c r="X738" s="367"/>
      <c r="Y738" s="367"/>
      <c r="Z738" s="367"/>
    </row>
    <row r="739" ht="12.75" customHeight="1" spans="1:26">
      <c r="A739" s="363"/>
      <c r="B739" s="412"/>
      <c r="C739" s="367"/>
      <c r="D739" s="413"/>
      <c r="E739" s="413"/>
      <c r="F739" s="367"/>
      <c r="G739" s="367"/>
      <c r="H739" s="367"/>
      <c r="I739" s="367"/>
      <c r="J739" s="367"/>
      <c r="K739" s="367"/>
      <c r="L739" s="367"/>
      <c r="M739" s="367"/>
      <c r="N739" s="367"/>
      <c r="O739" s="367"/>
      <c r="P739" s="367"/>
      <c r="Q739" s="367"/>
      <c r="R739" s="367"/>
      <c r="S739" s="367"/>
      <c r="T739" s="367"/>
      <c r="U739" s="367"/>
      <c r="V739" s="367"/>
      <c r="W739" s="367"/>
      <c r="X739" s="367"/>
      <c r="Y739" s="367"/>
      <c r="Z739" s="367"/>
    </row>
    <row r="740" ht="12.75" customHeight="1" spans="1:26">
      <c r="A740" s="363"/>
      <c r="B740" s="412"/>
      <c r="C740" s="367"/>
      <c r="D740" s="413"/>
      <c r="E740" s="413"/>
      <c r="F740" s="367"/>
      <c r="G740" s="367"/>
      <c r="H740" s="367"/>
      <c r="I740" s="367"/>
      <c r="J740" s="367"/>
      <c r="K740" s="367"/>
      <c r="L740" s="367"/>
      <c r="M740" s="367"/>
      <c r="N740" s="367"/>
      <c r="O740" s="367"/>
      <c r="P740" s="367"/>
      <c r="Q740" s="367"/>
      <c r="R740" s="367"/>
      <c r="S740" s="367"/>
      <c r="T740" s="367"/>
      <c r="U740" s="367"/>
      <c r="V740" s="367"/>
      <c r="W740" s="367"/>
      <c r="X740" s="367"/>
      <c r="Y740" s="367"/>
      <c r="Z740" s="367"/>
    </row>
    <row r="741" ht="12.75" customHeight="1" spans="1:26">
      <c r="A741" s="363"/>
      <c r="B741" s="412"/>
      <c r="C741" s="367"/>
      <c r="D741" s="413"/>
      <c r="E741" s="413"/>
      <c r="F741" s="367"/>
      <c r="G741" s="367"/>
      <c r="H741" s="367"/>
      <c r="I741" s="367"/>
      <c r="J741" s="367"/>
      <c r="K741" s="367"/>
      <c r="L741" s="367"/>
      <c r="M741" s="367"/>
      <c r="N741" s="367"/>
      <c r="O741" s="367"/>
      <c r="P741" s="367"/>
      <c r="Q741" s="367"/>
      <c r="R741" s="367"/>
      <c r="S741" s="367"/>
      <c r="T741" s="367"/>
      <c r="U741" s="367"/>
      <c r="V741" s="367"/>
      <c r="W741" s="367"/>
      <c r="X741" s="367"/>
      <c r="Y741" s="367"/>
      <c r="Z741" s="367"/>
    </row>
    <row r="742" ht="12.75" customHeight="1" spans="1:26">
      <c r="A742" s="363"/>
      <c r="B742" s="412"/>
      <c r="C742" s="367"/>
      <c r="D742" s="413"/>
      <c r="E742" s="413"/>
      <c r="F742" s="367"/>
      <c r="G742" s="367"/>
      <c r="H742" s="367"/>
      <c r="I742" s="367"/>
      <c r="J742" s="367"/>
      <c r="K742" s="367"/>
      <c r="L742" s="367"/>
      <c r="M742" s="367"/>
      <c r="N742" s="367"/>
      <c r="O742" s="367"/>
      <c r="P742" s="367"/>
      <c r="Q742" s="367"/>
      <c r="R742" s="367"/>
      <c r="S742" s="367"/>
      <c r="T742" s="367"/>
      <c r="U742" s="367"/>
      <c r="V742" s="367"/>
      <c r="W742" s="367"/>
      <c r="X742" s="367"/>
      <c r="Y742" s="367"/>
      <c r="Z742" s="367"/>
    </row>
    <row r="743" ht="12.75" customHeight="1" spans="1:26">
      <c r="A743" s="363"/>
      <c r="B743" s="412"/>
      <c r="C743" s="367"/>
      <c r="D743" s="413"/>
      <c r="E743" s="413"/>
      <c r="F743" s="367"/>
      <c r="G743" s="367"/>
      <c r="H743" s="367"/>
      <c r="I743" s="367"/>
      <c r="J743" s="367"/>
      <c r="K743" s="367"/>
      <c r="L743" s="367"/>
      <c r="M743" s="367"/>
      <c r="N743" s="367"/>
      <c r="O743" s="367"/>
      <c r="P743" s="367"/>
      <c r="Q743" s="367"/>
      <c r="R743" s="367"/>
      <c r="S743" s="367"/>
      <c r="T743" s="367"/>
      <c r="U743" s="367"/>
      <c r="V743" s="367"/>
      <c r="W743" s="367"/>
      <c r="X743" s="367"/>
      <c r="Y743" s="367"/>
      <c r="Z743" s="367"/>
    </row>
    <row r="744" ht="12.75" customHeight="1" spans="1:26">
      <c r="A744" s="363"/>
      <c r="B744" s="412"/>
      <c r="C744" s="367"/>
      <c r="D744" s="413"/>
      <c r="E744" s="413"/>
      <c r="F744" s="367"/>
      <c r="G744" s="367"/>
      <c r="H744" s="367"/>
      <c r="I744" s="367"/>
      <c r="J744" s="367"/>
      <c r="K744" s="367"/>
      <c r="L744" s="367"/>
      <c r="M744" s="367"/>
      <c r="N744" s="367"/>
      <c r="O744" s="367"/>
      <c r="P744" s="367"/>
      <c r="Q744" s="367"/>
      <c r="R744" s="367"/>
      <c r="S744" s="367"/>
      <c r="T744" s="367"/>
      <c r="U744" s="367"/>
      <c r="V744" s="367"/>
      <c r="W744" s="367"/>
      <c r="X744" s="367"/>
      <c r="Y744" s="367"/>
      <c r="Z744" s="367"/>
    </row>
    <row r="745" ht="12.75" customHeight="1" spans="1:26">
      <c r="A745" s="363"/>
      <c r="B745" s="412"/>
      <c r="C745" s="367"/>
      <c r="D745" s="413"/>
      <c r="E745" s="413"/>
      <c r="F745" s="367"/>
      <c r="G745" s="367"/>
      <c r="H745" s="367"/>
      <c r="I745" s="367"/>
      <c r="J745" s="367"/>
      <c r="K745" s="367"/>
      <c r="L745" s="367"/>
      <c r="M745" s="367"/>
      <c r="N745" s="367"/>
      <c r="O745" s="367"/>
      <c r="P745" s="367"/>
      <c r="Q745" s="367"/>
      <c r="R745" s="367"/>
      <c r="S745" s="367"/>
      <c r="T745" s="367"/>
      <c r="U745" s="367"/>
      <c r="V745" s="367"/>
      <c r="W745" s="367"/>
      <c r="X745" s="367"/>
      <c r="Y745" s="367"/>
      <c r="Z745" s="367"/>
    </row>
    <row r="746" ht="12.75" customHeight="1" spans="1:26">
      <c r="A746" s="363"/>
      <c r="B746" s="412"/>
      <c r="C746" s="367"/>
      <c r="D746" s="413"/>
      <c r="E746" s="413"/>
      <c r="F746" s="367"/>
      <c r="G746" s="367"/>
      <c r="H746" s="367"/>
      <c r="I746" s="367"/>
      <c r="J746" s="367"/>
      <c r="K746" s="367"/>
      <c r="L746" s="367"/>
      <c r="M746" s="367"/>
      <c r="N746" s="367"/>
      <c r="O746" s="367"/>
      <c r="P746" s="367"/>
      <c r="Q746" s="367"/>
      <c r="R746" s="367"/>
      <c r="S746" s="367"/>
      <c r="T746" s="367"/>
      <c r="U746" s="367"/>
      <c r="V746" s="367"/>
      <c r="W746" s="367"/>
      <c r="X746" s="367"/>
      <c r="Y746" s="367"/>
      <c r="Z746" s="367"/>
    </row>
    <row r="747" ht="12.75" customHeight="1" spans="1:26">
      <c r="A747" s="363"/>
      <c r="B747" s="412"/>
      <c r="C747" s="367"/>
      <c r="D747" s="413"/>
      <c r="E747" s="413"/>
      <c r="F747" s="367"/>
      <c r="G747" s="367"/>
      <c r="H747" s="367"/>
      <c r="I747" s="367"/>
      <c r="J747" s="367"/>
      <c r="K747" s="367"/>
      <c r="L747" s="367"/>
      <c r="M747" s="367"/>
      <c r="N747" s="367"/>
      <c r="O747" s="367"/>
      <c r="P747" s="367"/>
      <c r="Q747" s="367"/>
      <c r="R747" s="367"/>
      <c r="S747" s="367"/>
      <c r="T747" s="367"/>
      <c r="U747" s="367"/>
      <c r="V747" s="367"/>
      <c r="W747" s="367"/>
      <c r="X747" s="367"/>
      <c r="Y747" s="367"/>
      <c r="Z747" s="367"/>
    </row>
    <row r="748" ht="12.75" customHeight="1" spans="1:26">
      <c r="A748" s="363"/>
      <c r="B748" s="412"/>
      <c r="C748" s="367"/>
      <c r="D748" s="413"/>
      <c r="E748" s="413"/>
      <c r="F748" s="367"/>
      <c r="G748" s="367"/>
      <c r="H748" s="367"/>
      <c r="I748" s="367"/>
      <c r="J748" s="367"/>
      <c r="K748" s="367"/>
      <c r="L748" s="367"/>
      <c r="M748" s="367"/>
      <c r="N748" s="367"/>
      <c r="O748" s="367"/>
      <c r="P748" s="367"/>
      <c r="Q748" s="367"/>
      <c r="R748" s="367"/>
      <c r="S748" s="367"/>
      <c r="T748" s="367"/>
      <c r="U748" s="367"/>
      <c r="V748" s="367"/>
      <c r="W748" s="367"/>
      <c r="X748" s="367"/>
      <c r="Y748" s="367"/>
      <c r="Z748" s="367"/>
    </row>
    <row r="749" ht="12.75" customHeight="1" spans="1:26">
      <c r="A749" s="363"/>
      <c r="B749" s="412"/>
      <c r="C749" s="367"/>
      <c r="D749" s="413"/>
      <c r="E749" s="413"/>
      <c r="F749" s="367"/>
      <c r="G749" s="367"/>
      <c r="H749" s="367"/>
      <c r="I749" s="367"/>
      <c r="J749" s="367"/>
      <c r="K749" s="367"/>
      <c r="L749" s="367"/>
      <c r="M749" s="367"/>
      <c r="N749" s="367"/>
      <c r="O749" s="367"/>
      <c r="P749" s="367"/>
      <c r="Q749" s="367"/>
      <c r="R749" s="367"/>
      <c r="S749" s="367"/>
      <c r="T749" s="367"/>
      <c r="U749" s="367"/>
      <c r="V749" s="367"/>
      <c r="W749" s="367"/>
      <c r="X749" s="367"/>
      <c r="Y749" s="367"/>
      <c r="Z749" s="367"/>
    </row>
    <row r="750" ht="12.75" customHeight="1" spans="1:26">
      <c r="A750" s="363"/>
      <c r="B750" s="412"/>
      <c r="C750" s="367"/>
      <c r="D750" s="413"/>
      <c r="E750" s="413"/>
      <c r="F750" s="367"/>
      <c r="G750" s="367"/>
      <c r="H750" s="367"/>
      <c r="I750" s="367"/>
      <c r="J750" s="367"/>
      <c r="K750" s="367"/>
      <c r="L750" s="367"/>
      <c r="M750" s="367"/>
      <c r="N750" s="367"/>
      <c r="O750" s="367"/>
      <c r="P750" s="367"/>
      <c r="Q750" s="367"/>
      <c r="R750" s="367"/>
      <c r="S750" s="367"/>
      <c r="T750" s="367"/>
      <c r="U750" s="367"/>
      <c r="V750" s="367"/>
      <c r="W750" s="367"/>
      <c r="X750" s="367"/>
      <c r="Y750" s="367"/>
      <c r="Z750" s="367"/>
    </row>
    <row r="751" ht="12.75" customHeight="1" spans="1:26">
      <c r="A751" s="363"/>
      <c r="B751" s="412"/>
      <c r="C751" s="367"/>
      <c r="D751" s="413"/>
      <c r="E751" s="413"/>
      <c r="F751" s="367"/>
      <c r="G751" s="367"/>
      <c r="H751" s="367"/>
      <c r="I751" s="367"/>
      <c r="J751" s="367"/>
      <c r="K751" s="367"/>
      <c r="L751" s="367"/>
      <c r="M751" s="367"/>
      <c r="N751" s="367"/>
      <c r="O751" s="367"/>
      <c r="P751" s="367"/>
      <c r="Q751" s="367"/>
      <c r="R751" s="367"/>
      <c r="S751" s="367"/>
      <c r="T751" s="367"/>
      <c r="U751" s="367"/>
      <c r="V751" s="367"/>
      <c r="W751" s="367"/>
      <c r="X751" s="367"/>
      <c r="Y751" s="367"/>
      <c r="Z751" s="367"/>
    </row>
    <row r="752" ht="12.75" customHeight="1" spans="1:26">
      <c r="A752" s="363"/>
      <c r="B752" s="412"/>
      <c r="C752" s="367"/>
      <c r="D752" s="413"/>
      <c r="E752" s="413"/>
      <c r="F752" s="367"/>
      <c r="G752" s="367"/>
      <c r="H752" s="367"/>
      <c r="I752" s="367"/>
      <c r="J752" s="367"/>
      <c r="K752" s="367"/>
      <c r="L752" s="367"/>
      <c r="M752" s="367"/>
      <c r="N752" s="367"/>
      <c r="O752" s="367"/>
      <c r="P752" s="367"/>
      <c r="Q752" s="367"/>
      <c r="R752" s="367"/>
      <c r="S752" s="367"/>
      <c r="T752" s="367"/>
      <c r="U752" s="367"/>
      <c r="V752" s="367"/>
      <c r="W752" s="367"/>
      <c r="X752" s="367"/>
      <c r="Y752" s="367"/>
      <c r="Z752" s="367"/>
    </row>
    <row r="753" ht="12.75" customHeight="1" spans="1:26">
      <c r="A753" s="363"/>
      <c r="B753" s="412"/>
      <c r="C753" s="367"/>
      <c r="D753" s="413"/>
      <c r="E753" s="413"/>
      <c r="F753" s="367"/>
      <c r="G753" s="367"/>
      <c r="H753" s="367"/>
      <c r="I753" s="367"/>
      <c r="J753" s="367"/>
      <c r="K753" s="367"/>
      <c r="L753" s="367"/>
      <c r="M753" s="367"/>
      <c r="N753" s="367"/>
      <c r="O753" s="367"/>
      <c r="P753" s="367"/>
      <c r="Q753" s="367"/>
      <c r="R753" s="367"/>
      <c r="S753" s="367"/>
      <c r="T753" s="367"/>
      <c r="U753" s="367"/>
      <c r="V753" s="367"/>
      <c r="W753" s="367"/>
      <c r="X753" s="367"/>
      <c r="Y753" s="367"/>
      <c r="Z753" s="367"/>
    </row>
    <row r="754" ht="12.75" customHeight="1" spans="1:26">
      <c r="A754" s="363"/>
      <c r="B754" s="412"/>
      <c r="C754" s="367"/>
      <c r="D754" s="413"/>
      <c r="E754" s="413"/>
      <c r="F754" s="367"/>
      <c r="G754" s="367"/>
      <c r="H754" s="367"/>
      <c r="I754" s="367"/>
      <c r="J754" s="367"/>
      <c r="K754" s="367"/>
      <c r="L754" s="367"/>
      <c r="M754" s="367"/>
      <c r="N754" s="367"/>
      <c r="O754" s="367"/>
      <c r="P754" s="367"/>
      <c r="Q754" s="367"/>
      <c r="R754" s="367"/>
      <c r="S754" s="367"/>
      <c r="T754" s="367"/>
      <c r="U754" s="367"/>
      <c r="V754" s="367"/>
      <c r="W754" s="367"/>
      <c r="X754" s="367"/>
      <c r="Y754" s="367"/>
      <c r="Z754" s="367"/>
    </row>
    <row r="755" ht="12.75" customHeight="1" spans="1:26">
      <c r="A755" s="363"/>
      <c r="B755" s="412"/>
      <c r="C755" s="367"/>
      <c r="D755" s="413"/>
      <c r="E755" s="413"/>
      <c r="F755" s="367"/>
      <c r="G755" s="367"/>
      <c r="H755" s="367"/>
      <c r="I755" s="367"/>
      <c r="J755" s="367"/>
      <c r="K755" s="367"/>
      <c r="L755" s="367"/>
      <c r="M755" s="367"/>
      <c r="N755" s="367"/>
      <c r="O755" s="367"/>
      <c r="P755" s="367"/>
      <c r="Q755" s="367"/>
      <c r="R755" s="367"/>
      <c r="S755" s="367"/>
      <c r="T755" s="367"/>
      <c r="U755" s="367"/>
      <c r="V755" s="367"/>
      <c r="W755" s="367"/>
      <c r="X755" s="367"/>
      <c r="Y755" s="367"/>
      <c r="Z755" s="367"/>
    </row>
    <row r="756" ht="12.75" customHeight="1" spans="1:26">
      <c r="A756" s="363"/>
      <c r="B756" s="412"/>
      <c r="C756" s="367"/>
      <c r="D756" s="413"/>
      <c r="E756" s="413"/>
      <c r="F756" s="367"/>
      <c r="G756" s="367"/>
      <c r="H756" s="367"/>
      <c r="I756" s="367"/>
      <c r="J756" s="367"/>
      <c r="K756" s="367"/>
      <c r="L756" s="367"/>
      <c r="M756" s="367"/>
      <c r="N756" s="367"/>
      <c r="O756" s="367"/>
      <c r="P756" s="367"/>
      <c r="Q756" s="367"/>
      <c r="R756" s="367"/>
      <c r="S756" s="367"/>
      <c r="T756" s="367"/>
      <c r="U756" s="367"/>
      <c r="V756" s="367"/>
      <c r="W756" s="367"/>
      <c r="X756" s="367"/>
      <c r="Y756" s="367"/>
      <c r="Z756" s="367"/>
    </row>
    <row r="757" ht="12.75" customHeight="1" spans="1:26">
      <c r="A757" s="363"/>
      <c r="B757" s="412"/>
      <c r="C757" s="367"/>
      <c r="D757" s="413"/>
      <c r="E757" s="413"/>
      <c r="F757" s="367"/>
      <c r="G757" s="367"/>
      <c r="H757" s="367"/>
      <c r="I757" s="367"/>
      <c r="J757" s="367"/>
      <c r="K757" s="367"/>
      <c r="L757" s="367"/>
      <c r="M757" s="367"/>
      <c r="N757" s="367"/>
      <c r="O757" s="367"/>
      <c r="P757" s="367"/>
      <c r="Q757" s="367"/>
      <c r="R757" s="367"/>
      <c r="S757" s="367"/>
      <c r="T757" s="367"/>
      <c r="U757" s="367"/>
      <c r="V757" s="367"/>
      <c r="W757" s="367"/>
      <c r="X757" s="367"/>
      <c r="Y757" s="367"/>
      <c r="Z757" s="367"/>
    </row>
    <row r="758" ht="12.75" customHeight="1" spans="1:26">
      <c r="A758" s="363"/>
      <c r="B758" s="412"/>
      <c r="C758" s="367"/>
      <c r="D758" s="413"/>
      <c r="E758" s="413"/>
      <c r="F758" s="367"/>
      <c r="G758" s="367"/>
      <c r="H758" s="367"/>
      <c r="I758" s="367"/>
      <c r="J758" s="367"/>
      <c r="K758" s="367"/>
      <c r="L758" s="367"/>
      <c r="M758" s="367"/>
      <c r="N758" s="367"/>
      <c r="O758" s="367"/>
      <c r="P758" s="367"/>
      <c r="Q758" s="367"/>
      <c r="R758" s="367"/>
      <c r="S758" s="367"/>
      <c r="T758" s="367"/>
      <c r="U758" s="367"/>
      <c r="V758" s="367"/>
      <c r="W758" s="367"/>
      <c r="X758" s="367"/>
      <c r="Y758" s="367"/>
      <c r="Z758" s="367"/>
    </row>
    <row r="759" ht="12.75" customHeight="1" spans="1:26">
      <c r="A759" s="363"/>
      <c r="B759" s="412"/>
      <c r="C759" s="367"/>
      <c r="D759" s="413"/>
      <c r="E759" s="413"/>
      <c r="F759" s="367"/>
      <c r="G759" s="367"/>
      <c r="H759" s="367"/>
      <c r="I759" s="367"/>
      <c r="J759" s="367"/>
      <c r="K759" s="367"/>
      <c r="L759" s="367"/>
      <c r="M759" s="367"/>
      <c r="N759" s="367"/>
      <c r="O759" s="367"/>
      <c r="P759" s="367"/>
      <c r="Q759" s="367"/>
      <c r="R759" s="367"/>
      <c r="S759" s="367"/>
      <c r="T759" s="367"/>
      <c r="U759" s="367"/>
      <c r="V759" s="367"/>
      <c r="W759" s="367"/>
      <c r="X759" s="367"/>
      <c r="Y759" s="367"/>
      <c r="Z759" s="367"/>
    </row>
    <row r="760" ht="12.75" customHeight="1" spans="1:26">
      <c r="A760" s="363"/>
      <c r="B760" s="412"/>
      <c r="C760" s="367"/>
      <c r="D760" s="413"/>
      <c r="E760" s="413"/>
      <c r="F760" s="367"/>
      <c r="G760" s="367"/>
      <c r="H760" s="367"/>
      <c r="I760" s="367"/>
      <c r="J760" s="367"/>
      <c r="K760" s="367"/>
      <c r="L760" s="367"/>
      <c r="M760" s="367"/>
      <c r="N760" s="367"/>
      <c r="O760" s="367"/>
      <c r="P760" s="367"/>
      <c r="Q760" s="367"/>
      <c r="R760" s="367"/>
      <c r="S760" s="367"/>
      <c r="T760" s="367"/>
      <c r="U760" s="367"/>
      <c r="V760" s="367"/>
      <c r="W760" s="367"/>
      <c r="X760" s="367"/>
      <c r="Y760" s="367"/>
      <c r="Z760" s="367"/>
    </row>
    <row r="761" ht="12.75" customHeight="1" spans="1:26">
      <c r="A761" s="363"/>
      <c r="B761" s="412"/>
      <c r="C761" s="367"/>
      <c r="D761" s="413"/>
      <c r="E761" s="413"/>
      <c r="F761" s="367"/>
      <c r="G761" s="367"/>
      <c r="H761" s="367"/>
      <c r="I761" s="367"/>
      <c r="J761" s="367"/>
      <c r="K761" s="367"/>
      <c r="L761" s="367"/>
      <c r="M761" s="367"/>
      <c r="N761" s="367"/>
      <c r="O761" s="367"/>
      <c r="P761" s="367"/>
      <c r="Q761" s="367"/>
      <c r="R761" s="367"/>
      <c r="S761" s="367"/>
      <c r="T761" s="367"/>
      <c r="U761" s="367"/>
      <c r="V761" s="367"/>
      <c r="W761" s="367"/>
      <c r="X761" s="367"/>
      <c r="Y761" s="367"/>
      <c r="Z761" s="367"/>
    </row>
    <row r="762" ht="12.75" customHeight="1" spans="1:26">
      <c r="A762" s="363"/>
      <c r="B762" s="412"/>
      <c r="C762" s="367"/>
      <c r="D762" s="413"/>
      <c r="E762" s="413"/>
      <c r="F762" s="367"/>
      <c r="G762" s="367"/>
      <c r="H762" s="367"/>
      <c r="I762" s="367"/>
      <c r="J762" s="367"/>
      <c r="K762" s="367"/>
      <c r="L762" s="367"/>
      <c r="M762" s="367"/>
      <c r="N762" s="367"/>
      <c r="O762" s="367"/>
      <c r="P762" s="367"/>
      <c r="Q762" s="367"/>
      <c r="R762" s="367"/>
      <c r="S762" s="367"/>
      <c r="T762" s="367"/>
      <c r="U762" s="367"/>
      <c r="V762" s="367"/>
      <c r="W762" s="367"/>
      <c r="X762" s="367"/>
      <c r="Y762" s="367"/>
      <c r="Z762" s="367"/>
    </row>
    <row r="763" ht="12.75" customHeight="1" spans="1:26">
      <c r="A763" s="363"/>
      <c r="B763" s="412"/>
      <c r="C763" s="367"/>
      <c r="D763" s="413"/>
      <c r="E763" s="413"/>
      <c r="F763" s="367"/>
      <c r="G763" s="367"/>
      <c r="H763" s="367"/>
      <c r="I763" s="367"/>
      <c r="J763" s="367"/>
      <c r="K763" s="367"/>
      <c r="L763" s="367"/>
      <c r="M763" s="367"/>
      <c r="N763" s="367"/>
      <c r="O763" s="367"/>
      <c r="P763" s="367"/>
      <c r="Q763" s="367"/>
      <c r="R763" s="367"/>
      <c r="S763" s="367"/>
      <c r="T763" s="367"/>
      <c r="U763" s="367"/>
      <c r="V763" s="367"/>
      <c r="W763" s="367"/>
      <c r="X763" s="367"/>
      <c r="Y763" s="367"/>
      <c r="Z763" s="367"/>
    </row>
    <row r="764" ht="12.75" customHeight="1" spans="1:26">
      <c r="A764" s="363"/>
      <c r="B764" s="412"/>
      <c r="C764" s="367"/>
      <c r="D764" s="413"/>
      <c r="E764" s="413"/>
      <c r="F764" s="367"/>
      <c r="G764" s="367"/>
      <c r="H764" s="367"/>
      <c r="I764" s="367"/>
      <c r="J764" s="367"/>
      <c r="K764" s="367"/>
      <c r="L764" s="367"/>
      <c r="M764" s="367"/>
      <c r="N764" s="367"/>
      <c r="O764" s="367"/>
      <c r="P764" s="367"/>
      <c r="Q764" s="367"/>
      <c r="R764" s="367"/>
      <c r="S764" s="367"/>
      <c r="T764" s="367"/>
      <c r="U764" s="367"/>
      <c r="V764" s="367"/>
      <c r="W764" s="367"/>
      <c r="X764" s="367"/>
      <c r="Y764" s="367"/>
      <c r="Z764" s="367"/>
    </row>
    <row r="765" ht="12.75" customHeight="1" spans="1:26">
      <c r="A765" s="363"/>
      <c r="B765" s="412"/>
      <c r="C765" s="367"/>
      <c r="D765" s="413"/>
      <c r="E765" s="413"/>
      <c r="F765" s="367"/>
      <c r="G765" s="367"/>
      <c r="H765" s="367"/>
      <c r="I765" s="367"/>
      <c r="J765" s="367"/>
      <c r="K765" s="367"/>
      <c r="L765" s="367"/>
      <c r="M765" s="367"/>
      <c r="N765" s="367"/>
      <c r="O765" s="367"/>
      <c r="P765" s="367"/>
      <c r="Q765" s="367"/>
      <c r="R765" s="367"/>
      <c r="S765" s="367"/>
      <c r="T765" s="367"/>
      <c r="U765" s="367"/>
      <c r="V765" s="367"/>
      <c r="W765" s="367"/>
      <c r="X765" s="367"/>
      <c r="Y765" s="367"/>
      <c r="Z765" s="367"/>
    </row>
    <row r="766" ht="12.75" customHeight="1" spans="1:26">
      <c r="A766" s="363"/>
      <c r="B766" s="412"/>
      <c r="C766" s="367"/>
      <c r="D766" s="413"/>
      <c r="E766" s="413"/>
      <c r="F766" s="367"/>
      <c r="G766" s="367"/>
      <c r="H766" s="367"/>
      <c r="I766" s="367"/>
      <c r="J766" s="367"/>
      <c r="K766" s="367"/>
      <c r="L766" s="367"/>
      <c r="M766" s="367"/>
      <c r="N766" s="367"/>
      <c r="O766" s="367"/>
      <c r="P766" s="367"/>
      <c r="Q766" s="367"/>
      <c r="R766" s="367"/>
      <c r="S766" s="367"/>
      <c r="T766" s="367"/>
      <c r="U766" s="367"/>
      <c r="V766" s="367"/>
      <c r="W766" s="367"/>
      <c r="X766" s="367"/>
      <c r="Y766" s="367"/>
      <c r="Z766" s="367"/>
    </row>
    <row r="767" ht="12.75" customHeight="1" spans="1:26">
      <c r="A767" s="363"/>
      <c r="B767" s="412"/>
      <c r="C767" s="367"/>
      <c r="D767" s="413"/>
      <c r="E767" s="413"/>
      <c r="F767" s="367"/>
      <c r="G767" s="367"/>
      <c r="H767" s="367"/>
      <c r="I767" s="367"/>
      <c r="J767" s="367"/>
      <c r="K767" s="367"/>
      <c r="L767" s="367"/>
      <c r="M767" s="367"/>
      <c r="N767" s="367"/>
      <c r="O767" s="367"/>
      <c r="P767" s="367"/>
      <c r="Q767" s="367"/>
      <c r="R767" s="367"/>
      <c r="S767" s="367"/>
      <c r="T767" s="367"/>
      <c r="U767" s="367"/>
      <c r="V767" s="367"/>
      <c r="W767" s="367"/>
      <c r="X767" s="367"/>
      <c r="Y767" s="367"/>
      <c r="Z767" s="367"/>
    </row>
    <row r="768" ht="12.75" customHeight="1" spans="1:26">
      <c r="A768" s="363"/>
      <c r="B768" s="412"/>
      <c r="C768" s="367"/>
      <c r="D768" s="413"/>
      <c r="E768" s="413"/>
      <c r="F768" s="367"/>
      <c r="G768" s="367"/>
      <c r="H768" s="367"/>
      <c r="I768" s="367"/>
      <c r="J768" s="367"/>
      <c r="K768" s="367"/>
      <c r="L768" s="367"/>
      <c r="M768" s="367"/>
      <c r="N768" s="367"/>
      <c r="O768" s="367"/>
      <c r="P768" s="367"/>
      <c r="Q768" s="367"/>
      <c r="R768" s="367"/>
      <c r="S768" s="367"/>
      <c r="T768" s="367"/>
      <c r="U768" s="367"/>
      <c r="V768" s="367"/>
      <c r="W768" s="367"/>
      <c r="X768" s="367"/>
      <c r="Y768" s="367"/>
      <c r="Z768" s="367"/>
    </row>
    <row r="769" ht="12.75" customHeight="1" spans="1:26">
      <c r="A769" s="363"/>
      <c r="B769" s="412"/>
      <c r="C769" s="367"/>
      <c r="D769" s="413"/>
      <c r="E769" s="413"/>
      <c r="F769" s="367"/>
      <c r="G769" s="367"/>
      <c r="H769" s="367"/>
      <c r="I769" s="367"/>
      <c r="J769" s="367"/>
      <c r="K769" s="367"/>
      <c r="L769" s="367"/>
      <c r="M769" s="367"/>
      <c r="N769" s="367"/>
      <c r="O769" s="367"/>
      <c r="P769" s="367"/>
      <c r="Q769" s="367"/>
      <c r="R769" s="367"/>
      <c r="S769" s="367"/>
      <c r="T769" s="367"/>
      <c r="U769" s="367"/>
      <c r="V769" s="367"/>
      <c r="W769" s="367"/>
      <c r="X769" s="367"/>
      <c r="Y769" s="367"/>
      <c r="Z769" s="367"/>
    </row>
    <row r="770" ht="12.75" customHeight="1" spans="1:26">
      <c r="A770" s="363"/>
      <c r="B770" s="412"/>
      <c r="C770" s="367"/>
      <c r="D770" s="413"/>
      <c r="E770" s="413"/>
      <c r="F770" s="367"/>
      <c r="G770" s="367"/>
      <c r="H770" s="367"/>
      <c r="I770" s="367"/>
      <c r="J770" s="367"/>
      <c r="K770" s="367"/>
      <c r="L770" s="367"/>
      <c r="M770" s="367"/>
      <c r="N770" s="367"/>
      <c r="O770" s="367"/>
      <c r="P770" s="367"/>
      <c r="Q770" s="367"/>
      <c r="R770" s="367"/>
      <c r="S770" s="367"/>
      <c r="T770" s="367"/>
      <c r="U770" s="367"/>
      <c r="V770" s="367"/>
      <c r="W770" s="367"/>
      <c r="X770" s="367"/>
      <c r="Y770" s="367"/>
      <c r="Z770" s="367"/>
    </row>
    <row r="771" ht="12.75" customHeight="1" spans="1:26">
      <c r="A771" s="363"/>
      <c r="B771" s="412"/>
      <c r="C771" s="367"/>
      <c r="D771" s="413"/>
      <c r="E771" s="413"/>
      <c r="F771" s="367"/>
      <c r="G771" s="367"/>
      <c r="H771" s="367"/>
      <c r="I771" s="367"/>
      <c r="J771" s="367"/>
      <c r="K771" s="367"/>
      <c r="L771" s="367"/>
      <c r="M771" s="367"/>
      <c r="N771" s="367"/>
      <c r="O771" s="367"/>
      <c r="P771" s="367"/>
      <c r="Q771" s="367"/>
      <c r="R771" s="367"/>
      <c r="S771" s="367"/>
      <c r="T771" s="367"/>
      <c r="U771" s="367"/>
      <c r="V771" s="367"/>
      <c r="W771" s="367"/>
      <c r="X771" s="367"/>
      <c r="Y771" s="367"/>
      <c r="Z771" s="367"/>
    </row>
    <row r="772" ht="12.75" customHeight="1" spans="1:26">
      <c r="A772" s="363"/>
      <c r="B772" s="412"/>
      <c r="C772" s="367"/>
      <c r="D772" s="413"/>
      <c r="E772" s="413"/>
      <c r="F772" s="367"/>
      <c r="G772" s="367"/>
      <c r="H772" s="367"/>
      <c r="I772" s="367"/>
      <c r="J772" s="367"/>
      <c r="K772" s="367"/>
      <c r="L772" s="367"/>
      <c r="M772" s="367"/>
      <c r="N772" s="367"/>
      <c r="O772" s="367"/>
      <c r="P772" s="367"/>
      <c r="Q772" s="367"/>
      <c r="R772" s="367"/>
      <c r="S772" s="367"/>
      <c r="T772" s="367"/>
      <c r="U772" s="367"/>
      <c r="V772" s="367"/>
      <c r="W772" s="367"/>
      <c r="X772" s="367"/>
      <c r="Y772" s="367"/>
      <c r="Z772" s="367"/>
    </row>
    <row r="773" ht="12.75" customHeight="1" spans="1:26">
      <c r="A773" s="363"/>
      <c r="B773" s="412"/>
      <c r="C773" s="367"/>
      <c r="D773" s="413"/>
      <c r="E773" s="413"/>
      <c r="F773" s="367"/>
      <c r="G773" s="367"/>
      <c r="H773" s="367"/>
      <c r="I773" s="367"/>
      <c r="J773" s="367"/>
      <c r="K773" s="367"/>
      <c r="L773" s="367"/>
      <c r="M773" s="367"/>
      <c r="N773" s="367"/>
      <c r="O773" s="367"/>
      <c r="P773" s="367"/>
      <c r="Q773" s="367"/>
      <c r="R773" s="367"/>
      <c r="S773" s="367"/>
      <c r="T773" s="367"/>
      <c r="U773" s="367"/>
      <c r="V773" s="367"/>
      <c r="W773" s="367"/>
      <c r="X773" s="367"/>
      <c r="Y773" s="367"/>
      <c r="Z773" s="367"/>
    </row>
    <row r="774" ht="12.75" customHeight="1" spans="1:26">
      <c r="A774" s="363"/>
      <c r="B774" s="412"/>
      <c r="C774" s="367"/>
      <c r="D774" s="413"/>
      <c r="E774" s="413"/>
      <c r="F774" s="367"/>
      <c r="G774" s="367"/>
      <c r="H774" s="367"/>
      <c r="I774" s="367"/>
      <c r="J774" s="367"/>
      <c r="K774" s="367"/>
      <c r="L774" s="367"/>
      <c r="M774" s="367"/>
      <c r="N774" s="367"/>
      <c r="O774" s="367"/>
      <c r="P774" s="367"/>
      <c r="Q774" s="367"/>
      <c r="R774" s="367"/>
      <c r="S774" s="367"/>
      <c r="T774" s="367"/>
      <c r="U774" s="367"/>
      <c r="V774" s="367"/>
      <c r="W774" s="367"/>
      <c r="X774" s="367"/>
      <c r="Y774" s="367"/>
      <c r="Z774" s="367"/>
    </row>
    <row r="775" ht="12.75" customHeight="1" spans="1:26">
      <c r="A775" s="363"/>
      <c r="B775" s="412"/>
      <c r="C775" s="367"/>
      <c r="D775" s="413"/>
      <c r="E775" s="413"/>
      <c r="F775" s="367"/>
      <c r="G775" s="367"/>
      <c r="H775" s="367"/>
      <c r="I775" s="367"/>
      <c r="J775" s="367"/>
      <c r="K775" s="367"/>
      <c r="L775" s="367"/>
      <c r="M775" s="367"/>
      <c r="N775" s="367"/>
      <c r="O775" s="367"/>
      <c r="P775" s="367"/>
      <c r="Q775" s="367"/>
      <c r="R775" s="367"/>
      <c r="S775" s="367"/>
      <c r="T775" s="367"/>
      <c r="U775" s="367"/>
      <c r="V775" s="367"/>
      <c r="W775" s="367"/>
      <c r="X775" s="367"/>
      <c r="Y775" s="367"/>
      <c r="Z775" s="367"/>
    </row>
    <row r="776" ht="12.75" customHeight="1" spans="1:26">
      <c r="A776" s="363"/>
      <c r="B776" s="412"/>
      <c r="C776" s="367"/>
      <c r="D776" s="413"/>
      <c r="E776" s="413"/>
      <c r="F776" s="367"/>
      <c r="G776" s="367"/>
      <c r="H776" s="367"/>
      <c r="I776" s="367"/>
      <c r="J776" s="367"/>
      <c r="K776" s="367"/>
      <c r="L776" s="367"/>
      <c r="M776" s="367"/>
      <c r="N776" s="367"/>
      <c r="O776" s="367"/>
      <c r="P776" s="367"/>
      <c r="Q776" s="367"/>
      <c r="R776" s="367"/>
      <c r="S776" s="367"/>
      <c r="T776" s="367"/>
      <c r="U776" s="367"/>
      <c r="V776" s="367"/>
      <c r="W776" s="367"/>
      <c r="X776" s="367"/>
      <c r="Y776" s="367"/>
      <c r="Z776" s="367"/>
    </row>
    <row r="777" ht="12.75" customHeight="1" spans="1:26">
      <c r="A777" s="363"/>
      <c r="B777" s="412"/>
      <c r="C777" s="367"/>
      <c r="D777" s="413"/>
      <c r="E777" s="413"/>
      <c r="F777" s="367"/>
      <c r="G777" s="367"/>
      <c r="H777" s="367"/>
      <c r="I777" s="367"/>
      <c r="J777" s="367"/>
      <c r="K777" s="367"/>
      <c r="L777" s="367"/>
      <c r="M777" s="367"/>
      <c r="N777" s="367"/>
      <c r="O777" s="367"/>
      <c r="P777" s="367"/>
      <c r="Q777" s="367"/>
      <c r="R777" s="367"/>
      <c r="S777" s="367"/>
      <c r="T777" s="367"/>
      <c r="U777" s="367"/>
      <c r="V777" s="367"/>
      <c r="W777" s="367"/>
      <c r="X777" s="367"/>
      <c r="Y777" s="367"/>
      <c r="Z777" s="367"/>
    </row>
    <row r="778" ht="12.75" customHeight="1" spans="1:26">
      <c r="A778" s="363"/>
      <c r="B778" s="412"/>
      <c r="C778" s="367"/>
      <c r="D778" s="413"/>
      <c r="E778" s="413"/>
      <c r="F778" s="367"/>
      <c r="G778" s="367"/>
      <c r="H778" s="367"/>
      <c r="I778" s="367"/>
      <c r="J778" s="367"/>
      <c r="K778" s="367"/>
      <c r="L778" s="367"/>
      <c r="M778" s="367"/>
      <c r="N778" s="367"/>
      <c r="O778" s="367"/>
      <c r="P778" s="367"/>
      <c r="Q778" s="367"/>
      <c r="R778" s="367"/>
      <c r="S778" s="367"/>
      <c r="T778" s="367"/>
      <c r="U778" s="367"/>
      <c r="V778" s="367"/>
      <c r="W778" s="367"/>
      <c r="X778" s="367"/>
      <c r="Y778" s="367"/>
      <c r="Z778" s="367"/>
    </row>
    <row r="779" ht="12.75" customHeight="1" spans="1:26">
      <c r="A779" s="363"/>
      <c r="B779" s="412"/>
      <c r="C779" s="367"/>
      <c r="D779" s="413"/>
      <c r="E779" s="413"/>
      <c r="F779" s="367"/>
      <c r="G779" s="367"/>
      <c r="H779" s="367"/>
      <c r="I779" s="367"/>
      <c r="J779" s="367"/>
      <c r="K779" s="367"/>
      <c r="L779" s="367"/>
      <c r="M779" s="367"/>
      <c r="N779" s="367"/>
      <c r="O779" s="367"/>
      <c r="P779" s="367"/>
      <c r="Q779" s="367"/>
      <c r="R779" s="367"/>
      <c r="S779" s="367"/>
      <c r="T779" s="367"/>
      <c r="U779" s="367"/>
      <c r="V779" s="367"/>
      <c r="W779" s="367"/>
      <c r="X779" s="367"/>
      <c r="Y779" s="367"/>
      <c r="Z779" s="367"/>
    </row>
    <row r="780" ht="12.75" customHeight="1" spans="1:26">
      <c r="A780" s="363"/>
      <c r="B780" s="412"/>
      <c r="C780" s="367"/>
      <c r="D780" s="413"/>
      <c r="E780" s="413"/>
      <c r="F780" s="367"/>
      <c r="G780" s="367"/>
      <c r="H780" s="367"/>
      <c r="I780" s="367"/>
      <c r="J780" s="367"/>
      <c r="K780" s="367"/>
      <c r="L780" s="367"/>
      <c r="M780" s="367"/>
      <c r="N780" s="367"/>
      <c r="O780" s="367"/>
      <c r="P780" s="367"/>
      <c r="Q780" s="367"/>
      <c r="R780" s="367"/>
      <c r="S780" s="367"/>
      <c r="T780" s="367"/>
      <c r="U780" s="367"/>
      <c r="V780" s="367"/>
      <c r="W780" s="367"/>
      <c r="X780" s="367"/>
      <c r="Y780" s="367"/>
      <c r="Z780" s="367"/>
    </row>
    <row r="781" ht="12.75" customHeight="1" spans="1:26">
      <c r="A781" s="363"/>
      <c r="B781" s="412"/>
      <c r="C781" s="367"/>
      <c r="D781" s="413"/>
      <c r="E781" s="413"/>
      <c r="F781" s="367"/>
      <c r="G781" s="367"/>
      <c r="H781" s="367"/>
      <c r="I781" s="367"/>
      <c r="J781" s="367"/>
      <c r="K781" s="367"/>
      <c r="L781" s="367"/>
      <c r="M781" s="367"/>
      <c r="N781" s="367"/>
      <c r="O781" s="367"/>
      <c r="P781" s="367"/>
      <c r="Q781" s="367"/>
      <c r="R781" s="367"/>
      <c r="S781" s="367"/>
      <c r="T781" s="367"/>
      <c r="U781" s="367"/>
      <c r="V781" s="367"/>
      <c r="W781" s="367"/>
      <c r="X781" s="367"/>
      <c r="Y781" s="367"/>
      <c r="Z781" s="367"/>
    </row>
    <row r="782" ht="12.75" customHeight="1" spans="1:26">
      <c r="A782" s="363"/>
      <c r="B782" s="412"/>
      <c r="C782" s="367"/>
      <c r="D782" s="413"/>
      <c r="E782" s="413"/>
      <c r="F782" s="367"/>
      <c r="G782" s="367"/>
      <c r="H782" s="367"/>
      <c r="I782" s="367"/>
      <c r="J782" s="367"/>
      <c r="K782" s="367"/>
      <c r="L782" s="367"/>
      <c r="M782" s="367"/>
      <c r="N782" s="367"/>
      <c r="O782" s="367"/>
      <c r="P782" s="367"/>
      <c r="Q782" s="367"/>
      <c r="R782" s="367"/>
      <c r="S782" s="367"/>
      <c r="T782" s="367"/>
      <c r="U782" s="367"/>
      <c r="V782" s="367"/>
      <c r="W782" s="367"/>
      <c r="X782" s="367"/>
      <c r="Y782" s="367"/>
      <c r="Z782" s="367"/>
    </row>
    <row r="783" ht="12.75" customHeight="1" spans="1:26">
      <c r="A783" s="363"/>
      <c r="B783" s="412"/>
      <c r="C783" s="367"/>
      <c r="D783" s="413"/>
      <c r="E783" s="413"/>
      <c r="F783" s="367"/>
      <c r="G783" s="367"/>
      <c r="H783" s="367"/>
      <c r="I783" s="367"/>
      <c r="J783" s="367"/>
      <c r="K783" s="367"/>
      <c r="L783" s="367"/>
      <c r="M783" s="367"/>
      <c r="N783" s="367"/>
      <c r="O783" s="367"/>
      <c r="P783" s="367"/>
      <c r="Q783" s="367"/>
      <c r="R783" s="367"/>
      <c r="S783" s="367"/>
      <c r="T783" s="367"/>
      <c r="U783" s="367"/>
      <c r="V783" s="367"/>
      <c r="W783" s="367"/>
      <c r="X783" s="367"/>
      <c r="Y783" s="367"/>
      <c r="Z783" s="367"/>
    </row>
    <row r="784" ht="12.75" customHeight="1" spans="1:26">
      <c r="A784" s="363"/>
      <c r="B784" s="412"/>
      <c r="C784" s="367"/>
      <c r="D784" s="413"/>
      <c r="E784" s="413"/>
      <c r="F784" s="367"/>
      <c r="G784" s="367"/>
      <c r="H784" s="367"/>
      <c r="I784" s="367"/>
      <c r="J784" s="367"/>
      <c r="K784" s="367"/>
      <c r="L784" s="367"/>
      <c r="M784" s="367"/>
      <c r="N784" s="367"/>
      <c r="O784" s="367"/>
      <c r="P784" s="367"/>
      <c r="Q784" s="367"/>
      <c r="R784" s="367"/>
      <c r="S784" s="367"/>
      <c r="T784" s="367"/>
      <c r="U784" s="367"/>
      <c r="V784" s="367"/>
      <c r="W784" s="367"/>
      <c r="X784" s="367"/>
      <c r="Y784" s="367"/>
      <c r="Z784" s="367"/>
    </row>
    <row r="785" ht="12.75" customHeight="1" spans="1:26">
      <c r="A785" s="363"/>
      <c r="B785" s="412"/>
      <c r="C785" s="367"/>
      <c r="D785" s="413"/>
      <c r="E785" s="413"/>
      <c r="F785" s="367"/>
      <c r="G785" s="367"/>
      <c r="H785" s="367"/>
      <c r="I785" s="367"/>
      <c r="J785" s="367"/>
      <c r="K785" s="367"/>
      <c r="L785" s="367"/>
      <c r="M785" s="367"/>
      <c r="N785" s="367"/>
      <c r="O785" s="367"/>
      <c r="P785" s="367"/>
      <c r="Q785" s="367"/>
      <c r="R785" s="367"/>
      <c r="S785" s="367"/>
      <c r="T785" s="367"/>
      <c r="U785" s="367"/>
      <c r="V785" s="367"/>
      <c r="W785" s="367"/>
      <c r="X785" s="367"/>
      <c r="Y785" s="367"/>
      <c r="Z785" s="367"/>
    </row>
    <row r="786" ht="12.75" customHeight="1" spans="1:26">
      <c r="A786" s="363"/>
      <c r="B786" s="412"/>
      <c r="C786" s="367"/>
      <c r="D786" s="413"/>
      <c r="E786" s="413"/>
      <c r="F786" s="367"/>
      <c r="G786" s="367"/>
      <c r="H786" s="367"/>
      <c r="I786" s="367"/>
      <c r="J786" s="367"/>
      <c r="K786" s="367"/>
      <c r="L786" s="367"/>
      <c r="M786" s="367"/>
      <c r="N786" s="367"/>
      <c r="O786" s="367"/>
      <c r="P786" s="367"/>
      <c r="Q786" s="367"/>
      <c r="R786" s="367"/>
      <c r="S786" s="367"/>
      <c r="T786" s="367"/>
      <c r="U786" s="367"/>
      <c r="V786" s="367"/>
      <c r="W786" s="367"/>
      <c r="X786" s="367"/>
      <c r="Y786" s="367"/>
      <c r="Z786" s="367"/>
    </row>
    <row r="787" ht="12.75" customHeight="1" spans="1:26">
      <c r="A787" s="363"/>
      <c r="B787" s="412"/>
      <c r="C787" s="367"/>
      <c r="D787" s="413"/>
      <c r="E787" s="413"/>
      <c r="F787" s="367"/>
      <c r="G787" s="367"/>
      <c r="H787" s="367"/>
      <c r="I787" s="367"/>
      <c r="J787" s="367"/>
      <c r="K787" s="367"/>
      <c r="L787" s="367"/>
      <c r="M787" s="367"/>
      <c r="N787" s="367"/>
      <c r="O787" s="367"/>
      <c r="P787" s="367"/>
      <c r="Q787" s="367"/>
      <c r="R787" s="367"/>
      <c r="S787" s="367"/>
      <c r="T787" s="367"/>
      <c r="U787" s="367"/>
      <c r="V787" s="367"/>
      <c r="W787" s="367"/>
      <c r="X787" s="367"/>
      <c r="Y787" s="367"/>
      <c r="Z787" s="367"/>
    </row>
    <row r="788" ht="12.75" customHeight="1" spans="1:26">
      <c r="A788" s="363"/>
      <c r="B788" s="412"/>
      <c r="C788" s="367"/>
      <c r="D788" s="413"/>
      <c r="E788" s="413"/>
      <c r="F788" s="367"/>
      <c r="G788" s="367"/>
      <c r="H788" s="367"/>
      <c r="I788" s="367"/>
      <c r="J788" s="367"/>
      <c r="K788" s="367"/>
      <c r="L788" s="367"/>
      <c r="M788" s="367"/>
      <c r="N788" s="367"/>
      <c r="O788" s="367"/>
      <c r="P788" s="367"/>
      <c r="Q788" s="367"/>
      <c r="R788" s="367"/>
      <c r="S788" s="367"/>
      <c r="T788" s="367"/>
      <c r="U788" s="367"/>
      <c r="V788" s="367"/>
      <c r="W788" s="367"/>
      <c r="X788" s="367"/>
      <c r="Y788" s="367"/>
      <c r="Z788" s="367"/>
    </row>
    <row r="789" ht="12.75" customHeight="1" spans="1:26">
      <c r="A789" s="363"/>
      <c r="B789" s="412"/>
      <c r="C789" s="367"/>
      <c r="D789" s="413"/>
      <c r="E789" s="413"/>
      <c r="F789" s="367"/>
      <c r="G789" s="367"/>
      <c r="H789" s="367"/>
      <c r="I789" s="367"/>
      <c r="J789" s="367"/>
      <c r="K789" s="367"/>
      <c r="L789" s="367"/>
      <c r="M789" s="367"/>
      <c r="N789" s="367"/>
      <c r="O789" s="367"/>
      <c r="P789" s="367"/>
      <c r="Q789" s="367"/>
      <c r="R789" s="367"/>
      <c r="S789" s="367"/>
      <c r="T789" s="367"/>
      <c r="U789" s="367"/>
      <c r="V789" s="367"/>
      <c r="W789" s="367"/>
      <c r="X789" s="367"/>
      <c r="Y789" s="367"/>
      <c r="Z789" s="367"/>
    </row>
    <row r="790" ht="12.75" customHeight="1" spans="1:26">
      <c r="A790" s="363"/>
      <c r="B790" s="412"/>
      <c r="C790" s="367"/>
      <c r="D790" s="413"/>
      <c r="E790" s="413"/>
      <c r="F790" s="367"/>
      <c r="G790" s="367"/>
      <c r="H790" s="367"/>
      <c r="I790" s="367"/>
      <c r="J790" s="367"/>
      <c r="K790" s="367"/>
      <c r="L790" s="367"/>
      <c r="M790" s="367"/>
      <c r="N790" s="367"/>
      <c r="O790" s="367"/>
      <c r="P790" s="367"/>
      <c r="Q790" s="367"/>
      <c r="R790" s="367"/>
      <c r="S790" s="367"/>
      <c r="T790" s="367"/>
      <c r="U790" s="367"/>
      <c r="V790" s="367"/>
      <c r="W790" s="367"/>
      <c r="X790" s="367"/>
      <c r="Y790" s="367"/>
      <c r="Z790" s="367"/>
    </row>
    <row r="791" ht="12.75" customHeight="1" spans="1:26">
      <c r="A791" s="363"/>
      <c r="B791" s="412"/>
      <c r="C791" s="367"/>
      <c r="D791" s="413"/>
      <c r="E791" s="413"/>
      <c r="F791" s="367"/>
      <c r="G791" s="367"/>
      <c r="H791" s="367"/>
      <c r="I791" s="367"/>
      <c r="J791" s="367"/>
      <c r="K791" s="367"/>
      <c r="L791" s="367"/>
      <c r="M791" s="367"/>
      <c r="N791" s="367"/>
      <c r="O791" s="367"/>
      <c r="P791" s="367"/>
      <c r="Q791" s="367"/>
      <c r="R791" s="367"/>
      <c r="S791" s="367"/>
      <c r="T791" s="367"/>
      <c r="U791" s="367"/>
      <c r="V791" s="367"/>
      <c r="W791" s="367"/>
      <c r="X791" s="367"/>
      <c r="Y791" s="367"/>
      <c r="Z791" s="367"/>
    </row>
    <row r="792" ht="12.75" customHeight="1" spans="1:26">
      <c r="A792" s="363"/>
      <c r="B792" s="412"/>
      <c r="C792" s="367"/>
      <c r="D792" s="413"/>
      <c r="E792" s="413"/>
      <c r="F792" s="367"/>
      <c r="G792" s="367"/>
      <c r="H792" s="367"/>
      <c r="I792" s="367"/>
      <c r="J792" s="367"/>
      <c r="K792" s="367"/>
      <c r="L792" s="367"/>
      <c r="M792" s="367"/>
      <c r="N792" s="367"/>
      <c r="O792" s="367"/>
      <c r="P792" s="367"/>
      <c r="Q792" s="367"/>
      <c r="R792" s="367"/>
      <c r="S792" s="367"/>
      <c r="T792" s="367"/>
      <c r="U792" s="367"/>
      <c r="V792" s="367"/>
      <c r="W792" s="367"/>
      <c r="X792" s="367"/>
      <c r="Y792" s="367"/>
      <c r="Z792" s="367"/>
    </row>
    <row r="793" ht="12.75" customHeight="1" spans="1:26">
      <c r="A793" s="363"/>
      <c r="B793" s="412"/>
      <c r="C793" s="367"/>
      <c r="D793" s="413"/>
      <c r="E793" s="413"/>
      <c r="F793" s="367"/>
      <c r="G793" s="367"/>
      <c r="H793" s="367"/>
      <c r="I793" s="367"/>
      <c r="J793" s="367"/>
      <c r="K793" s="367"/>
      <c r="L793" s="367"/>
      <c r="M793" s="367"/>
      <c r="N793" s="367"/>
      <c r="O793" s="367"/>
      <c r="P793" s="367"/>
      <c r="Q793" s="367"/>
      <c r="R793" s="367"/>
      <c r="S793" s="367"/>
      <c r="T793" s="367"/>
      <c r="U793" s="367"/>
      <c r="V793" s="367"/>
      <c r="W793" s="367"/>
      <c r="X793" s="367"/>
      <c r="Y793" s="367"/>
      <c r="Z793" s="367"/>
    </row>
    <row r="794" ht="12.75" customHeight="1" spans="1:26">
      <c r="A794" s="363"/>
      <c r="B794" s="412"/>
      <c r="C794" s="367"/>
      <c r="D794" s="413"/>
      <c r="E794" s="413"/>
      <c r="F794" s="367"/>
      <c r="G794" s="367"/>
      <c r="H794" s="367"/>
      <c r="I794" s="367"/>
      <c r="J794" s="367"/>
      <c r="K794" s="367"/>
      <c r="L794" s="367"/>
      <c r="M794" s="367"/>
      <c r="N794" s="367"/>
      <c r="O794" s="367"/>
      <c r="P794" s="367"/>
      <c r="Q794" s="367"/>
      <c r="R794" s="367"/>
      <c r="S794" s="367"/>
      <c r="T794" s="367"/>
      <c r="U794" s="367"/>
      <c r="V794" s="367"/>
      <c r="W794" s="367"/>
      <c r="X794" s="367"/>
      <c r="Y794" s="367"/>
      <c r="Z794" s="367"/>
    </row>
    <row r="795" ht="12.75" customHeight="1" spans="1:26">
      <c r="A795" s="363"/>
      <c r="B795" s="412"/>
      <c r="C795" s="367"/>
      <c r="D795" s="413"/>
      <c r="E795" s="413"/>
      <c r="F795" s="367"/>
      <c r="G795" s="367"/>
      <c r="H795" s="367"/>
      <c r="I795" s="367"/>
      <c r="J795" s="367"/>
      <c r="K795" s="367"/>
      <c r="L795" s="367"/>
      <c r="M795" s="367"/>
      <c r="N795" s="367"/>
      <c r="O795" s="367"/>
      <c r="P795" s="367"/>
      <c r="Q795" s="367"/>
      <c r="R795" s="367"/>
      <c r="S795" s="367"/>
      <c r="T795" s="367"/>
      <c r="U795" s="367"/>
      <c r="V795" s="367"/>
      <c r="W795" s="367"/>
      <c r="X795" s="367"/>
      <c r="Y795" s="367"/>
      <c r="Z795" s="367"/>
    </row>
    <row r="796" ht="12.75" customHeight="1" spans="1:26">
      <c r="A796" s="363"/>
      <c r="B796" s="412"/>
      <c r="C796" s="367"/>
      <c r="D796" s="413"/>
      <c r="E796" s="413"/>
      <c r="F796" s="367"/>
      <c r="G796" s="367"/>
      <c r="H796" s="367"/>
      <c r="I796" s="367"/>
      <c r="J796" s="367"/>
      <c r="K796" s="367"/>
      <c r="L796" s="367"/>
      <c r="M796" s="367"/>
      <c r="N796" s="367"/>
      <c r="O796" s="367"/>
      <c r="P796" s="367"/>
      <c r="Q796" s="367"/>
      <c r="R796" s="367"/>
      <c r="S796" s="367"/>
      <c r="T796" s="367"/>
      <c r="U796" s="367"/>
      <c r="V796" s="367"/>
      <c r="W796" s="367"/>
      <c r="X796" s="367"/>
      <c r="Y796" s="367"/>
      <c r="Z796" s="367"/>
    </row>
    <row r="797" ht="12.75" customHeight="1" spans="1:26">
      <c r="A797" s="363"/>
      <c r="B797" s="412"/>
      <c r="C797" s="367"/>
      <c r="D797" s="413"/>
      <c r="E797" s="413"/>
      <c r="F797" s="367"/>
      <c r="G797" s="367"/>
      <c r="H797" s="367"/>
      <c r="I797" s="367"/>
      <c r="J797" s="367"/>
      <c r="K797" s="367"/>
      <c r="L797" s="367"/>
      <c r="M797" s="367"/>
      <c r="N797" s="367"/>
      <c r="O797" s="367"/>
      <c r="P797" s="367"/>
      <c r="Q797" s="367"/>
      <c r="R797" s="367"/>
      <c r="S797" s="367"/>
      <c r="T797" s="367"/>
      <c r="U797" s="367"/>
      <c r="V797" s="367"/>
      <c r="W797" s="367"/>
      <c r="X797" s="367"/>
      <c r="Y797" s="367"/>
      <c r="Z797" s="367"/>
    </row>
    <row r="798" ht="12.75" customHeight="1" spans="1:26">
      <c r="A798" s="363"/>
      <c r="B798" s="412"/>
      <c r="C798" s="367"/>
      <c r="D798" s="413"/>
      <c r="E798" s="413"/>
      <c r="F798" s="367"/>
      <c r="G798" s="367"/>
      <c r="H798" s="367"/>
      <c r="I798" s="367"/>
      <c r="J798" s="367"/>
      <c r="K798" s="367"/>
      <c r="L798" s="367"/>
      <c r="M798" s="367"/>
      <c r="N798" s="367"/>
      <c r="O798" s="367"/>
      <c r="P798" s="367"/>
      <c r="Q798" s="367"/>
      <c r="R798" s="367"/>
      <c r="S798" s="367"/>
      <c r="T798" s="367"/>
      <c r="U798" s="367"/>
      <c r="V798" s="367"/>
      <c r="W798" s="367"/>
      <c r="X798" s="367"/>
      <c r="Y798" s="367"/>
      <c r="Z798" s="367"/>
    </row>
    <row r="799" ht="12.75" customHeight="1" spans="1:26">
      <c r="A799" s="363"/>
      <c r="B799" s="412"/>
      <c r="C799" s="367"/>
      <c r="D799" s="413"/>
      <c r="E799" s="413"/>
      <c r="F799" s="367"/>
      <c r="G799" s="367"/>
      <c r="H799" s="367"/>
      <c r="I799" s="367"/>
      <c r="J799" s="367"/>
      <c r="K799" s="367"/>
      <c r="L799" s="367"/>
      <c r="M799" s="367"/>
      <c r="N799" s="367"/>
      <c r="O799" s="367"/>
      <c r="P799" s="367"/>
      <c r="Q799" s="367"/>
      <c r="R799" s="367"/>
      <c r="S799" s="367"/>
      <c r="T799" s="367"/>
      <c r="U799" s="367"/>
      <c r="V799" s="367"/>
      <c r="W799" s="367"/>
      <c r="X799" s="367"/>
      <c r="Y799" s="367"/>
      <c r="Z799" s="367"/>
    </row>
    <row r="800" ht="12.75" customHeight="1" spans="1:26">
      <c r="A800" s="363"/>
      <c r="B800" s="412"/>
      <c r="C800" s="367"/>
      <c r="D800" s="413"/>
      <c r="E800" s="413"/>
      <c r="F800" s="367"/>
      <c r="G800" s="367"/>
      <c r="H800" s="367"/>
      <c r="I800" s="367"/>
      <c r="J800" s="367"/>
      <c r="K800" s="367"/>
      <c r="L800" s="367"/>
      <c r="M800" s="367"/>
      <c r="N800" s="367"/>
      <c r="O800" s="367"/>
      <c r="P800" s="367"/>
      <c r="Q800" s="367"/>
      <c r="R800" s="367"/>
      <c r="S800" s="367"/>
      <c r="T800" s="367"/>
      <c r="U800" s="367"/>
      <c r="V800" s="367"/>
      <c r="W800" s="367"/>
      <c r="X800" s="367"/>
      <c r="Y800" s="367"/>
      <c r="Z800" s="367"/>
    </row>
    <row r="801" ht="12.75" customHeight="1" spans="1:26">
      <c r="A801" s="363"/>
      <c r="B801" s="412"/>
      <c r="C801" s="367"/>
      <c r="D801" s="413"/>
      <c r="E801" s="413"/>
      <c r="F801" s="367"/>
      <c r="G801" s="367"/>
      <c r="H801" s="367"/>
      <c r="I801" s="367"/>
      <c r="J801" s="367"/>
      <c r="K801" s="367"/>
      <c r="L801" s="367"/>
      <c r="M801" s="367"/>
      <c r="N801" s="367"/>
      <c r="O801" s="367"/>
      <c r="P801" s="367"/>
      <c r="Q801" s="367"/>
      <c r="R801" s="367"/>
      <c r="S801" s="367"/>
      <c r="T801" s="367"/>
      <c r="U801" s="367"/>
      <c r="V801" s="367"/>
      <c r="W801" s="367"/>
      <c r="X801" s="367"/>
      <c r="Y801" s="367"/>
      <c r="Z801" s="367"/>
    </row>
    <row r="802" ht="12.75" customHeight="1" spans="1:26">
      <c r="A802" s="363"/>
      <c r="B802" s="412"/>
      <c r="C802" s="367"/>
      <c r="D802" s="413"/>
      <c r="E802" s="413"/>
      <c r="F802" s="367"/>
      <c r="G802" s="367"/>
      <c r="H802" s="367"/>
      <c r="I802" s="367"/>
      <c r="J802" s="367"/>
      <c r="K802" s="367"/>
      <c r="L802" s="367"/>
      <c r="M802" s="367"/>
      <c r="N802" s="367"/>
      <c r="O802" s="367"/>
      <c r="P802" s="367"/>
      <c r="Q802" s="367"/>
      <c r="R802" s="367"/>
      <c r="S802" s="367"/>
      <c r="T802" s="367"/>
      <c r="U802" s="367"/>
      <c r="V802" s="367"/>
      <c r="W802" s="367"/>
      <c r="X802" s="367"/>
      <c r="Y802" s="367"/>
      <c r="Z802" s="367"/>
    </row>
    <row r="803" ht="12.75" customHeight="1" spans="1:26">
      <c r="A803" s="363"/>
      <c r="B803" s="412"/>
      <c r="C803" s="367"/>
      <c r="D803" s="413"/>
      <c r="E803" s="413"/>
      <c r="F803" s="367"/>
      <c r="G803" s="367"/>
      <c r="H803" s="367"/>
      <c r="I803" s="367"/>
      <c r="J803" s="367"/>
      <c r="K803" s="367"/>
      <c r="L803" s="367"/>
      <c r="M803" s="367"/>
      <c r="N803" s="367"/>
      <c r="O803" s="367"/>
      <c r="P803" s="367"/>
      <c r="Q803" s="367"/>
      <c r="R803" s="367"/>
      <c r="S803" s="367"/>
      <c r="T803" s="367"/>
      <c r="U803" s="367"/>
      <c r="V803" s="367"/>
      <c r="W803" s="367"/>
      <c r="X803" s="367"/>
      <c r="Y803" s="367"/>
      <c r="Z803" s="367"/>
    </row>
    <row r="804" ht="12.75" customHeight="1" spans="1:26">
      <c r="A804" s="363"/>
      <c r="B804" s="412"/>
      <c r="C804" s="367"/>
      <c r="D804" s="413"/>
      <c r="E804" s="413"/>
      <c r="F804" s="367"/>
      <c r="G804" s="367"/>
      <c r="H804" s="367"/>
      <c r="I804" s="367"/>
      <c r="J804" s="367"/>
      <c r="K804" s="367"/>
      <c r="L804" s="367"/>
      <c r="M804" s="367"/>
      <c r="N804" s="367"/>
      <c r="O804" s="367"/>
      <c r="P804" s="367"/>
      <c r="Q804" s="367"/>
      <c r="R804" s="367"/>
      <c r="S804" s="367"/>
      <c r="T804" s="367"/>
      <c r="U804" s="367"/>
      <c r="V804" s="367"/>
      <c r="W804" s="367"/>
      <c r="X804" s="367"/>
      <c r="Y804" s="367"/>
      <c r="Z804" s="367"/>
    </row>
    <row r="805" ht="12.75" customHeight="1" spans="1:26">
      <c r="A805" s="363"/>
      <c r="B805" s="412"/>
      <c r="C805" s="367"/>
      <c r="D805" s="413"/>
      <c r="E805" s="413"/>
      <c r="F805" s="367"/>
      <c r="G805" s="367"/>
      <c r="H805" s="367"/>
      <c r="I805" s="367"/>
      <c r="J805" s="367"/>
      <c r="K805" s="367"/>
      <c r="L805" s="367"/>
      <c r="M805" s="367"/>
      <c r="N805" s="367"/>
      <c r="O805" s="367"/>
      <c r="P805" s="367"/>
      <c r="Q805" s="367"/>
      <c r="R805" s="367"/>
      <c r="S805" s="367"/>
      <c r="T805" s="367"/>
      <c r="U805" s="367"/>
      <c r="V805" s="367"/>
      <c r="W805" s="367"/>
      <c r="X805" s="367"/>
      <c r="Y805" s="367"/>
      <c r="Z805" s="367"/>
    </row>
    <row r="806" ht="12.75" customHeight="1" spans="1:26">
      <c r="A806" s="363"/>
      <c r="B806" s="412"/>
      <c r="C806" s="367"/>
      <c r="D806" s="413"/>
      <c r="E806" s="413"/>
      <c r="F806" s="367"/>
      <c r="G806" s="367"/>
      <c r="H806" s="367"/>
      <c r="I806" s="367"/>
      <c r="J806" s="367"/>
      <c r="K806" s="367"/>
      <c r="L806" s="367"/>
      <c r="M806" s="367"/>
      <c r="N806" s="367"/>
      <c r="O806" s="367"/>
      <c r="P806" s="367"/>
      <c r="Q806" s="367"/>
      <c r="R806" s="367"/>
      <c r="S806" s="367"/>
      <c r="T806" s="367"/>
      <c r="U806" s="367"/>
      <c r="V806" s="367"/>
      <c r="W806" s="367"/>
      <c r="X806" s="367"/>
      <c r="Y806" s="367"/>
      <c r="Z806" s="367"/>
    </row>
    <row r="807" ht="12.75" customHeight="1" spans="1:26">
      <c r="A807" s="363"/>
      <c r="B807" s="412"/>
      <c r="C807" s="367"/>
      <c r="D807" s="413"/>
      <c r="E807" s="413"/>
      <c r="F807" s="367"/>
      <c r="G807" s="367"/>
      <c r="H807" s="367"/>
      <c r="I807" s="367"/>
      <c r="J807" s="367"/>
      <c r="K807" s="367"/>
      <c r="L807" s="367"/>
      <c r="M807" s="367"/>
      <c r="N807" s="367"/>
      <c r="O807" s="367"/>
      <c r="P807" s="367"/>
      <c r="Q807" s="367"/>
      <c r="R807" s="367"/>
      <c r="S807" s="367"/>
      <c r="T807" s="367"/>
      <c r="U807" s="367"/>
      <c r="V807" s="367"/>
      <c r="W807" s="367"/>
      <c r="X807" s="367"/>
      <c r="Y807" s="367"/>
      <c r="Z807" s="367"/>
    </row>
    <row r="808" ht="12.75" customHeight="1" spans="1:26">
      <c r="A808" s="363"/>
      <c r="B808" s="412"/>
      <c r="C808" s="367"/>
      <c r="D808" s="413"/>
      <c r="E808" s="413"/>
      <c r="F808" s="367"/>
      <c r="G808" s="367"/>
      <c r="H808" s="367"/>
      <c r="I808" s="367"/>
      <c r="J808" s="367"/>
      <c r="K808" s="367"/>
      <c r="L808" s="367"/>
      <c r="M808" s="367"/>
      <c r="N808" s="367"/>
      <c r="O808" s="367"/>
      <c r="P808" s="367"/>
      <c r="Q808" s="367"/>
      <c r="R808" s="367"/>
      <c r="S808" s="367"/>
      <c r="T808" s="367"/>
      <c r="U808" s="367"/>
      <c r="V808" s="367"/>
      <c r="W808" s="367"/>
      <c r="X808" s="367"/>
      <c r="Y808" s="367"/>
      <c r="Z808" s="367"/>
    </row>
    <row r="809" ht="12.75" customHeight="1" spans="1:26">
      <c r="A809" s="363"/>
      <c r="B809" s="412"/>
      <c r="C809" s="367"/>
      <c r="D809" s="413"/>
      <c r="E809" s="413"/>
      <c r="F809" s="367"/>
      <c r="G809" s="367"/>
      <c r="H809" s="367"/>
      <c r="I809" s="367"/>
      <c r="J809" s="367"/>
      <c r="K809" s="367"/>
      <c r="L809" s="367"/>
      <c r="M809" s="367"/>
      <c r="N809" s="367"/>
      <c r="O809" s="367"/>
      <c r="P809" s="367"/>
      <c r="Q809" s="367"/>
      <c r="R809" s="367"/>
      <c r="S809" s="367"/>
      <c r="T809" s="367"/>
      <c r="U809" s="367"/>
      <c r="V809" s="367"/>
      <c r="W809" s="367"/>
      <c r="X809" s="367"/>
      <c r="Y809" s="367"/>
      <c r="Z809" s="367"/>
    </row>
    <row r="810" ht="12.75" customHeight="1" spans="1:26">
      <c r="A810" s="363"/>
      <c r="B810" s="412"/>
      <c r="C810" s="367"/>
      <c r="D810" s="413"/>
      <c r="E810" s="413"/>
      <c r="F810" s="367"/>
      <c r="G810" s="367"/>
      <c r="H810" s="367"/>
      <c r="I810" s="367"/>
      <c r="J810" s="367"/>
      <c r="K810" s="367"/>
      <c r="L810" s="367"/>
      <c r="M810" s="367"/>
      <c r="N810" s="367"/>
      <c r="O810" s="367"/>
      <c r="P810" s="367"/>
      <c r="Q810" s="367"/>
      <c r="R810" s="367"/>
      <c r="S810" s="367"/>
      <c r="T810" s="367"/>
      <c r="U810" s="367"/>
      <c r="V810" s="367"/>
      <c r="W810" s="367"/>
      <c r="X810" s="367"/>
      <c r="Y810" s="367"/>
      <c r="Z810" s="367"/>
    </row>
    <row r="811" ht="12.75" customHeight="1" spans="1:26">
      <c r="A811" s="363"/>
      <c r="B811" s="412"/>
      <c r="C811" s="367"/>
      <c r="D811" s="413"/>
      <c r="E811" s="413"/>
      <c r="F811" s="367"/>
      <c r="G811" s="367"/>
      <c r="H811" s="367"/>
      <c r="I811" s="367"/>
      <c r="J811" s="367"/>
      <c r="K811" s="367"/>
      <c r="L811" s="367"/>
      <c r="M811" s="367"/>
      <c r="N811" s="367"/>
      <c r="O811" s="367"/>
      <c r="P811" s="367"/>
      <c r="Q811" s="367"/>
      <c r="R811" s="367"/>
      <c r="S811" s="367"/>
      <c r="T811" s="367"/>
      <c r="U811" s="367"/>
      <c r="V811" s="367"/>
      <c r="W811" s="367"/>
      <c r="X811" s="367"/>
      <c r="Y811" s="367"/>
      <c r="Z811" s="367"/>
    </row>
    <row r="812" ht="12.75" customHeight="1" spans="1:26">
      <c r="A812" s="363"/>
      <c r="B812" s="412"/>
      <c r="C812" s="367"/>
      <c r="D812" s="413"/>
      <c r="E812" s="413"/>
      <c r="F812" s="367"/>
      <c r="G812" s="367"/>
      <c r="H812" s="367"/>
      <c r="I812" s="367"/>
      <c r="J812" s="367"/>
      <c r="K812" s="367"/>
      <c r="L812" s="367"/>
      <c r="M812" s="367"/>
      <c r="N812" s="367"/>
      <c r="O812" s="367"/>
      <c r="P812" s="367"/>
      <c r="Q812" s="367"/>
      <c r="R812" s="367"/>
      <c r="S812" s="367"/>
      <c r="T812" s="367"/>
      <c r="U812" s="367"/>
      <c r="V812" s="367"/>
      <c r="W812" s="367"/>
      <c r="X812" s="367"/>
      <c r="Y812" s="367"/>
      <c r="Z812" s="367"/>
    </row>
    <row r="813" ht="12.75" customHeight="1" spans="1:26">
      <c r="A813" s="363"/>
      <c r="B813" s="412"/>
      <c r="C813" s="367"/>
      <c r="D813" s="413"/>
      <c r="E813" s="413"/>
      <c r="F813" s="367"/>
      <c r="G813" s="367"/>
      <c r="H813" s="367"/>
      <c r="I813" s="367"/>
      <c r="J813" s="367"/>
      <c r="K813" s="367"/>
      <c r="L813" s="367"/>
      <c r="M813" s="367"/>
      <c r="N813" s="367"/>
      <c r="O813" s="367"/>
      <c r="P813" s="367"/>
      <c r="Q813" s="367"/>
      <c r="R813" s="367"/>
      <c r="S813" s="367"/>
      <c r="T813" s="367"/>
      <c r="U813" s="367"/>
      <c r="V813" s="367"/>
      <c r="W813" s="367"/>
      <c r="X813" s="367"/>
      <c r="Y813" s="367"/>
      <c r="Z813" s="367"/>
    </row>
    <row r="814" ht="12.75" customHeight="1" spans="1:26">
      <c r="A814" s="363"/>
      <c r="B814" s="412"/>
      <c r="C814" s="367"/>
      <c r="D814" s="413"/>
      <c r="E814" s="413"/>
      <c r="F814" s="367"/>
      <c r="G814" s="367"/>
      <c r="H814" s="367"/>
      <c r="I814" s="367"/>
      <c r="J814" s="367"/>
      <c r="K814" s="367"/>
      <c r="L814" s="367"/>
      <c r="M814" s="367"/>
      <c r="N814" s="367"/>
      <c r="O814" s="367"/>
      <c r="P814" s="367"/>
      <c r="Q814" s="367"/>
      <c r="R814" s="367"/>
      <c r="S814" s="367"/>
      <c r="T814" s="367"/>
      <c r="U814" s="367"/>
      <c r="V814" s="367"/>
      <c r="W814" s="367"/>
      <c r="X814" s="367"/>
      <c r="Y814" s="367"/>
      <c r="Z814" s="367"/>
    </row>
    <row r="815" ht="12.75" customHeight="1" spans="1:26">
      <c r="A815" s="363"/>
      <c r="B815" s="412"/>
      <c r="C815" s="367"/>
      <c r="D815" s="413"/>
      <c r="E815" s="413"/>
      <c r="F815" s="367"/>
      <c r="G815" s="367"/>
      <c r="H815" s="367"/>
      <c r="I815" s="367"/>
      <c r="J815" s="367"/>
      <c r="K815" s="367"/>
      <c r="L815" s="367"/>
      <c r="M815" s="367"/>
      <c r="N815" s="367"/>
      <c r="O815" s="367"/>
      <c r="P815" s="367"/>
      <c r="Q815" s="367"/>
      <c r="R815" s="367"/>
      <c r="S815" s="367"/>
      <c r="T815" s="367"/>
      <c r="U815" s="367"/>
      <c r="V815" s="367"/>
      <c r="W815" s="367"/>
      <c r="X815" s="367"/>
      <c r="Y815" s="367"/>
      <c r="Z815" s="367"/>
    </row>
    <row r="816" ht="12.75" customHeight="1" spans="1:26">
      <c r="A816" s="363"/>
      <c r="B816" s="412"/>
      <c r="C816" s="367"/>
      <c r="D816" s="413"/>
      <c r="E816" s="413"/>
      <c r="F816" s="367"/>
      <c r="G816" s="367"/>
      <c r="H816" s="367"/>
      <c r="I816" s="367"/>
      <c r="J816" s="367"/>
      <c r="K816" s="367"/>
      <c r="L816" s="367"/>
      <c r="M816" s="367"/>
      <c r="N816" s="367"/>
      <c r="O816" s="367"/>
      <c r="P816" s="367"/>
      <c r="Q816" s="367"/>
      <c r="R816" s="367"/>
      <c r="S816" s="367"/>
      <c r="T816" s="367"/>
      <c r="U816" s="367"/>
      <c r="V816" s="367"/>
      <c r="W816" s="367"/>
      <c r="X816" s="367"/>
      <c r="Y816" s="367"/>
      <c r="Z816" s="367"/>
    </row>
    <row r="817" ht="12.75" customHeight="1" spans="1:26">
      <c r="A817" s="363"/>
      <c r="B817" s="412"/>
      <c r="C817" s="367"/>
      <c r="D817" s="413"/>
      <c r="E817" s="413"/>
      <c r="F817" s="367"/>
      <c r="G817" s="367"/>
      <c r="H817" s="367"/>
      <c r="I817" s="367"/>
      <c r="J817" s="367"/>
      <c r="K817" s="367"/>
      <c r="L817" s="367"/>
      <c r="M817" s="367"/>
      <c r="N817" s="367"/>
      <c r="O817" s="367"/>
      <c r="P817" s="367"/>
      <c r="Q817" s="367"/>
      <c r="R817" s="367"/>
      <c r="S817" s="367"/>
      <c r="T817" s="367"/>
      <c r="U817" s="367"/>
      <c r="V817" s="367"/>
      <c r="W817" s="367"/>
      <c r="X817" s="367"/>
      <c r="Y817" s="367"/>
      <c r="Z817" s="367"/>
    </row>
    <row r="818" ht="12.75" customHeight="1" spans="1:26">
      <c r="A818" s="363"/>
      <c r="B818" s="412"/>
      <c r="C818" s="367"/>
      <c r="D818" s="413"/>
      <c r="E818" s="413"/>
      <c r="F818" s="367"/>
      <c r="G818" s="367"/>
      <c r="H818" s="367"/>
      <c r="I818" s="367"/>
      <c r="J818" s="367"/>
      <c r="K818" s="367"/>
      <c r="L818" s="367"/>
      <c r="M818" s="367"/>
      <c r="N818" s="367"/>
      <c r="O818" s="367"/>
      <c r="P818" s="367"/>
      <c r="Q818" s="367"/>
      <c r="R818" s="367"/>
      <c r="S818" s="367"/>
      <c r="T818" s="367"/>
      <c r="U818" s="367"/>
      <c r="V818" s="367"/>
      <c r="W818" s="367"/>
      <c r="X818" s="367"/>
      <c r="Y818" s="367"/>
      <c r="Z818" s="367"/>
    </row>
    <row r="819" ht="12.75" customHeight="1" spans="1:26">
      <c r="A819" s="363"/>
      <c r="B819" s="412"/>
      <c r="C819" s="367"/>
      <c r="D819" s="413"/>
      <c r="E819" s="413"/>
      <c r="F819" s="367"/>
      <c r="G819" s="367"/>
      <c r="H819" s="367"/>
      <c r="I819" s="367"/>
      <c r="J819" s="367"/>
      <c r="K819" s="367"/>
      <c r="L819" s="367"/>
      <c r="M819" s="367"/>
      <c r="N819" s="367"/>
      <c r="O819" s="367"/>
      <c r="P819" s="367"/>
      <c r="Q819" s="367"/>
      <c r="R819" s="367"/>
      <c r="S819" s="367"/>
      <c r="T819" s="367"/>
      <c r="U819" s="367"/>
      <c r="V819" s="367"/>
      <c r="W819" s="367"/>
      <c r="X819" s="367"/>
      <c r="Y819" s="367"/>
      <c r="Z819" s="367"/>
    </row>
    <row r="820" ht="12.75" customHeight="1" spans="1:26">
      <c r="A820" s="363"/>
      <c r="B820" s="412"/>
      <c r="C820" s="367"/>
      <c r="D820" s="413"/>
      <c r="E820" s="413"/>
      <c r="F820" s="367"/>
      <c r="G820" s="367"/>
      <c r="H820" s="367"/>
      <c r="I820" s="367"/>
      <c r="J820" s="367"/>
      <c r="K820" s="367"/>
      <c r="L820" s="367"/>
      <c r="M820" s="367"/>
      <c r="N820" s="367"/>
      <c r="O820" s="367"/>
      <c r="P820" s="367"/>
      <c r="Q820" s="367"/>
      <c r="R820" s="367"/>
      <c r="S820" s="367"/>
      <c r="T820" s="367"/>
      <c r="U820" s="367"/>
      <c r="V820" s="367"/>
      <c r="W820" s="367"/>
      <c r="X820" s="367"/>
      <c r="Y820" s="367"/>
      <c r="Z820" s="367"/>
    </row>
    <row r="821" ht="12.75" customHeight="1" spans="1:26">
      <c r="A821" s="363"/>
      <c r="B821" s="412"/>
      <c r="C821" s="367"/>
      <c r="D821" s="413"/>
      <c r="E821" s="413"/>
      <c r="F821" s="367"/>
      <c r="G821" s="367"/>
      <c r="H821" s="367"/>
      <c r="I821" s="367"/>
      <c r="J821" s="367"/>
      <c r="K821" s="367"/>
      <c r="L821" s="367"/>
      <c r="M821" s="367"/>
      <c r="N821" s="367"/>
      <c r="O821" s="367"/>
      <c r="P821" s="367"/>
      <c r="Q821" s="367"/>
      <c r="R821" s="367"/>
      <c r="S821" s="367"/>
      <c r="T821" s="367"/>
      <c r="U821" s="367"/>
      <c r="V821" s="367"/>
      <c r="W821" s="367"/>
      <c r="X821" s="367"/>
      <c r="Y821" s="367"/>
      <c r="Z821" s="367"/>
    </row>
    <row r="822" ht="12.75" customHeight="1" spans="1:26">
      <c r="A822" s="363"/>
      <c r="B822" s="412"/>
      <c r="C822" s="367"/>
      <c r="D822" s="413"/>
      <c r="E822" s="413"/>
      <c r="F822" s="367"/>
      <c r="G822" s="367"/>
      <c r="H822" s="367"/>
      <c r="I822" s="367"/>
      <c r="J822" s="367"/>
      <c r="K822" s="367"/>
      <c r="L822" s="367"/>
      <c r="M822" s="367"/>
      <c r="N822" s="367"/>
      <c r="O822" s="367"/>
      <c r="P822" s="367"/>
      <c r="Q822" s="367"/>
      <c r="R822" s="367"/>
      <c r="S822" s="367"/>
      <c r="T822" s="367"/>
      <c r="U822" s="367"/>
      <c r="V822" s="367"/>
      <c r="W822" s="367"/>
      <c r="X822" s="367"/>
      <c r="Y822" s="367"/>
      <c r="Z822" s="367"/>
    </row>
    <row r="823" ht="12.75" customHeight="1" spans="1:26">
      <c r="A823" s="363"/>
      <c r="B823" s="412"/>
      <c r="C823" s="367"/>
      <c r="D823" s="413"/>
      <c r="E823" s="413"/>
      <c r="F823" s="367"/>
      <c r="G823" s="367"/>
      <c r="H823" s="367"/>
      <c r="I823" s="367"/>
      <c r="J823" s="367"/>
      <c r="K823" s="367"/>
      <c r="L823" s="367"/>
      <c r="M823" s="367"/>
      <c r="N823" s="367"/>
      <c r="O823" s="367"/>
      <c r="P823" s="367"/>
      <c r="Q823" s="367"/>
      <c r="R823" s="367"/>
      <c r="S823" s="367"/>
      <c r="T823" s="367"/>
      <c r="U823" s="367"/>
      <c r="V823" s="367"/>
      <c r="W823" s="367"/>
      <c r="X823" s="367"/>
      <c r="Y823" s="367"/>
      <c r="Z823" s="367"/>
    </row>
    <row r="824" ht="12.75" customHeight="1" spans="1:26">
      <c r="A824" s="363"/>
      <c r="B824" s="412"/>
      <c r="C824" s="367"/>
      <c r="D824" s="413"/>
      <c r="E824" s="413"/>
      <c r="F824" s="367"/>
      <c r="G824" s="367"/>
      <c r="H824" s="367"/>
      <c r="I824" s="367"/>
      <c r="J824" s="367"/>
      <c r="K824" s="367"/>
      <c r="L824" s="367"/>
      <c r="M824" s="367"/>
      <c r="N824" s="367"/>
      <c r="O824" s="367"/>
      <c r="P824" s="367"/>
      <c r="Q824" s="367"/>
      <c r="R824" s="367"/>
      <c r="S824" s="367"/>
      <c r="T824" s="367"/>
      <c r="U824" s="367"/>
      <c r="V824" s="367"/>
      <c r="W824" s="367"/>
      <c r="X824" s="367"/>
      <c r="Y824" s="367"/>
      <c r="Z824" s="367"/>
    </row>
    <row r="825" ht="12.75" customHeight="1" spans="1:26">
      <c r="A825" s="363"/>
      <c r="B825" s="412"/>
      <c r="C825" s="367"/>
      <c r="D825" s="413"/>
      <c r="E825" s="413"/>
      <c r="F825" s="367"/>
      <c r="G825" s="367"/>
      <c r="H825" s="367"/>
      <c r="I825" s="367"/>
      <c r="J825" s="367"/>
      <c r="K825" s="367"/>
      <c r="L825" s="367"/>
      <c r="M825" s="367"/>
      <c r="N825" s="367"/>
      <c r="O825" s="367"/>
      <c r="P825" s="367"/>
      <c r="Q825" s="367"/>
      <c r="R825" s="367"/>
      <c r="S825" s="367"/>
      <c r="T825" s="367"/>
      <c r="U825" s="367"/>
      <c r="V825" s="367"/>
      <c r="W825" s="367"/>
      <c r="X825" s="367"/>
      <c r="Y825" s="367"/>
      <c r="Z825" s="367"/>
    </row>
    <row r="826" ht="12.75" customHeight="1" spans="1:26">
      <c r="A826" s="363"/>
      <c r="B826" s="412"/>
      <c r="C826" s="367"/>
      <c r="D826" s="413"/>
      <c r="E826" s="413"/>
      <c r="F826" s="367"/>
      <c r="G826" s="367"/>
      <c r="H826" s="367"/>
      <c r="I826" s="367"/>
      <c r="J826" s="367"/>
      <c r="K826" s="367"/>
      <c r="L826" s="367"/>
      <c r="M826" s="367"/>
      <c r="N826" s="367"/>
      <c r="O826" s="367"/>
      <c r="P826" s="367"/>
      <c r="Q826" s="367"/>
      <c r="R826" s="367"/>
      <c r="S826" s="367"/>
      <c r="T826" s="367"/>
      <c r="U826" s="367"/>
      <c r="V826" s="367"/>
      <c r="W826" s="367"/>
      <c r="X826" s="367"/>
      <c r="Y826" s="367"/>
      <c r="Z826" s="367"/>
    </row>
    <row r="827" ht="12.75" customHeight="1" spans="1:26">
      <c r="A827" s="363"/>
      <c r="B827" s="412"/>
      <c r="C827" s="367"/>
      <c r="D827" s="413"/>
      <c r="E827" s="413"/>
      <c r="F827" s="367"/>
      <c r="G827" s="367"/>
      <c r="H827" s="367"/>
      <c r="I827" s="367"/>
      <c r="J827" s="367"/>
      <c r="K827" s="367"/>
      <c r="L827" s="367"/>
      <c r="M827" s="367"/>
      <c r="N827" s="367"/>
      <c r="O827" s="367"/>
      <c r="P827" s="367"/>
      <c r="Q827" s="367"/>
      <c r="R827" s="367"/>
      <c r="S827" s="367"/>
      <c r="T827" s="367"/>
      <c r="U827" s="367"/>
      <c r="V827" s="367"/>
      <c r="W827" s="367"/>
      <c r="X827" s="367"/>
      <c r="Y827" s="367"/>
      <c r="Z827" s="367"/>
    </row>
    <row r="828" ht="12.75" customHeight="1" spans="1:26">
      <c r="A828" s="363"/>
      <c r="B828" s="412"/>
      <c r="C828" s="367"/>
      <c r="D828" s="413"/>
      <c r="E828" s="413"/>
      <c r="F828" s="367"/>
      <c r="G828" s="367"/>
      <c r="H828" s="367"/>
      <c r="I828" s="367"/>
      <c r="J828" s="367"/>
      <c r="K828" s="367"/>
      <c r="L828" s="367"/>
      <c r="M828" s="367"/>
      <c r="N828" s="367"/>
      <c r="O828" s="367"/>
      <c r="P828" s="367"/>
      <c r="Q828" s="367"/>
      <c r="R828" s="367"/>
      <c r="S828" s="367"/>
      <c r="T828" s="367"/>
      <c r="U828" s="367"/>
      <c r="V828" s="367"/>
      <c r="W828" s="367"/>
      <c r="X828" s="367"/>
      <c r="Y828" s="367"/>
      <c r="Z828" s="367"/>
    </row>
    <row r="829" ht="12.75" customHeight="1" spans="1:26">
      <c r="A829" s="363"/>
      <c r="B829" s="412"/>
      <c r="C829" s="367"/>
      <c r="D829" s="413"/>
      <c r="E829" s="413"/>
      <c r="F829" s="367"/>
      <c r="G829" s="367"/>
      <c r="H829" s="367"/>
      <c r="I829" s="367"/>
      <c r="J829" s="367"/>
      <c r="K829" s="367"/>
      <c r="L829" s="367"/>
      <c r="M829" s="367"/>
      <c r="N829" s="367"/>
      <c r="O829" s="367"/>
      <c r="P829" s="367"/>
      <c r="Q829" s="367"/>
      <c r="R829" s="367"/>
      <c r="S829" s="367"/>
      <c r="T829" s="367"/>
      <c r="U829" s="367"/>
      <c r="V829" s="367"/>
      <c r="W829" s="367"/>
      <c r="X829" s="367"/>
      <c r="Y829" s="367"/>
      <c r="Z829" s="367"/>
    </row>
    <row r="830" ht="12.75" customHeight="1" spans="1:26">
      <c r="A830" s="363"/>
      <c r="B830" s="412"/>
      <c r="C830" s="367"/>
      <c r="D830" s="413"/>
      <c r="E830" s="413"/>
      <c r="F830" s="367"/>
      <c r="G830" s="367"/>
      <c r="H830" s="367"/>
      <c r="I830" s="367"/>
      <c r="J830" s="367"/>
      <c r="K830" s="367"/>
      <c r="L830" s="367"/>
      <c r="M830" s="367"/>
      <c r="N830" s="367"/>
      <c r="O830" s="367"/>
      <c r="P830" s="367"/>
      <c r="Q830" s="367"/>
      <c r="R830" s="367"/>
      <c r="S830" s="367"/>
      <c r="T830" s="367"/>
      <c r="U830" s="367"/>
      <c r="V830" s="367"/>
      <c r="W830" s="367"/>
      <c r="X830" s="367"/>
      <c r="Y830" s="367"/>
      <c r="Z830" s="367"/>
    </row>
    <row r="831" ht="12.75" customHeight="1" spans="1:26">
      <c r="A831" s="363"/>
      <c r="B831" s="412"/>
      <c r="C831" s="367"/>
      <c r="D831" s="413"/>
      <c r="E831" s="413"/>
      <c r="F831" s="367"/>
      <c r="G831" s="367"/>
      <c r="H831" s="367"/>
      <c r="I831" s="367"/>
      <c r="J831" s="367"/>
      <c r="K831" s="367"/>
      <c r="L831" s="367"/>
      <c r="M831" s="367"/>
      <c r="N831" s="367"/>
      <c r="O831" s="367"/>
      <c r="P831" s="367"/>
      <c r="Q831" s="367"/>
      <c r="R831" s="367"/>
      <c r="S831" s="367"/>
      <c r="T831" s="367"/>
      <c r="U831" s="367"/>
      <c r="V831" s="367"/>
      <c r="W831" s="367"/>
      <c r="X831" s="367"/>
      <c r="Y831" s="367"/>
      <c r="Z831" s="367"/>
    </row>
    <row r="832" ht="12.75" customHeight="1" spans="1:26">
      <c r="A832" s="363"/>
      <c r="B832" s="412"/>
      <c r="C832" s="367"/>
      <c r="D832" s="413"/>
      <c r="E832" s="413"/>
      <c r="F832" s="367"/>
      <c r="G832" s="367"/>
      <c r="H832" s="367"/>
      <c r="I832" s="367"/>
      <c r="J832" s="367"/>
      <c r="K832" s="367"/>
      <c r="L832" s="367"/>
      <c r="M832" s="367"/>
      <c r="N832" s="367"/>
      <c r="O832" s="367"/>
      <c r="P832" s="367"/>
      <c r="Q832" s="367"/>
      <c r="R832" s="367"/>
      <c r="S832" s="367"/>
      <c r="T832" s="367"/>
      <c r="U832" s="367"/>
      <c r="V832" s="367"/>
      <c r="W832" s="367"/>
      <c r="X832" s="367"/>
      <c r="Y832" s="367"/>
      <c r="Z832" s="367"/>
    </row>
    <row r="833" ht="12.75" customHeight="1" spans="1:26">
      <c r="A833" s="363"/>
      <c r="B833" s="412"/>
      <c r="C833" s="367"/>
      <c r="D833" s="413"/>
      <c r="E833" s="413"/>
      <c r="F833" s="367"/>
      <c r="G833" s="367"/>
      <c r="H833" s="367"/>
      <c r="I833" s="367"/>
      <c r="J833" s="367"/>
      <c r="K833" s="367"/>
      <c r="L833" s="367"/>
      <c r="M833" s="367"/>
      <c r="N833" s="367"/>
      <c r="O833" s="367"/>
      <c r="P833" s="367"/>
      <c r="Q833" s="367"/>
      <c r="R833" s="367"/>
      <c r="S833" s="367"/>
      <c r="T833" s="367"/>
      <c r="U833" s="367"/>
      <c r="V833" s="367"/>
      <c r="W833" s="367"/>
      <c r="X833" s="367"/>
      <c r="Y833" s="367"/>
      <c r="Z833" s="367"/>
    </row>
    <row r="834" ht="12.75" customHeight="1" spans="1:26">
      <c r="A834" s="363"/>
      <c r="B834" s="412"/>
      <c r="C834" s="367"/>
      <c r="D834" s="413"/>
      <c r="E834" s="413"/>
      <c r="F834" s="367"/>
      <c r="G834" s="367"/>
      <c r="H834" s="367"/>
      <c r="I834" s="367"/>
      <c r="J834" s="367"/>
      <c r="K834" s="367"/>
      <c r="L834" s="367"/>
      <c r="M834" s="367"/>
      <c r="N834" s="367"/>
      <c r="O834" s="367"/>
      <c r="P834" s="367"/>
      <c r="Q834" s="367"/>
      <c r="R834" s="367"/>
      <c r="S834" s="367"/>
      <c r="T834" s="367"/>
      <c r="U834" s="367"/>
      <c r="V834" s="367"/>
      <c r="W834" s="367"/>
      <c r="X834" s="367"/>
      <c r="Y834" s="367"/>
      <c r="Z834" s="367"/>
    </row>
    <row r="835" ht="12.75" customHeight="1" spans="1:26">
      <c r="A835" s="363"/>
      <c r="B835" s="412"/>
      <c r="C835" s="367"/>
      <c r="D835" s="413"/>
      <c r="E835" s="413"/>
      <c r="F835" s="367"/>
      <c r="G835" s="367"/>
      <c r="H835" s="367"/>
      <c r="I835" s="367"/>
      <c r="J835" s="367"/>
      <c r="K835" s="367"/>
      <c r="L835" s="367"/>
      <c r="M835" s="367"/>
      <c r="N835" s="367"/>
      <c r="O835" s="367"/>
      <c r="P835" s="367"/>
      <c r="Q835" s="367"/>
      <c r="R835" s="367"/>
      <c r="S835" s="367"/>
      <c r="T835" s="367"/>
      <c r="U835" s="367"/>
      <c r="V835" s="367"/>
      <c r="W835" s="367"/>
      <c r="X835" s="367"/>
      <c r="Y835" s="367"/>
      <c r="Z835" s="367"/>
    </row>
    <row r="836" ht="12.75" customHeight="1" spans="1:26">
      <c r="A836" s="363"/>
      <c r="B836" s="412"/>
      <c r="C836" s="367"/>
      <c r="D836" s="413"/>
      <c r="E836" s="413"/>
      <c r="F836" s="367"/>
      <c r="G836" s="367"/>
      <c r="H836" s="367"/>
      <c r="I836" s="367"/>
      <c r="J836" s="367"/>
      <c r="K836" s="367"/>
      <c r="L836" s="367"/>
      <c r="M836" s="367"/>
      <c r="N836" s="367"/>
      <c r="O836" s="367"/>
      <c r="P836" s="367"/>
      <c r="Q836" s="367"/>
      <c r="R836" s="367"/>
      <c r="S836" s="367"/>
      <c r="T836" s="367"/>
      <c r="U836" s="367"/>
      <c r="V836" s="367"/>
      <c r="W836" s="367"/>
      <c r="X836" s="367"/>
      <c r="Y836" s="367"/>
      <c r="Z836" s="367"/>
    </row>
    <row r="837" ht="12.75" customHeight="1" spans="1:26">
      <c r="A837" s="363"/>
      <c r="B837" s="412"/>
      <c r="C837" s="367"/>
      <c r="D837" s="413"/>
      <c r="E837" s="413"/>
      <c r="F837" s="367"/>
      <c r="G837" s="367"/>
      <c r="H837" s="367"/>
      <c r="I837" s="367"/>
      <c r="J837" s="367"/>
      <c r="K837" s="367"/>
      <c r="L837" s="367"/>
      <c r="M837" s="367"/>
      <c r="N837" s="367"/>
      <c r="O837" s="367"/>
      <c r="P837" s="367"/>
      <c r="Q837" s="367"/>
      <c r="R837" s="367"/>
      <c r="S837" s="367"/>
      <c r="T837" s="367"/>
      <c r="U837" s="367"/>
      <c r="V837" s="367"/>
      <c r="W837" s="367"/>
      <c r="X837" s="367"/>
      <c r="Y837" s="367"/>
      <c r="Z837" s="367"/>
    </row>
    <row r="838" ht="12.75" customHeight="1" spans="1:26">
      <c r="A838" s="363"/>
      <c r="B838" s="412"/>
      <c r="C838" s="367"/>
      <c r="D838" s="413"/>
      <c r="E838" s="413"/>
      <c r="F838" s="367"/>
      <c r="G838" s="367"/>
      <c r="H838" s="367"/>
      <c r="I838" s="367"/>
      <c r="J838" s="367"/>
      <c r="K838" s="367"/>
      <c r="L838" s="367"/>
      <c r="M838" s="367"/>
      <c r="N838" s="367"/>
      <c r="O838" s="367"/>
      <c r="P838" s="367"/>
      <c r="Q838" s="367"/>
      <c r="R838" s="367"/>
      <c r="S838" s="367"/>
      <c r="T838" s="367"/>
      <c r="U838" s="367"/>
      <c r="V838" s="367"/>
      <c r="W838" s="367"/>
      <c r="X838" s="367"/>
      <c r="Y838" s="367"/>
      <c r="Z838" s="367"/>
    </row>
    <row r="839" ht="12.75" customHeight="1" spans="1:26">
      <c r="A839" s="363"/>
      <c r="B839" s="412"/>
      <c r="C839" s="367"/>
      <c r="D839" s="413"/>
      <c r="E839" s="413"/>
      <c r="F839" s="367"/>
      <c r="G839" s="367"/>
      <c r="H839" s="367"/>
      <c r="I839" s="367"/>
      <c r="J839" s="367"/>
      <c r="K839" s="367"/>
      <c r="L839" s="367"/>
      <c r="M839" s="367"/>
      <c r="N839" s="367"/>
      <c r="O839" s="367"/>
      <c r="P839" s="367"/>
      <c r="Q839" s="367"/>
      <c r="R839" s="367"/>
      <c r="S839" s="367"/>
      <c r="T839" s="367"/>
      <c r="U839" s="367"/>
      <c r="V839" s="367"/>
      <c r="W839" s="367"/>
      <c r="X839" s="367"/>
      <c r="Y839" s="367"/>
      <c r="Z839" s="367"/>
    </row>
    <row r="840" ht="12.75" customHeight="1" spans="1:26">
      <c r="A840" s="363"/>
      <c r="B840" s="412"/>
      <c r="C840" s="367"/>
      <c r="D840" s="413"/>
      <c r="E840" s="413"/>
      <c r="F840" s="367"/>
      <c r="G840" s="367"/>
      <c r="H840" s="367"/>
      <c r="I840" s="367"/>
      <c r="J840" s="367"/>
      <c r="K840" s="367"/>
      <c r="L840" s="367"/>
      <c r="M840" s="367"/>
      <c r="N840" s="367"/>
      <c r="O840" s="367"/>
      <c r="P840" s="367"/>
      <c r="Q840" s="367"/>
      <c r="R840" s="367"/>
      <c r="S840" s="367"/>
      <c r="T840" s="367"/>
      <c r="U840" s="367"/>
      <c r="V840" s="367"/>
      <c r="W840" s="367"/>
      <c r="X840" s="367"/>
      <c r="Y840" s="367"/>
      <c r="Z840" s="367"/>
    </row>
    <row r="841" ht="12.75" customHeight="1" spans="1:26">
      <c r="A841" s="363"/>
      <c r="B841" s="412"/>
      <c r="C841" s="367"/>
      <c r="D841" s="413"/>
      <c r="E841" s="413"/>
      <c r="F841" s="367"/>
      <c r="G841" s="367"/>
      <c r="H841" s="367"/>
      <c r="I841" s="367"/>
      <c r="J841" s="367"/>
      <c r="K841" s="367"/>
      <c r="L841" s="367"/>
      <c r="M841" s="367"/>
      <c r="N841" s="367"/>
      <c r="O841" s="367"/>
      <c r="P841" s="367"/>
      <c r="Q841" s="367"/>
      <c r="R841" s="367"/>
      <c r="S841" s="367"/>
      <c r="T841" s="367"/>
      <c r="U841" s="367"/>
      <c r="V841" s="367"/>
      <c r="W841" s="367"/>
      <c r="X841" s="367"/>
      <c r="Y841" s="367"/>
      <c r="Z841" s="367"/>
    </row>
    <row r="842" ht="12.75" customHeight="1" spans="1:26">
      <c r="A842" s="363"/>
      <c r="B842" s="412"/>
      <c r="C842" s="367"/>
      <c r="D842" s="413"/>
      <c r="E842" s="413"/>
      <c r="F842" s="367"/>
      <c r="G842" s="367"/>
      <c r="H842" s="367"/>
      <c r="I842" s="367"/>
      <c r="J842" s="367"/>
      <c r="K842" s="367"/>
      <c r="L842" s="367"/>
      <c r="M842" s="367"/>
      <c r="N842" s="367"/>
      <c r="O842" s="367"/>
      <c r="P842" s="367"/>
      <c r="Q842" s="367"/>
      <c r="R842" s="367"/>
      <c r="S842" s="367"/>
      <c r="T842" s="367"/>
      <c r="U842" s="367"/>
      <c r="V842" s="367"/>
      <c r="W842" s="367"/>
      <c r="X842" s="367"/>
      <c r="Y842" s="367"/>
      <c r="Z842" s="367"/>
    </row>
    <row r="843" ht="12.75" customHeight="1" spans="1:26">
      <c r="A843" s="363"/>
      <c r="B843" s="412"/>
      <c r="C843" s="367"/>
      <c r="D843" s="413"/>
      <c r="E843" s="413"/>
      <c r="F843" s="367"/>
      <c r="G843" s="367"/>
      <c r="H843" s="367"/>
      <c r="I843" s="367"/>
      <c r="J843" s="367"/>
      <c r="K843" s="367"/>
      <c r="L843" s="367"/>
      <c r="M843" s="367"/>
      <c r="N843" s="367"/>
      <c r="O843" s="367"/>
      <c r="P843" s="367"/>
      <c r="Q843" s="367"/>
      <c r="R843" s="367"/>
      <c r="S843" s="367"/>
      <c r="T843" s="367"/>
      <c r="U843" s="367"/>
      <c r="V843" s="367"/>
      <c r="W843" s="367"/>
      <c r="X843" s="367"/>
      <c r="Y843" s="367"/>
      <c r="Z843" s="367"/>
    </row>
    <row r="844" ht="12.75" customHeight="1" spans="1:26">
      <c r="A844" s="363"/>
      <c r="B844" s="412"/>
      <c r="C844" s="367"/>
      <c r="D844" s="413"/>
      <c r="E844" s="413"/>
      <c r="F844" s="367"/>
      <c r="G844" s="367"/>
      <c r="H844" s="367"/>
      <c r="I844" s="367"/>
      <c r="J844" s="367"/>
      <c r="K844" s="367"/>
      <c r="L844" s="367"/>
      <c r="M844" s="367"/>
      <c r="N844" s="367"/>
      <c r="O844" s="367"/>
      <c r="P844" s="367"/>
      <c r="Q844" s="367"/>
      <c r="R844" s="367"/>
      <c r="S844" s="367"/>
      <c r="T844" s="367"/>
      <c r="U844" s="367"/>
      <c r="V844" s="367"/>
      <c r="W844" s="367"/>
      <c r="X844" s="367"/>
      <c r="Y844" s="367"/>
      <c r="Z844" s="367"/>
    </row>
    <row r="845" ht="12.75" customHeight="1" spans="1:26">
      <c r="A845" s="363"/>
      <c r="B845" s="412"/>
      <c r="C845" s="367"/>
      <c r="D845" s="413"/>
      <c r="E845" s="413"/>
      <c r="F845" s="367"/>
      <c r="G845" s="367"/>
      <c r="H845" s="367"/>
      <c r="I845" s="367"/>
      <c r="J845" s="367"/>
      <c r="K845" s="367"/>
      <c r="L845" s="367"/>
      <c r="M845" s="367"/>
      <c r="N845" s="367"/>
      <c r="O845" s="367"/>
      <c r="P845" s="367"/>
      <c r="Q845" s="367"/>
      <c r="R845" s="367"/>
      <c r="S845" s="367"/>
      <c r="T845" s="367"/>
      <c r="U845" s="367"/>
      <c r="V845" s="367"/>
      <c r="W845" s="367"/>
      <c r="X845" s="367"/>
      <c r="Y845" s="367"/>
      <c r="Z845" s="367"/>
    </row>
    <row r="846" ht="12.75" customHeight="1" spans="1:26">
      <c r="A846" s="363"/>
      <c r="B846" s="412"/>
      <c r="C846" s="367"/>
      <c r="D846" s="413"/>
      <c r="E846" s="413"/>
      <c r="F846" s="367"/>
      <c r="G846" s="367"/>
      <c r="H846" s="367"/>
      <c r="I846" s="367"/>
      <c r="J846" s="367"/>
      <c r="K846" s="367"/>
      <c r="L846" s="367"/>
      <c r="M846" s="367"/>
      <c r="N846" s="367"/>
      <c r="O846" s="367"/>
      <c r="P846" s="367"/>
      <c r="Q846" s="367"/>
      <c r="R846" s="367"/>
      <c r="S846" s="367"/>
      <c r="T846" s="367"/>
      <c r="U846" s="367"/>
      <c r="V846" s="367"/>
      <c r="W846" s="367"/>
      <c r="X846" s="367"/>
      <c r="Y846" s="367"/>
      <c r="Z846" s="367"/>
    </row>
    <row r="847" ht="12.75" customHeight="1" spans="1:26">
      <c r="A847" s="363"/>
      <c r="B847" s="412"/>
      <c r="C847" s="367"/>
      <c r="D847" s="413"/>
      <c r="E847" s="413"/>
      <c r="F847" s="367"/>
      <c r="G847" s="367"/>
      <c r="H847" s="367"/>
      <c r="I847" s="367"/>
      <c r="J847" s="367"/>
      <c r="K847" s="367"/>
      <c r="L847" s="367"/>
      <c r="M847" s="367"/>
      <c r="N847" s="367"/>
      <c r="O847" s="367"/>
      <c r="P847" s="367"/>
      <c r="Q847" s="367"/>
      <c r="R847" s="367"/>
      <c r="S847" s="367"/>
      <c r="T847" s="367"/>
      <c r="U847" s="367"/>
      <c r="V847" s="367"/>
      <c r="W847" s="367"/>
      <c r="X847" s="367"/>
      <c r="Y847" s="367"/>
      <c r="Z847" s="367"/>
    </row>
    <row r="848" ht="12.75" customHeight="1" spans="1:26">
      <c r="A848" s="363"/>
      <c r="B848" s="412"/>
      <c r="C848" s="367"/>
      <c r="D848" s="413"/>
      <c r="E848" s="413"/>
      <c r="F848" s="367"/>
      <c r="G848" s="367"/>
      <c r="H848" s="367"/>
      <c r="I848" s="367"/>
      <c r="J848" s="367"/>
      <c r="K848" s="367"/>
      <c r="L848" s="367"/>
      <c r="M848" s="367"/>
      <c r="N848" s="367"/>
      <c r="O848" s="367"/>
      <c r="P848" s="367"/>
      <c r="Q848" s="367"/>
      <c r="R848" s="367"/>
      <c r="S848" s="367"/>
      <c r="T848" s="367"/>
      <c r="U848" s="367"/>
      <c r="V848" s="367"/>
      <c r="W848" s="367"/>
      <c r="X848" s="367"/>
      <c r="Y848" s="367"/>
      <c r="Z848" s="367"/>
    </row>
    <row r="849" ht="12.75" customHeight="1" spans="1:26">
      <c r="A849" s="363"/>
      <c r="B849" s="412"/>
      <c r="C849" s="367"/>
      <c r="D849" s="413"/>
      <c r="E849" s="413"/>
      <c r="F849" s="367"/>
      <c r="G849" s="367"/>
      <c r="H849" s="367"/>
      <c r="I849" s="367"/>
      <c r="J849" s="367"/>
      <c r="K849" s="367"/>
      <c r="L849" s="367"/>
      <c r="M849" s="367"/>
      <c r="N849" s="367"/>
      <c r="O849" s="367"/>
      <c r="P849" s="367"/>
      <c r="Q849" s="367"/>
      <c r="R849" s="367"/>
      <c r="S849" s="367"/>
      <c r="T849" s="367"/>
      <c r="U849" s="367"/>
      <c r="V849" s="367"/>
      <c r="W849" s="367"/>
      <c r="X849" s="367"/>
      <c r="Y849" s="367"/>
      <c r="Z849" s="367"/>
    </row>
    <row r="850" ht="12.75" customHeight="1" spans="1:26">
      <c r="A850" s="363"/>
      <c r="B850" s="412"/>
      <c r="C850" s="367"/>
      <c r="D850" s="413"/>
      <c r="E850" s="413"/>
      <c r="F850" s="367"/>
      <c r="G850" s="367"/>
      <c r="H850" s="367"/>
      <c r="I850" s="367"/>
      <c r="J850" s="367"/>
      <c r="K850" s="367"/>
      <c r="L850" s="367"/>
      <c r="M850" s="367"/>
      <c r="N850" s="367"/>
      <c r="O850" s="367"/>
      <c r="P850" s="367"/>
      <c r="Q850" s="367"/>
      <c r="R850" s="367"/>
      <c r="S850" s="367"/>
      <c r="T850" s="367"/>
      <c r="U850" s="367"/>
      <c r="V850" s="367"/>
      <c r="W850" s="367"/>
      <c r="X850" s="367"/>
      <c r="Y850" s="367"/>
      <c r="Z850" s="367"/>
    </row>
    <row r="851" ht="12.75" customHeight="1" spans="1:26">
      <c r="A851" s="363"/>
      <c r="B851" s="412"/>
      <c r="C851" s="367"/>
      <c r="D851" s="413"/>
      <c r="E851" s="413"/>
      <c r="F851" s="367"/>
      <c r="G851" s="367"/>
      <c r="H851" s="367"/>
      <c r="I851" s="367"/>
      <c r="J851" s="367"/>
      <c r="K851" s="367"/>
      <c r="L851" s="367"/>
      <c r="M851" s="367"/>
      <c r="N851" s="367"/>
      <c r="O851" s="367"/>
      <c r="P851" s="367"/>
      <c r="Q851" s="367"/>
      <c r="R851" s="367"/>
      <c r="S851" s="367"/>
      <c r="T851" s="367"/>
      <c r="U851" s="367"/>
      <c r="V851" s="367"/>
      <c r="W851" s="367"/>
      <c r="X851" s="367"/>
      <c r="Y851" s="367"/>
      <c r="Z851" s="367"/>
    </row>
    <row r="852" ht="12.75" customHeight="1" spans="1:26">
      <c r="A852" s="363"/>
      <c r="B852" s="412"/>
      <c r="C852" s="367"/>
      <c r="D852" s="413"/>
      <c r="E852" s="413"/>
      <c r="F852" s="367"/>
      <c r="G852" s="367"/>
      <c r="H852" s="367"/>
      <c r="I852" s="367"/>
      <c r="J852" s="367"/>
      <c r="K852" s="367"/>
      <c r="L852" s="367"/>
      <c r="M852" s="367"/>
      <c r="N852" s="367"/>
      <c r="O852" s="367"/>
      <c r="P852" s="367"/>
      <c r="Q852" s="367"/>
      <c r="R852" s="367"/>
      <c r="S852" s="367"/>
      <c r="T852" s="367"/>
      <c r="U852" s="367"/>
      <c r="V852" s="367"/>
      <c r="W852" s="367"/>
      <c r="X852" s="367"/>
      <c r="Y852" s="367"/>
      <c r="Z852" s="367"/>
    </row>
    <row r="853" ht="12.75" customHeight="1" spans="1:26">
      <c r="A853" s="363"/>
      <c r="B853" s="412"/>
      <c r="C853" s="367"/>
      <c r="D853" s="413"/>
      <c r="E853" s="413"/>
      <c r="F853" s="367"/>
      <c r="G853" s="367"/>
      <c r="H853" s="367"/>
      <c r="I853" s="367"/>
      <c r="J853" s="367"/>
      <c r="K853" s="367"/>
      <c r="L853" s="367"/>
      <c r="M853" s="367"/>
      <c r="N853" s="367"/>
      <c r="O853" s="367"/>
      <c r="P853" s="367"/>
      <c r="Q853" s="367"/>
      <c r="R853" s="367"/>
      <c r="S853" s="367"/>
      <c r="T853" s="367"/>
      <c r="U853" s="367"/>
      <c r="V853" s="367"/>
      <c r="W853" s="367"/>
      <c r="X853" s="367"/>
      <c r="Y853" s="367"/>
      <c r="Z853" s="367"/>
    </row>
    <row r="854" ht="12.75" customHeight="1" spans="1:26">
      <c r="A854" s="363"/>
      <c r="B854" s="412"/>
      <c r="C854" s="367"/>
      <c r="D854" s="413"/>
      <c r="E854" s="413"/>
      <c r="F854" s="367"/>
      <c r="G854" s="367"/>
      <c r="H854" s="367"/>
      <c r="I854" s="367"/>
      <c r="J854" s="367"/>
      <c r="K854" s="367"/>
      <c r="L854" s="367"/>
      <c r="M854" s="367"/>
      <c r="N854" s="367"/>
      <c r="O854" s="367"/>
      <c r="P854" s="367"/>
      <c r="Q854" s="367"/>
      <c r="R854" s="367"/>
      <c r="S854" s="367"/>
      <c r="T854" s="367"/>
      <c r="U854" s="367"/>
      <c r="V854" s="367"/>
      <c r="W854" s="367"/>
      <c r="X854" s="367"/>
      <c r="Y854" s="367"/>
      <c r="Z854" s="367"/>
    </row>
    <row r="855" ht="12.75" customHeight="1" spans="1:26">
      <c r="A855" s="363"/>
      <c r="B855" s="412"/>
      <c r="C855" s="367"/>
      <c r="D855" s="413"/>
      <c r="E855" s="413"/>
      <c r="F855" s="367"/>
      <c r="G855" s="367"/>
      <c r="H855" s="367"/>
      <c r="I855" s="367"/>
      <c r="J855" s="367"/>
      <c r="K855" s="367"/>
      <c r="L855" s="367"/>
      <c r="M855" s="367"/>
      <c r="N855" s="367"/>
      <c r="O855" s="367"/>
      <c r="P855" s="367"/>
      <c r="Q855" s="367"/>
      <c r="R855" s="367"/>
      <c r="S855" s="367"/>
      <c r="T855" s="367"/>
      <c r="U855" s="367"/>
      <c r="V855" s="367"/>
      <c r="W855" s="367"/>
      <c r="X855" s="367"/>
      <c r="Y855" s="367"/>
      <c r="Z855" s="367"/>
    </row>
    <row r="856" ht="12.75" customHeight="1" spans="1:26">
      <c r="A856" s="363"/>
      <c r="B856" s="412"/>
      <c r="C856" s="367"/>
      <c r="D856" s="413"/>
      <c r="E856" s="413"/>
      <c r="F856" s="367"/>
      <c r="G856" s="367"/>
      <c r="H856" s="367"/>
      <c r="I856" s="367"/>
      <c r="J856" s="367"/>
      <c r="K856" s="367"/>
      <c r="L856" s="367"/>
      <c r="M856" s="367"/>
      <c r="N856" s="367"/>
      <c r="O856" s="367"/>
      <c r="P856" s="367"/>
      <c r="Q856" s="367"/>
      <c r="R856" s="367"/>
      <c r="S856" s="367"/>
      <c r="T856" s="367"/>
      <c r="U856" s="367"/>
      <c r="V856" s="367"/>
      <c r="W856" s="367"/>
      <c r="X856" s="367"/>
      <c r="Y856" s="367"/>
      <c r="Z856" s="367"/>
    </row>
    <row r="857" ht="12.75" customHeight="1" spans="1:26">
      <c r="A857" s="363"/>
      <c r="B857" s="412"/>
      <c r="C857" s="367"/>
      <c r="D857" s="413"/>
      <c r="E857" s="413"/>
      <c r="F857" s="367"/>
      <c r="G857" s="367"/>
      <c r="H857" s="367"/>
      <c r="I857" s="367"/>
      <c r="J857" s="367"/>
      <c r="K857" s="367"/>
      <c r="L857" s="367"/>
      <c r="M857" s="367"/>
      <c r="N857" s="367"/>
      <c r="O857" s="367"/>
      <c r="P857" s="367"/>
      <c r="Q857" s="367"/>
      <c r="R857" s="367"/>
      <c r="S857" s="367"/>
      <c r="T857" s="367"/>
      <c r="U857" s="367"/>
      <c r="V857" s="367"/>
      <c r="W857" s="367"/>
      <c r="X857" s="367"/>
      <c r="Y857" s="367"/>
      <c r="Z857" s="367"/>
    </row>
    <row r="858" ht="12.75" customHeight="1" spans="1:26">
      <c r="A858" s="363"/>
      <c r="B858" s="412"/>
      <c r="C858" s="367"/>
      <c r="D858" s="413"/>
      <c r="E858" s="413"/>
      <c r="F858" s="367"/>
      <c r="G858" s="367"/>
      <c r="H858" s="367"/>
      <c r="I858" s="367"/>
      <c r="J858" s="367"/>
      <c r="K858" s="367"/>
      <c r="L858" s="367"/>
      <c r="M858" s="367"/>
      <c r="N858" s="367"/>
      <c r="O858" s="367"/>
      <c r="P858" s="367"/>
      <c r="Q858" s="367"/>
      <c r="R858" s="367"/>
      <c r="S858" s="367"/>
      <c r="T858" s="367"/>
      <c r="U858" s="367"/>
      <c r="V858" s="367"/>
      <c r="W858" s="367"/>
      <c r="X858" s="367"/>
      <c r="Y858" s="367"/>
      <c r="Z858" s="367"/>
    </row>
    <row r="859" ht="12.75" customHeight="1" spans="1:26">
      <c r="A859" s="363"/>
      <c r="B859" s="412"/>
      <c r="C859" s="367"/>
      <c r="D859" s="413"/>
      <c r="E859" s="413"/>
      <c r="F859" s="367"/>
      <c r="G859" s="367"/>
      <c r="H859" s="367"/>
      <c r="I859" s="367"/>
      <c r="J859" s="367"/>
      <c r="K859" s="367"/>
      <c r="L859" s="367"/>
      <c r="M859" s="367"/>
      <c r="N859" s="367"/>
      <c r="O859" s="367"/>
      <c r="P859" s="367"/>
      <c r="Q859" s="367"/>
      <c r="R859" s="367"/>
      <c r="S859" s="367"/>
      <c r="T859" s="367"/>
      <c r="U859" s="367"/>
      <c r="V859" s="367"/>
      <c r="W859" s="367"/>
      <c r="X859" s="367"/>
      <c r="Y859" s="367"/>
      <c r="Z859" s="367"/>
    </row>
    <row r="860" ht="12.75" customHeight="1" spans="1:26">
      <c r="A860" s="363"/>
      <c r="B860" s="412"/>
      <c r="C860" s="367"/>
      <c r="D860" s="413"/>
      <c r="E860" s="413"/>
      <c r="F860" s="367"/>
      <c r="G860" s="367"/>
      <c r="H860" s="367"/>
      <c r="I860" s="367"/>
      <c r="J860" s="367"/>
      <c r="K860" s="367"/>
      <c r="L860" s="367"/>
      <c r="M860" s="367"/>
      <c r="N860" s="367"/>
      <c r="O860" s="367"/>
      <c r="P860" s="367"/>
      <c r="Q860" s="367"/>
      <c r="R860" s="367"/>
      <c r="S860" s="367"/>
      <c r="T860" s="367"/>
      <c r="U860" s="367"/>
      <c r="V860" s="367"/>
      <c r="W860" s="367"/>
      <c r="X860" s="367"/>
      <c r="Y860" s="367"/>
      <c r="Z860" s="367"/>
    </row>
    <row r="861" ht="12.75" customHeight="1" spans="1:26">
      <c r="A861" s="363"/>
      <c r="B861" s="412"/>
      <c r="C861" s="367"/>
      <c r="D861" s="413"/>
      <c r="E861" s="413"/>
      <c r="F861" s="367"/>
      <c r="G861" s="367"/>
      <c r="H861" s="367"/>
      <c r="I861" s="367"/>
      <c r="J861" s="367"/>
      <c r="K861" s="367"/>
      <c r="L861" s="367"/>
      <c r="M861" s="367"/>
      <c r="N861" s="367"/>
      <c r="O861" s="367"/>
      <c r="P861" s="367"/>
      <c r="Q861" s="367"/>
      <c r="R861" s="367"/>
      <c r="S861" s="367"/>
      <c r="T861" s="367"/>
      <c r="U861" s="367"/>
      <c r="V861" s="367"/>
      <c r="W861" s="367"/>
      <c r="X861" s="367"/>
      <c r="Y861" s="367"/>
      <c r="Z861" s="367"/>
    </row>
    <row r="862" ht="12.75" customHeight="1" spans="1:26">
      <c r="A862" s="363"/>
      <c r="B862" s="412"/>
      <c r="C862" s="367"/>
      <c r="D862" s="413"/>
      <c r="E862" s="413"/>
      <c r="F862" s="367"/>
      <c r="G862" s="367"/>
      <c r="H862" s="367"/>
      <c r="I862" s="367"/>
      <c r="J862" s="367"/>
      <c r="K862" s="367"/>
      <c r="L862" s="367"/>
      <c r="M862" s="367"/>
      <c r="N862" s="367"/>
      <c r="O862" s="367"/>
      <c r="P862" s="367"/>
      <c r="Q862" s="367"/>
      <c r="R862" s="367"/>
      <c r="S862" s="367"/>
      <c r="T862" s="367"/>
      <c r="U862" s="367"/>
      <c r="V862" s="367"/>
      <c r="W862" s="367"/>
      <c r="X862" s="367"/>
      <c r="Y862" s="367"/>
      <c r="Z862" s="367"/>
    </row>
    <row r="863" ht="12.75" customHeight="1" spans="1:26">
      <c r="A863" s="363"/>
      <c r="B863" s="412"/>
      <c r="C863" s="367"/>
      <c r="D863" s="413"/>
      <c r="E863" s="413"/>
      <c r="F863" s="367"/>
      <c r="G863" s="367"/>
      <c r="H863" s="367"/>
      <c r="I863" s="367"/>
      <c r="J863" s="367"/>
      <c r="K863" s="367"/>
      <c r="L863" s="367"/>
      <c r="M863" s="367"/>
      <c r="N863" s="367"/>
      <c r="O863" s="367"/>
      <c r="P863" s="367"/>
      <c r="Q863" s="367"/>
      <c r="R863" s="367"/>
      <c r="S863" s="367"/>
      <c r="T863" s="367"/>
      <c r="U863" s="367"/>
      <c r="V863" s="367"/>
      <c r="W863" s="367"/>
      <c r="X863" s="367"/>
      <c r="Y863" s="367"/>
      <c r="Z863" s="367"/>
    </row>
    <row r="864" ht="12.75" customHeight="1" spans="1:26">
      <c r="A864" s="363"/>
      <c r="B864" s="412"/>
      <c r="C864" s="367"/>
      <c r="D864" s="413"/>
      <c r="E864" s="413"/>
      <c r="F864" s="367"/>
      <c r="G864" s="367"/>
      <c r="H864" s="367"/>
      <c r="I864" s="367"/>
      <c r="J864" s="367"/>
      <c r="K864" s="367"/>
      <c r="L864" s="367"/>
      <c r="M864" s="367"/>
      <c r="N864" s="367"/>
      <c r="O864" s="367"/>
      <c r="P864" s="367"/>
      <c r="Q864" s="367"/>
      <c r="R864" s="367"/>
      <c r="S864" s="367"/>
      <c r="T864" s="367"/>
      <c r="U864" s="367"/>
      <c r="V864" s="367"/>
      <c r="W864" s="367"/>
      <c r="X864" s="367"/>
      <c r="Y864" s="367"/>
      <c r="Z864" s="367"/>
    </row>
    <row r="865" ht="12.75" customHeight="1" spans="1:26">
      <c r="A865" s="363"/>
      <c r="B865" s="412"/>
      <c r="C865" s="367"/>
      <c r="D865" s="413"/>
      <c r="E865" s="413"/>
      <c r="F865" s="367"/>
      <c r="G865" s="367"/>
      <c r="H865" s="367"/>
      <c r="I865" s="367"/>
      <c r="J865" s="367"/>
      <c r="K865" s="367"/>
      <c r="L865" s="367"/>
      <c r="M865" s="367"/>
      <c r="N865" s="367"/>
      <c r="O865" s="367"/>
      <c r="P865" s="367"/>
      <c r="Q865" s="367"/>
      <c r="R865" s="367"/>
      <c r="S865" s="367"/>
      <c r="T865" s="367"/>
      <c r="U865" s="367"/>
      <c r="V865" s="367"/>
      <c r="W865" s="367"/>
      <c r="X865" s="367"/>
      <c r="Y865" s="367"/>
      <c r="Z865" s="367"/>
    </row>
    <row r="866" ht="12.75" customHeight="1" spans="1:26">
      <c r="A866" s="363"/>
      <c r="B866" s="412"/>
      <c r="C866" s="367"/>
      <c r="D866" s="413"/>
      <c r="E866" s="413"/>
      <c r="F866" s="367"/>
      <c r="G866" s="367"/>
      <c r="H866" s="367"/>
      <c r="I866" s="367"/>
      <c r="J866" s="367"/>
      <c r="K866" s="367"/>
      <c r="L866" s="367"/>
      <c r="M866" s="367"/>
      <c r="N866" s="367"/>
      <c r="O866" s="367"/>
      <c r="P866" s="367"/>
      <c r="Q866" s="367"/>
      <c r="R866" s="367"/>
      <c r="S866" s="367"/>
      <c r="T866" s="367"/>
      <c r="U866" s="367"/>
      <c r="V866" s="367"/>
      <c r="W866" s="367"/>
      <c r="X866" s="367"/>
      <c r="Y866" s="367"/>
      <c r="Z866" s="367"/>
    </row>
    <row r="867" ht="12.75" customHeight="1" spans="1:26">
      <c r="A867" s="363"/>
      <c r="B867" s="412"/>
      <c r="C867" s="367"/>
      <c r="D867" s="413"/>
      <c r="E867" s="413"/>
      <c r="F867" s="367"/>
      <c r="G867" s="367"/>
      <c r="H867" s="367"/>
      <c r="I867" s="367"/>
      <c r="J867" s="367"/>
      <c r="K867" s="367"/>
      <c r="L867" s="367"/>
      <c r="M867" s="367"/>
      <c r="N867" s="367"/>
      <c r="O867" s="367"/>
      <c r="P867" s="367"/>
      <c r="Q867" s="367"/>
      <c r="R867" s="367"/>
      <c r="S867" s="367"/>
      <c r="T867" s="367"/>
      <c r="U867" s="367"/>
      <c r="V867" s="367"/>
      <c r="W867" s="367"/>
      <c r="X867" s="367"/>
      <c r="Y867" s="367"/>
      <c r="Z867" s="367"/>
    </row>
    <row r="868" ht="12.75" customHeight="1" spans="1:26">
      <c r="A868" s="363"/>
      <c r="B868" s="412"/>
      <c r="C868" s="367"/>
      <c r="D868" s="413"/>
      <c r="E868" s="413"/>
      <c r="F868" s="367"/>
      <c r="G868" s="367"/>
      <c r="H868" s="367"/>
      <c r="I868" s="367"/>
      <c r="J868" s="367"/>
      <c r="K868" s="367"/>
      <c r="L868" s="367"/>
      <c r="M868" s="367"/>
      <c r="N868" s="367"/>
      <c r="O868" s="367"/>
      <c r="P868" s="367"/>
      <c r="Q868" s="367"/>
      <c r="R868" s="367"/>
      <c r="S868" s="367"/>
      <c r="T868" s="367"/>
      <c r="U868" s="367"/>
      <c r="V868" s="367"/>
      <c r="W868" s="367"/>
      <c r="X868" s="367"/>
      <c r="Y868" s="367"/>
      <c r="Z868" s="367"/>
    </row>
    <row r="869" ht="12.75" customHeight="1" spans="1:26">
      <c r="A869" s="363"/>
      <c r="B869" s="412"/>
      <c r="C869" s="367"/>
      <c r="D869" s="413"/>
      <c r="E869" s="413"/>
      <c r="F869" s="367"/>
      <c r="G869" s="367"/>
      <c r="H869" s="367"/>
      <c r="I869" s="367"/>
      <c r="J869" s="367"/>
      <c r="K869" s="367"/>
      <c r="L869" s="367"/>
      <c r="M869" s="367"/>
      <c r="N869" s="367"/>
      <c r="O869" s="367"/>
      <c r="P869" s="367"/>
      <c r="Q869" s="367"/>
      <c r="R869" s="367"/>
      <c r="S869" s="367"/>
      <c r="T869" s="367"/>
      <c r="U869" s="367"/>
      <c r="V869" s="367"/>
      <c r="W869" s="367"/>
      <c r="X869" s="367"/>
      <c r="Y869" s="367"/>
      <c r="Z869" s="367"/>
    </row>
    <row r="870" ht="12.75" customHeight="1" spans="1:26">
      <c r="A870" s="363"/>
      <c r="B870" s="412"/>
      <c r="C870" s="367"/>
      <c r="D870" s="413"/>
      <c r="E870" s="413"/>
      <c r="F870" s="367"/>
      <c r="G870" s="367"/>
      <c r="H870" s="367"/>
      <c r="I870" s="367"/>
      <c r="J870" s="367"/>
      <c r="K870" s="367"/>
      <c r="L870" s="367"/>
      <c r="M870" s="367"/>
      <c r="N870" s="367"/>
      <c r="O870" s="367"/>
      <c r="P870" s="367"/>
      <c r="Q870" s="367"/>
      <c r="R870" s="367"/>
      <c r="S870" s="367"/>
      <c r="T870" s="367"/>
      <c r="U870" s="367"/>
      <c r="V870" s="367"/>
      <c r="W870" s="367"/>
      <c r="X870" s="367"/>
      <c r="Y870" s="367"/>
      <c r="Z870" s="367"/>
    </row>
    <row r="871" ht="12.75" customHeight="1" spans="1:26">
      <c r="A871" s="363"/>
      <c r="B871" s="412"/>
      <c r="C871" s="367"/>
      <c r="D871" s="413"/>
      <c r="E871" s="413"/>
      <c r="F871" s="367"/>
      <c r="G871" s="367"/>
      <c r="H871" s="367"/>
      <c r="I871" s="367"/>
      <c r="J871" s="367"/>
      <c r="K871" s="367"/>
      <c r="L871" s="367"/>
      <c r="M871" s="367"/>
      <c r="N871" s="367"/>
      <c r="O871" s="367"/>
      <c r="P871" s="367"/>
      <c r="Q871" s="367"/>
      <c r="R871" s="367"/>
      <c r="S871" s="367"/>
      <c r="T871" s="367"/>
      <c r="U871" s="367"/>
      <c r="V871" s="367"/>
      <c r="W871" s="367"/>
      <c r="X871" s="367"/>
      <c r="Y871" s="367"/>
      <c r="Z871" s="367"/>
    </row>
    <row r="872" ht="12.75" customHeight="1" spans="1:26">
      <c r="A872" s="363"/>
      <c r="B872" s="412"/>
      <c r="C872" s="367"/>
      <c r="D872" s="413"/>
      <c r="E872" s="413"/>
      <c r="F872" s="367"/>
      <c r="G872" s="367"/>
      <c r="H872" s="367"/>
      <c r="I872" s="367"/>
      <c r="J872" s="367"/>
      <c r="K872" s="367"/>
      <c r="L872" s="367"/>
      <c r="M872" s="367"/>
      <c r="N872" s="367"/>
      <c r="O872" s="367"/>
      <c r="P872" s="367"/>
      <c r="Q872" s="367"/>
      <c r="R872" s="367"/>
      <c r="S872" s="367"/>
      <c r="T872" s="367"/>
      <c r="U872" s="367"/>
      <c r="V872" s="367"/>
      <c r="W872" s="367"/>
      <c r="X872" s="367"/>
      <c r="Y872" s="367"/>
      <c r="Z872" s="367"/>
    </row>
    <row r="873" ht="12.75" customHeight="1" spans="1:26">
      <c r="A873" s="363"/>
      <c r="B873" s="412"/>
      <c r="C873" s="367"/>
      <c r="D873" s="413"/>
      <c r="E873" s="413"/>
      <c r="F873" s="367"/>
      <c r="G873" s="367"/>
      <c r="H873" s="367"/>
      <c r="I873" s="367"/>
      <c r="J873" s="367"/>
      <c r="K873" s="367"/>
      <c r="L873" s="367"/>
      <c r="M873" s="367"/>
      <c r="N873" s="367"/>
      <c r="O873" s="367"/>
      <c r="P873" s="367"/>
      <c r="Q873" s="367"/>
      <c r="R873" s="367"/>
      <c r="S873" s="367"/>
      <c r="T873" s="367"/>
      <c r="U873" s="367"/>
      <c r="V873" s="367"/>
      <c r="W873" s="367"/>
      <c r="X873" s="367"/>
      <c r="Y873" s="367"/>
      <c r="Z873" s="367"/>
    </row>
    <row r="874" ht="12.75" customHeight="1" spans="1:26">
      <c r="A874" s="363"/>
      <c r="B874" s="412"/>
      <c r="C874" s="367"/>
      <c r="D874" s="413"/>
      <c r="E874" s="413"/>
      <c r="F874" s="367"/>
      <c r="G874" s="367"/>
      <c r="H874" s="367"/>
      <c r="I874" s="367"/>
      <c r="J874" s="367"/>
      <c r="K874" s="367"/>
      <c r="L874" s="367"/>
      <c r="M874" s="367"/>
      <c r="N874" s="367"/>
      <c r="O874" s="367"/>
      <c r="P874" s="367"/>
      <c r="Q874" s="367"/>
      <c r="R874" s="367"/>
      <c r="S874" s="367"/>
      <c r="T874" s="367"/>
      <c r="U874" s="367"/>
      <c r="V874" s="367"/>
      <c r="W874" s="367"/>
      <c r="X874" s="367"/>
      <c r="Y874" s="367"/>
      <c r="Z874" s="367"/>
    </row>
    <row r="875" ht="12.75" customHeight="1" spans="1:26">
      <c r="A875" s="363"/>
      <c r="B875" s="412"/>
      <c r="C875" s="367"/>
      <c r="D875" s="413"/>
      <c r="E875" s="413"/>
      <c r="F875" s="367"/>
      <c r="G875" s="367"/>
      <c r="H875" s="367"/>
      <c r="I875" s="367"/>
      <c r="J875" s="367"/>
      <c r="K875" s="367"/>
      <c r="L875" s="367"/>
      <c r="M875" s="367"/>
      <c r="N875" s="367"/>
      <c r="O875" s="367"/>
      <c r="P875" s="367"/>
      <c r="Q875" s="367"/>
      <c r="R875" s="367"/>
      <c r="S875" s="367"/>
      <c r="T875" s="367"/>
      <c r="U875" s="367"/>
      <c r="V875" s="367"/>
      <c r="W875" s="367"/>
      <c r="X875" s="367"/>
      <c r="Y875" s="367"/>
      <c r="Z875" s="367"/>
    </row>
    <row r="876" ht="12.75" customHeight="1" spans="1:26">
      <c r="A876" s="363"/>
      <c r="B876" s="412"/>
      <c r="C876" s="367"/>
      <c r="D876" s="413"/>
      <c r="E876" s="413"/>
      <c r="F876" s="367"/>
      <c r="G876" s="367"/>
      <c r="H876" s="367"/>
      <c r="I876" s="367"/>
      <c r="J876" s="367"/>
      <c r="K876" s="367"/>
      <c r="L876" s="367"/>
      <c r="M876" s="367"/>
      <c r="N876" s="367"/>
      <c r="O876" s="367"/>
      <c r="P876" s="367"/>
      <c r="Q876" s="367"/>
      <c r="R876" s="367"/>
      <c r="S876" s="367"/>
      <c r="T876" s="367"/>
      <c r="U876" s="367"/>
      <c r="V876" s="367"/>
      <c r="W876" s="367"/>
      <c r="X876" s="367"/>
      <c r="Y876" s="367"/>
      <c r="Z876" s="367"/>
    </row>
    <row r="877" ht="12.75" customHeight="1" spans="1:26">
      <c r="A877" s="363"/>
      <c r="B877" s="412"/>
      <c r="C877" s="367"/>
      <c r="D877" s="413"/>
      <c r="E877" s="413"/>
      <c r="F877" s="367"/>
      <c r="G877" s="367"/>
      <c r="H877" s="367"/>
      <c r="I877" s="367"/>
      <c r="J877" s="367"/>
      <c r="K877" s="367"/>
      <c r="L877" s="367"/>
      <c r="M877" s="367"/>
      <c r="N877" s="367"/>
      <c r="O877" s="367"/>
      <c r="P877" s="367"/>
      <c r="Q877" s="367"/>
      <c r="R877" s="367"/>
      <c r="S877" s="367"/>
      <c r="T877" s="367"/>
      <c r="U877" s="367"/>
      <c r="V877" s="367"/>
      <c r="W877" s="367"/>
      <c r="X877" s="367"/>
      <c r="Y877" s="367"/>
      <c r="Z877" s="367"/>
    </row>
    <row r="878" ht="12.75" customHeight="1" spans="1:26">
      <c r="A878" s="363"/>
      <c r="B878" s="412"/>
      <c r="C878" s="367"/>
      <c r="D878" s="413"/>
      <c r="E878" s="413"/>
      <c r="F878" s="367"/>
      <c r="G878" s="367"/>
      <c r="H878" s="367"/>
      <c r="I878" s="367"/>
      <c r="J878" s="367"/>
      <c r="K878" s="367"/>
      <c r="L878" s="367"/>
      <c r="M878" s="367"/>
      <c r="N878" s="367"/>
      <c r="O878" s="367"/>
      <c r="P878" s="367"/>
      <c r="Q878" s="367"/>
      <c r="R878" s="367"/>
      <c r="S878" s="367"/>
      <c r="T878" s="367"/>
      <c r="U878" s="367"/>
      <c r="V878" s="367"/>
      <c r="W878" s="367"/>
      <c r="X878" s="367"/>
      <c r="Y878" s="367"/>
      <c r="Z878" s="367"/>
    </row>
    <row r="879" ht="12.75" customHeight="1" spans="1:26">
      <c r="A879" s="363"/>
      <c r="B879" s="412"/>
      <c r="C879" s="367"/>
      <c r="D879" s="413"/>
      <c r="E879" s="413"/>
      <c r="F879" s="367"/>
      <c r="G879" s="367"/>
      <c r="H879" s="367"/>
      <c r="I879" s="367"/>
      <c r="J879" s="367"/>
      <c r="K879" s="367"/>
      <c r="L879" s="367"/>
      <c r="M879" s="367"/>
      <c r="N879" s="367"/>
      <c r="O879" s="367"/>
      <c r="P879" s="367"/>
      <c r="Q879" s="367"/>
      <c r="R879" s="367"/>
      <c r="S879" s="367"/>
      <c r="T879" s="367"/>
      <c r="U879" s="367"/>
      <c r="V879" s="367"/>
      <c r="W879" s="367"/>
      <c r="X879" s="367"/>
      <c r="Y879" s="367"/>
      <c r="Z879" s="367"/>
    </row>
    <row r="880" ht="12.75" customHeight="1" spans="1:26">
      <c r="A880" s="363"/>
      <c r="B880" s="412"/>
      <c r="C880" s="367"/>
      <c r="D880" s="413"/>
      <c r="E880" s="413"/>
      <c r="F880" s="367"/>
      <c r="G880" s="367"/>
      <c r="H880" s="367"/>
      <c r="I880" s="367"/>
      <c r="J880" s="367"/>
      <c r="K880" s="367"/>
      <c r="L880" s="367"/>
      <c r="M880" s="367"/>
      <c r="N880" s="367"/>
      <c r="O880" s="367"/>
      <c r="P880" s="367"/>
      <c r="Q880" s="367"/>
      <c r="R880" s="367"/>
      <c r="S880" s="367"/>
      <c r="T880" s="367"/>
      <c r="U880" s="367"/>
      <c r="V880" s="367"/>
      <c r="W880" s="367"/>
      <c r="X880" s="367"/>
      <c r="Y880" s="367"/>
      <c r="Z880" s="367"/>
    </row>
    <row r="881" ht="12.75" customHeight="1" spans="1:26">
      <c r="A881" s="363"/>
      <c r="B881" s="412"/>
      <c r="C881" s="367"/>
      <c r="D881" s="413"/>
      <c r="E881" s="413"/>
      <c r="F881" s="367"/>
      <c r="G881" s="367"/>
      <c r="H881" s="367"/>
      <c r="I881" s="367"/>
      <c r="J881" s="367"/>
      <c r="K881" s="367"/>
      <c r="L881" s="367"/>
      <c r="M881" s="367"/>
      <c r="N881" s="367"/>
      <c r="O881" s="367"/>
      <c r="P881" s="367"/>
      <c r="Q881" s="367"/>
      <c r="R881" s="367"/>
      <c r="S881" s="367"/>
      <c r="T881" s="367"/>
      <c r="U881" s="367"/>
      <c r="V881" s="367"/>
      <c r="W881" s="367"/>
      <c r="X881" s="367"/>
      <c r="Y881" s="367"/>
      <c r="Z881" s="367"/>
    </row>
    <row r="882" ht="12.75" customHeight="1" spans="1:26">
      <c r="A882" s="363"/>
      <c r="B882" s="412"/>
      <c r="C882" s="367"/>
      <c r="D882" s="413"/>
      <c r="E882" s="413"/>
      <c r="F882" s="367"/>
      <c r="G882" s="367"/>
      <c r="H882" s="367"/>
      <c r="I882" s="367"/>
      <c r="J882" s="367"/>
      <c r="K882" s="367"/>
      <c r="L882" s="367"/>
      <c r="M882" s="367"/>
      <c r="N882" s="367"/>
      <c r="O882" s="367"/>
      <c r="P882" s="367"/>
      <c r="Q882" s="367"/>
      <c r="R882" s="367"/>
      <c r="S882" s="367"/>
      <c r="T882" s="367"/>
      <c r="U882" s="367"/>
      <c r="V882" s="367"/>
      <c r="W882" s="367"/>
      <c r="X882" s="367"/>
      <c r="Y882" s="367"/>
      <c r="Z882" s="367"/>
    </row>
    <row r="883" ht="12.75" customHeight="1" spans="1:26">
      <c r="A883" s="363"/>
      <c r="B883" s="412"/>
      <c r="C883" s="367"/>
      <c r="D883" s="413"/>
      <c r="E883" s="413"/>
      <c r="F883" s="367"/>
      <c r="G883" s="367"/>
      <c r="H883" s="367"/>
      <c r="I883" s="367"/>
      <c r="J883" s="367"/>
      <c r="K883" s="367"/>
      <c r="L883" s="367"/>
      <c r="M883" s="367"/>
      <c r="N883" s="367"/>
      <c r="O883" s="367"/>
      <c r="P883" s="367"/>
      <c r="Q883" s="367"/>
      <c r="R883" s="367"/>
      <c r="S883" s="367"/>
      <c r="T883" s="367"/>
      <c r="U883" s="367"/>
      <c r="V883" s="367"/>
      <c r="W883" s="367"/>
      <c r="X883" s="367"/>
      <c r="Y883" s="367"/>
      <c r="Z883" s="367"/>
    </row>
    <row r="884" ht="12.75" customHeight="1" spans="1:26">
      <c r="A884" s="363"/>
      <c r="B884" s="412"/>
      <c r="C884" s="367"/>
      <c r="D884" s="413"/>
      <c r="E884" s="413"/>
      <c r="F884" s="367"/>
      <c r="G884" s="367"/>
      <c r="H884" s="367"/>
      <c r="I884" s="367"/>
      <c r="J884" s="367"/>
      <c r="K884" s="367"/>
      <c r="L884" s="367"/>
      <c r="M884" s="367"/>
      <c r="N884" s="367"/>
      <c r="O884" s="367"/>
      <c r="P884" s="367"/>
      <c r="Q884" s="367"/>
      <c r="R884" s="367"/>
      <c r="S884" s="367"/>
      <c r="T884" s="367"/>
      <c r="U884" s="367"/>
      <c r="V884" s="367"/>
      <c r="W884" s="367"/>
      <c r="X884" s="367"/>
      <c r="Y884" s="367"/>
      <c r="Z884" s="367"/>
    </row>
    <row r="885" ht="12.75" customHeight="1" spans="1:26">
      <c r="A885" s="363"/>
      <c r="B885" s="412"/>
      <c r="C885" s="367"/>
      <c r="D885" s="413"/>
      <c r="E885" s="413"/>
      <c r="F885" s="367"/>
      <c r="G885" s="367"/>
      <c r="H885" s="367"/>
      <c r="I885" s="367"/>
      <c r="J885" s="367"/>
      <c r="K885" s="367"/>
      <c r="L885" s="367"/>
      <c r="M885" s="367"/>
      <c r="N885" s="367"/>
      <c r="O885" s="367"/>
      <c r="P885" s="367"/>
      <c r="Q885" s="367"/>
      <c r="R885" s="367"/>
      <c r="S885" s="367"/>
      <c r="T885" s="367"/>
      <c r="U885" s="367"/>
      <c r="V885" s="367"/>
      <c r="W885" s="367"/>
      <c r="X885" s="367"/>
      <c r="Y885" s="367"/>
      <c r="Z885" s="367"/>
    </row>
    <row r="886" ht="12.75" customHeight="1" spans="1:26">
      <c r="A886" s="363"/>
      <c r="B886" s="412"/>
      <c r="C886" s="367"/>
      <c r="D886" s="413"/>
      <c r="E886" s="413"/>
      <c r="F886" s="367"/>
      <c r="G886" s="367"/>
      <c r="H886" s="367"/>
      <c r="I886" s="367"/>
      <c r="J886" s="367"/>
      <c r="K886" s="367"/>
      <c r="L886" s="367"/>
      <c r="M886" s="367"/>
      <c r="N886" s="367"/>
      <c r="O886" s="367"/>
      <c r="P886" s="367"/>
      <c r="Q886" s="367"/>
      <c r="R886" s="367"/>
      <c r="S886" s="367"/>
      <c r="T886" s="367"/>
      <c r="U886" s="367"/>
      <c r="V886" s="367"/>
      <c r="W886" s="367"/>
      <c r="X886" s="367"/>
      <c r="Y886" s="367"/>
      <c r="Z886" s="367"/>
    </row>
    <row r="887" ht="12.75" customHeight="1" spans="1:26">
      <c r="A887" s="363"/>
      <c r="B887" s="412"/>
      <c r="C887" s="367"/>
      <c r="D887" s="413"/>
      <c r="E887" s="413"/>
      <c r="F887" s="367"/>
      <c r="G887" s="367"/>
      <c r="H887" s="367"/>
      <c r="I887" s="367"/>
      <c r="J887" s="367"/>
      <c r="K887" s="367"/>
      <c r="L887" s="367"/>
      <c r="M887" s="367"/>
      <c r="N887" s="367"/>
      <c r="O887" s="367"/>
      <c r="P887" s="367"/>
      <c r="Q887" s="367"/>
      <c r="R887" s="367"/>
      <c r="S887" s="367"/>
      <c r="T887" s="367"/>
      <c r="U887" s="367"/>
      <c r="V887" s="367"/>
      <c r="W887" s="367"/>
      <c r="X887" s="367"/>
      <c r="Y887" s="367"/>
      <c r="Z887" s="367"/>
    </row>
    <row r="888" ht="12.75" customHeight="1" spans="1:26">
      <c r="A888" s="363"/>
      <c r="B888" s="412"/>
      <c r="C888" s="367"/>
      <c r="D888" s="413"/>
      <c r="E888" s="413"/>
      <c r="F888" s="367"/>
      <c r="G888" s="367"/>
      <c r="H888" s="367"/>
      <c r="I888" s="367"/>
      <c r="J888" s="367"/>
      <c r="K888" s="367"/>
      <c r="L888" s="367"/>
      <c r="M888" s="367"/>
      <c r="N888" s="367"/>
      <c r="O888" s="367"/>
      <c r="P888" s="367"/>
      <c r="Q888" s="367"/>
      <c r="R888" s="367"/>
      <c r="S888" s="367"/>
      <c r="T888" s="367"/>
      <c r="U888" s="367"/>
      <c r="V888" s="367"/>
      <c r="W888" s="367"/>
      <c r="X888" s="367"/>
      <c r="Y888" s="367"/>
      <c r="Z888" s="367"/>
    </row>
    <row r="889" ht="12.75" customHeight="1" spans="1:26">
      <c r="A889" s="363"/>
      <c r="B889" s="412"/>
      <c r="C889" s="367"/>
      <c r="D889" s="413"/>
      <c r="E889" s="413"/>
      <c r="F889" s="367"/>
      <c r="G889" s="367"/>
      <c r="H889" s="367"/>
      <c r="I889" s="367"/>
      <c r="J889" s="367"/>
      <c r="K889" s="367"/>
      <c r="L889" s="367"/>
      <c r="M889" s="367"/>
      <c r="N889" s="367"/>
      <c r="O889" s="367"/>
      <c r="P889" s="367"/>
      <c r="Q889" s="367"/>
      <c r="R889" s="367"/>
      <c r="S889" s="367"/>
      <c r="T889" s="367"/>
      <c r="U889" s="367"/>
      <c r="V889" s="367"/>
      <c r="W889" s="367"/>
      <c r="X889" s="367"/>
      <c r="Y889" s="367"/>
      <c r="Z889" s="367"/>
    </row>
    <row r="890" ht="12.75" customHeight="1" spans="1:26">
      <c r="A890" s="363"/>
      <c r="B890" s="412"/>
      <c r="C890" s="367"/>
      <c r="D890" s="413"/>
      <c r="E890" s="413"/>
      <c r="F890" s="367"/>
      <c r="G890" s="367"/>
      <c r="H890" s="367"/>
      <c r="I890" s="367"/>
      <c r="J890" s="367"/>
      <c r="K890" s="367"/>
      <c r="L890" s="367"/>
      <c r="M890" s="367"/>
      <c r="N890" s="367"/>
      <c r="O890" s="367"/>
      <c r="P890" s="367"/>
      <c r="Q890" s="367"/>
      <c r="R890" s="367"/>
      <c r="S890" s="367"/>
      <c r="T890" s="367"/>
      <c r="U890" s="367"/>
      <c r="V890" s="367"/>
      <c r="W890" s="367"/>
      <c r="X890" s="367"/>
      <c r="Y890" s="367"/>
      <c r="Z890" s="367"/>
    </row>
    <row r="891" ht="12.75" customHeight="1" spans="1:26">
      <c r="A891" s="363"/>
      <c r="B891" s="412"/>
      <c r="C891" s="367"/>
      <c r="D891" s="413"/>
      <c r="E891" s="413"/>
      <c r="F891" s="367"/>
      <c r="G891" s="367"/>
      <c r="H891" s="367"/>
      <c r="I891" s="367"/>
      <c r="J891" s="367"/>
      <c r="K891" s="367"/>
      <c r="L891" s="367"/>
      <c r="M891" s="367"/>
      <c r="N891" s="367"/>
      <c r="O891" s="367"/>
      <c r="P891" s="367"/>
      <c r="Q891" s="367"/>
      <c r="R891" s="367"/>
      <c r="S891" s="367"/>
      <c r="T891" s="367"/>
      <c r="U891" s="367"/>
      <c r="V891" s="367"/>
      <c r="W891" s="367"/>
      <c r="X891" s="367"/>
      <c r="Y891" s="367"/>
      <c r="Z891" s="367"/>
    </row>
    <row r="892" ht="12.75" customHeight="1" spans="1:26">
      <c r="A892" s="363"/>
      <c r="B892" s="412"/>
      <c r="C892" s="367"/>
      <c r="D892" s="413"/>
      <c r="E892" s="413"/>
      <c r="F892" s="367"/>
      <c r="G892" s="367"/>
      <c r="H892" s="367"/>
      <c r="I892" s="367"/>
      <c r="J892" s="367"/>
      <c r="K892" s="367"/>
      <c r="L892" s="367"/>
      <c r="M892" s="367"/>
      <c r="N892" s="367"/>
      <c r="O892" s="367"/>
      <c r="P892" s="367"/>
      <c r="Q892" s="367"/>
      <c r="R892" s="367"/>
      <c r="S892" s="367"/>
      <c r="T892" s="367"/>
      <c r="U892" s="367"/>
      <c r="V892" s="367"/>
      <c r="W892" s="367"/>
      <c r="X892" s="367"/>
      <c r="Y892" s="367"/>
      <c r="Z892" s="367"/>
    </row>
    <row r="893" ht="12.75" customHeight="1" spans="1:26">
      <c r="A893" s="363"/>
      <c r="B893" s="412"/>
      <c r="C893" s="367"/>
      <c r="D893" s="413"/>
      <c r="E893" s="413"/>
      <c r="F893" s="367"/>
      <c r="G893" s="367"/>
      <c r="H893" s="367"/>
      <c r="I893" s="367"/>
      <c r="J893" s="367"/>
      <c r="K893" s="367"/>
      <c r="L893" s="367"/>
      <c r="M893" s="367"/>
      <c r="N893" s="367"/>
      <c r="O893" s="367"/>
      <c r="P893" s="367"/>
      <c r="Q893" s="367"/>
      <c r="R893" s="367"/>
      <c r="S893" s="367"/>
      <c r="T893" s="367"/>
      <c r="U893" s="367"/>
      <c r="V893" s="367"/>
      <c r="W893" s="367"/>
      <c r="X893" s="367"/>
      <c r="Y893" s="367"/>
      <c r="Z893" s="367"/>
    </row>
    <row r="894" ht="12.75" customHeight="1" spans="1:26">
      <c r="A894" s="363"/>
      <c r="B894" s="412"/>
      <c r="C894" s="367"/>
      <c r="D894" s="413"/>
      <c r="E894" s="413"/>
      <c r="F894" s="367"/>
      <c r="G894" s="367"/>
      <c r="H894" s="367"/>
      <c r="I894" s="367"/>
      <c r="J894" s="367"/>
      <c r="K894" s="367"/>
      <c r="L894" s="367"/>
      <c r="M894" s="367"/>
      <c r="N894" s="367"/>
      <c r="O894" s="367"/>
      <c r="P894" s="367"/>
      <c r="Q894" s="367"/>
      <c r="R894" s="367"/>
      <c r="S894" s="367"/>
      <c r="T894" s="367"/>
      <c r="U894" s="367"/>
      <c r="V894" s="367"/>
      <c r="W894" s="367"/>
      <c r="X894" s="367"/>
      <c r="Y894" s="367"/>
      <c r="Z894" s="367"/>
    </row>
    <row r="895" ht="12.75" customHeight="1" spans="1:26">
      <c r="A895" s="363"/>
      <c r="B895" s="412"/>
      <c r="C895" s="367"/>
      <c r="D895" s="413"/>
      <c r="E895" s="413"/>
      <c r="F895" s="367"/>
      <c r="G895" s="367"/>
      <c r="H895" s="367"/>
      <c r="I895" s="367"/>
      <c r="J895" s="367"/>
      <c r="K895" s="367"/>
      <c r="L895" s="367"/>
      <c r="M895" s="367"/>
      <c r="N895" s="367"/>
      <c r="O895" s="367"/>
      <c r="P895" s="367"/>
      <c r="Q895" s="367"/>
      <c r="R895" s="367"/>
      <c r="S895" s="367"/>
      <c r="T895" s="367"/>
      <c r="U895" s="367"/>
      <c r="V895" s="367"/>
      <c r="W895" s="367"/>
      <c r="X895" s="367"/>
      <c r="Y895" s="367"/>
      <c r="Z895" s="367"/>
    </row>
    <row r="896" ht="12.75" customHeight="1" spans="1:26">
      <c r="A896" s="363"/>
      <c r="B896" s="412"/>
      <c r="C896" s="367"/>
      <c r="D896" s="413"/>
      <c r="E896" s="413"/>
      <c r="F896" s="367"/>
      <c r="G896" s="367"/>
      <c r="H896" s="367"/>
      <c r="I896" s="367"/>
      <c r="J896" s="367"/>
      <c r="K896" s="367"/>
      <c r="L896" s="367"/>
      <c r="M896" s="367"/>
      <c r="N896" s="367"/>
      <c r="O896" s="367"/>
      <c r="P896" s="367"/>
      <c r="Q896" s="367"/>
      <c r="R896" s="367"/>
      <c r="S896" s="367"/>
      <c r="T896" s="367"/>
      <c r="U896" s="367"/>
      <c r="V896" s="367"/>
      <c r="W896" s="367"/>
      <c r="X896" s="367"/>
      <c r="Y896" s="367"/>
      <c r="Z896" s="367"/>
    </row>
    <row r="897" ht="12.75" customHeight="1" spans="1:26">
      <c r="A897" s="363"/>
      <c r="B897" s="412"/>
      <c r="C897" s="367"/>
      <c r="D897" s="413"/>
      <c r="E897" s="413"/>
      <c r="F897" s="367"/>
      <c r="G897" s="367"/>
      <c r="H897" s="367"/>
      <c r="I897" s="367"/>
      <c r="J897" s="367"/>
      <c r="K897" s="367"/>
      <c r="L897" s="367"/>
      <c r="M897" s="367"/>
      <c r="N897" s="367"/>
      <c r="O897" s="367"/>
      <c r="P897" s="367"/>
      <c r="Q897" s="367"/>
      <c r="R897" s="367"/>
      <c r="S897" s="367"/>
      <c r="T897" s="367"/>
      <c r="U897" s="367"/>
      <c r="V897" s="367"/>
      <c r="W897" s="367"/>
      <c r="X897" s="367"/>
      <c r="Y897" s="367"/>
      <c r="Z897" s="367"/>
    </row>
    <row r="898" ht="12.75" customHeight="1" spans="1:26">
      <c r="A898" s="363"/>
      <c r="B898" s="412"/>
      <c r="C898" s="367"/>
      <c r="D898" s="413"/>
      <c r="E898" s="413"/>
      <c r="F898" s="367"/>
      <c r="G898" s="367"/>
      <c r="H898" s="367"/>
      <c r="I898" s="367"/>
      <c r="J898" s="367"/>
      <c r="K898" s="367"/>
      <c r="L898" s="367"/>
      <c r="M898" s="367"/>
      <c r="N898" s="367"/>
      <c r="O898" s="367"/>
      <c r="P898" s="367"/>
      <c r="Q898" s="367"/>
      <c r="R898" s="367"/>
      <c r="S898" s="367"/>
      <c r="T898" s="367"/>
      <c r="U898" s="367"/>
      <c r="V898" s="367"/>
      <c r="W898" s="367"/>
      <c r="X898" s="367"/>
      <c r="Y898" s="367"/>
      <c r="Z898" s="367"/>
    </row>
    <row r="899" ht="12.75" customHeight="1" spans="1:26">
      <c r="A899" s="363"/>
      <c r="B899" s="412"/>
      <c r="C899" s="367"/>
      <c r="D899" s="413"/>
      <c r="E899" s="413"/>
      <c r="F899" s="367"/>
      <c r="G899" s="367"/>
      <c r="H899" s="367"/>
      <c r="I899" s="367"/>
      <c r="J899" s="367"/>
      <c r="K899" s="367"/>
      <c r="L899" s="367"/>
      <c r="M899" s="367"/>
      <c r="N899" s="367"/>
      <c r="O899" s="367"/>
      <c r="P899" s="367"/>
      <c r="Q899" s="367"/>
      <c r="R899" s="367"/>
      <c r="S899" s="367"/>
      <c r="T899" s="367"/>
      <c r="U899" s="367"/>
      <c r="V899" s="367"/>
      <c r="W899" s="367"/>
      <c r="X899" s="367"/>
      <c r="Y899" s="367"/>
      <c r="Z899" s="367"/>
    </row>
    <row r="900" ht="12.75" customHeight="1" spans="1:26">
      <c r="A900" s="363"/>
      <c r="B900" s="412"/>
      <c r="C900" s="367"/>
      <c r="D900" s="413"/>
      <c r="E900" s="413"/>
      <c r="F900" s="367"/>
      <c r="G900" s="367"/>
      <c r="H900" s="367"/>
      <c r="I900" s="367"/>
      <c r="J900" s="367"/>
      <c r="K900" s="367"/>
      <c r="L900" s="367"/>
      <c r="M900" s="367"/>
      <c r="N900" s="367"/>
      <c r="O900" s="367"/>
      <c r="P900" s="367"/>
      <c r="Q900" s="367"/>
      <c r="R900" s="367"/>
      <c r="S900" s="367"/>
      <c r="T900" s="367"/>
      <c r="U900" s="367"/>
      <c r="V900" s="367"/>
      <c r="W900" s="367"/>
      <c r="X900" s="367"/>
      <c r="Y900" s="367"/>
      <c r="Z900" s="367"/>
    </row>
    <row r="901" ht="12.75" customHeight="1" spans="1:26">
      <c r="A901" s="363"/>
      <c r="B901" s="412"/>
      <c r="C901" s="367"/>
      <c r="D901" s="413"/>
      <c r="E901" s="413"/>
      <c r="F901" s="367"/>
      <c r="G901" s="367"/>
      <c r="H901" s="367"/>
      <c r="I901" s="367"/>
      <c r="J901" s="367"/>
      <c r="K901" s="367"/>
      <c r="L901" s="367"/>
      <c r="M901" s="367"/>
      <c r="N901" s="367"/>
      <c r="O901" s="367"/>
      <c r="P901" s="367"/>
      <c r="Q901" s="367"/>
      <c r="R901" s="367"/>
      <c r="S901" s="367"/>
      <c r="T901" s="367"/>
      <c r="U901" s="367"/>
      <c r="V901" s="367"/>
      <c r="W901" s="367"/>
      <c r="X901" s="367"/>
      <c r="Y901" s="367"/>
      <c r="Z901" s="367"/>
    </row>
    <row r="902" ht="12.75" customHeight="1" spans="1:26">
      <c r="A902" s="363"/>
      <c r="B902" s="412"/>
      <c r="C902" s="367"/>
      <c r="D902" s="413"/>
      <c r="E902" s="413"/>
      <c r="F902" s="367"/>
      <c r="G902" s="367"/>
      <c r="H902" s="367"/>
      <c r="I902" s="367"/>
      <c r="J902" s="367"/>
      <c r="K902" s="367"/>
      <c r="L902" s="367"/>
      <c r="M902" s="367"/>
      <c r="N902" s="367"/>
      <c r="O902" s="367"/>
      <c r="P902" s="367"/>
      <c r="Q902" s="367"/>
      <c r="R902" s="367"/>
      <c r="S902" s="367"/>
      <c r="T902" s="367"/>
      <c r="U902" s="367"/>
      <c r="V902" s="367"/>
      <c r="W902" s="367"/>
      <c r="X902" s="367"/>
      <c r="Y902" s="367"/>
      <c r="Z902" s="367"/>
    </row>
    <row r="903" ht="12.75" customHeight="1" spans="1:26">
      <c r="A903" s="363"/>
      <c r="B903" s="412"/>
      <c r="C903" s="367"/>
      <c r="D903" s="413"/>
      <c r="E903" s="413"/>
      <c r="F903" s="367"/>
      <c r="G903" s="367"/>
      <c r="H903" s="367"/>
      <c r="I903" s="367"/>
      <c r="J903" s="367"/>
      <c r="K903" s="367"/>
      <c r="L903" s="367"/>
      <c r="M903" s="367"/>
      <c r="N903" s="367"/>
      <c r="O903" s="367"/>
      <c r="P903" s="367"/>
      <c r="Q903" s="367"/>
      <c r="R903" s="367"/>
      <c r="S903" s="367"/>
      <c r="T903" s="367"/>
      <c r="U903" s="367"/>
      <c r="V903" s="367"/>
      <c r="W903" s="367"/>
      <c r="X903" s="367"/>
      <c r="Y903" s="367"/>
      <c r="Z903" s="367"/>
    </row>
    <row r="904" ht="12.75" customHeight="1" spans="1:26">
      <c r="A904" s="363"/>
      <c r="B904" s="412"/>
      <c r="C904" s="367"/>
      <c r="D904" s="413"/>
      <c r="E904" s="413"/>
      <c r="F904" s="367"/>
      <c r="G904" s="367"/>
      <c r="H904" s="367"/>
      <c r="I904" s="367"/>
      <c r="J904" s="367"/>
      <c r="K904" s="367"/>
      <c r="L904" s="367"/>
      <c r="M904" s="367"/>
      <c r="N904" s="367"/>
      <c r="O904" s="367"/>
      <c r="P904" s="367"/>
      <c r="Q904" s="367"/>
      <c r="R904" s="367"/>
      <c r="S904" s="367"/>
      <c r="T904" s="367"/>
      <c r="U904" s="367"/>
      <c r="V904" s="367"/>
      <c r="W904" s="367"/>
      <c r="X904" s="367"/>
      <c r="Y904" s="367"/>
      <c r="Z904" s="367"/>
    </row>
    <row r="905" ht="12.75" customHeight="1" spans="1:26">
      <c r="A905" s="363"/>
      <c r="B905" s="412"/>
      <c r="C905" s="367"/>
      <c r="D905" s="413"/>
      <c r="E905" s="413"/>
      <c r="F905" s="367"/>
      <c r="G905" s="367"/>
      <c r="H905" s="367"/>
      <c r="I905" s="367"/>
      <c r="J905" s="367"/>
      <c r="K905" s="367"/>
      <c r="L905" s="367"/>
      <c r="M905" s="367"/>
      <c r="N905" s="367"/>
      <c r="O905" s="367"/>
      <c r="P905" s="367"/>
      <c r="Q905" s="367"/>
      <c r="R905" s="367"/>
      <c r="S905" s="367"/>
      <c r="T905" s="367"/>
      <c r="U905" s="367"/>
      <c r="V905" s="367"/>
      <c r="W905" s="367"/>
      <c r="X905" s="367"/>
      <c r="Y905" s="367"/>
      <c r="Z905" s="367"/>
    </row>
    <row r="906" ht="12.75" customHeight="1" spans="1:26">
      <c r="A906" s="363"/>
      <c r="B906" s="412"/>
      <c r="C906" s="367"/>
      <c r="D906" s="413"/>
      <c r="E906" s="413"/>
      <c r="F906" s="367"/>
      <c r="G906" s="367"/>
      <c r="H906" s="367"/>
      <c r="I906" s="367"/>
      <c r="J906" s="367"/>
      <c r="K906" s="367"/>
      <c r="L906" s="367"/>
      <c r="M906" s="367"/>
      <c r="N906" s="367"/>
      <c r="O906" s="367"/>
      <c r="P906" s="367"/>
      <c r="Q906" s="367"/>
      <c r="R906" s="367"/>
      <c r="S906" s="367"/>
      <c r="T906" s="367"/>
      <c r="U906" s="367"/>
      <c r="V906" s="367"/>
      <c r="W906" s="367"/>
      <c r="X906" s="367"/>
      <c r="Y906" s="367"/>
      <c r="Z906" s="367"/>
    </row>
    <row r="907" ht="12.75" customHeight="1" spans="1:26">
      <c r="A907" s="363"/>
      <c r="B907" s="412"/>
      <c r="C907" s="367"/>
      <c r="D907" s="413"/>
      <c r="E907" s="413"/>
      <c r="F907" s="367"/>
      <c r="G907" s="367"/>
      <c r="H907" s="367"/>
      <c r="I907" s="367"/>
      <c r="J907" s="367"/>
      <c r="K907" s="367"/>
      <c r="L907" s="367"/>
      <c r="M907" s="367"/>
      <c r="N907" s="367"/>
      <c r="O907" s="367"/>
      <c r="P907" s="367"/>
      <c r="Q907" s="367"/>
      <c r="R907" s="367"/>
      <c r="S907" s="367"/>
      <c r="T907" s="367"/>
      <c r="U907" s="367"/>
      <c r="V907" s="367"/>
      <c r="W907" s="367"/>
      <c r="X907" s="367"/>
      <c r="Y907" s="367"/>
      <c r="Z907" s="367"/>
    </row>
    <row r="908" ht="12.75" customHeight="1" spans="1:26">
      <c r="A908" s="363"/>
      <c r="B908" s="412"/>
      <c r="C908" s="367"/>
      <c r="D908" s="413"/>
      <c r="E908" s="413"/>
      <c r="F908" s="367"/>
      <c r="G908" s="367"/>
      <c r="H908" s="367"/>
      <c r="I908" s="367"/>
      <c r="J908" s="367"/>
      <c r="K908" s="367"/>
      <c r="L908" s="367"/>
      <c r="M908" s="367"/>
      <c r="N908" s="367"/>
      <c r="O908" s="367"/>
      <c r="P908" s="367"/>
      <c r="Q908" s="367"/>
      <c r="R908" s="367"/>
      <c r="S908" s="367"/>
      <c r="T908" s="367"/>
      <c r="U908" s="367"/>
      <c r="V908" s="367"/>
      <c r="W908" s="367"/>
      <c r="X908" s="367"/>
      <c r="Y908" s="367"/>
      <c r="Z908" s="367"/>
    </row>
    <row r="909" ht="12.75" customHeight="1" spans="1:26">
      <c r="A909" s="363"/>
      <c r="B909" s="412"/>
      <c r="C909" s="367"/>
      <c r="D909" s="413"/>
      <c r="E909" s="413"/>
      <c r="F909" s="367"/>
      <c r="G909" s="367"/>
      <c r="H909" s="367"/>
      <c r="I909" s="367"/>
      <c r="J909" s="367"/>
      <c r="K909" s="367"/>
      <c r="L909" s="367"/>
      <c r="M909" s="367"/>
      <c r="N909" s="367"/>
      <c r="O909" s="367"/>
      <c r="P909" s="367"/>
      <c r="Q909" s="367"/>
      <c r="R909" s="367"/>
      <c r="S909" s="367"/>
      <c r="T909" s="367"/>
      <c r="U909" s="367"/>
      <c r="V909" s="367"/>
      <c r="W909" s="367"/>
      <c r="X909" s="367"/>
      <c r="Y909" s="367"/>
      <c r="Z909" s="367"/>
    </row>
    <row r="910" ht="12.75" customHeight="1" spans="1:26">
      <c r="A910" s="363"/>
      <c r="B910" s="412"/>
      <c r="C910" s="367"/>
      <c r="D910" s="413"/>
      <c r="E910" s="413"/>
      <c r="F910" s="367"/>
      <c r="G910" s="367"/>
      <c r="H910" s="367"/>
      <c r="I910" s="367"/>
      <c r="J910" s="367"/>
      <c r="K910" s="367"/>
      <c r="L910" s="367"/>
      <c r="M910" s="367"/>
      <c r="N910" s="367"/>
      <c r="O910" s="367"/>
      <c r="P910" s="367"/>
      <c r="Q910" s="367"/>
      <c r="R910" s="367"/>
      <c r="S910" s="367"/>
      <c r="T910" s="367"/>
      <c r="U910" s="367"/>
      <c r="V910" s="367"/>
      <c r="W910" s="367"/>
      <c r="X910" s="367"/>
      <c r="Y910" s="367"/>
      <c r="Z910" s="367"/>
    </row>
    <row r="911" ht="12.75" customHeight="1" spans="1:26">
      <c r="A911" s="363"/>
      <c r="B911" s="412"/>
      <c r="C911" s="367"/>
      <c r="D911" s="413"/>
      <c r="E911" s="413"/>
      <c r="F911" s="367"/>
      <c r="G911" s="367"/>
      <c r="H911" s="367"/>
      <c r="I911" s="367"/>
      <c r="J911" s="367"/>
      <c r="K911" s="367"/>
      <c r="L911" s="367"/>
      <c r="M911" s="367"/>
      <c r="N911" s="367"/>
      <c r="O911" s="367"/>
      <c r="P911" s="367"/>
      <c r="Q911" s="367"/>
      <c r="R911" s="367"/>
      <c r="S911" s="367"/>
      <c r="T911" s="367"/>
      <c r="U911" s="367"/>
      <c r="V911" s="367"/>
      <c r="W911" s="367"/>
      <c r="X911" s="367"/>
      <c r="Y911" s="367"/>
      <c r="Z911" s="367"/>
    </row>
    <row r="912" ht="12.75" customHeight="1" spans="1:26">
      <c r="A912" s="363"/>
      <c r="B912" s="412"/>
      <c r="C912" s="367"/>
      <c r="D912" s="413"/>
      <c r="E912" s="413"/>
      <c r="F912" s="367"/>
      <c r="G912" s="367"/>
      <c r="H912" s="367"/>
      <c r="I912" s="367"/>
      <c r="J912" s="367"/>
      <c r="K912" s="367"/>
      <c r="L912" s="367"/>
      <c r="M912" s="367"/>
      <c r="N912" s="367"/>
      <c r="O912" s="367"/>
      <c r="P912" s="367"/>
      <c r="Q912" s="367"/>
      <c r="R912" s="367"/>
      <c r="S912" s="367"/>
      <c r="T912" s="367"/>
      <c r="U912" s="367"/>
      <c r="V912" s="367"/>
      <c r="W912" s="367"/>
      <c r="X912" s="367"/>
      <c r="Y912" s="367"/>
      <c r="Z912" s="367"/>
    </row>
    <row r="913" ht="12.75" customHeight="1" spans="1:26">
      <c r="A913" s="363"/>
      <c r="B913" s="412"/>
      <c r="C913" s="367"/>
      <c r="D913" s="413"/>
      <c r="E913" s="413"/>
      <c r="F913" s="367"/>
      <c r="G913" s="367"/>
      <c r="H913" s="367"/>
      <c r="I913" s="367"/>
      <c r="J913" s="367"/>
      <c r="K913" s="367"/>
      <c r="L913" s="367"/>
      <c r="M913" s="367"/>
      <c r="N913" s="367"/>
      <c r="O913" s="367"/>
      <c r="P913" s="367"/>
      <c r="Q913" s="367"/>
      <c r="R913" s="367"/>
      <c r="S913" s="367"/>
      <c r="T913" s="367"/>
      <c r="U913" s="367"/>
      <c r="V913" s="367"/>
      <c r="W913" s="367"/>
      <c r="X913" s="367"/>
      <c r="Y913" s="367"/>
      <c r="Z913" s="367"/>
    </row>
    <row r="914" ht="12.75" customHeight="1" spans="1:26">
      <c r="A914" s="363"/>
      <c r="B914" s="412"/>
      <c r="C914" s="367"/>
      <c r="D914" s="413"/>
      <c r="E914" s="413"/>
      <c r="F914" s="367"/>
      <c r="G914" s="367"/>
      <c r="H914" s="367"/>
      <c r="I914" s="367"/>
      <c r="J914" s="367"/>
      <c r="K914" s="367"/>
      <c r="L914" s="367"/>
      <c r="M914" s="367"/>
      <c r="N914" s="367"/>
      <c r="O914" s="367"/>
      <c r="P914" s="367"/>
      <c r="Q914" s="367"/>
      <c r="R914" s="367"/>
      <c r="S914" s="367"/>
      <c r="T914" s="367"/>
      <c r="U914" s="367"/>
      <c r="V914" s="367"/>
      <c r="W914" s="367"/>
      <c r="X914" s="367"/>
      <c r="Y914" s="367"/>
      <c r="Z914" s="367"/>
    </row>
    <row r="915" ht="12.75" customHeight="1" spans="1:26">
      <c r="A915" s="363"/>
      <c r="B915" s="412"/>
      <c r="C915" s="367"/>
      <c r="D915" s="413"/>
      <c r="E915" s="413"/>
      <c r="F915" s="367"/>
      <c r="G915" s="367"/>
      <c r="H915" s="367"/>
      <c r="I915" s="367"/>
      <c r="J915" s="367"/>
      <c r="K915" s="367"/>
      <c r="L915" s="367"/>
      <c r="M915" s="367"/>
      <c r="N915" s="367"/>
      <c r="O915" s="367"/>
      <c r="P915" s="367"/>
      <c r="Q915" s="367"/>
      <c r="R915" s="367"/>
      <c r="S915" s="367"/>
      <c r="T915" s="367"/>
      <c r="U915" s="367"/>
      <c r="V915" s="367"/>
      <c r="W915" s="367"/>
      <c r="X915" s="367"/>
      <c r="Y915" s="367"/>
      <c r="Z915" s="367"/>
    </row>
    <row r="916" ht="12.75" customHeight="1" spans="1:26">
      <c r="A916" s="363"/>
      <c r="B916" s="412"/>
      <c r="C916" s="367"/>
      <c r="D916" s="413"/>
      <c r="E916" s="413"/>
      <c r="F916" s="367"/>
      <c r="G916" s="367"/>
      <c r="H916" s="367"/>
      <c r="I916" s="367"/>
      <c r="J916" s="367"/>
      <c r="K916" s="367"/>
      <c r="L916" s="367"/>
      <c r="M916" s="367"/>
      <c r="N916" s="367"/>
      <c r="O916" s="367"/>
      <c r="P916" s="367"/>
      <c r="Q916" s="367"/>
      <c r="R916" s="367"/>
      <c r="S916" s="367"/>
      <c r="T916" s="367"/>
      <c r="U916" s="367"/>
      <c r="V916" s="367"/>
      <c r="W916" s="367"/>
      <c r="X916" s="367"/>
      <c r="Y916" s="367"/>
      <c r="Z916" s="367"/>
    </row>
    <row r="917" ht="12.75" customHeight="1" spans="1:26">
      <c r="A917" s="363"/>
      <c r="B917" s="412"/>
      <c r="C917" s="367"/>
      <c r="D917" s="413"/>
      <c r="E917" s="413"/>
      <c r="F917" s="367"/>
      <c r="G917" s="367"/>
      <c r="H917" s="367"/>
      <c r="I917" s="367"/>
      <c r="J917" s="367"/>
      <c r="K917" s="367"/>
      <c r="L917" s="367"/>
      <c r="M917" s="367"/>
      <c r="N917" s="367"/>
      <c r="O917" s="367"/>
      <c r="P917" s="367"/>
      <c r="Q917" s="367"/>
      <c r="R917" s="367"/>
      <c r="S917" s="367"/>
      <c r="T917" s="367"/>
      <c r="U917" s="367"/>
      <c r="V917" s="367"/>
      <c r="W917" s="367"/>
      <c r="X917" s="367"/>
      <c r="Y917" s="367"/>
      <c r="Z917" s="367"/>
    </row>
    <row r="918" ht="12.75" customHeight="1" spans="1:26">
      <c r="A918" s="363"/>
      <c r="B918" s="412"/>
      <c r="C918" s="367"/>
      <c r="D918" s="413"/>
      <c r="E918" s="413"/>
      <c r="F918" s="367"/>
      <c r="G918" s="367"/>
      <c r="H918" s="367"/>
      <c r="I918" s="367"/>
      <c r="J918" s="367"/>
      <c r="K918" s="367"/>
      <c r="L918" s="367"/>
      <c r="M918" s="367"/>
      <c r="N918" s="367"/>
      <c r="O918" s="367"/>
      <c r="P918" s="367"/>
      <c r="Q918" s="367"/>
      <c r="R918" s="367"/>
      <c r="S918" s="367"/>
      <c r="T918" s="367"/>
      <c r="U918" s="367"/>
      <c r="V918" s="367"/>
      <c r="W918" s="367"/>
      <c r="X918" s="367"/>
      <c r="Y918" s="367"/>
      <c r="Z918" s="367"/>
    </row>
    <row r="919" ht="12.75" customHeight="1" spans="1:26">
      <c r="A919" s="363"/>
      <c r="B919" s="412"/>
      <c r="C919" s="367"/>
      <c r="D919" s="413"/>
      <c r="E919" s="413"/>
      <c r="F919" s="367"/>
      <c r="G919" s="367"/>
      <c r="H919" s="367"/>
      <c r="I919" s="367"/>
      <c r="J919" s="367"/>
      <c r="K919" s="367"/>
      <c r="L919" s="367"/>
      <c r="M919" s="367"/>
      <c r="N919" s="367"/>
      <c r="O919" s="367"/>
      <c r="P919" s="367"/>
      <c r="Q919" s="367"/>
      <c r="R919" s="367"/>
      <c r="S919" s="367"/>
      <c r="T919" s="367"/>
      <c r="U919" s="367"/>
      <c r="V919" s="367"/>
      <c r="W919" s="367"/>
      <c r="X919" s="367"/>
      <c r="Y919" s="367"/>
      <c r="Z919" s="367"/>
    </row>
    <row r="920" ht="12.75" customHeight="1" spans="1:26">
      <c r="A920" s="363"/>
      <c r="B920" s="412"/>
      <c r="C920" s="367"/>
      <c r="D920" s="413"/>
      <c r="E920" s="413"/>
      <c r="F920" s="367"/>
      <c r="G920" s="367"/>
      <c r="H920" s="367"/>
      <c r="I920" s="367"/>
      <c r="J920" s="367"/>
      <c r="K920" s="367"/>
      <c r="L920" s="367"/>
      <c r="M920" s="367"/>
      <c r="N920" s="367"/>
      <c r="O920" s="367"/>
      <c r="P920" s="367"/>
      <c r="Q920" s="367"/>
      <c r="R920" s="367"/>
      <c r="S920" s="367"/>
      <c r="T920" s="367"/>
      <c r="U920" s="367"/>
      <c r="V920" s="367"/>
      <c r="W920" s="367"/>
      <c r="X920" s="367"/>
      <c r="Y920" s="367"/>
      <c r="Z920" s="367"/>
    </row>
    <row r="921" ht="12.75" customHeight="1" spans="1:26">
      <c r="A921" s="363"/>
      <c r="B921" s="412"/>
      <c r="C921" s="367"/>
      <c r="D921" s="413"/>
      <c r="E921" s="413"/>
      <c r="F921" s="367"/>
      <c r="G921" s="367"/>
      <c r="H921" s="367"/>
      <c r="I921" s="367"/>
      <c r="J921" s="367"/>
      <c r="K921" s="367"/>
      <c r="L921" s="367"/>
      <c r="M921" s="367"/>
      <c r="N921" s="367"/>
      <c r="O921" s="367"/>
      <c r="P921" s="367"/>
      <c r="Q921" s="367"/>
      <c r="R921" s="367"/>
      <c r="S921" s="367"/>
      <c r="T921" s="367"/>
      <c r="U921" s="367"/>
      <c r="V921" s="367"/>
      <c r="W921" s="367"/>
      <c r="X921" s="367"/>
      <c r="Y921" s="367"/>
      <c r="Z921" s="367"/>
    </row>
    <row r="922" ht="12.75" customHeight="1" spans="1:26">
      <c r="A922" s="363"/>
      <c r="B922" s="412"/>
      <c r="C922" s="367"/>
      <c r="D922" s="413"/>
      <c r="E922" s="413"/>
      <c r="F922" s="367"/>
      <c r="G922" s="367"/>
      <c r="H922" s="367"/>
      <c r="I922" s="367"/>
      <c r="J922" s="367"/>
      <c r="K922" s="367"/>
      <c r="L922" s="367"/>
      <c r="M922" s="367"/>
      <c r="N922" s="367"/>
      <c r="O922" s="367"/>
      <c r="P922" s="367"/>
      <c r="Q922" s="367"/>
      <c r="R922" s="367"/>
      <c r="S922" s="367"/>
      <c r="T922" s="367"/>
      <c r="U922" s="367"/>
      <c r="V922" s="367"/>
      <c r="W922" s="367"/>
      <c r="X922" s="367"/>
      <c r="Y922" s="367"/>
      <c r="Z922" s="367"/>
    </row>
    <row r="923" ht="12.75" customHeight="1" spans="1:26">
      <c r="A923" s="363"/>
      <c r="B923" s="412"/>
      <c r="C923" s="367"/>
      <c r="D923" s="413"/>
      <c r="E923" s="413"/>
      <c r="F923" s="367"/>
      <c r="G923" s="367"/>
      <c r="H923" s="367"/>
      <c r="I923" s="367"/>
      <c r="J923" s="367"/>
      <c r="K923" s="367"/>
      <c r="L923" s="367"/>
      <c r="M923" s="367"/>
      <c r="N923" s="367"/>
      <c r="O923" s="367"/>
      <c r="P923" s="367"/>
      <c r="Q923" s="367"/>
      <c r="R923" s="367"/>
      <c r="S923" s="367"/>
      <c r="T923" s="367"/>
      <c r="U923" s="367"/>
      <c r="V923" s="367"/>
      <c r="W923" s="367"/>
      <c r="X923" s="367"/>
      <c r="Y923" s="367"/>
      <c r="Z923" s="367"/>
    </row>
    <row r="924" ht="12.75" customHeight="1" spans="1:26">
      <c r="A924" s="363"/>
      <c r="B924" s="412"/>
      <c r="C924" s="367"/>
      <c r="D924" s="413"/>
      <c r="E924" s="413"/>
      <c r="F924" s="367"/>
      <c r="G924" s="367"/>
      <c r="H924" s="367"/>
      <c r="I924" s="367"/>
      <c r="J924" s="367"/>
      <c r="K924" s="367"/>
      <c r="L924" s="367"/>
      <c r="M924" s="367"/>
      <c r="N924" s="367"/>
      <c r="O924" s="367"/>
      <c r="P924" s="367"/>
      <c r="Q924" s="367"/>
      <c r="R924" s="367"/>
      <c r="S924" s="367"/>
      <c r="T924" s="367"/>
      <c r="U924" s="367"/>
      <c r="V924" s="367"/>
      <c r="W924" s="367"/>
      <c r="X924" s="367"/>
      <c r="Y924" s="367"/>
      <c r="Z924" s="367"/>
    </row>
    <row r="925" ht="12.75" customHeight="1" spans="1:26">
      <c r="A925" s="363"/>
      <c r="B925" s="412"/>
      <c r="C925" s="367"/>
      <c r="D925" s="413"/>
      <c r="E925" s="413"/>
      <c r="F925" s="367"/>
      <c r="G925" s="367"/>
      <c r="H925" s="367"/>
      <c r="I925" s="367"/>
      <c r="J925" s="367"/>
      <c r="K925" s="367"/>
      <c r="L925" s="367"/>
      <c r="M925" s="367"/>
      <c r="N925" s="367"/>
      <c r="O925" s="367"/>
      <c r="P925" s="367"/>
      <c r="Q925" s="367"/>
      <c r="R925" s="367"/>
      <c r="S925" s="367"/>
      <c r="T925" s="367"/>
      <c r="U925" s="367"/>
      <c r="V925" s="367"/>
      <c r="W925" s="367"/>
      <c r="X925" s="367"/>
      <c r="Y925" s="367"/>
      <c r="Z925" s="367"/>
    </row>
    <row r="926" ht="12.75" customHeight="1" spans="1:26">
      <c r="A926" s="363"/>
      <c r="B926" s="412"/>
      <c r="C926" s="367"/>
      <c r="D926" s="413"/>
      <c r="E926" s="413"/>
      <c r="F926" s="367"/>
      <c r="G926" s="367"/>
      <c r="H926" s="367"/>
      <c r="I926" s="367"/>
      <c r="J926" s="367"/>
      <c r="K926" s="367"/>
      <c r="L926" s="367"/>
      <c r="M926" s="367"/>
      <c r="N926" s="367"/>
      <c r="O926" s="367"/>
      <c r="P926" s="367"/>
      <c r="Q926" s="367"/>
      <c r="R926" s="367"/>
      <c r="S926" s="367"/>
      <c r="T926" s="367"/>
      <c r="U926" s="367"/>
      <c r="V926" s="367"/>
      <c r="W926" s="367"/>
      <c r="X926" s="367"/>
      <c r="Y926" s="367"/>
      <c r="Z926" s="367"/>
    </row>
    <row r="927" ht="12.75" customHeight="1" spans="1:26">
      <c r="A927" s="363"/>
      <c r="B927" s="412"/>
      <c r="C927" s="367"/>
      <c r="D927" s="413"/>
      <c r="E927" s="413"/>
      <c r="F927" s="367"/>
      <c r="G927" s="367"/>
      <c r="H927" s="367"/>
      <c r="I927" s="367"/>
      <c r="J927" s="367"/>
      <c r="K927" s="367"/>
      <c r="L927" s="367"/>
      <c r="M927" s="367"/>
      <c r="N927" s="367"/>
      <c r="O927" s="367"/>
      <c r="P927" s="367"/>
      <c r="Q927" s="367"/>
      <c r="R927" s="367"/>
      <c r="S927" s="367"/>
      <c r="T927" s="367"/>
      <c r="U927" s="367"/>
      <c r="V927" s="367"/>
      <c r="W927" s="367"/>
      <c r="X927" s="367"/>
      <c r="Y927" s="367"/>
      <c r="Z927" s="367"/>
    </row>
    <row r="928" ht="12.75" customHeight="1" spans="1:26">
      <c r="A928" s="363"/>
      <c r="B928" s="412"/>
      <c r="C928" s="367"/>
      <c r="D928" s="413"/>
      <c r="E928" s="413"/>
      <c r="F928" s="367"/>
      <c r="G928" s="367"/>
      <c r="H928" s="367"/>
      <c r="I928" s="367"/>
      <c r="J928" s="367"/>
      <c r="K928" s="367"/>
      <c r="L928" s="367"/>
      <c r="M928" s="367"/>
      <c r="N928" s="367"/>
      <c r="O928" s="367"/>
      <c r="P928" s="367"/>
      <c r="Q928" s="367"/>
      <c r="R928" s="367"/>
      <c r="S928" s="367"/>
      <c r="T928" s="367"/>
      <c r="U928" s="367"/>
      <c r="V928" s="367"/>
      <c r="W928" s="367"/>
      <c r="X928" s="367"/>
      <c r="Y928" s="367"/>
      <c r="Z928" s="367"/>
    </row>
    <row r="929" ht="12.75" customHeight="1" spans="1:26">
      <c r="A929" s="363"/>
      <c r="B929" s="412"/>
      <c r="C929" s="367"/>
      <c r="D929" s="413"/>
      <c r="E929" s="413"/>
      <c r="F929" s="367"/>
      <c r="G929" s="367"/>
      <c r="H929" s="367"/>
      <c r="I929" s="367"/>
      <c r="J929" s="367"/>
      <c r="K929" s="367"/>
      <c r="L929" s="367"/>
      <c r="M929" s="367"/>
      <c r="N929" s="367"/>
      <c r="O929" s="367"/>
      <c r="P929" s="367"/>
      <c r="Q929" s="367"/>
      <c r="R929" s="367"/>
      <c r="S929" s="367"/>
      <c r="T929" s="367"/>
      <c r="U929" s="367"/>
      <c r="V929" s="367"/>
      <c r="W929" s="367"/>
      <c r="X929" s="367"/>
      <c r="Y929" s="367"/>
      <c r="Z929" s="367"/>
    </row>
    <row r="930" ht="12.75" customHeight="1" spans="1:26">
      <c r="A930" s="363"/>
      <c r="B930" s="412"/>
      <c r="C930" s="367"/>
      <c r="D930" s="413"/>
      <c r="E930" s="413"/>
      <c r="F930" s="367"/>
      <c r="G930" s="367"/>
      <c r="H930" s="367"/>
      <c r="I930" s="367"/>
      <c r="J930" s="367"/>
      <c r="K930" s="367"/>
      <c r="L930" s="367"/>
      <c r="M930" s="367"/>
      <c r="N930" s="367"/>
      <c r="O930" s="367"/>
      <c r="P930" s="367"/>
      <c r="Q930" s="367"/>
      <c r="R930" s="367"/>
      <c r="S930" s="367"/>
      <c r="T930" s="367"/>
      <c r="U930" s="367"/>
      <c r="V930" s="367"/>
      <c r="W930" s="367"/>
      <c r="X930" s="367"/>
      <c r="Y930" s="367"/>
      <c r="Z930" s="367"/>
    </row>
    <row r="931" ht="12.75" customHeight="1" spans="1:26">
      <c r="A931" s="363"/>
      <c r="B931" s="412"/>
      <c r="C931" s="367"/>
      <c r="D931" s="413"/>
      <c r="E931" s="413"/>
      <c r="F931" s="367"/>
      <c r="G931" s="367"/>
      <c r="H931" s="367"/>
      <c r="I931" s="367"/>
      <c r="J931" s="367"/>
      <c r="K931" s="367"/>
      <c r="L931" s="367"/>
      <c r="M931" s="367"/>
      <c r="N931" s="367"/>
      <c r="O931" s="367"/>
      <c r="P931" s="367"/>
      <c r="Q931" s="367"/>
      <c r="R931" s="367"/>
      <c r="S931" s="367"/>
      <c r="T931" s="367"/>
      <c r="U931" s="367"/>
      <c r="V931" s="367"/>
      <c r="W931" s="367"/>
      <c r="X931" s="367"/>
      <c r="Y931" s="367"/>
      <c r="Z931" s="367"/>
    </row>
    <row r="932" ht="12.75" customHeight="1" spans="1:26">
      <c r="A932" s="363"/>
      <c r="B932" s="412"/>
      <c r="C932" s="367"/>
      <c r="D932" s="413"/>
      <c r="E932" s="413"/>
      <c r="F932" s="367"/>
      <c r="G932" s="367"/>
      <c r="H932" s="367"/>
      <c r="I932" s="367"/>
      <c r="J932" s="367"/>
      <c r="K932" s="367"/>
      <c r="L932" s="367"/>
      <c r="M932" s="367"/>
      <c r="N932" s="367"/>
      <c r="O932" s="367"/>
      <c r="P932" s="367"/>
      <c r="Q932" s="367"/>
      <c r="R932" s="367"/>
      <c r="S932" s="367"/>
      <c r="T932" s="367"/>
      <c r="U932" s="367"/>
      <c r="V932" s="367"/>
      <c r="W932" s="367"/>
      <c r="X932" s="367"/>
      <c r="Y932" s="367"/>
      <c r="Z932" s="367"/>
    </row>
    <row r="933" ht="12.75" customHeight="1" spans="1:26">
      <c r="A933" s="363"/>
      <c r="B933" s="412"/>
      <c r="C933" s="367"/>
      <c r="D933" s="413"/>
      <c r="E933" s="413"/>
      <c r="F933" s="367"/>
      <c r="G933" s="367"/>
      <c r="H933" s="367"/>
      <c r="I933" s="367"/>
      <c r="J933" s="367"/>
      <c r="K933" s="367"/>
      <c r="L933" s="367"/>
      <c r="M933" s="367"/>
      <c r="N933" s="367"/>
      <c r="O933" s="367"/>
      <c r="P933" s="367"/>
      <c r="Q933" s="367"/>
      <c r="R933" s="367"/>
      <c r="S933" s="367"/>
      <c r="T933" s="367"/>
      <c r="U933" s="367"/>
      <c r="V933" s="367"/>
      <c r="W933" s="367"/>
      <c r="X933" s="367"/>
      <c r="Y933" s="367"/>
      <c r="Z933" s="367"/>
    </row>
    <row r="934" ht="12.75" customHeight="1" spans="1:26">
      <c r="A934" s="363"/>
      <c r="B934" s="412"/>
      <c r="C934" s="367"/>
      <c r="D934" s="413"/>
      <c r="E934" s="413"/>
      <c r="F934" s="367"/>
      <c r="G934" s="367"/>
      <c r="H934" s="367"/>
      <c r="I934" s="367"/>
      <c r="J934" s="367"/>
      <c r="K934" s="367"/>
      <c r="L934" s="367"/>
      <c r="M934" s="367"/>
      <c r="N934" s="367"/>
      <c r="O934" s="367"/>
      <c r="P934" s="367"/>
      <c r="Q934" s="367"/>
      <c r="R934" s="367"/>
      <c r="S934" s="367"/>
      <c r="T934" s="367"/>
      <c r="U934" s="367"/>
      <c r="V934" s="367"/>
      <c r="W934" s="367"/>
      <c r="X934" s="367"/>
      <c r="Y934" s="367"/>
      <c r="Z934" s="367"/>
    </row>
    <row r="935" ht="12.75" customHeight="1" spans="1:26">
      <c r="A935" s="363"/>
      <c r="B935" s="412"/>
      <c r="C935" s="367"/>
      <c r="D935" s="413"/>
      <c r="E935" s="413"/>
      <c r="F935" s="367"/>
      <c r="G935" s="367"/>
      <c r="H935" s="367"/>
      <c r="I935" s="367"/>
      <c r="J935" s="367"/>
      <c r="K935" s="367"/>
      <c r="L935" s="367"/>
      <c r="M935" s="367"/>
      <c r="N935" s="367"/>
      <c r="O935" s="367"/>
      <c r="P935" s="367"/>
      <c r="Q935" s="367"/>
      <c r="R935" s="367"/>
      <c r="S935" s="367"/>
      <c r="T935" s="367"/>
      <c r="U935" s="367"/>
      <c r="V935" s="367"/>
      <c r="W935" s="367"/>
      <c r="X935" s="367"/>
      <c r="Y935" s="367"/>
      <c r="Z935" s="367"/>
    </row>
    <row r="936" ht="12.75" customHeight="1" spans="1:26">
      <c r="A936" s="363"/>
      <c r="B936" s="412"/>
      <c r="C936" s="367"/>
      <c r="D936" s="413"/>
      <c r="E936" s="413"/>
      <c r="F936" s="367"/>
      <c r="G936" s="367"/>
      <c r="H936" s="367"/>
      <c r="I936" s="367"/>
      <c r="J936" s="367"/>
      <c r="K936" s="367"/>
      <c r="L936" s="367"/>
      <c r="M936" s="367"/>
      <c r="N936" s="367"/>
      <c r="O936" s="367"/>
      <c r="P936" s="367"/>
      <c r="Q936" s="367"/>
      <c r="R936" s="367"/>
      <c r="S936" s="367"/>
      <c r="T936" s="367"/>
      <c r="U936" s="367"/>
      <c r="V936" s="367"/>
      <c r="W936" s="367"/>
      <c r="X936" s="367"/>
      <c r="Y936" s="367"/>
      <c r="Z936" s="367"/>
    </row>
    <row r="937" ht="12.75" customHeight="1" spans="1:26">
      <c r="A937" s="363"/>
      <c r="B937" s="412"/>
      <c r="C937" s="367"/>
      <c r="D937" s="413"/>
      <c r="E937" s="413"/>
      <c r="F937" s="367"/>
      <c r="G937" s="367"/>
      <c r="H937" s="367"/>
      <c r="I937" s="367"/>
      <c r="J937" s="367"/>
      <c r="K937" s="367"/>
      <c r="L937" s="367"/>
      <c r="M937" s="367"/>
      <c r="N937" s="367"/>
      <c r="O937" s="367"/>
      <c r="P937" s="367"/>
      <c r="Q937" s="367"/>
      <c r="R937" s="367"/>
      <c r="S937" s="367"/>
      <c r="T937" s="367"/>
      <c r="U937" s="367"/>
      <c r="V937" s="367"/>
      <c r="W937" s="367"/>
      <c r="X937" s="367"/>
      <c r="Y937" s="367"/>
      <c r="Z937" s="367"/>
    </row>
    <row r="938" ht="12.75" customHeight="1" spans="1:26">
      <c r="A938" s="363"/>
      <c r="B938" s="412"/>
      <c r="C938" s="367"/>
      <c r="D938" s="413"/>
      <c r="E938" s="413"/>
      <c r="F938" s="367"/>
      <c r="G938" s="367"/>
      <c r="H938" s="367"/>
      <c r="I938" s="367"/>
      <c r="J938" s="367"/>
      <c r="K938" s="367"/>
      <c r="L938" s="367"/>
      <c r="M938" s="367"/>
      <c r="N938" s="367"/>
      <c r="O938" s="367"/>
      <c r="P938" s="367"/>
      <c r="Q938" s="367"/>
      <c r="R938" s="367"/>
      <c r="S938" s="367"/>
      <c r="T938" s="367"/>
      <c r="U938" s="367"/>
      <c r="V938" s="367"/>
      <c r="W938" s="367"/>
      <c r="X938" s="367"/>
      <c r="Y938" s="367"/>
      <c r="Z938" s="367"/>
    </row>
    <row r="939" ht="12.75" customHeight="1" spans="1:26">
      <c r="A939" s="363"/>
      <c r="B939" s="412"/>
      <c r="C939" s="367"/>
      <c r="D939" s="413"/>
      <c r="E939" s="413"/>
      <c r="F939" s="367"/>
      <c r="G939" s="367"/>
      <c r="H939" s="367"/>
      <c r="I939" s="367"/>
      <c r="J939" s="367"/>
      <c r="K939" s="367"/>
      <c r="L939" s="367"/>
      <c r="M939" s="367"/>
      <c r="N939" s="367"/>
      <c r="O939" s="367"/>
      <c r="P939" s="367"/>
      <c r="Q939" s="367"/>
      <c r="R939" s="367"/>
      <c r="S939" s="367"/>
      <c r="T939" s="367"/>
      <c r="U939" s="367"/>
      <c r="V939" s="367"/>
      <c r="W939" s="367"/>
      <c r="X939" s="367"/>
      <c r="Y939" s="367"/>
      <c r="Z939" s="367"/>
    </row>
    <row r="940" ht="12.75" customHeight="1" spans="1:26">
      <c r="A940" s="363"/>
      <c r="B940" s="412"/>
      <c r="C940" s="367"/>
      <c r="D940" s="413"/>
      <c r="E940" s="413"/>
      <c r="F940" s="367"/>
      <c r="G940" s="367"/>
      <c r="H940" s="367"/>
      <c r="I940" s="367"/>
      <c r="J940" s="367"/>
      <c r="K940" s="367"/>
      <c r="L940" s="367"/>
      <c r="M940" s="367"/>
      <c r="N940" s="367"/>
      <c r="O940" s="367"/>
      <c r="P940" s="367"/>
      <c r="Q940" s="367"/>
      <c r="R940" s="367"/>
      <c r="S940" s="367"/>
      <c r="T940" s="367"/>
      <c r="U940" s="367"/>
      <c r="V940" s="367"/>
      <c r="W940" s="367"/>
      <c r="X940" s="367"/>
      <c r="Y940" s="367"/>
      <c r="Z940" s="367"/>
    </row>
    <row r="941" ht="12.75" customHeight="1" spans="1:26">
      <c r="A941" s="363"/>
      <c r="B941" s="412"/>
      <c r="C941" s="367"/>
      <c r="D941" s="413"/>
      <c r="E941" s="413"/>
      <c r="F941" s="367"/>
      <c r="G941" s="367"/>
      <c r="H941" s="367"/>
      <c r="I941" s="367"/>
      <c r="J941" s="367"/>
      <c r="K941" s="367"/>
      <c r="L941" s="367"/>
      <c r="M941" s="367"/>
      <c r="N941" s="367"/>
      <c r="O941" s="367"/>
      <c r="P941" s="367"/>
      <c r="Q941" s="367"/>
      <c r="R941" s="367"/>
      <c r="S941" s="367"/>
      <c r="T941" s="367"/>
      <c r="U941" s="367"/>
      <c r="V941" s="367"/>
      <c r="W941" s="367"/>
      <c r="X941" s="367"/>
      <c r="Y941" s="367"/>
      <c r="Z941" s="367"/>
    </row>
    <row r="942" ht="12.75" customHeight="1" spans="1:26">
      <c r="A942" s="363"/>
      <c r="B942" s="412"/>
      <c r="C942" s="367"/>
      <c r="D942" s="413"/>
      <c r="E942" s="413"/>
      <c r="F942" s="367"/>
      <c r="G942" s="367"/>
      <c r="H942" s="367"/>
      <c r="I942" s="367"/>
      <c r="J942" s="367"/>
      <c r="K942" s="367"/>
      <c r="L942" s="367"/>
      <c r="M942" s="367"/>
      <c r="N942" s="367"/>
      <c r="O942" s="367"/>
      <c r="P942" s="367"/>
      <c r="Q942" s="367"/>
      <c r="R942" s="367"/>
      <c r="S942" s="367"/>
      <c r="T942" s="367"/>
      <c r="U942" s="367"/>
      <c r="V942" s="367"/>
      <c r="W942" s="367"/>
      <c r="X942" s="367"/>
      <c r="Y942" s="367"/>
      <c r="Z942" s="367"/>
    </row>
    <row r="943" ht="12.75" customHeight="1" spans="1:26">
      <c r="A943" s="363"/>
      <c r="B943" s="412"/>
      <c r="C943" s="367"/>
      <c r="D943" s="413"/>
      <c r="E943" s="413"/>
      <c r="F943" s="367"/>
      <c r="G943" s="367"/>
      <c r="H943" s="367"/>
      <c r="I943" s="367"/>
      <c r="J943" s="367"/>
      <c r="K943" s="367"/>
      <c r="L943" s="367"/>
      <c r="M943" s="367"/>
      <c r="N943" s="367"/>
      <c r="O943" s="367"/>
      <c r="P943" s="367"/>
      <c r="Q943" s="367"/>
      <c r="R943" s="367"/>
      <c r="S943" s="367"/>
      <c r="T943" s="367"/>
      <c r="U943" s="367"/>
      <c r="V943" s="367"/>
      <c r="W943" s="367"/>
      <c r="X943" s="367"/>
      <c r="Y943" s="367"/>
      <c r="Z943" s="367"/>
    </row>
    <row r="944" ht="12.75" customHeight="1" spans="1:26">
      <c r="A944" s="363"/>
      <c r="B944" s="412"/>
      <c r="C944" s="367"/>
      <c r="D944" s="413"/>
      <c r="E944" s="413"/>
      <c r="F944" s="367"/>
      <c r="G944" s="367"/>
      <c r="H944" s="367"/>
      <c r="I944" s="367"/>
      <c r="J944" s="367"/>
      <c r="K944" s="367"/>
      <c r="L944" s="367"/>
      <c r="M944" s="367"/>
      <c r="N944" s="367"/>
      <c r="O944" s="367"/>
      <c r="P944" s="367"/>
      <c r="Q944" s="367"/>
      <c r="R944" s="367"/>
      <c r="S944" s="367"/>
      <c r="T944" s="367"/>
      <c r="U944" s="367"/>
      <c r="V944" s="367"/>
      <c r="W944" s="367"/>
      <c r="X944" s="367"/>
      <c r="Y944" s="367"/>
      <c r="Z944" s="367"/>
    </row>
    <row r="945" ht="12.75" customHeight="1" spans="1:26">
      <c r="A945" s="363"/>
      <c r="B945" s="412"/>
      <c r="C945" s="367"/>
      <c r="D945" s="413"/>
      <c r="E945" s="413"/>
      <c r="F945" s="367"/>
      <c r="G945" s="367"/>
      <c r="H945" s="367"/>
      <c r="I945" s="367"/>
      <c r="J945" s="367"/>
      <c r="K945" s="367"/>
      <c r="L945" s="367"/>
      <c r="M945" s="367"/>
      <c r="N945" s="367"/>
      <c r="O945" s="367"/>
      <c r="P945" s="367"/>
      <c r="Q945" s="367"/>
      <c r="R945" s="367"/>
      <c r="S945" s="367"/>
      <c r="T945" s="367"/>
      <c r="U945" s="367"/>
      <c r="V945" s="367"/>
      <c r="W945" s="367"/>
      <c r="X945" s="367"/>
      <c r="Y945" s="367"/>
      <c r="Z945" s="367"/>
    </row>
    <row r="946" ht="12.75" customHeight="1" spans="1:26">
      <c r="A946" s="363"/>
      <c r="B946" s="412"/>
      <c r="C946" s="367"/>
      <c r="D946" s="413"/>
      <c r="E946" s="413"/>
      <c r="F946" s="367"/>
      <c r="G946" s="367"/>
      <c r="H946" s="367"/>
      <c r="I946" s="367"/>
      <c r="J946" s="367"/>
      <c r="K946" s="367"/>
      <c r="L946" s="367"/>
      <c r="M946" s="367"/>
      <c r="N946" s="367"/>
      <c r="O946" s="367"/>
      <c r="P946" s="367"/>
      <c r="Q946" s="367"/>
      <c r="R946" s="367"/>
      <c r="S946" s="367"/>
      <c r="T946" s="367"/>
      <c r="U946" s="367"/>
      <c r="V946" s="367"/>
      <c r="W946" s="367"/>
      <c r="X946" s="367"/>
      <c r="Y946" s="367"/>
      <c r="Z946" s="367"/>
    </row>
    <row r="947" ht="12.75" customHeight="1" spans="1:26">
      <c r="A947" s="363"/>
      <c r="B947" s="412"/>
      <c r="C947" s="367"/>
      <c r="D947" s="413"/>
      <c r="E947" s="413"/>
      <c r="F947" s="367"/>
      <c r="G947" s="367"/>
      <c r="H947" s="367"/>
      <c r="I947" s="367"/>
      <c r="J947" s="367"/>
      <c r="K947" s="367"/>
      <c r="L947" s="367"/>
      <c r="M947" s="367"/>
      <c r="N947" s="367"/>
      <c r="O947" s="367"/>
      <c r="P947" s="367"/>
      <c r="Q947" s="367"/>
      <c r="R947" s="367"/>
      <c r="S947" s="367"/>
      <c r="T947" s="367"/>
      <c r="U947" s="367"/>
      <c r="V947" s="367"/>
      <c r="W947" s="367"/>
      <c r="X947" s="367"/>
      <c r="Y947" s="367"/>
      <c r="Z947" s="367"/>
    </row>
    <row r="948" ht="12.75" customHeight="1" spans="1:26">
      <c r="A948" s="363"/>
      <c r="B948" s="412"/>
      <c r="C948" s="367"/>
      <c r="D948" s="413"/>
      <c r="E948" s="413"/>
      <c r="F948" s="367"/>
      <c r="G948" s="367"/>
      <c r="H948" s="367"/>
      <c r="I948" s="367"/>
      <c r="J948" s="367"/>
      <c r="K948" s="367"/>
      <c r="L948" s="367"/>
      <c r="M948" s="367"/>
      <c r="N948" s="367"/>
      <c r="O948" s="367"/>
      <c r="P948" s="367"/>
      <c r="Q948" s="367"/>
      <c r="R948" s="367"/>
      <c r="S948" s="367"/>
      <c r="T948" s="367"/>
      <c r="U948" s="367"/>
      <c r="V948" s="367"/>
      <c r="W948" s="367"/>
      <c r="X948" s="367"/>
      <c r="Y948" s="367"/>
      <c r="Z948" s="367"/>
    </row>
    <row r="949" ht="12.75" customHeight="1" spans="1:26">
      <c r="A949" s="363"/>
      <c r="B949" s="412"/>
      <c r="C949" s="367"/>
      <c r="D949" s="413"/>
      <c r="E949" s="413"/>
      <c r="F949" s="367"/>
      <c r="G949" s="367"/>
      <c r="H949" s="367"/>
      <c r="I949" s="367"/>
      <c r="J949" s="367"/>
      <c r="K949" s="367"/>
      <c r="L949" s="367"/>
      <c r="M949" s="367"/>
      <c r="N949" s="367"/>
      <c r="O949" s="367"/>
      <c r="P949" s="367"/>
      <c r="Q949" s="367"/>
      <c r="R949" s="367"/>
      <c r="S949" s="367"/>
      <c r="T949" s="367"/>
      <c r="U949" s="367"/>
      <c r="V949" s="367"/>
      <c r="W949" s="367"/>
      <c r="X949" s="367"/>
      <c r="Y949" s="367"/>
      <c r="Z949" s="367"/>
    </row>
    <row r="950" ht="12.75" customHeight="1" spans="1:26">
      <c r="A950" s="363"/>
      <c r="B950" s="412"/>
      <c r="C950" s="367"/>
      <c r="D950" s="413"/>
      <c r="E950" s="413"/>
      <c r="F950" s="367"/>
      <c r="G950" s="367"/>
      <c r="H950" s="367"/>
      <c r="I950" s="367"/>
      <c r="J950" s="367"/>
      <c r="K950" s="367"/>
      <c r="L950" s="367"/>
      <c r="M950" s="367"/>
      <c r="N950" s="367"/>
      <c r="O950" s="367"/>
      <c r="P950" s="367"/>
      <c r="Q950" s="367"/>
      <c r="R950" s="367"/>
      <c r="S950" s="367"/>
      <c r="T950" s="367"/>
      <c r="U950" s="367"/>
      <c r="V950" s="367"/>
      <c r="W950" s="367"/>
      <c r="X950" s="367"/>
      <c r="Y950" s="367"/>
      <c r="Z950" s="367"/>
    </row>
    <row r="951" ht="12.75" customHeight="1" spans="1:26">
      <c r="A951" s="363"/>
      <c r="B951" s="412"/>
      <c r="C951" s="367"/>
      <c r="D951" s="413"/>
      <c r="E951" s="413"/>
      <c r="F951" s="367"/>
      <c r="G951" s="367"/>
      <c r="H951" s="367"/>
      <c r="I951" s="367"/>
      <c r="J951" s="367"/>
      <c r="K951" s="367"/>
      <c r="L951" s="367"/>
      <c r="M951" s="367"/>
      <c r="N951" s="367"/>
      <c r="O951" s="367"/>
      <c r="P951" s="367"/>
      <c r="Q951" s="367"/>
      <c r="R951" s="367"/>
      <c r="S951" s="367"/>
      <c r="T951" s="367"/>
      <c r="U951" s="367"/>
      <c r="V951" s="367"/>
      <c r="W951" s="367"/>
      <c r="X951" s="367"/>
      <c r="Y951" s="367"/>
      <c r="Z951" s="367"/>
    </row>
    <row r="952" ht="12.75" customHeight="1" spans="1:26">
      <c r="A952" s="363"/>
      <c r="B952" s="412"/>
      <c r="C952" s="367"/>
      <c r="D952" s="413"/>
      <c r="E952" s="413"/>
      <c r="F952" s="367"/>
      <c r="G952" s="367"/>
      <c r="H952" s="367"/>
      <c r="I952" s="367"/>
      <c r="J952" s="367"/>
      <c r="K952" s="367"/>
      <c r="L952" s="367"/>
      <c r="M952" s="367"/>
      <c r="N952" s="367"/>
      <c r="O952" s="367"/>
      <c r="P952" s="367"/>
      <c r="Q952" s="367"/>
      <c r="R952" s="367"/>
      <c r="S952" s="367"/>
      <c r="T952" s="367"/>
      <c r="U952" s="367"/>
      <c r="V952" s="367"/>
      <c r="W952" s="367"/>
      <c r="X952" s="367"/>
      <c r="Y952" s="367"/>
      <c r="Z952" s="367"/>
    </row>
    <row r="953" ht="12.75" customHeight="1" spans="1:26">
      <c r="A953" s="363"/>
      <c r="B953" s="412"/>
      <c r="C953" s="367"/>
      <c r="D953" s="413"/>
      <c r="E953" s="413"/>
      <c r="F953" s="367"/>
      <c r="G953" s="367"/>
      <c r="H953" s="367"/>
      <c r="I953" s="367"/>
      <c r="J953" s="367"/>
      <c r="K953" s="367"/>
      <c r="L953" s="367"/>
      <c r="M953" s="367"/>
      <c r="N953" s="367"/>
      <c r="O953" s="367"/>
      <c r="P953" s="367"/>
      <c r="Q953" s="367"/>
      <c r="R953" s="367"/>
      <c r="S953" s="367"/>
      <c r="T953" s="367"/>
      <c r="U953" s="367"/>
      <c r="V953" s="367"/>
      <c r="W953" s="367"/>
      <c r="X953" s="367"/>
      <c r="Y953" s="367"/>
      <c r="Z953" s="367"/>
    </row>
    <row r="954" ht="12.75" customHeight="1" spans="1:26">
      <c r="A954" s="363"/>
      <c r="B954" s="412"/>
      <c r="C954" s="367"/>
      <c r="D954" s="413"/>
      <c r="E954" s="413"/>
      <c r="F954" s="367"/>
      <c r="G954" s="367"/>
      <c r="H954" s="367"/>
      <c r="I954" s="367"/>
      <c r="J954" s="367"/>
      <c r="K954" s="367"/>
      <c r="L954" s="367"/>
      <c r="M954" s="367"/>
      <c r="N954" s="367"/>
      <c r="O954" s="367"/>
      <c r="P954" s="367"/>
      <c r="Q954" s="367"/>
      <c r="R954" s="367"/>
      <c r="S954" s="367"/>
      <c r="T954" s="367"/>
      <c r="U954" s="367"/>
      <c r="V954" s="367"/>
      <c r="W954" s="367"/>
      <c r="X954" s="367"/>
      <c r="Y954" s="367"/>
      <c r="Z954" s="367"/>
    </row>
    <row r="955" ht="12.75" customHeight="1" spans="1:26">
      <c r="A955" s="363"/>
      <c r="B955" s="412"/>
      <c r="C955" s="367"/>
      <c r="D955" s="413"/>
      <c r="E955" s="413"/>
      <c r="F955" s="367"/>
      <c r="G955" s="367"/>
      <c r="H955" s="367"/>
      <c r="I955" s="367"/>
      <c r="J955" s="367"/>
      <c r="K955" s="367"/>
      <c r="L955" s="367"/>
      <c r="M955" s="367"/>
      <c r="N955" s="367"/>
      <c r="O955" s="367"/>
      <c r="P955" s="367"/>
      <c r="Q955" s="367"/>
      <c r="R955" s="367"/>
      <c r="S955" s="367"/>
      <c r="T955" s="367"/>
      <c r="U955" s="367"/>
      <c r="V955" s="367"/>
      <c r="W955" s="367"/>
      <c r="X955" s="367"/>
      <c r="Y955" s="367"/>
      <c r="Z955" s="367"/>
    </row>
    <row r="956" ht="12.75" customHeight="1" spans="1:26">
      <c r="A956" s="363"/>
      <c r="B956" s="412"/>
      <c r="C956" s="367"/>
      <c r="D956" s="413"/>
      <c r="E956" s="413"/>
      <c r="F956" s="367"/>
      <c r="G956" s="367"/>
      <c r="H956" s="367"/>
      <c r="I956" s="367"/>
      <c r="J956" s="367"/>
      <c r="K956" s="367"/>
      <c r="L956" s="367"/>
      <c r="M956" s="367"/>
      <c r="N956" s="367"/>
      <c r="O956" s="367"/>
      <c r="P956" s="367"/>
      <c r="Q956" s="367"/>
      <c r="R956" s="367"/>
      <c r="S956" s="367"/>
      <c r="T956" s="367"/>
      <c r="U956" s="367"/>
      <c r="V956" s="367"/>
      <c r="W956" s="367"/>
      <c r="X956" s="367"/>
      <c r="Y956" s="367"/>
      <c r="Z956" s="367"/>
    </row>
    <row r="957" ht="12.75" customHeight="1" spans="1:26">
      <c r="A957" s="363"/>
      <c r="B957" s="412"/>
      <c r="C957" s="367"/>
      <c r="D957" s="413"/>
      <c r="E957" s="413"/>
      <c r="F957" s="367"/>
      <c r="G957" s="367"/>
      <c r="H957" s="367"/>
      <c r="I957" s="367"/>
      <c r="J957" s="367"/>
      <c r="K957" s="367"/>
      <c r="L957" s="367"/>
      <c r="M957" s="367"/>
      <c r="N957" s="367"/>
      <c r="O957" s="367"/>
      <c r="P957" s="367"/>
      <c r="Q957" s="367"/>
      <c r="R957" s="367"/>
      <c r="S957" s="367"/>
      <c r="T957" s="367"/>
      <c r="U957" s="367"/>
      <c r="V957" s="367"/>
      <c r="W957" s="367"/>
      <c r="X957" s="367"/>
      <c r="Y957" s="367"/>
      <c r="Z957" s="367"/>
    </row>
    <row r="958" ht="12.75" customHeight="1" spans="1:26">
      <c r="A958" s="363"/>
      <c r="B958" s="412"/>
      <c r="C958" s="367"/>
      <c r="D958" s="413"/>
      <c r="E958" s="413"/>
      <c r="F958" s="367"/>
      <c r="G958" s="367"/>
      <c r="H958" s="367"/>
      <c r="I958" s="367"/>
      <c r="J958" s="367"/>
      <c r="K958" s="367"/>
      <c r="L958" s="367"/>
      <c r="M958" s="367"/>
      <c r="N958" s="367"/>
      <c r="O958" s="367"/>
      <c r="P958" s="367"/>
      <c r="Q958" s="367"/>
      <c r="R958" s="367"/>
      <c r="S958" s="367"/>
      <c r="T958" s="367"/>
      <c r="U958" s="367"/>
      <c r="V958" s="367"/>
      <c r="W958" s="367"/>
      <c r="X958" s="367"/>
      <c r="Y958" s="367"/>
      <c r="Z958" s="367"/>
    </row>
    <row r="959" ht="12.75" customHeight="1" spans="1:26">
      <c r="A959" s="363"/>
      <c r="B959" s="412"/>
      <c r="C959" s="367"/>
      <c r="D959" s="413"/>
      <c r="E959" s="413"/>
      <c r="F959" s="367"/>
      <c r="G959" s="367"/>
      <c r="H959" s="367"/>
      <c r="I959" s="367"/>
      <c r="J959" s="367"/>
      <c r="K959" s="367"/>
      <c r="L959" s="367"/>
      <c r="M959" s="367"/>
      <c r="N959" s="367"/>
      <c r="O959" s="367"/>
      <c r="P959" s="367"/>
      <c r="Q959" s="367"/>
      <c r="R959" s="367"/>
      <c r="S959" s="367"/>
      <c r="T959" s="367"/>
      <c r="U959" s="367"/>
      <c r="V959" s="367"/>
      <c r="W959" s="367"/>
      <c r="X959" s="367"/>
      <c r="Y959" s="367"/>
      <c r="Z959" s="367"/>
    </row>
    <row r="960" ht="12.75" customHeight="1" spans="1:26">
      <c r="A960" s="363"/>
      <c r="B960" s="412"/>
      <c r="C960" s="367"/>
      <c r="D960" s="413"/>
      <c r="E960" s="413"/>
      <c r="F960" s="367"/>
      <c r="G960" s="367"/>
      <c r="H960" s="367"/>
      <c r="I960" s="367"/>
      <c r="J960" s="367"/>
      <c r="K960" s="367"/>
      <c r="L960" s="367"/>
      <c r="M960" s="367"/>
      <c r="N960" s="367"/>
      <c r="O960" s="367"/>
      <c r="P960" s="367"/>
      <c r="Q960" s="367"/>
      <c r="R960" s="367"/>
      <c r="S960" s="367"/>
      <c r="T960" s="367"/>
      <c r="U960" s="367"/>
      <c r="V960" s="367"/>
      <c r="W960" s="367"/>
      <c r="X960" s="367"/>
      <c r="Y960" s="367"/>
      <c r="Z960" s="367"/>
    </row>
    <row r="961" ht="12.75" customHeight="1" spans="1:26">
      <c r="A961" s="363"/>
      <c r="B961" s="412"/>
      <c r="C961" s="367"/>
      <c r="D961" s="413"/>
      <c r="E961" s="413"/>
      <c r="F961" s="367"/>
      <c r="G961" s="367"/>
      <c r="H961" s="367"/>
      <c r="I961" s="367"/>
      <c r="J961" s="367"/>
      <c r="K961" s="367"/>
      <c r="L961" s="367"/>
      <c r="M961" s="367"/>
      <c r="N961" s="367"/>
      <c r="O961" s="367"/>
      <c r="P961" s="367"/>
      <c r="Q961" s="367"/>
      <c r="R961" s="367"/>
      <c r="S961" s="367"/>
      <c r="T961" s="367"/>
      <c r="U961" s="367"/>
      <c r="V961" s="367"/>
      <c r="W961" s="367"/>
      <c r="X961" s="367"/>
      <c r="Y961" s="367"/>
      <c r="Z961" s="367"/>
    </row>
    <row r="962" ht="12.75" customHeight="1" spans="1:26">
      <c r="A962" s="363"/>
      <c r="B962" s="412"/>
      <c r="C962" s="367"/>
      <c r="D962" s="413"/>
      <c r="E962" s="413"/>
      <c r="F962" s="367"/>
      <c r="G962" s="367"/>
      <c r="H962" s="367"/>
      <c r="I962" s="367"/>
      <c r="J962" s="367"/>
      <c r="K962" s="367"/>
      <c r="L962" s="367"/>
      <c r="M962" s="367"/>
      <c r="N962" s="367"/>
      <c r="O962" s="367"/>
      <c r="P962" s="367"/>
      <c r="Q962" s="367"/>
      <c r="R962" s="367"/>
      <c r="S962" s="367"/>
      <c r="T962" s="367"/>
      <c r="U962" s="367"/>
      <c r="V962" s="367"/>
      <c r="W962" s="367"/>
      <c r="X962" s="367"/>
      <c r="Y962" s="367"/>
      <c r="Z962" s="367"/>
    </row>
    <row r="963" ht="12.75" customHeight="1" spans="1:26">
      <c r="A963" s="363"/>
      <c r="B963" s="412"/>
      <c r="C963" s="367"/>
      <c r="D963" s="413"/>
      <c r="E963" s="413"/>
      <c r="F963" s="367"/>
      <c r="G963" s="367"/>
      <c r="H963" s="367"/>
      <c r="I963" s="367"/>
      <c r="J963" s="367"/>
      <c r="K963" s="367"/>
      <c r="L963" s="367"/>
      <c r="M963" s="367"/>
      <c r="N963" s="367"/>
      <c r="O963" s="367"/>
      <c r="P963" s="367"/>
      <c r="Q963" s="367"/>
      <c r="R963" s="367"/>
      <c r="S963" s="367"/>
      <c r="T963" s="367"/>
      <c r="U963" s="367"/>
      <c r="V963" s="367"/>
      <c r="W963" s="367"/>
      <c r="X963" s="367"/>
      <c r="Y963" s="367"/>
      <c r="Z963" s="367"/>
    </row>
    <row r="964" ht="12.75" customHeight="1" spans="1:26">
      <c r="A964" s="363"/>
      <c r="B964" s="412"/>
      <c r="C964" s="367"/>
      <c r="D964" s="413"/>
      <c r="E964" s="413"/>
      <c r="F964" s="367"/>
      <c r="G964" s="367"/>
      <c r="H964" s="367"/>
      <c r="I964" s="367"/>
      <c r="J964" s="367"/>
      <c r="K964" s="367"/>
      <c r="L964" s="367"/>
      <c r="M964" s="367"/>
      <c r="N964" s="367"/>
      <c r="O964" s="367"/>
      <c r="P964" s="367"/>
      <c r="Q964" s="367"/>
      <c r="R964" s="367"/>
      <c r="S964" s="367"/>
      <c r="T964" s="367"/>
      <c r="U964" s="367"/>
      <c r="V964" s="367"/>
      <c r="W964" s="367"/>
      <c r="X964" s="367"/>
      <c r="Y964" s="367"/>
      <c r="Z964" s="367"/>
    </row>
    <row r="965" ht="12.75" customHeight="1" spans="1:26">
      <c r="A965" s="363"/>
      <c r="B965" s="412"/>
      <c r="C965" s="367"/>
      <c r="D965" s="413"/>
      <c r="E965" s="413"/>
      <c r="F965" s="367"/>
      <c r="G965" s="367"/>
      <c r="H965" s="367"/>
      <c r="I965" s="367"/>
      <c r="J965" s="367"/>
      <c r="K965" s="367"/>
      <c r="L965" s="367"/>
      <c r="M965" s="367"/>
      <c r="N965" s="367"/>
      <c r="O965" s="367"/>
      <c r="P965" s="367"/>
      <c r="Q965" s="367"/>
      <c r="R965" s="367"/>
      <c r="S965" s="367"/>
      <c r="T965" s="367"/>
      <c r="U965" s="367"/>
      <c r="V965" s="367"/>
      <c r="W965" s="367"/>
      <c r="X965" s="367"/>
      <c r="Y965" s="367"/>
      <c r="Z965" s="367"/>
    </row>
    <row r="966" ht="12.75" customHeight="1" spans="1:26">
      <c r="A966" s="363"/>
      <c r="B966" s="412"/>
      <c r="C966" s="367"/>
      <c r="D966" s="413"/>
      <c r="E966" s="413"/>
      <c r="F966" s="367"/>
      <c r="G966" s="367"/>
      <c r="H966" s="367"/>
      <c r="I966" s="367"/>
      <c r="J966" s="367"/>
      <c r="K966" s="367"/>
      <c r="L966" s="367"/>
      <c r="M966" s="367"/>
      <c r="N966" s="367"/>
      <c r="O966" s="367"/>
      <c r="P966" s="367"/>
      <c r="Q966" s="367"/>
      <c r="R966" s="367"/>
      <c r="S966" s="367"/>
      <c r="T966" s="367"/>
      <c r="U966" s="367"/>
      <c r="V966" s="367"/>
      <c r="W966" s="367"/>
      <c r="X966" s="367"/>
      <c r="Y966" s="367"/>
      <c r="Z966" s="367"/>
    </row>
    <row r="967" ht="12.75" customHeight="1" spans="1:26">
      <c r="A967" s="363"/>
      <c r="B967" s="412"/>
      <c r="C967" s="367"/>
      <c r="D967" s="413"/>
      <c r="E967" s="413"/>
      <c r="F967" s="367"/>
      <c r="G967" s="367"/>
      <c r="H967" s="367"/>
      <c r="I967" s="367"/>
      <c r="J967" s="367"/>
      <c r="K967" s="367"/>
      <c r="L967" s="367"/>
      <c r="M967" s="367"/>
      <c r="N967" s="367"/>
      <c r="O967" s="367"/>
      <c r="P967" s="367"/>
      <c r="Q967" s="367"/>
      <c r="R967" s="367"/>
      <c r="S967" s="367"/>
      <c r="T967" s="367"/>
      <c r="U967" s="367"/>
      <c r="V967" s="367"/>
      <c r="W967" s="367"/>
      <c r="X967" s="367"/>
      <c r="Y967" s="367"/>
      <c r="Z967" s="367"/>
    </row>
    <row r="968" ht="12.75" customHeight="1" spans="1:26">
      <c r="A968" s="363"/>
      <c r="B968" s="412"/>
      <c r="C968" s="367"/>
      <c r="D968" s="413"/>
      <c r="E968" s="413"/>
      <c r="F968" s="367"/>
      <c r="G968" s="367"/>
      <c r="H968" s="367"/>
      <c r="I968" s="367"/>
      <c r="J968" s="367"/>
      <c r="K968" s="367"/>
      <c r="L968" s="367"/>
      <c r="M968" s="367"/>
      <c r="N968" s="367"/>
      <c r="O968" s="367"/>
      <c r="P968" s="367"/>
      <c r="Q968" s="367"/>
      <c r="R968" s="367"/>
      <c r="S968" s="367"/>
      <c r="T968" s="367"/>
      <c r="U968" s="367"/>
      <c r="V968" s="367"/>
      <c r="W968" s="367"/>
      <c r="X968" s="367"/>
      <c r="Y968" s="367"/>
      <c r="Z968" s="367"/>
    </row>
    <row r="969" ht="12.75" customHeight="1" spans="1:26">
      <c r="A969" s="363"/>
      <c r="B969" s="412"/>
      <c r="C969" s="367"/>
      <c r="D969" s="413"/>
      <c r="E969" s="413"/>
      <c r="F969" s="367"/>
      <c r="G969" s="367"/>
      <c r="H969" s="367"/>
      <c r="I969" s="367"/>
      <c r="J969" s="367"/>
      <c r="K969" s="367"/>
      <c r="L969" s="367"/>
      <c r="M969" s="367"/>
      <c r="N969" s="367"/>
      <c r="O969" s="367"/>
      <c r="P969" s="367"/>
      <c r="Q969" s="367"/>
      <c r="R969" s="367"/>
      <c r="S969" s="367"/>
      <c r="T969" s="367"/>
      <c r="U969" s="367"/>
      <c r="V969" s="367"/>
      <c r="W969" s="367"/>
      <c r="X969" s="367"/>
      <c r="Y969" s="367"/>
      <c r="Z969" s="367"/>
    </row>
    <row r="970" ht="12.75" customHeight="1" spans="1:26">
      <c r="A970" s="363"/>
      <c r="B970" s="412"/>
      <c r="C970" s="367"/>
      <c r="D970" s="413"/>
      <c r="E970" s="413"/>
      <c r="F970" s="367"/>
      <c r="G970" s="367"/>
      <c r="H970" s="367"/>
      <c r="I970" s="367"/>
      <c r="J970" s="367"/>
      <c r="K970" s="367"/>
      <c r="L970" s="367"/>
      <c r="M970" s="367"/>
      <c r="N970" s="367"/>
      <c r="O970" s="367"/>
      <c r="P970" s="367"/>
      <c r="Q970" s="367"/>
      <c r="R970" s="367"/>
      <c r="S970" s="367"/>
      <c r="T970" s="367"/>
      <c r="U970" s="367"/>
      <c r="V970" s="367"/>
      <c r="W970" s="367"/>
      <c r="X970" s="367"/>
      <c r="Y970" s="367"/>
      <c r="Z970" s="367"/>
    </row>
    <row r="971" ht="12.75" customHeight="1" spans="1:26">
      <c r="A971" s="363"/>
      <c r="B971" s="412"/>
      <c r="C971" s="367"/>
      <c r="D971" s="413"/>
      <c r="E971" s="413"/>
      <c r="F971" s="367"/>
      <c r="G971" s="367"/>
      <c r="H971" s="367"/>
      <c r="I971" s="367"/>
      <c r="J971" s="367"/>
      <c r="K971" s="367"/>
      <c r="L971" s="367"/>
      <c r="M971" s="367"/>
      <c r="N971" s="367"/>
      <c r="O971" s="367"/>
      <c r="P971" s="367"/>
      <c r="Q971" s="367"/>
      <c r="R971" s="367"/>
      <c r="S971" s="367"/>
      <c r="T971" s="367"/>
      <c r="U971" s="367"/>
      <c r="V971" s="367"/>
      <c r="W971" s="367"/>
      <c r="X971" s="367"/>
      <c r="Y971" s="367"/>
      <c r="Z971" s="367"/>
    </row>
    <row r="972" ht="12.75" customHeight="1" spans="1:26">
      <c r="A972" s="363"/>
      <c r="B972" s="412"/>
      <c r="C972" s="367"/>
      <c r="D972" s="413"/>
      <c r="E972" s="413"/>
      <c r="F972" s="367"/>
      <c r="G972" s="367"/>
      <c r="H972" s="367"/>
      <c r="I972" s="367"/>
      <c r="J972" s="367"/>
      <c r="K972" s="367"/>
      <c r="L972" s="367"/>
      <c r="M972" s="367"/>
      <c r="N972" s="367"/>
      <c r="O972" s="367"/>
      <c r="P972" s="367"/>
      <c r="Q972" s="367"/>
      <c r="R972" s="367"/>
      <c r="S972" s="367"/>
      <c r="T972" s="367"/>
      <c r="U972" s="367"/>
      <c r="V972" s="367"/>
      <c r="W972" s="367"/>
      <c r="X972" s="367"/>
      <c r="Y972" s="367"/>
      <c r="Z972" s="367"/>
    </row>
    <row r="973" ht="12.75" customHeight="1" spans="1:26">
      <c r="A973" s="363"/>
      <c r="B973" s="412"/>
      <c r="C973" s="367"/>
      <c r="D973" s="413"/>
      <c r="E973" s="413"/>
      <c r="F973" s="367"/>
      <c r="G973" s="367"/>
      <c r="H973" s="367"/>
      <c r="I973" s="367"/>
      <c r="J973" s="367"/>
      <c r="K973" s="367"/>
      <c r="L973" s="367"/>
      <c r="M973" s="367"/>
      <c r="N973" s="367"/>
      <c r="O973" s="367"/>
      <c r="P973" s="367"/>
      <c r="Q973" s="367"/>
      <c r="R973" s="367"/>
      <c r="S973" s="367"/>
      <c r="T973" s="367"/>
      <c r="U973" s="367"/>
      <c r="V973" s="367"/>
      <c r="W973" s="367"/>
      <c r="X973" s="367"/>
      <c r="Y973" s="367"/>
      <c r="Z973" s="367"/>
    </row>
    <row r="974" ht="12.75" customHeight="1" spans="1:26">
      <c r="A974" s="363"/>
      <c r="B974" s="412"/>
      <c r="C974" s="367"/>
      <c r="D974" s="413"/>
      <c r="E974" s="413"/>
      <c r="F974" s="367"/>
      <c r="G974" s="367"/>
      <c r="H974" s="367"/>
      <c r="I974" s="367"/>
      <c r="J974" s="367"/>
      <c r="K974" s="367"/>
      <c r="L974" s="367"/>
      <c r="M974" s="367"/>
      <c r="N974" s="367"/>
      <c r="O974" s="367"/>
      <c r="P974" s="367"/>
      <c r="Q974" s="367"/>
      <c r="R974" s="367"/>
      <c r="S974" s="367"/>
      <c r="T974" s="367"/>
      <c r="U974" s="367"/>
      <c r="V974" s="367"/>
      <c r="W974" s="367"/>
      <c r="X974" s="367"/>
      <c r="Y974" s="367"/>
      <c r="Z974" s="367"/>
    </row>
    <row r="975" ht="12.75" customHeight="1" spans="1:26">
      <c r="A975" s="363"/>
      <c r="B975" s="412"/>
      <c r="C975" s="367"/>
      <c r="D975" s="413"/>
      <c r="E975" s="413"/>
      <c r="F975" s="367"/>
      <c r="G975" s="367"/>
      <c r="H975" s="367"/>
      <c r="I975" s="367"/>
      <c r="J975" s="367"/>
      <c r="K975" s="367"/>
      <c r="L975" s="367"/>
      <c r="M975" s="367"/>
      <c r="N975" s="367"/>
      <c r="O975" s="367"/>
      <c r="P975" s="367"/>
      <c r="Q975" s="367"/>
      <c r="R975" s="367"/>
      <c r="S975" s="367"/>
      <c r="T975" s="367"/>
      <c r="U975" s="367"/>
      <c r="V975" s="367"/>
      <c r="W975" s="367"/>
      <c r="X975" s="367"/>
      <c r="Y975" s="367"/>
      <c r="Z975" s="367"/>
    </row>
    <row r="976" ht="12.75" customHeight="1" spans="1:26">
      <c r="A976" s="363"/>
      <c r="B976" s="412"/>
      <c r="C976" s="367"/>
      <c r="D976" s="413"/>
      <c r="E976" s="413"/>
      <c r="F976" s="367"/>
      <c r="G976" s="367"/>
      <c r="H976" s="367"/>
      <c r="I976" s="367"/>
      <c r="J976" s="367"/>
      <c r="K976" s="367"/>
      <c r="L976" s="367"/>
      <c r="M976" s="367"/>
      <c r="N976" s="367"/>
      <c r="O976" s="367"/>
      <c r="P976" s="367"/>
      <c r="Q976" s="367"/>
      <c r="R976" s="367"/>
      <c r="S976" s="367"/>
      <c r="T976" s="367"/>
      <c r="U976" s="367"/>
      <c r="V976" s="367"/>
      <c r="W976" s="367"/>
      <c r="X976" s="367"/>
      <c r="Y976" s="367"/>
      <c r="Z976" s="367"/>
    </row>
    <row r="977" ht="12.75" customHeight="1" spans="1:26">
      <c r="A977" s="363"/>
      <c r="B977" s="412"/>
      <c r="C977" s="367"/>
      <c r="D977" s="413"/>
      <c r="E977" s="413"/>
      <c r="F977" s="367"/>
      <c r="G977" s="367"/>
      <c r="H977" s="367"/>
      <c r="I977" s="367"/>
      <c r="J977" s="367"/>
      <c r="K977" s="367"/>
      <c r="L977" s="367"/>
      <c r="M977" s="367"/>
      <c r="N977" s="367"/>
      <c r="O977" s="367"/>
      <c r="P977" s="367"/>
      <c r="Q977" s="367"/>
      <c r="R977" s="367"/>
      <c r="S977" s="367"/>
      <c r="T977" s="367"/>
      <c r="U977" s="367"/>
      <c r="V977" s="367"/>
      <c r="W977" s="367"/>
      <c r="X977" s="367"/>
      <c r="Y977" s="367"/>
      <c r="Z977" s="367"/>
    </row>
    <row r="978" ht="12.75" customHeight="1" spans="1:26">
      <c r="A978" s="363"/>
      <c r="B978" s="412"/>
      <c r="C978" s="367"/>
      <c r="D978" s="413"/>
      <c r="E978" s="413"/>
      <c r="F978" s="367"/>
      <c r="G978" s="367"/>
      <c r="H978" s="367"/>
      <c r="I978" s="367"/>
      <c r="J978" s="367"/>
      <c r="K978" s="367"/>
      <c r="L978" s="367"/>
      <c r="M978" s="367"/>
      <c r="N978" s="367"/>
      <c r="O978" s="367"/>
      <c r="P978" s="367"/>
      <c r="Q978" s="367"/>
      <c r="R978" s="367"/>
      <c r="S978" s="367"/>
      <c r="T978" s="367"/>
      <c r="U978" s="367"/>
      <c r="V978" s="367"/>
      <c r="W978" s="367"/>
      <c r="X978" s="367"/>
      <c r="Y978" s="367"/>
      <c r="Z978" s="367"/>
    </row>
    <row r="979" ht="12.75" customHeight="1" spans="1:26">
      <c r="A979" s="363"/>
      <c r="B979" s="412"/>
      <c r="C979" s="367"/>
      <c r="D979" s="413"/>
      <c r="E979" s="413"/>
      <c r="F979" s="367"/>
      <c r="G979" s="367"/>
      <c r="H979" s="367"/>
      <c r="I979" s="367"/>
      <c r="J979" s="367"/>
      <c r="K979" s="367"/>
      <c r="L979" s="367"/>
      <c r="M979" s="367"/>
      <c r="N979" s="367"/>
      <c r="O979" s="367"/>
      <c r="P979" s="367"/>
      <c r="Q979" s="367"/>
      <c r="R979" s="367"/>
      <c r="S979" s="367"/>
      <c r="T979" s="367"/>
      <c r="U979" s="367"/>
      <c r="V979" s="367"/>
      <c r="W979" s="367"/>
      <c r="X979" s="367"/>
      <c r="Y979" s="367"/>
      <c r="Z979" s="367"/>
    </row>
    <row r="980" ht="12.75" customHeight="1" spans="1:26">
      <c r="A980" s="363"/>
      <c r="B980" s="412"/>
      <c r="C980" s="367"/>
      <c r="D980" s="413"/>
      <c r="E980" s="413"/>
      <c r="F980" s="367"/>
      <c r="G980" s="367"/>
      <c r="H980" s="367"/>
      <c r="I980" s="367"/>
      <c r="J980" s="367"/>
      <c r="K980" s="367"/>
      <c r="L980" s="367"/>
      <c r="M980" s="367"/>
      <c r="N980" s="367"/>
      <c r="O980" s="367"/>
      <c r="P980" s="367"/>
      <c r="Q980" s="367"/>
      <c r="R980" s="367"/>
      <c r="S980" s="367"/>
      <c r="T980" s="367"/>
      <c r="U980" s="367"/>
      <c r="V980" s="367"/>
      <c r="W980" s="367"/>
      <c r="X980" s="367"/>
      <c r="Y980" s="367"/>
      <c r="Z980" s="367"/>
    </row>
    <row r="981" ht="12.75" customHeight="1" spans="1:26">
      <c r="A981" s="363"/>
      <c r="B981" s="412"/>
      <c r="C981" s="367"/>
      <c r="D981" s="413"/>
      <c r="E981" s="413"/>
      <c r="F981" s="367"/>
      <c r="G981" s="367"/>
      <c r="H981" s="367"/>
      <c r="I981" s="367"/>
      <c r="J981" s="367"/>
      <c r="K981" s="367"/>
      <c r="L981" s="367"/>
      <c r="M981" s="367"/>
      <c r="N981" s="367"/>
      <c r="O981" s="367"/>
      <c r="P981" s="367"/>
      <c r="Q981" s="367"/>
      <c r="R981" s="367"/>
      <c r="S981" s="367"/>
      <c r="T981" s="367"/>
      <c r="U981" s="367"/>
      <c r="V981" s="367"/>
      <c r="W981" s="367"/>
      <c r="X981" s="367"/>
      <c r="Y981" s="367"/>
      <c r="Z981" s="367"/>
    </row>
    <row r="982" ht="12.75" customHeight="1" spans="1:26">
      <c r="A982" s="363"/>
      <c r="B982" s="412"/>
      <c r="C982" s="367"/>
      <c r="D982" s="413"/>
      <c r="E982" s="413"/>
      <c r="F982" s="367"/>
      <c r="G982" s="367"/>
      <c r="H982" s="367"/>
      <c r="I982" s="367"/>
      <c r="J982" s="367"/>
      <c r="K982" s="367"/>
      <c r="L982" s="367"/>
      <c r="M982" s="367"/>
      <c r="N982" s="367"/>
      <c r="O982" s="367"/>
      <c r="P982" s="367"/>
      <c r="Q982" s="367"/>
      <c r="R982" s="367"/>
      <c r="S982" s="367"/>
      <c r="T982" s="367"/>
      <c r="U982" s="367"/>
      <c r="V982" s="367"/>
      <c r="W982" s="367"/>
      <c r="X982" s="367"/>
      <c r="Y982" s="367"/>
      <c r="Z982" s="367"/>
    </row>
    <row r="983" ht="12.75" customHeight="1" spans="1:26">
      <c r="A983" s="363"/>
      <c r="B983" s="412"/>
      <c r="C983" s="367"/>
      <c r="D983" s="413"/>
      <c r="E983" s="413"/>
      <c r="F983" s="367"/>
      <c r="G983" s="367"/>
      <c r="H983" s="367"/>
      <c r="I983" s="367"/>
      <c r="J983" s="367"/>
      <c r="K983" s="367"/>
      <c r="L983" s="367"/>
      <c r="M983" s="367"/>
      <c r="N983" s="367"/>
      <c r="O983" s="367"/>
      <c r="P983" s="367"/>
      <c r="Q983" s="367"/>
      <c r="R983" s="367"/>
      <c r="S983" s="367"/>
      <c r="T983" s="367"/>
      <c r="U983" s="367"/>
      <c r="V983" s="367"/>
      <c r="W983" s="367"/>
      <c r="X983" s="367"/>
      <c r="Y983" s="367"/>
      <c r="Z983" s="367"/>
    </row>
    <row r="984" ht="12.75" customHeight="1" spans="1:26">
      <c r="A984" s="363"/>
      <c r="B984" s="412"/>
      <c r="C984" s="367"/>
      <c r="D984" s="413"/>
      <c r="E984" s="413"/>
      <c r="F984" s="367"/>
      <c r="G984" s="367"/>
      <c r="H984" s="367"/>
      <c r="I984" s="367"/>
      <c r="J984" s="367"/>
      <c r="K984" s="367"/>
      <c r="L984" s="367"/>
      <c r="M984" s="367"/>
      <c r="N984" s="367"/>
      <c r="O984" s="367"/>
      <c r="P984" s="367"/>
      <c r="Q984" s="367"/>
      <c r="R984" s="367"/>
      <c r="S984" s="367"/>
      <c r="T984" s="367"/>
      <c r="U984" s="367"/>
      <c r="V984" s="367"/>
      <c r="W984" s="367"/>
      <c r="X984" s="367"/>
      <c r="Y984" s="367"/>
      <c r="Z984" s="367"/>
    </row>
    <row r="985" ht="12.75" customHeight="1" spans="1:26">
      <c r="A985" s="363"/>
      <c r="B985" s="412"/>
      <c r="C985" s="367"/>
      <c r="D985" s="413"/>
      <c r="E985" s="413"/>
      <c r="F985" s="367"/>
      <c r="G985" s="367"/>
      <c r="H985" s="367"/>
      <c r="I985" s="367"/>
      <c r="J985" s="367"/>
      <c r="K985" s="367"/>
      <c r="L985" s="367"/>
      <c r="M985" s="367"/>
      <c r="N985" s="367"/>
      <c r="O985" s="367"/>
      <c r="P985" s="367"/>
      <c r="Q985" s="367"/>
      <c r="R985" s="367"/>
      <c r="S985" s="367"/>
      <c r="T985" s="367"/>
      <c r="U985" s="367"/>
      <c r="V985" s="367"/>
      <c r="W985" s="367"/>
      <c r="X985" s="367"/>
      <c r="Y985" s="367"/>
      <c r="Z985" s="367"/>
    </row>
    <row r="986" ht="12.75" customHeight="1" spans="1:26">
      <c r="A986" s="363"/>
      <c r="B986" s="412"/>
      <c r="C986" s="367"/>
      <c r="D986" s="413"/>
      <c r="E986" s="413"/>
      <c r="F986" s="367"/>
      <c r="G986" s="367"/>
      <c r="H986" s="367"/>
      <c r="I986" s="367"/>
      <c r="J986" s="367"/>
      <c r="K986" s="367"/>
      <c r="L986" s="367"/>
      <c r="M986" s="367"/>
      <c r="N986" s="367"/>
      <c r="O986" s="367"/>
      <c r="P986" s="367"/>
      <c r="Q986" s="367"/>
      <c r="R986" s="367"/>
      <c r="S986" s="367"/>
      <c r="T986" s="367"/>
      <c r="U986" s="367"/>
      <c r="V986" s="367"/>
      <c r="W986" s="367"/>
      <c r="X986" s="367"/>
      <c r="Y986" s="367"/>
      <c r="Z986" s="367"/>
    </row>
    <row r="987" ht="12.75" customHeight="1" spans="1:26">
      <c r="A987" s="363"/>
      <c r="B987" s="412"/>
      <c r="C987" s="367"/>
      <c r="D987" s="413"/>
      <c r="E987" s="413"/>
      <c r="F987" s="367"/>
      <c r="G987" s="367"/>
      <c r="H987" s="367"/>
      <c r="I987" s="367"/>
      <c r="J987" s="367"/>
      <c r="K987" s="367"/>
      <c r="L987" s="367"/>
      <c r="M987" s="367"/>
      <c r="N987" s="367"/>
      <c r="O987" s="367"/>
      <c r="P987" s="367"/>
      <c r="Q987" s="367"/>
      <c r="R987" s="367"/>
      <c r="S987" s="367"/>
      <c r="T987" s="367"/>
      <c r="U987" s="367"/>
      <c r="V987" s="367"/>
      <c r="W987" s="367"/>
      <c r="X987" s="367"/>
      <c r="Y987" s="367"/>
      <c r="Z987" s="367"/>
    </row>
    <row r="988" ht="12.75" customHeight="1" spans="1:26">
      <c r="A988" s="363"/>
      <c r="B988" s="412"/>
      <c r="C988" s="367"/>
      <c r="D988" s="413"/>
      <c r="E988" s="413"/>
      <c r="F988" s="367"/>
      <c r="G988" s="367"/>
      <c r="H988" s="367"/>
      <c r="I988" s="367"/>
      <c r="J988" s="367"/>
      <c r="K988" s="367"/>
      <c r="L988" s="367"/>
      <c r="M988" s="367"/>
      <c r="N988" s="367"/>
      <c r="O988" s="367"/>
      <c r="P988" s="367"/>
      <c r="Q988" s="367"/>
      <c r="R988" s="367"/>
      <c r="S988" s="367"/>
      <c r="T988" s="367"/>
      <c r="U988" s="367"/>
      <c r="V988" s="367"/>
      <c r="W988" s="367"/>
      <c r="X988" s="367"/>
      <c r="Y988" s="367"/>
      <c r="Z988" s="367"/>
    </row>
    <row r="989" ht="12.75" customHeight="1" spans="1:26">
      <c r="A989" s="363"/>
      <c r="B989" s="412"/>
      <c r="C989" s="367"/>
      <c r="D989" s="413"/>
      <c r="E989" s="413"/>
      <c r="F989" s="367"/>
      <c r="G989" s="367"/>
      <c r="H989" s="367"/>
      <c r="I989" s="367"/>
      <c r="J989" s="367"/>
      <c r="K989" s="367"/>
      <c r="L989" s="367"/>
      <c r="M989" s="367"/>
      <c r="N989" s="367"/>
      <c r="O989" s="367"/>
      <c r="P989" s="367"/>
      <c r="Q989" s="367"/>
      <c r="R989" s="367"/>
      <c r="S989" s="367"/>
      <c r="T989" s="367"/>
      <c r="U989" s="367"/>
      <c r="V989" s="367"/>
      <c r="W989" s="367"/>
      <c r="X989" s="367"/>
      <c r="Y989" s="367"/>
      <c r="Z989" s="367"/>
    </row>
    <row r="990" ht="12.75" customHeight="1" spans="1:26">
      <c r="A990" s="363"/>
      <c r="B990" s="412"/>
      <c r="C990" s="367"/>
      <c r="D990" s="413"/>
      <c r="E990" s="413"/>
      <c r="F990" s="367"/>
      <c r="G990" s="367"/>
      <c r="H990" s="367"/>
      <c r="I990" s="367"/>
      <c r="J990" s="367"/>
      <c r="K990" s="367"/>
      <c r="L990" s="367"/>
      <c r="M990" s="367"/>
      <c r="N990" s="367"/>
      <c r="O990" s="367"/>
      <c r="P990" s="367"/>
      <c r="Q990" s="367"/>
      <c r="R990" s="367"/>
      <c r="S990" s="367"/>
      <c r="T990" s="367"/>
      <c r="U990" s="367"/>
      <c r="V990" s="367"/>
      <c r="W990" s="367"/>
      <c r="X990" s="367"/>
      <c r="Y990" s="367"/>
      <c r="Z990" s="367"/>
    </row>
    <row r="991" ht="12.75" customHeight="1" spans="1:26">
      <c r="A991" s="363"/>
      <c r="B991" s="412"/>
      <c r="C991" s="367"/>
      <c r="D991" s="413"/>
      <c r="E991" s="413"/>
      <c r="F991" s="367"/>
      <c r="G991" s="367"/>
      <c r="H991" s="367"/>
      <c r="I991" s="367"/>
      <c r="J991" s="367"/>
      <c r="K991" s="367"/>
      <c r="L991" s="367"/>
      <c r="M991" s="367"/>
      <c r="N991" s="367"/>
      <c r="O991" s="367"/>
      <c r="P991" s="367"/>
      <c r="Q991" s="367"/>
      <c r="R991" s="367"/>
      <c r="S991" s="367"/>
      <c r="T991" s="367"/>
      <c r="U991" s="367"/>
      <c r="V991" s="367"/>
      <c r="W991" s="367"/>
      <c r="X991" s="367"/>
      <c r="Y991" s="367"/>
      <c r="Z991" s="367"/>
    </row>
    <row r="992" ht="12.75" customHeight="1" spans="1:26">
      <c r="A992" s="363"/>
      <c r="B992" s="412"/>
      <c r="C992" s="367"/>
      <c r="D992" s="413"/>
      <c r="E992" s="413"/>
      <c r="F992" s="367"/>
      <c r="G992" s="367"/>
      <c r="H992" s="367"/>
      <c r="I992" s="367"/>
      <c r="J992" s="367"/>
      <c r="K992" s="367"/>
      <c r="L992" s="367"/>
      <c r="M992" s="367"/>
      <c r="N992" s="367"/>
      <c r="O992" s="367"/>
      <c r="P992" s="367"/>
      <c r="Q992" s="367"/>
      <c r="R992" s="367"/>
      <c r="S992" s="367"/>
      <c r="T992" s="367"/>
      <c r="U992" s="367"/>
      <c r="V992" s="367"/>
      <c r="W992" s="367"/>
      <c r="X992" s="367"/>
      <c r="Y992" s="367"/>
      <c r="Z992" s="367"/>
    </row>
    <row r="993" ht="12.75" customHeight="1" spans="1:26">
      <c r="A993" s="363"/>
      <c r="B993" s="412"/>
      <c r="C993" s="367"/>
      <c r="D993" s="413"/>
      <c r="E993" s="413"/>
      <c r="F993" s="367"/>
      <c r="G993" s="367"/>
      <c r="H993" s="367"/>
      <c r="I993" s="367"/>
      <c r="J993" s="367"/>
      <c r="K993" s="367"/>
      <c r="L993" s="367"/>
      <c r="M993" s="367"/>
      <c r="N993" s="367"/>
      <c r="O993" s="367"/>
      <c r="P993" s="367"/>
      <c r="Q993" s="367"/>
      <c r="R993" s="367"/>
      <c r="S993" s="367"/>
      <c r="T993" s="367"/>
      <c r="U993" s="367"/>
      <c r="V993" s="367"/>
      <c r="W993" s="367"/>
      <c r="X993" s="367"/>
      <c r="Y993" s="367"/>
      <c r="Z993" s="367"/>
    </row>
    <row r="994" ht="12.75" customHeight="1" spans="1:26">
      <c r="A994" s="363"/>
      <c r="B994" s="412"/>
      <c r="C994" s="367"/>
      <c r="D994" s="413"/>
      <c r="E994" s="413"/>
      <c r="F994" s="367"/>
      <c r="G994" s="367"/>
      <c r="H994" s="367"/>
      <c r="I994" s="367"/>
      <c r="J994" s="367"/>
      <c r="K994" s="367"/>
      <c r="L994" s="367"/>
      <c r="M994" s="367"/>
      <c r="N994" s="367"/>
      <c r="O994" s="367"/>
      <c r="P994" s="367"/>
      <c r="Q994" s="367"/>
      <c r="R994" s="367"/>
      <c r="S994" s="367"/>
      <c r="T994" s="367"/>
      <c r="U994" s="367"/>
      <c r="V994" s="367"/>
      <c r="W994" s="367"/>
      <c r="X994" s="367"/>
      <c r="Y994" s="367"/>
      <c r="Z994" s="367"/>
    </row>
    <row r="995" ht="12.75" customHeight="1" spans="1:26">
      <c r="A995" s="363"/>
      <c r="B995" s="412"/>
      <c r="C995" s="367"/>
      <c r="D995" s="413"/>
      <c r="E995" s="413"/>
      <c r="F995" s="367"/>
      <c r="G995" s="367"/>
      <c r="H995" s="367"/>
      <c r="I995" s="367"/>
      <c r="J995" s="367"/>
      <c r="K995" s="367"/>
      <c r="L995" s="367"/>
      <c r="M995" s="367"/>
      <c r="N995" s="367"/>
      <c r="O995" s="367"/>
      <c r="P995" s="367"/>
      <c r="Q995" s="367"/>
      <c r="R995" s="367"/>
      <c r="S995" s="367"/>
      <c r="T995" s="367"/>
      <c r="U995" s="367"/>
      <c r="V995" s="367"/>
      <c r="W995" s="367"/>
      <c r="X995" s="367"/>
      <c r="Y995" s="367"/>
      <c r="Z995" s="367"/>
    </row>
    <row r="996" ht="12.75" customHeight="1" spans="1:26">
      <c r="A996" s="363"/>
      <c r="B996" s="412"/>
      <c r="C996" s="367"/>
      <c r="D996" s="413"/>
      <c r="E996" s="413"/>
      <c r="F996" s="367"/>
      <c r="G996" s="367"/>
      <c r="H996" s="367"/>
      <c r="I996" s="367"/>
      <c r="J996" s="367"/>
      <c r="K996" s="367"/>
      <c r="L996" s="367"/>
      <c r="M996" s="367"/>
      <c r="N996" s="367"/>
      <c r="O996" s="367"/>
      <c r="P996" s="367"/>
      <c r="Q996" s="367"/>
      <c r="R996" s="367"/>
      <c r="S996" s="367"/>
      <c r="T996" s="367"/>
      <c r="U996" s="367"/>
      <c r="V996" s="367"/>
      <c r="W996" s="367"/>
      <c r="X996" s="367"/>
      <c r="Y996" s="367"/>
      <c r="Z996" s="367"/>
    </row>
    <row r="997" ht="12.75" customHeight="1" spans="1:26">
      <c r="A997" s="363"/>
      <c r="B997" s="412"/>
      <c r="C997" s="367"/>
      <c r="D997" s="413"/>
      <c r="E997" s="413"/>
      <c r="F997" s="367"/>
      <c r="G997" s="367"/>
      <c r="H997" s="367"/>
      <c r="I997" s="367"/>
      <c r="J997" s="367"/>
      <c r="K997" s="367"/>
      <c r="L997" s="367"/>
      <c r="M997" s="367"/>
      <c r="N997" s="367"/>
      <c r="O997" s="367"/>
      <c r="P997" s="367"/>
      <c r="Q997" s="367"/>
      <c r="R997" s="367"/>
      <c r="S997" s="367"/>
      <c r="T997" s="367"/>
      <c r="U997" s="367"/>
      <c r="V997" s="367"/>
      <c r="W997" s="367"/>
      <c r="X997" s="367"/>
      <c r="Y997" s="367"/>
      <c r="Z997" s="367"/>
    </row>
    <row r="998" ht="12.75" customHeight="1" spans="1:26">
      <c r="A998" s="363"/>
      <c r="B998" s="412"/>
      <c r="C998" s="367"/>
      <c r="D998" s="413"/>
      <c r="E998" s="413"/>
      <c r="F998" s="367"/>
      <c r="G998" s="367"/>
      <c r="H998" s="367"/>
      <c r="I998" s="367"/>
      <c r="J998" s="367"/>
      <c r="K998" s="367"/>
      <c r="L998" s="367"/>
      <c r="M998" s="367"/>
      <c r="N998" s="367"/>
      <c r="O998" s="367"/>
      <c r="P998" s="367"/>
      <c r="Q998" s="367"/>
      <c r="R998" s="367"/>
      <c r="S998" s="367"/>
      <c r="T998" s="367"/>
      <c r="U998" s="367"/>
      <c r="V998" s="367"/>
      <c r="W998" s="367"/>
      <c r="X998" s="367"/>
      <c r="Y998" s="367"/>
      <c r="Z998" s="367"/>
    </row>
    <row r="999" ht="12.75" customHeight="1" spans="1:26">
      <c r="A999" s="363"/>
      <c r="B999" s="412"/>
      <c r="C999" s="367"/>
      <c r="D999" s="413"/>
      <c r="E999" s="413"/>
      <c r="F999" s="367"/>
      <c r="G999" s="367"/>
      <c r="H999" s="367"/>
      <c r="I999" s="367"/>
      <c r="J999" s="367"/>
      <c r="K999" s="367"/>
      <c r="L999" s="367"/>
      <c r="M999" s="367"/>
      <c r="N999" s="367"/>
      <c r="O999" s="367"/>
      <c r="P999" s="367"/>
      <c r="Q999" s="367"/>
      <c r="R999" s="367"/>
      <c r="S999" s="367"/>
      <c r="T999" s="367"/>
      <c r="U999" s="367"/>
      <c r="V999" s="367"/>
      <c r="W999" s="367"/>
      <c r="X999" s="367"/>
      <c r="Y999" s="367"/>
      <c r="Z999" s="367"/>
    </row>
    <row r="1000" ht="12.75" customHeight="1" spans="1:26">
      <c r="A1000" s="363"/>
      <c r="B1000" s="412"/>
      <c r="C1000" s="367"/>
      <c r="D1000" s="413"/>
      <c r="E1000" s="413"/>
      <c r="F1000" s="367"/>
      <c r="G1000" s="367"/>
      <c r="H1000" s="367"/>
      <c r="I1000" s="367"/>
      <c r="J1000" s="367"/>
      <c r="K1000" s="367"/>
      <c r="L1000" s="367"/>
      <c r="M1000" s="367"/>
      <c r="N1000" s="367"/>
      <c r="O1000" s="367"/>
      <c r="P1000" s="367"/>
      <c r="Q1000" s="367"/>
      <c r="R1000" s="367"/>
      <c r="S1000" s="367"/>
      <c r="T1000" s="367"/>
      <c r="U1000" s="367"/>
      <c r="V1000" s="367"/>
      <c r="W1000" s="367"/>
      <c r="X1000" s="367"/>
      <c r="Y1000" s="367"/>
      <c r="Z1000" s="367"/>
    </row>
  </sheetData>
  <mergeCells count="2">
    <mergeCell ref="D5:E5"/>
    <mergeCell ref="A8:E8"/>
  </mergeCells>
  <printOptions gridLines="1"/>
  <pageMargins left="0.75" right="0.75" top="1" bottom="1" header="0" footer="0"/>
  <pageSetup paperSize="1" fitToWidth="0" orientation="landscape"/>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22"/>
  <sheetViews>
    <sheetView workbookViewId="0">
      <selection activeCell="A1" sqref="A1:S1"/>
    </sheetView>
  </sheetViews>
  <sheetFormatPr defaultColWidth="12.6285714285714" defaultRowHeight="15.75" customHeight="1"/>
  <sheetData>
    <row r="1" customHeight="1" spans="1:1">
      <c r="A1" s="361" t="s">
        <v>1797</v>
      </c>
    </row>
    <row r="3" customHeight="1" spans="1:2">
      <c r="A3" s="29" t="s">
        <v>1798</v>
      </c>
      <c r="B3" s="245">
        <v>28.57</v>
      </c>
    </row>
    <row r="4" customHeight="1" spans="1:7">
      <c r="A4" s="29" t="s">
        <v>1799</v>
      </c>
      <c r="B4" s="245">
        <v>10</v>
      </c>
      <c r="D4" s="27"/>
      <c r="G4" s="29" t="s">
        <v>1800</v>
      </c>
    </row>
    <row r="5" customHeight="1" spans="1:5">
      <c r="A5" s="29" t="s">
        <v>1801</v>
      </c>
      <c r="B5" s="360">
        <f>D5/E5</f>
        <v>52.8247916666667</v>
      </c>
      <c r="D5" s="27">
        <v>760677</v>
      </c>
      <c r="E5" s="29">
        <f>10*1440</f>
        <v>14400</v>
      </c>
    </row>
    <row r="6" customHeight="1" spans="1:8">
      <c r="A6" s="29" t="s">
        <v>1802</v>
      </c>
      <c r="B6" s="305">
        <v>0.15</v>
      </c>
      <c r="H6" s="29">
        <v>7</v>
      </c>
    </row>
    <row r="7" customHeight="1" spans="1:8">
      <c r="A7" s="223" t="s">
        <v>1803</v>
      </c>
      <c r="B7" s="362">
        <f>(B3+B4+B5)/(1-B6)</f>
        <v>107.523284313725</v>
      </c>
      <c r="G7" s="29">
        <v>200</v>
      </c>
      <c r="H7" s="360">
        <f t="shared" ref="H7:H8" si="0">G7/$H$6</f>
        <v>28.5714285714286</v>
      </c>
    </row>
    <row r="8" customHeight="1" spans="7:8">
      <c r="G8" s="29">
        <v>250</v>
      </c>
      <c r="H8" s="360">
        <f t="shared" si="0"/>
        <v>35.7142857142857</v>
      </c>
    </row>
    <row r="22" customHeight="1" spans="11:11">
      <c r="K22" s="29" t="s">
        <v>1804</v>
      </c>
    </row>
  </sheetData>
  <mergeCells count="1">
    <mergeCell ref="A1:S1"/>
  </mergeCell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M16"/>
  <sheetViews>
    <sheetView workbookViewId="0">
      <selection activeCell="A1" sqref="A1"/>
    </sheetView>
  </sheetViews>
  <sheetFormatPr defaultColWidth="12.6285714285714" defaultRowHeight="15.75" customHeight="1"/>
  <cols>
    <col min="2" max="2" width="37.8761904761905" customWidth="1"/>
  </cols>
  <sheetData>
    <row r="1" customHeight="1" spans="2:4">
      <c r="B1" s="29" t="s">
        <v>1805</v>
      </c>
      <c r="C1" s="29" t="s">
        <v>1806</v>
      </c>
      <c r="D1" s="29" t="s">
        <v>1807</v>
      </c>
    </row>
    <row r="2" customHeight="1" spans="2:4">
      <c r="B2" s="29" t="s">
        <v>1808</v>
      </c>
      <c r="C2" s="245">
        <v>20</v>
      </c>
      <c r="D2" s="360">
        <f t="shared" ref="D2:D4" si="0">C2*8</f>
        <v>160</v>
      </c>
    </row>
    <row r="3" customHeight="1" spans="2:4">
      <c r="B3" s="29" t="s">
        <v>1809</v>
      </c>
      <c r="C3" s="245">
        <v>25</v>
      </c>
      <c r="D3" s="360">
        <f t="shared" si="0"/>
        <v>200</v>
      </c>
    </row>
    <row r="4" customHeight="1" spans="2:4">
      <c r="B4" s="29" t="s">
        <v>1810</v>
      </c>
      <c r="C4" s="245">
        <v>32</v>
      </c>
      <c r="D4" s="360">
        <f t="shared" si="0"/>
        <v>256</v>
      </c>
    </row>
    <row r="12" customHeight="1" spans="2:3">
      <c r="B12" s="29" t="s">
        <v>1811</v>
      </c>
      <c r="C12" s="29">
        <v>25</v>
      </c>
    </row>
    <row r="13" customHeight="1" spans="2:3">
      <c r="B13" s="29" t="s">
        <v>1812</v>
      </c>
      <c r="C13" s="29">
        <v>10</v>
      </c>
    </row>
    <row r="14" customHeight="1" spans="2:13">
      <c r="B14" s="29" t="s">
        <v>1813</v>
      </c>
      <c r="I14" s="305">
        <v>0.5</v>
      </c>
      <c r="J14" s="305">
        <v>0.43</v>
      </c>
      <c r="K14" s="305">
        <v>0.57</v>
      </c>
      <c r="M14" s="308">
        <f>23*35</f>
        <v>805</v>
      </c>
    </row>
    <row r="15" customHeight="1" spans="8:13">
      <c r="H15" s="245">
        <v>5699.45</v>
      </c>
      <c r="I15" s="360">
        <f t="shared" ref="I15:K15" si="1">$H$15*I14</f>
        <v>2849.725</v>
      </c>
      <c r="J15" s="360">
        <f t="shared" si="1"/>
        <v>2450.7635</v>
      </c>
      <c r="K15" s="360">
        <f t="shared" si="1"/>
        <v>3248.6865</v>
      </c>
      <c r="M15" s="360">
        <f>K15-M14</f>
        <v>2443.6865</v>
      </c>
    </row>
    <row r="16" customHeight="1" spans="13:13">
      <c r="M16" s="360">
        <f>M15/(2*250)</f>
        <v>4.887373</v>
      </c>
    </row>
  </sheetData>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FF"/>
    <pageSetUpPr fitToPage="1"/>
  </sheetPr>
  <dimension ref="A1:H104"/>
  <sheetViews>
    <sheetView showGridLines="0" workbookViewId="0">
      <selection activeCell="A1" sqref="A1"/>
    </sheetView>
  </sheetViews>
  <sheetFormatPr defaultColWidth="12.6285714285714" defaultRowHeight="15.75" customHeight="1" outlineLevelCol="7"/>
  <cols>
    <col min="1" max="1" width="48" customWidth="1"/>
    <col min="2" max="2" width="11.8761904761905" customWidth="1"/>
    <col min="3" max="6" width="7.62857142857143" customWidth="1"/>
    <col min="7" max="7" width="68.6285714285714" customWidth="1"/>
    <col min="8" max="8" width="12.1333333333333" customWidth="1"/>
  </cols>
  <sheetData>
    <row r="1" ht="52.5" customHeight="1" spans="1:8">
      <c r="A1" s="332"/>
      <c r="B1" s="333" t="s">
        <v>1814</v>
      </c>
      <c r="H1" s="334"/>
    </row>
    <row r="2" ht="15" spans="1:7">
      <c r="A2" s="335" t="s">
        <v>1038</v>
      </c>
      <c r="C2" s="336"/>
      <c r="D2" s="336"/>
      <c r="E2" s="337"/>
      <c r="F2" s="336"/>
      <c r="G2" s="335" t="s">
        <v>1044</v>
      </c>
    </row>
    <row r="3" ht="12.75" spans="1:8">
      <c r="A3" s="338" t="s">
        <v>1815</v>
      </c>
      <c r="B3" s="338" t="s">
        <v>1816</v>
      </c>
      <c r="C3" s="339" t="s">
        <v>1817</v>
      </c>
      <c r="D3" s="339" t="s">
        <v>1818</v>
      </c>
      <c r="E3" s="340" t="s">
        <v>1167</v>
      </c>
      <c r="F3" s="336"/>
      <c r="G3" s="338" t="s">
        <v>1815</v>
      </c>
      <c r="H3" s="338" t="s">
        <v>1816</v>
      </c>
    </row>
    <row r="4" ht="15" spans="1:8">
      <c r="A4" s="341" t="s">
        <v>1819</v>
      </c>
      <c r="B4" s="342">
        <v>1500</v>
      </c>
      <c r="C4" s="339">
        <v>1000</v>
      </c>
      <c r="D4" s="336"/>
      <c r="E4" s="337"/>
      <c r="F4" s="336"/>
      <c r="G4" s="343" t="s">
        <v>1820</v>
      </c>
      <c r="H4" s="344">
        <v>250</v>
      </c>
    </row>
    <row r="5" ht="15" spans="1:8">
      <c r="A5" s="345" t="s">
        <v>1821</v>
      </c>
      <c r="B5" s="342">
        <v>40</v>
      </c>
      <c r="C5" s="339" t="s">
        <v>119</v>
      </c>
      <c r="D5" s="336"/>
      <c r="E5" s="337"/>
      <c r="F5" s="336"/>
      <c r="G5" s="343" t="s">
        <v>462</v>
      </c>
      <c r="H5" s="344">
        <v>30</v>
      </c>
    </row>
    <row r="6" ht="15" spans="1:8">
      <c r="A6" s="346" t="s">
        <v>1822</v>
      </c>
      <c r="B6" s="342">
        <v>100</v>
      </c>
      <c r="C6" s="339">
        <v>100</v>
      </c>
      <c r="D6" s="336"/>
      <c r="E6" s="337"/>
      <c r="F6" s="336"/>
      <c r="G6" s="343" t="s">
        <v>1823</v>
      </c>
      <c r="H6" s="344">
        <v>40</v>
      </c>
    </row>
    <row r="7" ht="15" spans="1:8">
      <c r="A7" s="346" t="s">
        <v>1824</v>
      </c>
      <c r="B7" s="347">
        <v>100</v>
      </c>
      <c r="C7" s="339">
        <v>100</v>
      </c>
      <c r="D7" s="336"/>
      <c r="E7" s="337"/>
      <c r="F7" s="336"/>
      <c r="G7" s="343" t="s">
        <v>1825</v>
      </c>
      <c r="H7" s="344">
        <v>50</v>
      </c>
    </row>
    <row r="8" ht="15" spans="1:8">
      <c r="A8" s="345" t="s">
        <v>1826</v>
      </c>
      <c r="B8" s="342">
        <v>50</v>
      </c>
      <c r="C8" s="339">
        <v>50</v>
      </c>
      <c r="D8" s="336"/>
      <c r="E8" s="337"/>
      <c r="F8" s="336"/>
      <c r="G8" s="343" t="s">
        <v>1827</v>
      </c>
      <c r="H8" s="344">
        <v>60</v>
      </c>
    </row>
    <row r="9" ht="15" spans="1:8">
      <c r="A9" s="346" t="s">
        <v>1828</v>
      </c>
      <c r="B9" s="342">
        <v>25</v>
      </c>
      <c r="C9" s="339">
        <v>25</v>
      </c>
      <c r="D9" s="336"/>
      <c r="E9" s="337"/>
      <c r="F9" s="336"/>
      <c r="G9" s="343" t="s">
        <v>1829</v>
      </c>
      <c r="H9" s="344">
        <v>40</v>
      </c>
    </row>
    <row r="10" ht="14.25" spans="1:8">
      <c r="A10" s="345" t="s">
        <v>1830</v>
      </c>
      <c r="B10" s="342">
        <v>150</v>
      </c>
      <c r="C10" s="336"/>
      <c r="D10" s="336"/>
      <c r="E10" s="337"/>
      <c r="F10" s="336"/>
      <c r="G10" s="338" t="s">
        <v>971</v>
      </c>
      <c r="H10" s="338" t="s">
        <v>1831</v>
      </c>
    </row>
    <row r="11" ht="15" spans="1:8">
      <c r="A11" s="345" t="s">
        <v>1832</v>
      </c>
      <c r="B11" s="342">
        <v>60</v>
      </c>
      <c r="C11" s="336"/>
      <c r="D11" s="336"/>
      <c r="E11" s="337"/>
      <c r="F11" s="336"/>
      <c r="G11" s="348" t="s">
        <v>1833</v>
      </c>
      <c r="H11" s="336">
        <v>265</v>
      </c>
    </row>
    <row r="12" ht="15" spans="1:8">
      <c r="A12" s="345" t="s">
        <v>1834</v>
      </c>
      <c r="B12" s="347">
        <v>25</v>
      </c>
      <c r="C12" s="336"/>
      <c r="D12" s="336"/>
      <c r="E12" s="337"/>
      <c r="F12" s="336"/>
      <c r="G12" s="348" t="s">
        <v>1835</v>
      </c>
      <c r="H12" s="336">
        <v>150</v>
      </c>
    </row>
    <row r="13" ht="15" spans="1:8">
      <c r="A13" s="345" t="s">
        <v>1836</v>
      </c>
      <c r="B13" s="347">
        <v>10</v>
      </c>
      <c r="C13" s="336"/>
      <c r="D13" s="336"/>
      <c r="E13" s="337"/>
      <c r="F13" s="336"/>
      <c r="G13" s="349" t="s">
        <v>1837</v>
      </c>
      <c r="H13" s="344">
        <v>210</v>
      </c>
    </row>
    <row r="14" ht="15" spans="1:8">
      <c r="A14" s="345" t="s">
        <v>1838</v>
      </c>
      <c r="B14" s="347">
        <v>50</v>
      </c>
      <c r="C14" s="336"/>
      <c r="D14" s="336"/>
      <c r="E14" s="337"/>
      <c r="F14" s="336"/>
      <c r="G14" s="348" t="s">
        <v>1839</v>
      </c>
      <c r="H14" s="336">
        <v>120</v>
      </c>
    </row>
    <row r="15" ht="15" spans="1:8">
      <c r="A15" s="345" t="s">
        <v>1840</v>
      </c>
      <c r="B15" s="347">
        <v>100</v>
      </c>
      <c r="C15" s="336"/>
      <c r="D15" s="336"/>
      <c r="E15" s="337"/>
      <c r="F15" s="336"/>
      <c r="G15" s="348" t="s">
        <v>1841</v>
      </c>
      <c r="H15" s="350">
        <v>95.78313253</v>
      </c>
    </row>
    <row r="16" ht="15" spans="1:8">
      <c r="A16" s="345" t="s">
        <v>1842</v>
      </c>
      <c r="B16" s="347">
        <v>200</v>
      </c>
      <c r="C16" s="336"/>
      <c r="D16" s="336"/>
      <c r="E16" s="337"/>
      <c r="F16" s="336"/>
      <c r="G16" s="348" t="s">
        <v>1843</v>
      </c>
      <c r="H16" s="350">
        <v>76.36363636</v>
      </c>
    </row>
    <row r="17" ht="14.25" spans="1:8">
      <c r="A17" s="345" t="s">
        <v>1844</v>
      </c>
      <c r="B17" s="347">
        <v>0.15</v>
      </c>
      <c r="C17" s="336"/>
      <c r="D17" s="336"/>
      <c r="E17" s="337"/>
      <c r="F17" s="336"/>
      <c r="G17" s="338" t="s">
        <v>969</v>
      </c>
      <c r="H17" s="338" t="s">
        <v>1831</v>
      </c>
    </row>
    <row r="18" ht="15" spans="1:8">
      <c r="A18" s="345" t="s">
        <v>1845</v>
      </c>
      <c r="B18" s="347">
        <v>100</v>
      </c>
      <c r="C18" s="336"/>
      <c r="D18" s="336"/>
      <c r="E18" s="337"/>
      <c r="F18" s="336"/>
      <c r="G18" s="348" t="s">
        <v>1846</v>
      </c>
      <c r="H18" s="336">
        <v>175</v>
      </c>
    </row>
    <row r="19" ht="15" spans="1:8">
      <c r="A19" s="346" t="s">
        <v>1847</v>
      </c>
      <c r="B19" s="347">
        <v>75</v>
      </c>
      <c r="C19" s="336"/>
      <c r="D19" s="336"/>
      <c r="E19" s="337"/>
      <c r="F19" s="336"/>
      <c r="G19" s="348" t="s">
        <v>1848</v>
      </c>
      <c r="H19" s="339">
        <v>100</v>
      </c>
    </row>
    <row r="20" ht="15" spans="1:8">
      <c r="A20" s="346" t="s">
        <v>1849</v>
      </c>
      <c r="B20" s="347">
        <v>35</v>
      </c>
      <c r="C20" s="336"/>
      <c r="D20" s="336"/>
      <c r="E20" s="337"/>
      <c r="F20" s="336"/>
      <c r="G20" s="348" t="s">
        <v>1850</v>
      </c>
      <c r="H20" s="336">
        <v>100</v>
      </c>
    </row>
    <row r="21" ht="15" spans="1:8">
      <c r="A21" s="338" t="s">
        <v>1851</v>
      </c>
      <c r="B21" s="338" t="s">
        <v>1852</v>
      </c>
      <c r="C21" s="336"/>
      <c r="D21" s="336"/>
      <c r="E21" s="337"/>
      <c r="F21" s="336"/>
      <c r="G21" s="348" t="s">
        <v>1853</v>
      </c>
      <c r="H21" s="336">
        <v>50</v>
      </c>
    </row>
    <row r="22" ht="15" spans="1:8">
      <c r="A22" s="351" t="s">
        <v>1854</v>
      </c>
      <c r="B22" s="351">
        <v>200</v>
      </c>
      <c r="C22" s="344"/>
      <c r="D22" s="344"/>
      <c r="E22" s="352"/>
      <c r="F22" s="336"/>
      <c r="G22" s="349" t="s">
        <v>1855</v>
      </c>
      <c r="H22" s="344">
        <v>100</v>
      </c>
    </row>
    <row r="23" ht="15" spans="1:8">
      <c r="A23" s="351" t="s">
        <v>1856</v>
      </c>
      <c r="B23" s="351">
        <v>150</v>
      </c>
      <c r="C23" s="344"/>
      <c r="D23" s="344"/>
      <c r="E23" s="352"/>
      <c r="F23" s="336"/>
      <c r="G23" s="348" t="s">
        <v>1857</v>
      </c>
      <c r="H23" s="336">
        <v>50</v>
      </c>
    </row>
    <row r="24" ht="15" spans="1:8">
      <c r="A24" s="351" t="s">
        <v>1858</v>
      </c>
      <c r="B24" s="351">
        <v>125</v>
      </c>
      <c r="C24" s="344"/>
      <c r="D24" s="344"/>
      <c r="E24" s="352"/>
      <c r="F24" s="336"/>
      <c r="G24" s="348" t="s">
        <v>1859</v>
      </c>
      <c r="H24" s="336">
        <v>75</v>
      </c>
    </row>
    <row r="25" ht="15" spans="1:8">
      <c r="A25" s="351" t="s">
        <v>1860</v>
      </c>
      <c r="B25" s="351">
        <v>150</v>
      </c>
      <c r="C25" s="353">
        <v>150</v>
      </c>
      <c r="D25" s="354">
        <f t="shared" ref="D25:D29" si="0">C25/0.75</f>
        <v>200</v>
      </c>
      <c r="E25" s="352">
        <f t="shared" ref="E25:E104" si="1">(C25+D25)/2</f>
        <v>175</v>
      </c>
      <c r="F25" s="336"/>
      <c r="G25" s="348" t="s">
        <v>1861</v>
      </c>
      <c r="H25" s="336">
        <v>50</v>
      </c>
    </row>
    <row r="26" ht="15" spans="1:8">
      <c r="A26" s="351" t="s">
        <v>1862</v>
      </c>
      <c r="B26" s="351">
        <v>125</v>
      </c>
      <c r="C26" s="353">
        <v>125</v>
      </c>
      <c r="D26" s="354">
        <f t="shared" si="0"/>
        <v>166.666666666667</v>
      </c>
      <c r="E26" s="352">
        <f t="shared" si="1"/>
        <v>145.833333333333</v>
      </c>
      <c r="F26" s="336"/>
      <c r="G26" s="348" t="s">
        <v>1863</v>
      </c>
      <c r="H26" s="336">
        <v>100</v>
      </c>
    </row>
    <row r="27" ht="15" spans="1:8">
      <c r="A27" s="351" t="s">
        <v>1864</v>
      </c>
      <c r="B27" s="351">
        <v>100</v>
      </c>
      <c r="C27" s="353">
        <v>100</v>
      </c>
      <c r="D27" s="354">
        <f t="shared" si="0"/>
        <v>133.333333333333</v>
      </c>
      <c r="E27" s="352">
        <f t="shared" si="1"/>
        <v>116.666666666667</v>
      </c>
      <c r="F27" s="336"/>
      <c r="G27" s="348" t="s">
        <v>1865</v>
      </c>
      <c r="H27" s="336">
        <v>65</v>
      </c>
    </row>
    <row r="28" ht="15" spans="1:8">
      <c r="A28" s="351" t="s">
        <v>1866</v>
      </c>
      <c r="B28" s="351">
        <v>100</v>
      </c>
      <c r="C28" s="344"/>
      <c r="D28" s="354">
        <f t="shared" si="0"/>
        <v>0</v>
      </c>
      <c r="E28" s="352">
        <f t="shared" si="1"/>
        <v>0</v>
      </c>
      <c r="F28" s="336"/>
      <c r="G28" s="348" t="s">
        <v>1867</v>
      </c>
      <c r="H28" s="336">
        <v>75</v>
      </c>
    </row>
    <row r="29" ht="15" spans="1:8">
      <c r="A29" s="351" t="s">
        <v>1868</v>
      </c>
      <c r="B29" s="351">
        <v>75</v>
      </c>
      <c r="C29" s="353">
        <v>75</v>
      </c>
      <c r="D29" s="354">
        <f t="shared" si="0"/>
        <v>100</v>
      </c>
      <c r="E29" s="352">
        <f t="shared" si="1"/>
        <v>87.5</v>
      </c>
      <c r="F29" s="336"/>
      <c r="G29" s="348" t="s">
        <v>1869</v>
      </c>
      <c r="H29" s="336">
        <v>40</v>
      </c>
    </row>
    <row r="30" ht="15" spans="1:8">
      <c r="A30" s="338" t="s">
        <v>1870</v>
      </c>
      <c r="B30" s="338" t="s">
        <v>1871</v>
      </c>
      <c r="C30" s="336"/>
      <c r="D30" s="336"/>
      <c r="E30" s="337">
        <f t="shared" si="1"/>
        <v>0</v>
      </c>
      <c r="F30" s="336"/>
      <c r="G30" s="348" t="s">
        <v>1872</v>
      </c>
      <c r="H30" s="336">
        <v>52.5</v>
      </c>
    </row>
    <row r="31" ht="15" spans="1:8">
      <c r="A31" s="341" t="s">
        <v>1873</v>
      </c>
      <c r="B31" s="355">
        <v>75</v>
      </c>
      <c r="C31" s="336"/>
      <c r="D31" s="336"/>
      <c r="E31" s="337">
        <f t="shared" si="1"/>
        <v>0</v>
      </c>
      <c r="F31" s="336"/>
      <c r="G31" s="348" t="s">
        <v>1874</v>
      </c>
      <c r="H31" s="350">
        <v>33.33333333</v>
      </c>
    </row>
    <row r="32" ht="15" spans="1:8">
      <c r="A32" s="341" t="s">
        <v>1875</v>
      </c>
      <c r="B32" s="355">
        <v>20</v>
      </c>
      <c r="C32" s="336"/>
      <c r="D32" s="336"/>
      <c r="E32" s="337">
        <f t="shared" si="1"/>
        <v>0</v>
      </c>
      <c r="F32" s="336"/>
      <c r="G32" s="348" t="s">
        <v>1876</v>
      </c>
      <c r="H32" s="350">
        <v>33.33333333</v>
      </c>
    </row>
    <row r="33" ht="15" spans="1:8">
      <c r="A33" s="341" t="s">
        <v>1877</v>
      </c>
      <c r="B33" s="355">
        <v>15</v>
      </c>
      <c r="C33" s="336"/>
      <c r="D33" s="336"/>
      <c r="E33" s="337">
        <f t="shared" si="1"/>
        <v>0</v>
      </c>
      <c r="F33" s="336"/>
      <c r="G33" s="348" t="s">
        <v>1878</v>
      </c>
      <c r="H33" s="336">
        <v>30</v>
      </c>
    </row>
    <row r="34" ht="14.25" spans="1:8">
      <c r="A34" s="351" t="s">
        <v>1879</v>
      </c>
      <c r="B34" s="355">
        <v>50</v>
      </c>
      <c r="C34" s="336"/>
      <c r="D34" s="336"/>
      <c r="E34" s="337">
        <f t="shared" si="1"/>
        <v>0</v>
      </c>
      <c r="F34" s="336"/>
      <c r="G34" s="338" t="s">
        <v>973</v>
      </c>
      <c r="H34" s="338" t="s">
        <v>1880</v>
      </c>
    </row>
    <row r="35" ht="15" spans="1:8">
      <c r="A35" s="351" t="s">
        <v>1881</v>
      </c>
      <c r="B35" s="355">
        <v>10</v>
      </c>
      <c r="C35" s="336"/>
      <c r="D35" s="336"/>
      <c r="E35" s="337">
        <f t="shared" si="1"/>
        <v>0</v>
      </c>
      <c r="F35" s="336"/>
      <c r="G35" s="349" t="s">
        <v>1882</v>
      </c>
      <c r="H35" s="356">
        <v>40</v>
      </c>
    </row>
    <row r="36" ht="15" spans="1:8">
      <c r="A36" s="351" t="s">
        <v>1883</v>
      </c>
      <c r="B36" s="355">
        <v>5</v>
      </c>
      <c r="C36" s="336"/>
      <c r="D36" s="336"/>
      <c r="E36" s="337">
        <f t="shared" si="1"/>
        <v>0</v>
      </c>
      <c r="F36" s="336"/>
      <c r="G36" s="348" t="s">
        <v>1884</v>
      </c>
      <c r="H36" s="357">
        <v>30</v>
      </c>
    </row>
    <row r="37" ht="15" spans="1:8">
      <c r="A37" s="338" t="s">
        <v>1885</v>
      </c>
      <c r="B37" s="338" t="s">
        <v>1871</v>
      </c>
      <c r="C37" s="336"/>
      <c r="D37" s="336"/>
      <c r="E37" s="337">
        <f t="shared" si="1"/>
        <v>0</v>
      </c>
      <c r="F37" s="336"/>
      <c r="G37" s="348" t="s">
        <v>1886</v>
      </c>
      <c r="H37" s="357">
        <v>12</v>
      </c>
    </row>
    <row r="38" ht="14.25" spans="1:8">
      <c r="A38" s="351" t="s">
        <v>1887</v>
      </c>
      <c r="B38" s="355">
        <v>40</v>
      </c>
      <c r="C38" s="336"/>
      <c r="D38" s="336"/>
      <c r="E38" s="337">
        <f t="shared" si="1"/>
        <v>0</v>
      </c>
      <c r="F38" s="336"/>
      <c r="G38" s="336" t="s">
        <v>1888</v>
      </c>
      <c r="H38" s="357">
        <v>18.75</v>
      </c>
    </row>
    <row r="39" ht="14.25" spans="1:8">
      <c r="A39" s="351" t="s">
        <v>1889</v>
      </c>
      <c r="B39" s="355">
        <v>35</v>
      </c>
      <c r="C39" s="336"/>
      <c r="D39" s="336"/>
      <c r="E39" s="337">
        <f t="shared" si="1"/>
        <v>0</v>
      </c>
      <c r="F39" s="336"/>
      <c r="G39" s="338" t="s">
        <v>975</v>
      </c>
      <c r="H39" s="338" t="s">
        <v>1890</v>
      </c>
    </row>
    <row r="40" ht="12.75" spans="1:8">
      <c r="A40" s="353" t="s">
        <v>1891</v>
      </c>
      <c r="B40" s="339">
        <v>20</v>
      </c>
      <c r="C40" s="336"/>
      <c r="D40" s="336"/>
      <c r="E40" s="337">
        <f t="shared" si="1"/>
        <v>0</v>
      </c>
      <c r="F40" s="336"/>
      <c r="G40" s="336" t="s">
        <v>1892</v>
      </c>
      <c r="H40" s="336">
        <v>1</v>
      </c>
    </row>
    <row r="41" ht="12.75" spans="1:8">
      <c r="A41" s="338" t="s">
        <v>1893</v>
      </c>
      <c r="B41" s="338" t="s">
        <v>1871</v>
      </c>
      <c r="C41" s="336"/>
      <c r="D41" s="336"/>
      <c r="E41" s="337">
        <f t="shared" si="1"/>
        <v>0</v>
      </c>
      <c r="F41" s="336"/>
      <c r="G41" s="336" t="s">
        <v>1894</v>
      </c>
      <c r="H41" s="336">
        <v>2</v>
      </c>
    </row>
    <row r="42" ht="14.25" spans="1:8">
      <c r="A42" s="351" t="s">
        <v>1895</v>
      </c>
      <c r="B42" s="355">
        <v>40</v>
      </c>
      <c r="C42" s="336"/>
      <c r="D42" s="336"/>
      <c r="E42" s="337">
        <f t="shared" si="1"/>
        <v>0</v>
      </c>
      <c r="F42" s="336"/>
      <c r="G42" s="336" t="s">
        <v>1896</v>
      </c>
      <c r="H42" s="336">
        <v>2</v>
      </c>
    </row>
    <row r="43" ht="14.25" spans="1:8">
      <c r="A43" s="351" t="s">
        <v>1897</v>
      </c>
      <c r="B43" s="355">
        <v>35</v>
      </c>
      <c r="C43" s="336"/>
      <c r="D43" s="336"/>
      <c r="E43" s="337">
        <f t="shared" si="1"/>
        <v>0</v>
      </c>
      <c r="F43" s="336"/>
      <c r="G43" s="336" t="s">
        <v>1898</v>
      </c>
      <c r="H43" s="336">
        <v>4</v>
      </c>
    </row>
    <row r="44" ht="14.25" spans="1:8">
      <c r="A44" s="351" t="s">
        <v>1899</v>
      </c>
      <c r="B44" s="355">
        <v>20</v>
      </c>
      <c r="C44" s="336"/>
      <c r="D44" s="336"/>
      <c r="E44" s="337">
        <f t="shared" si="1"/>
        <v>0</v>
      </c>
      <c r="F44" s="336"/>
      <c r="G44" s="336" t="s">
        <v>1900</v>
      </c>
      <c r="H44" s="350">
        <v>1.375</v>
      </c>
    </row>
    <row r="45" ht="14.25" spans="1:8">
      <c r="A45" s="355" t="s">
        <v>1901</v>
      </c>
      <c r="B45" s="355">
        <v>20</v>
      </c>
      <c r="C45" s="336"/>
      <c r="D45" s="336"/>
      <c r="E45" s="337">
        <f t="shared" si="1"/>
        <v>0</v>
      </c>
      <c r="F45" s="336"/>
      <c r="G45" s="336" t="s">
        <v>1902</v>
      </c>
      <c r="H45" s="336">
        <v>2.75</v>
      </c>
    </row>
    <row r="46" ht="14.25" spans="1:8">
      <c r="A46" s="355" t="s">
        <v>1903</v>
      </c>
      <c r="B46" s="355">
        <v>50</v>
      </c>
      <c r="C46" s="336"/>
      <c r="D46" s="336"/>
      <c r="E46" s="337">
        <f t="shared" si="1"/>
        <v>0</v>
      </c>
      <c r="F46" s="336"/>
      <c r="G46" s="336" t="s">
        <v>1904</v>
      </c>
      <c r="H46" s="336">
        <v>0.75</v>
      </c>
    </row>
    <row r="47" ht="14.25" spans="1:8">
      <c r="A47" s="355" t="s">
        <v>1905</v>
      </c>
      <c r="B47" s="355">
        <v>30</v>
      </c>
      <c r="C47" s="336"/>
      <c r="D47" s="336"/>
      <c r="E47" s="337">
        <f t="shared" si="1"/>
        <v>0</v>
      </c>
      <c r="F47" s="336"/>
      <c r="G47" s="344" t="s">
        <v>1906</v>
      </c>
      <c r="H47" s="344">
        <v>1.5</v>
      </c>
    </row>
    <row r="48" ht="12.75" spans="1:8">
      <c r="A48" s="338" t="s">
        <v>1907</v>
      </c>
      <c r="B48" s="338" t="s">
        <v>1890</v>
      </c>
      <c r="C48" s="336"/>
      <c r="D48" s="336"/>
      <c r="E48" s="337">
        <f t="shared" si="1"/>
        <v>0</v>
      </c>
      <c r="F48" s="336"/>
      <c r="G48" s="336" t="s">
        <v>1908</v>
      </c>
      <c r="H48" s="336">
        <v>1.5</v>
      </c>
    </row>
    <row r="49" ht="14.25" spans="1:8">
      <c r="A49" s="355" t="s">
        <v>1909</v>
      </c>
      <c r="B49" s="355">
        <v>0.1666666667</v>
      </c>
      <c r="C49" s="336"/>
      <c r="D49" s="336"/>
      <c r="E49" s="337">
        <f t="shared" si="1"/>
        <v>0</v>
      </c>
      <c r="F49" s="336"/>
      <c r="G49" s="336" t="s">
        <v>1910</v>
      </c>
      <c r="H49" s="336">
        <v>3</v>
      </c>
    </row>
    <row r="50" ht="14.25" spans="1:8">
      <c r="A50" s="355" t="s">
        <v>1911</v>
      </c>
      <c r="B50" s="355">
        <v>0.5</v>
      </c>
      <c r="C50" s="336"/>
      <c r="D50" s="336"/>
      <c r="E50" s="337">
        <f t="shared" si="1"/>
        <v>0</v>
      </c>
      <c r="F50" s="336"/>
      <c r="G50" s="336" t="s">
        <v>1912</v>
      </c>
      <c r="H50" s="350">
        <v>1.03125</v>
      </c>
    </row>
    <row r="51" ht="14.25" spans="1:8">
      <c r="A51" s="355" t="s">
        <v>1913</v>
      </c>
      <c r="B51" s="355">
        <v>0.5</v>
      </c>
      <c r="C51" s="336"/>
      <c r="D51" s="336"/>
      <c r="E51" s="337">
        <f t="shared" si="1"/>
        <v>0</v>
      </c>
      <c r="F51" s="336"/>
      <c r="G51" s="336" t="s">
        <v>1914</v>
      </c>
      <c r="H51" s="350">
        <v>2.0625</v>
      </c>
    </row>
    <row r="52" ht="14.25" spans="1:8">
      <c r="A52" s="355" t="s">
        <v>1915</v>
      </c>
      <c r="B52" s="355">
        <v>1</v>
      </c>
      <c r="C52" s="336"/>
      <c r="D52" s="336"/>
      <c r="E52" s="337">
        <f t="shared" si="1"/>
        <v>0</v>
      </c>
      <c r="F52" s="336"/>
      <c r="G52" s="336" t="s">
        <v>1916</v>
      </c>
      <c r="H52" s="336">
        <v>2.5</v>
      </c>
    </row>
    <row r="53" ht="14.25" spans="1:8">
      <c r="A53" s="355" t="s">
        <v>1917</v>
      </c>
      <c r="B53" s="355">
        <v>1.5</v>
      </c>
      <c r="C53" s="336"/>
      <c r="D53" s="336"/>
      <c r="E53" s="337">
        <f t="shared" si="1"/>
        <v>0</v>
      </c>
      <c r="F53" s="336"/>
      <c r="G53" s="336" t="s">
        <v>1918</v>
      </c>
      <c r="H53" s="336">
        <v>5</v>
      </c>
    </row>
    <row r="54" ht="14.25" spans="1:8">
      <c r="A54" s="355" t="s">
        <v>1919</v>
      </c>
      <c r="B54" s="355">
        <v>1</v>
      </c>
      <c r="C54" s="336"/>
      <c r="D54" s="336"/>
      <c r="E54" s="337">
        <f t="shared" si="1"/>
        <v>0</v>
      </c>
      <c r="F54" s="336"/>
      <c r="G54" s="336" t="s">
        <v>1920</v>
      </c>
      <c r="H54" s="336">
        <v>5</v>
      </c>
    </row>
    <row r="55" ht="14.25" spans="1:8">
      <c r="A55" s="355" t="s">
        <v>1921</v>
      </c>
      <c r="B55" s="355">
        <v>1.25</v>
      </c>
      <c r="C55" s="336"/>
      <c r="D55" s="336"/>
      <c r="E55" s="337">
        <f t="shared" si="1"/>
        <v>0</v>
      </c>
      <c r="F55" s="336"/>
      <c r="G55" s="336" t="s">
        <v>1922</v>
      </c>
      <c r="H55" s="336">
        <v>10</v>
      </c>
    </row>
    <row r="56" ht="14.25" spans="1:8">
      <c r="A56" s="355" t="s">
        <v>1923</v>
      </c>
      <c r="B56" s="355">
        <v>1.75</v>
      </c>
      <c r="C56" s="336"/>
      <c r="D56" s="336"/>
      <c r="E56" s="337">
        <f t="shared" si="1"/>
        <v>0</v>
      </c>
      <c r="F56" s="336"/>
      <c r="G56" s="338" t="s">
        <v>1924</v>
      </c>
      <c r="H56" s="338" t="s">
        <v>1890</v>
      </c>
    </row>
    <row r="57" ht="14.25" spans="1:8">
      <c r="A57" s="355" t="s">
        <v>1925</v>
      </c>
      <c r="B57" s="355">
        <v>1.5</v>
      </c>
      <c r="C57" s="336"/>
      <c r="D57" s="336"/>
      <c r="E57" s="337">
        <f t="shared" si="1"/>
        <v>0</v>
      </c>
      <c r="F57" s="336"/>
      <c r="G57" s="336" t="s">
        <v>1926</v>
      </c>
      <c r="H57" s="336">
        <v>0.5</v>
      </c>
    </row>
    <row r="58" ht="14.25" spans="1:8">
      <c r="A58" s="355" t="s">
        <v>1927</v>
      </c>
      <c r="B58" s="355">
        <v>2</v>
      </c>
      <c r="C58" s="336"/>
      <c r="D58" s="336"/>
      <c r="E58" s="337">
        <f t="shared" si="1"/>
        <v>0</v>
      </c>
      <c r="F58" s="336"/>
      <c r="G58" s="336" t="s">
        <v>1928</v>
      </c>
      <c r="H58" s="336">
        <v>1</v>
      </c>
    </row>
    <row r="59" ht="14.25" spans="1:8">
      <c r="A59" s="355" t="s">
        <v>1929</v>
      </c>
      <c r="B59" s="355">
        <v>1.75</v>
      </c>
      <c r="C59" s="336"/>
      <c r="D59" s="336"/>
      <c r="E59" s="337">
        <f t="shared" si="1"/>
        <v>0</v>
      </c>
      <c r="F59" s="336"/>
      <c r="G59" s="336" t="s">
        <v>1930</v>
      </c>
      <c r="H59" s="350">
        <v>0.5882352941</v>
      </c>
    </row>
    <row r="60" ht="14.25" spans="1:8">
      <c r="A60" s="355" t="s">
        <v>1931</v>
      </c>
      <c r="B60" s="355">
        <v>2.25</v>
      </c>
      <c r="C60" s="336"/>
      <c r="D60" s="336"/>
      <c r="E60" s="337">
        <f t="shared" si="1"/>
        <v>0</v>
      </c>
      <c r="F60" s="336"/>
      <c r="G60" s="336" t="s">
        <v>1932</v>
      </c>
      <c r="H60" s="350">
        <v>1.176470588</v>
      </c>
    </row>
    <row r="61" ht="12.75" spans="1:8">
      <c r="A61" s="338" t="s">
        <v>975</v>
      </c>
      <c r="B61" s="338" t="s">
        <v>1871</v>
      </c>
      <c r="C61" s="336"/>
      <c r="D61" s="336"/>
      <c r="E61" s="337">
        <f t="shared" si="1"/>
        <v>0</v>
      </c>
      <c r="F61" s="336"/>
      <c r="G61" s="336" t="s">
        <v>1933</v>
      </c>
      <c r="H61" s="336">
        <v>1</v>
      </c>
    </row>
    <row r="62" ht="14.25" spans="1:8">
      <c r="A62" s="355" t="s">
        <v>1934</v>
      </c>
      <c r="B62" s="355">
        <v>0.25</v>
      </c>
      <c r="C62" s="336"/>
      <c r="D62" s="336"/>
      <c r="E62" s="337">
        <f t="shared" si="1"/>
        <v>0</v>
      </c>
      <c r="F62" s="336"/>
      <c r="G62" s="336" t="s">
        <v>1935</v>
      </c>
      <c r="H62" s="336">
        <v>2</v>
      </c>
    </row>
    <row r="63" ht="14.25" spans="1:8">
      <c r="A63" s="355" t="s">
        <v>1936</v>
      </c>
      <c r="B63" s="355">
        <v>0.75</v>
      </c>
      <c r="C63" s="336"/>
      <c r="D63" s="336"/>
      <c r="E63" s="337">
        <f t="shared" si="1"/>
        <v>0</v>
      </c>
      <c r="F63" s="336"/>
      <c r="G63" s="336" t="s">
        <v>1937</v>
      </c>
      <c r="H63" s="336">
        <v>0.375</v>
      </c>
    </row>
    <row r="64" ht="14.25" spans="1:8">
      <c r="A64" s="355" t="s">
        <v>1938</v>
      </c>
      <c r="B64" s="355">
        <v>0.75</v>
      </c>
      <c r="C64" s="336"/>
      <c r="D64" s="336"/>
      <c r="E64" s="337">
        <f t="shared" si="1"/>
        <v>0</v>
      </c>
      <c r="F64" s="336"/>
      <c r="G64" s="344" t="s">
        <v>1939</v>
      </c>
      <c r="H64" s="344">
        <v>0.75</v>
      </c>
    </row>
    <row r="65" ht="14.25" spans="1:8">
      <c r="A65" s="355" t="s">
        <v>1940</v>
      </c>
      <c r="B65" s="355">
        <v>1</v>
      </c>
      <c r="C65" s="336"/>
      <c r="D65" s="336"/>
      <c r="E65" s="337">
        <f t="shared" si="1"/>
        <v>0</v>
      </c>
      <c r="F65" s="336"/>
      <c r="G65" s="336" t="s">
        <v>1941</v>
      </c>
      <c r="H65" s="350">
        <v>0.4411764706</v>
      </c>
    </row>
    <row r="66" ht="14.25" spans="1:8">
      <c r="A66" s="355" t="s">
        <v>1942</v>
      </c>
      <c r="B66" s="355">
        <v>0.75</v>
      </c>
      <c r="C66" s="336"/>
      <c r="D66" s="336"/>
      <c r="E66" s="337">
        <f t="shared" si="1"/>
        <v>0</v>
      </c>
      <c r="F66" s="336"/>
      <c r="G66" s="336" t="s">
        <v>1943</v>
      </c>
      <c r="H66" s="350">
        <v>0.8823529412</v>
      </c>
    </row>
    <row r="67" ht="14.25" spans="1:8">
      <c r="A67" s="355" t="s">
        <v>1944</v>
      </c>
      <c r="B67" s="355">
        <v>1.25</v>
      </c>
      <c r="C67" s="336"/>
      <c r="D67" s="336"/>
      <c r="E67" s="337">
        <f t="shared" si="1"/>
        <v>0</v>
      </c>
      <c r="F67" s="336"/>
      <c r="G67" s="336" t="s">
        <v>1945</v>
      </c>
      <c r="H67" s="336">
        <v>0.75</v>
      </c>
    </row>
    <row r="68" ht="14.25" spans="1:8">
      <c r="A68" s="355" t="s">
        <v>1946</v>
      </c>
      <c r="B68" s="355">
        <v>1.75</v>
      </c>
      <c r="C68" s="336"/>
      <c r="D68" s="336"/>
      <c r="E68" s="337">
        <f t="shared" si="1"/>
        <v>0</v>
      </c>
      <c r="F68" s="336"/>
      <c r="G68" s="336" t="s">
        <v>1947</v>
      </c>
      <c r="H68" s="336">
        <v>1.5</v>
      </c>
    </row>
    <row r="69" ht="14.25" spans="1:8">
      <c r="A69" s="355" t="s">
        <v>1948</v>
      </c>
      <c r="B69" s="355">
        <v>2.75</v>
      </c>
      <c r="C69" s="336"/>
      <c r="D69" s="336"/>
      <c r="E69" s="337">
        <f t="shared" si="1"/>
        <v>0</v>
      </c>
      <c r="F69" s="336"/>
      <c r="G69" s="336" t="s">
        <v>1949</v>
      </c>
      <c r="H69" s="336">
        <v>1.25</v>
      </c>
    </row>
    <row r="70" ht="12.75" spans="1:8">
      <c r="A70" s="338" t="s">
        <v>1950</v>
      </c>
      <c r="B70" s="338" t="s">
        <v>1871</v>
      </c>
      <c r="C70" s="336"/>
      <c r="D70" s="336"/>
      <c r="E70" s="337">
        <f t="shared" si="1"/>
        <v>0</v>
      </c>
      <c r="F70" s="336"/>
      <c r="G70" s="336" t="s">
        <v>1951</v>
      </c>
      <c r="H70" s="336">
        <v>2.5</v>
      </c>
    </row>
    <row r="71" ht="14.25" spans="1:8">
      <c r="A71" s="355" t="s">
        <v>1952</v>
      </c>
      <c r="B71" s="355">
        <v>0.125</v>
      </c>
      <c r="C71" s="336"/>
      <c r="D71" s="336"/>
      <c r="E71" s="337">
        <f t="shared" si="1"/>
        <v>0</v>
      </c>
      <c r="F71" s="336"/>
      <c r="G71" s="336" t="s">
        <v>1953</v>
      </c>
      <c r="H71" s="350">
        <v>1.470588235</v>
      </c>
    </row>
    <row r="72" ht="14.25" spans="1:8">
      <c r="A72" s="355" t="s">
        <v>1954</v>
      </c>
      <c r="B72" s="355">
        <v>0.375</v>
      </c>
      <c r="C72" s="336"/>
      <c r="D72" s="336"/>
      <c r="E72" s="337">
        <f t="shared" si="1"/>
        <v>0</v>
      </c>
      <c r="F72" s="336"/>
      <c r="G72" s="336" t="s">
        <v>1955</v>
      </c>
      <c r="H72" s="350">
        <v>2.941176471</v>
      </c>
    </row>
    <row r="73" ht="14.25" spans="1:8">
      <c r="A73" s="355" t="s">
        <v>1956</v>
      </c>
      <c r="B73" s="355">
        <v>0.375</v>
      </c>
      <c r="C73" s="336"/>
      <c r="D73" s="336"/>
      <c r="E73" s="337">
        <f t="shared" si="1"/>
        <v>0</v>
      </c>
      <c r="F73" s="336"/>
      <c r="G73" s="338" t="s">
        <v>1907</v>
      </c>
      <c r="H73" s="338" t="s">
        <v>1890</v>
      </c>
    </row>
    <row r="74" ht="14.25" spans="1:8">
      <c r="A74" s="355" t="s">
        <v>1957</v>
      </c>
      <c r="B74" s="355">
        <v>0.5</v>
      </c>
      <c r="C74" s="336"/>
      <c r="D74" s="336"/>
      <c r="E74" s="337">
        <f t="shared" si="1"/>
        <v>0</v>
      </c>
      <c r="F74" s="336"/>
      <c r="G74" s="336" t="s">
        <v>1958</v>
      </c>
      <c r="H74" s="336">
        <v>0.125</v>
      </c>
    </row>
    <row r="75" ht="14.25" spans="1:8">
      <c r="A75" s="355" t="s">
        <v>1959</v>
      </c>
      <c r="B75" s="355">
        <v>0.375</v>
      </c>
      <c r="C75" s="336"/>
      <c r="D75" s="336"/>
      <c r="E75" s="337">
        <f t="shared" si="1"/>
        <v>0</v>
      </c>
      <c r="F75" s="336"/>
      <c r="G75" s="336" t="s">
        <v>1960</v>
      </c>
      <c r="H75" s="350">
        <v>0.1666666667</v>
      </c>
    </row>
    <row r="76" ht="14.25" spans="1:8">
      <c r="A76" s="355" t="s">
        <v>1961</v>
      </c>
      <c r="B76" s="355">
        <v>0.625</v>
      </c>
      <c r="C76" s="336"/>
      <c r="D76" s="336"/>
      <c r="E76" s="337">
        <f t="shared" si="1"/>
        <v>0</v>
      </c>
      <c r="F76" s="336"/>
      <c r="G76" s="336" t="s">
        <v>1962</v>
      </c>
      <c r="H76" s="336">
        <v>1</v>
      </c>
    </row>
    <row r="77" ht="14.25" spans="1:8">
      <c r="A77" s="355" t="s">
        <v>1963</v>
      </c>
      <c r="B77" s="355">
        <v>0.875</v>
      </c>
      <c r="C77" s="336"/>
      <c r="D77" s="336"/>
      <c r="E77" s="337">
        <f t="shared" si="1"/>
        <v>0</v>
      </c>
      <c r="F77" s="336"/>
      <c r="G77" s="336" t="s">
        <v>1964</v>
      </c>
      <c r="H77" s="336">
        <v>0.25</v>
      </c>
    </row>
    <row r="78" ht="14.25" spans="1:8">
      <c r="A78" s="355" t="s">
        <v>1965</v>
      </c>
      <c r="B78" s="355">
        <v>1.375</v>
      </c>
      <c r="C78" s="336"/>
      <c r="D78" s="336"/>
      <c r="E78" s="337">
        <f t="shared" si="1"/>
        <v>0</v>
      </c>
      <c r="F78" s="336"/>
      <c r="G78" s="336" t="s">
        <v>1966</v>
      </c>
      <c r="H78" s="336">
        <v>1.25</v>
      </c>
    </row>
    <row r="79" ht="12.75" spans="1:8">
      <c r="A79" s="338" t="s">
        <v>1967</v>
      </c>
      <c r="B79" s="338" t="s">
        <v>1890</v>
      </c>
      <c r="C79" s="336"/>
      <c r="D79" s="336"/>
      <c r="E79" s="337">
        <f t="shared" si="1"/>
        <v>0</v>
      </c>
      <c r="F79" s="336"/>
      <c r="G79" s="336" t="s">
        <v>1968</v>
      </c>
      <c r="H79" s="336">
        <v>1.75</v>
      </c>
    </row>
    <row r="80" ht="14.25" spans="1:8">
      <c r="A80" s="355" t="s">
        <v>1969</v>
      </c>
      <c r="B80" s="355">
        <v>1</v>
      </c>
      <c r="C80" s="336"/>
      <c r="D80" s="336"/>
      <c r="E80" s="337">
        <f t="shared" si="1"/>
        <v>0</v>
      </c>
      <c r="F80" s="336"/>
      <c r="G80" s="355" t="s">
        <v>1925</v>
      </c>
      <c r="H80" s="336">
        <v>1.75</v>
      </c>
    </row>
    <row r="81" ht="14.25" spans="1:8">
      <c r="A81" s="355" t="s">
        <v>1970</v>
      </c>
      <c r="B81" s="355">
        <v>1.25</v>
      </c>
      <c r="C81" s="336"/>
      <c r="D81" s="336"/>
      <c r="E81" s="337">
        <f t="shared" si="1"/>
        <v>0</v>
      </c>
      <c r="F81" s="336"/>
      <c r="G81" s="355" t="s">
        <v>1971</v>
      </c>
      <c r="H81" s="336">
        <v>2.25</v>
      </c>
    </row>
    <row r="82" ht="14.25" spans="1:8">
      <c r="A82" s="355" t="s">
        <v>1972</v>
      </c>
      <c r="B82" s="355">
        <v>1.5</v>
      </c>
      <c r="C82" s="336"/>
      <c r="D82" s="336"/>
      <c r="E82" s="337">
        <f t="shared" si="1"/>
        <v>0</v>
      </c>
      <c r="F82" s="336"/>
      <c r="G82" s="336" t="s">
        <v>1973</v>
      </c>
      <c r="H82" s="350">
        <v>0.09375</v>
      </c>
    </row>
    <row r="83" ht="14.25" spans="1:8">
      <c r="A83" s="355" t="s">
        <v>1974</v>
      </c>
      <c r="B83" s="355">
        <v>1.75</v>
      </c>
      <c r="C83" s="336"/>
      <c r="D83" s="336"/>
      <c r="E83" s="337">
        <f t="shared" si="1"/>
        <v>0</v>
      </c>
      <c r="F83" s="336"/>
      <c r="G83" s="336" t="s">
        <v>1975</v>
      </c>
      <c r="H83" s="336">
        <v>0.125</v>
      </c>
    </row>
    <row r="84" ht="14.25" spans="1:8">
      <c r="A84" s="355" t="s">
        <v>1976</v>
      </c>
      <c r="B84" s="355">
        <v>1.5</v>
      </c>
      <c r="C84" s="336"/>
      <c r="D84" s="336"/>
      <c r="E84" s="337">
        <f t="shared" si="1"/>
        <v>0</v>
      </c>
      <c r="F84" s="336"/>
      <c r="G84" s="336" t="s">
        <v>1977</v>
      </c>
      <c r="H84" s="336">
        <v>0.75</v>
      </c>
    </row>
    <row r="85" ht="14.25" spans="1:8">
      <c r="A85" s="355" t="s">
        <v>1978</v>
      </c>
      <c r="B85" s="355">
        <v>2</v>
      </c>
      <c r="C85" s="336"/>
      <c r="D85" s="336"/>
      <c r="E85" s="337">
        <f t="shared" si="1"/>
        <v>0</v>
      </c>
      <c r="F85" s="336"/>
      <c r="G85" s="336" t="s">
        <v>1979</v>
      </c>
      <c r="H85" s="350">
        <v>0.1875</v>
      </c>
    </row>
    <row r="86" ht="14.25" spans="1:8">
      <c r="A86" s="355" t="s">
        <v>1980</v>
      </c>
      <c r="B86" s="355">
        <v>2.25</v>
      </c>
      <c r="C86" s="336"/>
      <c r="D86" s="336"/>
      <c r="E86" s="337">
        <f t="shared" si="1"/>
        <v>0</v>
      </c>
      <c r="F86" s="336"/>
      <c r="G86" s="336" t="s">
        <v>1981</v>
      </c>
      <c r="H86" s="350">
        <v>0.9375</v>
      </c>
    </row>
    <row r="87" ht="14.25" spans="1:8">
      <c r="A87" s="355" t="s">
        <v>1982</v>
      </c>
      <c r="B87" s="355">
        <v>2.75</v>
      </c>
      <c r="C87" s="336"/>
      <c r="D87" s="336"/>
      <c r="E87" s="337">
        <f t="shared" si="1"/>
        <v>0</v>
      </c>
      <c r="F87" s="336"/>
      <c r="G87" s="336" t="s">
        <v>1983</v>
      </c>
      <c r="H87" s="350">
        <v>1.3125</v>
      </c>
    </row>
    <row r="88" ht="14.25" spans="1:8">
      <c r="A88" s="338" t="s">
        <v>1984</v>
      </c>
      <c r="B88" s="338" t="s">
        <v>1871</v>
      </c>
      <c r="C88" s="336"/>
      <c r="D88" s="336"/>
      <c r="E88" s="337">
        <f t="shared" si="1"/>
        <v>0</v>
      </c>
      <c r="F88" s="336"/>
      <c r="G88" s="355" t="s">
        <v>1985</v>
      </c>
      <c r="H88" s="350">
        <v>1.3125</v>
      </c>
    </row>
    <row r="89" ht="14.25" spans="1:8">
      <c r="A89" s="355" t="s">
        <v>1986</v>
      </c>
      <c r="B89" s="355">
        <v>5</v>
      </c>
      <c r="C89" s="336"/>
      <c r="D89" s="336"/>
      <c r="E89" s="337">
        <f t="shared" si="1"/>
        <v>0</v>
      </c>
      <c r="F89" s="336"/>
      <c r="G89" s="355" t="s">
        <v>1987</v>
      </c>
      <c r="H89" s="350">
        <v>1.6875</v>
      </c>
    </row>
    <row r="90" ht="14.25" spans="1:8">
      <c r="A90" s="355" t="s">
        <v>1988</v>
      </c>
      <c r="B90" s="355">
        <v>4</v>
      </c>
      <c r="C90" s="336"/>
      <c r="D90" s="336"/>
      <c r="E90" s="337">
        <f t="shared" si="1"/>
        <v>0</v>
      </c>
      <c r="F90" s="336"/>
      <c r="G90" s="336" t="s">
        <v>1989</v>
      </c>
      <c r="H90" s="350">
        <v>0.4166666667</v>
      </c>
    </row>
    <row r="91" ht="14.25" spans="1:8">
      <c r="A91" s="355" t="s">
        <v>1990</v>
      </c>
      <c r="B91" s="355">
        <v>2</v>
      </c>
      <c r="C91" s="336"/>
      <c r="D91" s="336"/>
      <c r="E91" s="337">
        <f t="shared" si="1"/>
        <v>0</v>
      </c>
      <c r="F91" s="336"/>
      <c r="G91" s="336" t="s">
        <v>1991</v>
      </c>
      <c r="H91" s="336">
        <v>2.5</v>
      </c>
    </row>
    <row r="92" ht="12.75" spans="1:8">
      <c r="A92" s="338" t="s">
        <v>1992</v>
      </c>
      <c r="B92" s="338" t="s">
        <v>1890</v>
      </c>
      <c r="C92" s="336"/>
      <c r="D92" s="336"/>
      <c r="E92" s="337">
        <f t="shared" si="1"/>
        <v>0</v>
      </c>
      <c r="F92" s="336"/>
      <c r="G92" s="336" t="s">
        <v>1993</v>
      </c>
      <c r="H92" s="350">
        <v>0.625</v>
      </c>
    </row>
    <row r="93" ht="14.25" spans="1:8">
      <c r="A93" s="355" t="s">
        <v>1994</v>
      </c>
      <c r="B93" s="355">
        <v>0.25</v>
      </c>
      <c r="C93" s="336"/>
      <c r="D93" s="336"/>
      <c r="E93" s="337">
        <f t="shared" si="1"/>
        <v>0</v>
      </c>
      <c r="F93" s="336"/>
      <c r="G93" s="336" t="s">
        <v>1995</v>
      </c>
      <c r="H93" s="350">
        <v>3.125</v>
      </c>
    </row>
    <row r="94" ht="14.25" spans="1:8">
      <c r="A94" s="355" t="s">
        <v>1996</v>
      </c>
      <c r="B94" s="355">
        <v>0.5</v>
      </c>
      <c r="C94" s="336"/>
      <c r="D94" s="336"/>
      <c r="E94" s="337">
        <f t="shared" si="1"/>
        <v>0</v>
      </c>
      <c r="F94" s="336"/>
      <c r="G94" s="336" t="s">
        <v>1997</v>
      </c>
      <c r="H94" s="350">
        <v>4.375</v>
      </c>
    </row>
    <row r="95" ht="14.25" spans="1:8">
      <c r="A95" s="338" t="s">
        <v>1998</v>
      </c>
      <c r="B95" s="338" t="s">
        <v>1999</v>
      </c>
      <c r="C95" s="336"/>
      <c r="D95" s="336"/>
      <c r="E95" s="337">
        <f t="shared" si="1"/>
        <v>0</v>
      </c>
      <c r="F95" s="336"/>
      <c r="G95" s="355" t="s">
        <v>2000</v>
      </c>
      <c r="H95" s="350">
        <v>4.375</v>
      </c>
    </row>
    <row r="96" ht="14.25" spans="1:8">
      <c r="A96" s="345" t="s">
        <v>2001</v>
      </c>
      <c r="B96" s="342">
        <v>100</v>
      </c>
      <c r="C96" s="336"/>
      <c r="D96" s="336"/>
      <c r="E96" s="337">
        <f t="shared" si="1"/>
        <v>0</v>
      </c>
      <c r="F96" s="336"/>
      <c r="G96" s="355" t="s">
        <v>2002</v>
      </c>
      <c r="H96" s="350">
        <v>5.625</v>
      </c>
    </row>
    <row r="97" ht="14.25" spans="1:8">
      <c r="A97" s="345" t="s">
        <v>2003</v>
      </c>
      <c r="B97" s="342">
        <v>4</v>
      </c>
      <c r="C97" s="336"/>
      <c r="D97" s="336"/>
      <c r="E97" s="337">
        <f t="shared" si="1"/>
        <v>0</v>
      </c>
      <c r="F97" s="336"/>
      <c r="G97" s="338" t="s">
        <v>2004</v>
      </c>
      <c r="H97" s="338" t="s">
        <v>1880</v>
      </c>
    </row>
    <row r="98" ht="12.75" spans="1:8">
      <c r="A98" s="338" t="s">
        <v>2005</v>
      </c>
      <c r="B98" s="338" t="s">
        <v>1871</v>
      </c>
      <c r="C98" s="336"/>
      <c r="D98" s="336"/>
      <c r="E98" s="337">
        <f t="shared" si="1"/>
        <v>0</v>
      </c>
      <c r="F98" s="336"/>
      <c r="G98" s="336" t="s">
        <v>2006</v>
      </c>
      <c r="H98" s="336">
        <v>20</v>
      </c>
    </row>
    <row r="99" ht="14.25" spans="1:8">
      <c r="A99" s="345" t="s">
        <v>2007</v>
      </c>
      <c r="B99" s="342">
        <v>40</v>
      </c>
      <c r="C99" s="336"/>
      <c r="D99" s="336"/>
      <c r="E99" s="337">
        <f t="shared" si="1"/>
        <v>0</v>
      </c>
      <c r="F99" s="336"/>
      <c r="G99" s="336" t="s">
        <v>2008</v>
      </c>
      <c r="H99" s="336">
        <v>15</v>
      </c>
    </row>
    <row r="100" ht="14.25" spans="1:8">
      <c r="A100" s="345" t="s">
        <v>2009</v>
      </c>
      <c r="B100" s="342">
        <v>35</v>
      </c>
      <c r="C100" s="336"/>
      <c r="D100" s="336"/>
      <c r="E100" s="337">
        <f t="shared" si="1"/>
        <v>0</v>
      </c>
      <c r="F100" s="336"/>
      <c r="G100" s="336" t="s">
        <v>2010</v>
      </c>
      <c r="H100" s="336">
        <v>5</v>
      </c>
    </row>
    <row r="101" ht="15" spans="1:8">
      <c r="A101" s="345" t="s">
        <v>2011</v>
      </c>
      <c r="B101" s="342">
        <v>20</v>
      </c>
      <c r="C101" s="336"/>
      <c r="D101" s="336"/>
      <c r="E101" s="337">
        <f t="shared" si="1"/>
        <v>0</v>
      </c>
      <c r="F101" s="336"/>
      <c r="G101" s="348" t="s">
        <v>2012</v>
      </c>
      <c r="H101" s="336">
        <v>12.5</v>
      </c>
    </row>
    <row r="102" ht="14.25" spans="1:8">
      <c r="A102" s="345" t="s">
        <v>2013</v>
      </c>
      <c r="B102" s="342">
        <v>12.5</v>
      </c>
      <c r="C102" s="336"/>
      <c r="D102" s="336"/>
      <c r="E102" s="337">
        <f t="shared" si="1"/>
        <v>0</v>
      </c>
      <c r="F102" s="336"/>
      <c r="G102" s="336" t="s">
        <v>2014</v>
      </c>
      <c r="H102" s="336">
        <v>5</v>
      </c>
    </row>
    <row r="103" ht="27" customHeight="1" spans="1:8">
      <c r="A103" s="358" t="s">
        <v>2015</v>
      </c>
      <c r="B103" s="358"/>
      <c r="C103" s="358"/>
      <c r="D103" s="358"/>
      <c r="E103" s="337">
        <f t="shared" si="1"/>
        <v>0</v>
      </c>
      <c r="F103" s="358"/>
      <c r="G103" s="358"/>
      <c r="H103" s="358"/>
    </row>
    <row r="104" ht="12.75" spans="1:8">
      <c r="A104" s="359" t="s">
        <v>2016</v>
      </c>
      <c r="B104" s="359"/>
      <c r="C104" s="359"/>
      <c r="D104" s="359"/>
      <c r="E104" s="337">
        <f t="shared" si="1"/>
        <v>0</v>
      </c>
      <c r="F104" s="359"/>
      <c r="G104" s="359"/>
      <c r="H104" s="336"/>
    </row>
  </sheetData>
  <mergeCells count="3">
    <mergeCell ref="B1:G1"/>
    <mergeCell ref="A2:B2"/>
    <mergeCell ref="G2:H2"/>
  </mergeCells>
  <hyperlinks>
    <hyperlink ref="A104" r:id="rId1" display="www.prosperitypaintingconsultants.com"/>
  </hyperlinks>
  <pageMargins left="0.7" right="0.7" top="0.75" bottom="0.75" header="0" footer="0"/>
  <pageSetup paperSize="1"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11"/>
  <sheetViews>
    <sheetView workbookViewId="0">
      <pane ySplit="1" topLeftCell="A2" activePane="bottomLeft" state="frozen"/>
      <selection/>
      <selection pane="bottomLeft" activeCell="B3" sqref="B3"/>
    </sheetView>
  </sheetViews>
  <sheetFormatPr defaultColWidth="12.6285714285714" defaultRowHeight="15.75" customHeight="1"/>
  <cols>
    <col min="1" max="1" width="47.247619047619" customWidth="1"/>
    <col min="2" max="2" width="24.5047619047619" customWidth="1"/>
    <col min="3" max="4" width="17.752380952381" customWidth="1"/>
    <col min="5" max="9" width="14.247619047619" customWidth="1"/>
    <col min="10" max="10" width="16.3809523809524" customWidth="1"/>
    <col min="11" max="11" width="13.247619047619" customWidth="1"/>
    <col min="12" max="12" width="16" customWidth="1"/>
    <col min="13" max="13" width="15.5047619047619" customWidth="1"/>
    <col min="14" max="14" width="13.6285714285714" customWidth="1"/>
    <col min="15" max="15" width="15.8761904761905" customWidth="1"/>
    <col min="18" max="18" width="15.1333333333333" customWidth="1"/>
    <col min="19" max="19" width="14.1333333333333" customWidth="1"/>
  </cols>
  <sheetData>
    <row r="1" ht="25.5" spans="1:19">
      <c r="A1" s="123"/>
      <c r="C1" s="314" t="s">
        <v>2017</v>
      </c>
      <c r="D1" s="314" t="s">
        <v>2018</v>
      </c>
      <c r="E1" s="314" t="s">
        <v>2019</v>
      </c>
      <c r="F1" s="314"/>
      <c r="G1" s="315" t="s">
        <v>2020</v>
      </c>
      <c r="H1" s="314" t="s">
        <v>2018</v>
      </c>
      <c r="I1" s="314" t="s">
        <v>2019</v>
      </c>
      <c r="J1" s="314" t="s">
        <v>2021</v>
      </c>
      <c r="K1" s="314" t="s">
        <v>2022</v>
      </c>
      <c r="L1" s="314" t="s">
        <v>2023</v>
      </c>
      <c r="M1" s="314" t="s">
        <v>2024</v>
      </c>
      <c r="N1" s="314" t="s">
        <v>2025</v>
      </c>
      <c r="O1" s="314" t="s">
        <v>2026</v>
      </c>
      <c r="P1" s="314" t="s">
        <v>2027</v>
      </c>
      <c r="Q1" s="314" t="s">
        <v>2028</v>
      </c>
      <c r="R1" s="314" t="s">
        <v>2029</v>
      </c>
      <c r="S1" s="314" t="s">
        <v>2030</v>
      </c>
    </row>
    <row r="2" ht="12.75" spans="1:26">
      <c r="A2" s="316" t="s">
        <v>2031</v>
      </c>
      <c r="B2" s="317"/>
      <c r="C2" s="317"/>
      <c r="D2" s="317"/>
      <c r="E2" s="317"/>
      <c r="F2" s="317"/>
      <c r="G2" s="318"/>
      <c r="H2" s="317"/>
      <c r="I2" s="317"/>
      <c r="J2" s="317"/>
      <c r="K2" s="317"/>
      <c r="L2" s="317"/>
      <c r="M2" s="317"/>
      <c r="N2" s="317"/>
      <c r="O2" s="317"/>
      <c r="P2" s="317"/>
      <c r="Q2" s="317"/>
      <c r="R2" s="317"/>
      <c r="S2" s="317"/>
      <c r="T2" s="317"/>
      <c r="U2" s="317"/>
      <c r="V2" s="317"/>
      <c r="W2" s="317"/>
      <c r="X2" s="317"/>
      <c r="Y2" s="317"/>
      <c r="Z2" s="317"/>
    </row>
    <row r="3" ht="15" spans="1:19">
      <c r="A3" s="308" t="s">
        <v>2032</v>
      </c>
      <c r="B3" s="319">
        <f t="shared" ref="B3:B4" si="0">SUM(R3)</f>
        <v>76.046783625731</v>
      </c>
      <c r="C3" s="320">
        <v>1.5</v>
      </c>
      <c r="D3" s="320" t="s">
        <v>2033</v>
      </c>
      <c r="E3" s="321">
        <v>1.5</v>
      </c>
      <c r="F3" s="321"/>
      <c r="G3" s="322">
        <f t="shared" ref="G3:G131" si="1">C3*10.7639</f>
        <v>16.14585</v>
      </c>
      <c r="H3" s="321"/>
      <c r="I3" s="321"/>
      <c r="J3" s="327">
        <v>43</v>
      </c>
      <c r="K3" s="328">
        <f t="shared" ref="K3:K4" si="2">SUM(J3/E3)</f>
        <v>28.6666666666667</v>
      </c>
      <c r="L3" s="328">
        <v>200</v>
      </c>
      <c r="M3" s="328">
        <f t="shared" ref="M3:M4" si="3">SUM(L3/14.25)</f>
        <v>14.0350877192982</v>
      </c>
      <c r="N3" s="321">
        <v>3</v>
      </c>
      <c r="O3" s="328">
        <f t="shared" ref="O3:O4" si="4">SUM(M3/N3*2)</f>
        <v>9.35672514619883</v>
      </c>
      <c r="P3" s="329">
        <f t="shared" ref="P3:P4" si="5">SUM(K3+O3)</f>
        <v>38.0233918128655</v>
      </c>
      <c r="Q3" s="330">
        <v>1</v>
      </c>
      <c r="R3" s="331">
        <f t="shared" ref="R3:R4" si="6">SUM(P3*(1+Q3))</f>
        <v>76.046783625731</v>
      </c>
      <c r="S3" s="331">
        <v>77</v>
      </c>
    </row>
    <row r="4" ht="15" spans="1:19">
      <c r="A4" s="308" t="s">
        <v>2034</v>
      </c>
      <c r="B4" s="319">
        <f t="shared" si="0"/>
        <v>67.812865497076</v>
      </c>
      <c r="C4" s="320">
        <v>1.5</v>
      </c>
      <c r="D4" s="320" t="s">
        <v>2033</v>
      </c>
      <c r="E4" s="321">
        <v>1.5</v>
      </c>
      <c r="F4" s="321"/>
      <c r="G4" s="322">
        <f t="shared" si="1"/>
        <v>16.14585</v>
      </c>
      <c r="H4" s="321"/>
      <c r="I4" s="321"/>
      <c r="J4" s="327">
        <v>43</v>
      </c>
      <c r="K4" s="328">
        <f t="shared" si="2"/>
        <v>28.6666666666667</v>
      </c>
      <c r="L4" s="328">
        <v>112</v>
      </c>
      <c r="M4" s="328">
        <f t="shared" si="3"/>
        <v>7.85964912280702</v>
      </c>
      <c r="N4" s="321">
        <v>3</v>
      </c>
      <c r="O4" s="328">
        <f t="shared" si="4"/>
        <v>5.23976608187134</v>
      </c>
      <c r="P4" s="329">
        <f t="shared" si="5"/>
        <v>33.906432748538</v>
      </c>
      <c r="Q4" s="330">
        <v>1</v>
      </c>
      <c r="R4" s="331">
        <f t="shared" si="6"/>
        <v>67.812865497076</v>
      </c>
      <c r="S4">
        <v>68</v>
      </c>
    </row>
    <row r="5" ht="12.75" spans="1:26">
      <c r="A5" s="316" t="s">
        <v>2035</v>
      </c>
      <c r="B5" s="317"/>
      <c r="C5" s="317"/>
      <c r="D5" s="317"/>
      <c r="E5" s="317"/>
      <c r="F5" s="317"/>
      <c r="G5" s="322">
        <f t="shared" si="1"/>
        <v>0</v>
      </c>
      <c r="H5" s="317"/>
      <c r="I5" s="317"/>
      <c r="J5" s="317"/>
      <c r="K5" s="317"/>
      <c r="L5" s="317"/>
      <c r="M5" s="317"/>
      <c r="N5" s="317"/>
      <c r="O5" s="317"/>
      <c r="P5" s="317"/>
      <c r="Q5" s="317"/>
      <c r="R5" s="317"/>
      <c r="S5" s="317"/>
      <c r="T5" s="317"/>
      <c r="U5" s="317"/>
      <c r="V5" s="317"/>
      <c r="W5" s="317"/>
      <c r="X5" s="317"/>
      <c r="Y5" s="317"/>
      <c r="Z5" s="317"/>
    </row>
    <row r="6" ht="15" spans="1:19">
      <c r="A6" s="308" t="s">
        <v>2036</v>
      </c>
      <c r="B6" s="319">
        <f t="shared" ref="B6:B7" si="7">SUM(R6)</f>
        <v>10.4685380116959</v>
      </c>
      <c r="C6" s="320">
        <v>10</v>
      </c>
      <c r="D6" s="320" t="s">
        <v>2037</v>
      </c>
      <c r="E6" s="321">
        <v>10</v>
      </c>
      <c r="F6" s="321"/>
      <c r="G6" s="322">
        <f t="shared" si="1"/>
        <v>107.639</v>
      </c>
      <c r="H6" s="321"/>
      <c r="I6" s="321"/>
      <c r="J6" s="327">
        <v>43</v>
      </c>
      <c r="K6" s="328">
        <f t="shared" ref="K6:K7" si="8">SUM(J6/E6)</f>
        <v>4.3</v>
      </c>
      <c r="L6" s="328">
        <v>79.88</v>
      </c>
      <c r="M6" s="328">
        <f t="shared" ref="M6:M7" si="9">SUM(L6/14.25)</f>
        <v>5.60561403508772</v>
      </c>
      <c r="N6" s="321">
        <v>12</v>
      </c>
      <c r="O6" s="328">
        <f t="shared" ref="O6:O7" si="10">SUM(M6/N6*2)</f>
        <v>0.934269005847953</v>
      </c>
      <c r="P6" s="329">
        <f t="shared" ref="P6:P7" si="11">SUM(K6+O6)</f>
        <v>5.23426900584795</v>
      </c>
      <c r="Q6" s="330">
        <v>1</v>
      </c>
      <c r="R6" s="331">
        <f t="shared" ref="R6:R7" si="12">SUM(P6*(1+Q6))</f>
        <v>10.4685380116959</v>
      </c>
      <c r="S6" s="331">
        <v>11</v>
      </c>
    </row>
    <row r="7" ht="15" spans="1:19">
      <c r="A7" s="308" t="s">
        <v>2038</v>
      </c>
      <c r="B7" s="319">
        <f t="shared" si="7"/>
        <v>14.1542522974102</v>
      </c>
      <c r="C7" s="320">
        <v>7</v>
      </c>
      <c r="D7" s="320" t="s">
        <v>2037</v>
      </c>
      <c r="E7" s="321">
        <v>7</v>
      </c>
      <c r="F7" s="321"/>
      <c r="G7" s="322">
        <f t="shared" si="1"/>
        <v>75.3473</v>
      </c>
      <c r="H7" s="321"/>
      <c r="I7" s="321"/>
      <c r="J7" s="327">
        <v>43</v>
      </c>
      <c r="K7" s="328">
        <f t="shared" si="8"/>
        <v>6.14285714285714</v>
      </c>
      <c r="L7" s="328">
        <v>79.88</v>
      </c>
      <c r="M7" s="328">
        <f t="shared" si="9"/>
        <v>5.60561403508772</v>
      </c>
      <c r="N7" s="321">
        <v>12</v>
      </c>
      <c r="O7" s="328">
        <f t="shared" si="10"/>
        <v>0.934269005847953</v>
      </c>
      <c r="P7" s="329">
        <f t="shared" si="11"/>
        <v>7.0771261487051</v>
      </c>
      <c r="Q7" s="330">
        <v>1</v>
      </c>
      <c r="R7" s="331">
        <f t="shared" si="12"/>
        <v>14.1542522974102</v>
      </c>
      <c r="S7">
        <v>15</v>
      </c>
    </row>
    <row r="8" ht="15" spans="1:19">
      <c r="A8" s="308" t="s">
        <v>2039</v>
      </c>
      <c r="B8" s="319">
        <v>1200</v>
      </c>
      <c r="C8" s="317"/>
      <c r="D8" s="317"/>
      <c r="E8" s="317"/>
      <c r="F8" s="317"/>
      <c r="G8" s="322">
        <f t="shared" si="1"/>
        <v>0</v>
      </c>
      <c r="H8" s="317"/>
      <c r="I8" s="317"/>
      <c r="J8" s="317"/>
      <c r="K8" s="317"/>
      <c r="L8" s="317"/>
      <c r="M8" s="317"/>
      <c r="N8" s="317"/>
      <c r="O8" s="317"/>
      <c r="P8" s="317"/>
      <c r="Q8" s="317"/>
      <c r="R8" s="317"/>
      <c r="S8" s="317"/>
    </row>
    <row r="9" ht="15" spans="1:19">
      <c r="A9" s="308" t="s">
        <v>2040</v>
      </c>
      <c r="B9" s="319">
        <f t="shared" ref="B9:B13" si="13">SUM(R9)</f>
        <v>11.3801169590643</v>
      </c>
      <c r="C9" s="320">
        <v>9</v>
      </c>
      <c r="D9" s="320" t="s">
        <v>2037</v>
      </c>
      <c r="E9" s="321">
        <v>9</v>
      </c>
      <c r="F9" s="321"/>
      <c r="G9" s="322">
        <f t="shared" si="1"/>
        <v>96.8751</v>
      </c>
      <c r="H9" s="321"/>
      <c r="I9" s="321"/>
      <c r="J9" s="327">
        <v>43</v>
      </c>
      <c r="K9" s="328">
        <f t="shared" ref="K9:K13" si="14">SUM(J9/E9)</f>
        <v>4.77777777777778</v>
      </c>
      <c r="L9" s="328">
        <v>78</v>
      </c>
      <c r="M9" s="328">
        <f t="shared" ref="M9:M13" si="15">SUM(L9/14.25)</f>
        <v>5.47368421052632</v>
      </c>
      <c r="N9" s="321">
        <v>12</v>
      </c>
      <c r="O9" s="328">
        <f t="shared" ref="O9:O13" si="16">SUM(M9/N9*2)</f>
        <v>0.912280701754386</v>
      </c>
      <c r="P9" s="329">
        <f t="shared" ref="P9:P13" si="17">SUM(K9+O9)</f>
        <v>5.69005847953216</v>
      </c>
      <c r="Q9" s="330">
        <v>1</v>
      </c>
      <c r="R9" s="331">
        <f t="shared" ref="R9:R13" si="18">SUM(P9*(1+Q9))</f>
        <v>11.3801169590643</v>
      </c>
      <c r="S9" s="331">
        <v>12</v>
      </c>
    </row>
    <row r="10" ht="15" spans="1:19">
      <c r="A10" s="308" t="s">
        <v>2041</v>
      </c>
      <c r="B10" s="319">
        <f t="shared" si="13"/>
        <v>7.7237639553429</v>
      </c>
      <c r="C10" s="320">
        <v>15</v>
      </c>
      <c r="D10" s="320" t="s">
        <v>2037</v>
      </c>
      <c r="E10" s="321">
        <v>15</v>
      </c>
      <c r="F10" s="321"/>
      <c r="G10" s="322">
        <f t="shared" si="1"/>
        <v>161.4585</v>
      </c>
      <c r="H10" s="321"/>
      <c r="I10" s="321"/>
      <c r="J10" s="327">
        <v>43</v>
      </c>
      <c r="K10" s="328">
        <f t="shared" si="14"/>
        <v>2.86666666666667</v>
      </c>
      <c r="L10" s="328">
        <v>78</v>
      </c>
      <c r="M10" s="328">
        <f t="shared" si="15"/>
        <v>5.47368421052632</v>
      </c>
      <c r="N10" s="321">
        <v>11</v>
      </c>
      <c r="O10" s="328">
        <f t="shared" si="16"/>
        <v>0.995215311004785</v>
      </c>
      <c r="P10" s="329">
        <f t="shared" si="17"/>
        <v>3.86188197767145</v>
      </c>
      <c r="Q10" s="330">
        <v>1</v>
      </c>
      <c r="R10" s="331">
        <f t="shared" si="18"/>
        <v>7.7237639553429</v>
      </c>
      <c r="S10">
        <v>8</v>
      </c>
    </row>
    <row r="11" ht="15" spans="1:19">
      <c r="A11" s="308" t="s">
        <v>2042</v>
      </c>
      <c r="B11" s="319">
        <f t="shared" si="13"/>
        <v>14.2761449077239</v>
      </c>
      <c r="C11" s="320">
        <v>7</v>
      </c>
      <c r="D11" s="320" t="s">
        <v>2037</v>
      </c>
      <c r="E11" s="321">
        <v>7</v>
      </c>
      <c r="F11" s="321"/>
      <c r="G11" s="322">
        <f t="shared" si="1"/>
        <v>75.3473</v>
      </c>
      <c r="H11" s="321"/>
      <c r="I11" s="321"/>
      <c r="J11" s="327">
        <v>43</v>
      </c>
      <c r="K11" s="328">
        <f t="shared" si="14"/>
        <v>6.14285714285714</v>
      </c>
      <c r="L11" s="328">
        <v>78</v>
      </c>
      <c r="M11" s="328">
        <f t="shared" si="15"/>
        <v>5.47368421052632</v>
      </c>
      <c r="N11" s="321">
        <v>11</v>
      </c>
      <c r="O11" s="328">
        <f t="shared" si="16"/>
        <v>0.995215311004785</v>
      </c>
      <c r="P11" s="329">
        <f t="shared" si="17"/>
        <v>7.13807245386193</v>
      </c>
      <c r="Q11" s="330">
        <v>1</v>
      </c>
      <c r="R11" s="331">
        <f t="shared" si="18"/>
        <v>14.2761449077239</v>
      </c>
      <c r="S11">
        <v>15</v>
      </c>
    </row>
    <row r="12" ht="15" spans="1:19">
      <c r="A12" s="308" t="s">
        <v>2043</v>
      </c>
      <c r="B12" s="319">
        <f t="shared" si="13"/>
        <v>13.4868421052632</v>
      </c>
      <c r="C12" s="320">
        <v>8</v>
      </c>
      <c r="D12" s="320" t="s">
        <v>2037</v>
      </c>
      <c r="E12" s="321">
        <v>8</v>
      </c>
      <c r="F12" s="321"/>
      <c r="G12" s="322">
        <f t="shared" si="1"/>
        <v>86.1112</v>
      </c>
      <c r="H12" s="321"/>
      <c r="I12" s="321"/>
      <c r="J12" s="327">
        <v>43</v>
      </c>
      <c r="K12" s="328">
        <f t="shared" si="14"/>
        <v>5.375</v>
      </c>
      <c r="L12" s="328">
        <v>78</v>
      </c>
      <c r="M12" s="328">
        <f t="shared" si="15"/>
        <v>5.47368421052632</v>
      </c>
      <c r="N12" s="321">
        <v>8</v>
      </c>
      <c r="O12" s="328">
        <f t="shared" si="16"/>
        <v>1.36842105263158</v>
      </c>
      <c r="P12" s="329">
        <f t="shared" si="17"/>
        <v>6.74342105263158</v>
      </c>
      <c r="Q12" s="330">
        <v>1</v>
      </c>
      <c r="R12" s="331">
        <f t="shared" si="18"/>
        <v>13.4868421052632</v>
      </c>
      <c r="S12">
        <v>14</v>
      </c>
    </row>
    <row r="13" ht="15" spans="1:19">
      <c r="A13" s="308" t="s">
        <v>2044</v>
      </c>
      <c r="B13" s="319">
        <f t="shared" si="13"/>
        <v>11.3368421052632</v>
      </c>
      <c r="C13" s="320">
        <v>10</v>
      </c>
      <c r="D13" s="320" t="s">
        <v>2037</v>
      </c>
      <c r="E13" s="321">
        <v>10</v>
      </c>
      <c r="F13" s="321"/>
      <c r="G13" s="322">
        <f t="shared" si="1"/>
        <v>107.639</v>
      </c>
      <c r="H13" s="321"/>
      <c r="I13" s="321"/>
      <c r="J13" s="327">
        <v>43</v>
      </c>
      <c r="K13" s="328">
        <f t="shared" si="14"/>
        <v>4.3</v>
      </c>
      <c r="L13" s="328">
        <v>78</v>
      </c>
      <c r="M13" s="328">
        <f t="shared" si="15"/>
        <v>5.47368421052632</v>
      </c>
      <c r="N13" s="321">
        <v>8</v>
      </c>
      <c r="O13" s="328">
        <f t="shared" si="16"/>
        <v>1.36842105263158</v>
      </c>
      <c r="P13" s="329">
        <f t="shared" si="17"/>
        <v>5.66842105263158</v>
      </c>
      <c r="Q13" s="330">
        <v>1</v>
      </c>
      <c r="R13" s="331">
        <f t="shared" si="18"/>
        <v>11.3368421052632</v>
      </c>
      <c r="S13">
        <v>12</v>
      </c>
    </row>
    <row r="14" ht="12.75" spans="1:26">
      <c r="A14" s="316" t="s">
        <v>2045</v>
      </c>
      <c r="B14" s="317"/>
      <c r="C14" s="317"/>
      <c r="D14" s="317"/>
      <c r="E14" s="317"/>
      <c r="F14" s="317"/>
      <c r="G14" s="322">
        <f t="shared" si="1"/>
        <v>0</v>
      </c>
      <c r="H14" s="317"/>
      <c r="I14" s="317"/>
      <c r="J14" s="317"/>
      <c r="K14" s="317"/>
      <c r="L14" s="317"/>
      <c r="M14" s="317"/>
      <c r="N14" s="317"/>
      <c r="O14" s="317"/>
      <c r="P14" s="317"/>
      <c r="Q14" s="317"/>
      <c r="R14" s="317"/>
      <c r="S14" s="317"/>
      <c r="T14" s="317"/>
      <c r="U14" s="317"/>
      <c r="V14" s="317"/>
      <c r="W14" s="317"/>
      <c r="X14" s="317"/>
      <c r="Y14" s="317"/>
      <c r="Z14" s="317"/>
    </row>
    <row r="15" ht="15" spans="1:19">
      <c r="A15" s="308" t="s">
        <v>2046</v>
      </c>
      <c r="B15" s="323">
        <v>250</v>
      </c>
      <c r="C15" s="317"/>
      <c r="D15" s="317"/>
      <c r="E15" s="317"/>
      <c r="F15" s="317"/>
      <c r="G15" s="322">
        <f t="shared" si="1"/>
        <v>0</v>
      </c>
      <c r="H15" s="317"/>
      <c r="I15" s="317"/>
      <c r="J15" s="317"/>
      <c r="K15" s="317"/>
      <c r="L15" s="317"/>
      <c r="M15" s="317"/>
      <c r="N15" s="317"/>
      <c r="O15" s="317"/>
      <c r="P15" s="317"/>
      <c r="Q15" s="317"/>
      <c r="R15" s="317"/>
      <c r="S15" s="317"/>
    </row>
    <row r="16" ht="15" spans="1:19">
      <c r="A16" s="308" t="s">
        <v>2047</v>
      </c>
      <c r="B16" s="319">
        <v>350</v>
      </c>
      <c r="C16" s="317"/>
      <c r="D16" s="317"/>
      <c r="E16" s="317"/>
      <c r="F16" s="317"/>
      <c r="G16" s="322">
        <f t="shared" si="1"/>
        <v>0</v>
      </c>
      <c r="H16" s="317"/>
      <c r="I16" s="317"/>
      <c r="J16" s="317"/>
      <c r="K16" s="317"/>
      <c r="L16" s="317"/>
      <c r="M16" s="317"/>
      <c r="N16" s="317"/>
      <c r="O16" s="317"/>
      <c r="P16" s="317"/>
      <c r="Q16" s="317"/>
      <c r="R16" s="317"/>
      <c r="S16" s="317"/>
    </row>
    <row r="17" ht="15" spans="1:19">
      <c r="A17" s="308" t="s">
        <v>2048</v>
      </c>
      <c r="B17" s="319">
        <v>200</v>
      </c>
      <c r="C17" s="317"/>
      <c r="D17" s="317"/>
      <c r="E17" s="317"/>
      <c r="F17" s="317"/>
      <c r="G17" s="322">
        <f t="shared" si="1"/>
        <v>0</v>
      </c>
      <c r="H17" s="317"/>
      <c r="I17" s="317"/>
      <c r="J17" s="317"/>
      <c r="K17" s="317"/>
      <c r="L17" s="317"/>
      <c r="M17" s="317"/>
      <c r="N17" s="317"/>
      <c r="O17" s="317"/>
      <c r="P17" s="317"/>
      <c r="Q17" s="317"/>
      <c r="R17" s="317"/>
      <c r="S17" s="317"/>
    </row>
    <row r="18" ht="15" spans="1:19">
      <c r="A18" s="308" t="s">
        <v>2049</v>
      </c>
      <c r="B18" s="323">
        <v>250</v>
      </c>
      <c r="C18" s="317"/>
      <c r="D18" s="317"/>
      <c r="E18" s="317"/>
      <c r="F18" s="317"/>
      <c r="G18" s="322">
        <f t="shared" si="1"/>
        <v>0</v>
      </c>
      <c r="H18" s="317"/>
      <c r="I18" s="317"/>
      <c r="J18" s="317"/>
      <c r="K18" s="317"/>
      <c r="L18" s="317"/>
      <c r="M18" s="317"/>
      <c r="N18" s="317"/>
      <c r="O18" s="317"/>
      <c r="P18" s="317"/>
      <c r="Q18" s="317"/>
      <c r="R18" s="317"/>
      <c r="S18" s="317"/>
    </row>
    <row r="19" ht="12.75" spans="1:26">
      <c r="A19" s="316" t="s">
        <v>2050</v>
      </c>
      <c r="B19" s="317"/>
      <c r="C19" s="317"/>
      <c r="D19" s="317"/>
      <c r="E19" s="317"/>
      <c r="F19" s="317"/>
      <c r="G19" s="322">
        <f t="shared" si="1"/>
        <v>0</v>
      </c>
      <c r="H19" s="317"/>
      <c r="I19" s="317"/>
      <c r="J19" s="317"/>
      <c r="K19" s="317"/>
      <c r="L19" s="317"/>
      <c r="M19" s="317"/>
      <c r="N19" s="317"/>
      <c r="O19" s="317"/>
      <c r="P19" s="317"/>
      <c r="Q19" s="317"/>
      <c r="R19" s="317"/>
      <c r="S19" s="317"/>
      <c r="T19" s="317"/>
      <c r="U19" s="317"/>
      <c r="V19" s="317"/>
      <c r="W19" s="317"/>
      <c r="X19" s="317"/>
      <c r="Y19" s="317"/>
      <c r="Z19" s="317"/>
    </row>
    <row r="20" ht="15" spans="1:19">
      <c r="A20" s="324" t="s">
        <v>2051</v>
      </c>
      <c r="B20" s="319">
        <f t="shared" ref="B20:B28" si="19">SUM(R20)</f>
        <v>90.3157894736842</v>
      </c>
      <c r="C20" s="320">
        <v>1</v>
      </c>
      <c r="D20" s="320" t="s">
        <v>1064</v>
      </c>
      <c r="E20" s="321">
        <v>1</v>
      </c>
      <c r="F20" s="321"/>
      <c r="G20" s="322">
        <f t="shared" si="1"/>
        <v>10.7639</v>
      </c>
      <c r="H20" s="321"/>
      <c r="I20" s="321"/>
      <c r="J20" s="327">
        <v>43</v>
      </c>
      <c r="K20" s="328">
        <f t="shared" ref="K20:K28" si="20">SUM(J20*E20)</f>
        <v>43</v>
      </c>
      <c r="L20" s="328">
        <v>102.5</v>
      </c>
      <c r="M20" s="328">
        <f t="shared" ref="M20:M28" si="21">SUM(L20/9.5)</f>
        <v>10.7894736842105</v>
      </c>
      <c r="N20" s="321">
        <v>10</v>
      </c>
      <c r="O20" s="328">
        <f>SUM(M20/N20*2)</f>
        <v>2.15789473684211</v>
      </c>
      <c r="P20" s="329">
        <f t="shared" ref="P20:P28" si="22">SUM(K20+O20)</f>
        <v>45.1578947368421</v>
      </c>
      <c r="Q20" s="330">
        <v>1</v>
      </c>
      <c r="R20" s="331">
        <f t="shared" ref="R20:R28" si="23">SUM(P20*(1+Q20))</f>
        <v>90.3157894736842</v>
      </c>
      <c r="S20" s="331">
        <v>91</v>
      </c>
    </row>
    <row r="21" ht="15" spans="1:19">
      <c r="A21" s="324" t="s">
        <v>2052</v>
      </c>
      <c r="B21" s="319">
        <f t="shared" si="19"/>
        <v>135.473684210526</v>
      </c>
      <c r="C21" s="320">
        <v>1.5</v>
      </c>
      <c r="D21" s="320" t="s">
        <v>1064</v>
      </c>
      <c r="E21" s="321">
        <v>1.5</v>
      </c>
      <c r="F21" s="321"/>
      <c r="G21" s="322">
        <f t="shared" si="1"/>
        <v>16.14585</v>
      </c>
      <c r="H21" s="321"/>
      <c r="I21" s="321"/>
      <c r="J21" s="327">
        <v>43</v>
      </c>
      <c r="K21" s="328">
        <f t="shared" si="20"/>
        <v>64.5</v>
      </c>
      <c r="L21" s="328">
        <v>102.5</v>
      </c>
      <c r="M21" s="328">
        <f t="shared" si="21"/>
        <v>10.7894736842105</v>
      </c>
      <c r="N21" s="321">
        <v>10</v>
      </c>
      <c r="O21" s="328">
        <f t="shared" ref="O21:O22" si="24">SUM(M21/N21*3)</f>
        <v>3.23684210526316</v>
      </c>
      <c r="P21" s="329">
        <f t="shared" si="22"/>
        <v>67.7368421052632</v>
      </c>
      <c r="Q21" s="330">
        <v>1</v>
      </c>
      <c r="R21" s="331">
        <f t="shared" si="23"/>
        <v>135.473684210526</v>
      </c>
      <c r="S21">
        <v>136</v>
      </c>
    </row>
    <row r="22" ht="15" spans="1:19">
      <c r="A22" s="324" t="s">
        <v>2053</v>
      </c>
      <c r="B22" s="319">
        <f t="shared" si="19"/>
        <v>350.473684210526</v>
      </c>
      <c r="C22" s="325">
        <v>4</v>
      </c>
      <c r="D22" s="320" t="s">
        <v>1064</v>
      </c>
      <c r="E22" s="321">
        <v>4</v>
      </c>
      <c r="F22" s="321"/>
      <c r="G22" s="322">
        <f t="shared" si="1"/>
        <v>43.0556</v>
      </c>
      <c r="H22" s="321"/>
      <c r="I22" s="321"/>
      <c r="J22" s="327">
        <v>43</v>
      </c>
      <c r="K22" s="328">
        <f t="shared" si="20"/>
        <v>172</v>
      </c>
      <c r="L22" s="328">
        <v>102.5</v>
      </c>
      <c r="M22" s="328">
        <f t="shared" si="21"/>
        <v>10.7894736842105</v>
      </c>
      <c r="N22" s="321">
        <v>10</v>
      </c>
      <c r="O22" s="328">
        <f t="shared" si="24"/>
        <v>3.23684210526316</v>
      </c>
      <c r="P22" s="329">
        <f t="shared" si="22"/>
        <v>175.236842105263</v>
      </c>
      <c r="Q22" s="330">
        <v>1</v>
      </c>
      <c r="R22" s="331">
        <f t="shared" si="23"/>
        <v>350.473684210526</v>
      </c>
      <c r="S22">
        <v>351</v>
      </c>
    </row>
    <row r="23" ht="15" spans="1:19">
      <c r="A23" s="324" t="s">
        <v>2054</v>
      </c>
      <c r="B23" s="319">
        <f t="shared" si="19"/>
        <v>47.3157894736842</v>
      </c>
      <c r="C23" s="321">
        <v>0.5</v>
      </c>
      <c r="D23" s="320" t="s">
        <v>1064</v>
      </c>
      <c r="E23" s="321">
        <v>0.5</v>
      </c>
      <c r="F23" s="321"/>
      <c r="G23" s="322">
        <f t="shared" si="1"/>
        <v>5.38195</v>
      </c>
      <c r="H23" s="321"/>
      <c r="I23" s="321"/>
      <c r="J23" s="327">
        <v>43</v>
      </c>
      <c r="K23" s="328">
        <f t="shared" si="20"/>
        <v>21.5</v>
      </c>
      <c r="L23" s="328">
        <v>102.5</v>
      </c>
      <c r="M23" s="328">
        <f t="shared" si="21"/>
        <v>10.7894736842105</v>
      </c>
      <c r="N23" s="321">
        <v>10</v>
      </c>
      <c r="O23" s="328">
        <f t="shared" ref="O23:O24" si="25">SUM(M23/N23*2)</f>
        <v>2.15789473684211</v>
      </c>
      <c r="P23" s="329">
        <f t="shared" si="22"/>
        <v>23.6578947368421</v>
      </c>
      <c r="Q23" s="330">
        <v>1</v>
      </c>
      <c r="R23" s="331">
        <f t="shared" si="23"/>
        <v>47.3157894736842</v>
      </c>
      <c r="S23">
        <v>48</v>
      </c>
    </row>
    <row r="24" ht="15" spans="1:19">
      <c r="A24" s="324" t="s">
        <v>2055</v>
      </c>
      <c r="B24" s="319">
        <f t="shared" si="19"/>
        <v>47.3157894736842</v>
      </c>
      <c r="C24" s="321">
        <v>0.5</v>
      </c>
      <c r="D24" s="320" t="s">
        <v>1064</v>
      </c>
      <c r="E24" s="321">
        <v>0.5</v>
      </c>
      <c r="F24" s="321"/>
      <c r="G24" s="322">
        <f t="shared" si="1"/>
        <v>5.38195</v>
      </c>
      <c r="H24" s="321"/>
      <c r="I24" s="321"/>
      <c r="J24" s="327">
        <v>43</v>
      </c>
      <c r="K24" s="328">
        <f t="shared" si="20"/>
        <v>21.5</v>
      </c>
      <c r="L24" s="328">
        <v>102.5</v>
      </c>
      <c r="M24" s="328">
        <f t="shared" si="21"/>
        <v>10.7894736842105</v>
      </c>
      <c r="N24" s="321">
        <v>10</v>
      </c>
      <c r="O24" s="328">
        <f t="shared" si="25"/>
        <v>2.15789473684211</v>
      </c>
      <c r="P24" s="329">
        <f t="shared" si="22"/>
        <v>23.6578947368421</v>
      </c>
      <c r="Q24" s="330">
        <v>1</v>
      </c>
      <c r="R24" s="331">
        <f t="shared" si="23"/>
        <v>47.3157894736842</v>
      </c>
      <c r="S24">
        <v>48</v>
      </c>
    </row>
    <row r="25" ht="15" spans="1:19">
      <c r="A25" s="324" t="s">
        <v>2056</v>
      </c>
      <c r="B25" s="319">
        <f t="shared" si="19"/>
        <v>66.6736842105263</v>
      </c>
      <c r="C25" s="312">
        <v>0.7</v>
      </c>
      <c r="D25" s="320" t="s">
        <v>1064</v>
      </c>
      <c r="E25" s="321">
        <v>0.7</v>
      </c>
      <c r="F25" s="321"/>
      <c r="G25" s="322">
        <f t="shared" si="1"/>
        <v>7.53473</v>
      </c>
      <c r="H25" s="321"/>
      <c r="I25" s="321"/>
      <c r="J25" s="327">
        <v>43</v>
      </c>
      <c r="K25" s="328">
        <f t="shared" si="20"/>
        <v>30.1</v>
      </c>
      <c r="L25" s="328">
        <v>102.5</v>
      </c>
      <c r="M25" s="328">
        <f t="shared" si="21"/>
        <v>10.7894736842105</v>
      </c>
      <c r="N25" s="321">
        <v>10</v>
      </c>
      <c r="O25" s="328">
        <f>SUM(M25/N25*3)</f>
        <v>3.23684210526316</v>
      </c>
      <c r="P25" s="329">
        <f t="shared" si="22"/>
        <v>33.3368421052632</v>
      </c>
      <c r="Q25" s="330">
        <v>1</v>
      </c>
      <c r="R25" s="331">
        <f t="shared" si="23"/>
        <v>66.6736842105263</v>
      </c>
      <c r="S25">
        <v>67</v>
      </c>
    </row>
    <row r="26" ht="15" spans="1:19">
      <c r="A26" s="324" t="s">
        <v>2057</v>
      </c>
      <c r="B26" s="319">
        <f t="shared" si="19"/>
        <v>133.315789473684</v>
      </c>
      <c r="C26" s="312">
        <v>1.5</v>
      </c>
      <c r="D26" s="320" t="s">
        <v>1064</v>
      </c>
      <c r="E26" s="321">
        <v>1.5</v>
      </c>
      <c r="F26" s="321"/>
      <c r="G26" s="322">
        <f t="shared" si="1"/>
        <v>16.14585</v>
      </c>
      <c r="H26" s="321"/>
      <c r="I26" s="321"/>
      <c r="J26" s="327">
        <v>43</v>
      </c>
      <c r="K26" s="328">
        <f t="shared" si="20"/>
        <v>64.5</v>
      </c>
      <c r="L26" s="328">
        <v>102.5</v>
      </c>
      <c r="M26" s="328">
        <f t="shared" si="21"/>
        <v>10.7894736842105</v>
      </c>
      <c r="N26" s="321">
        <v>10</v>
      </c>
      <c r="O26" s="328">
        <f>SUM(M26/N26*2)</f>
        <v>2.15789473684211</v>
      </c>
      <c r="P26" s="329">
        <f t="shared" si="22"/>
        <v>66.6578947368421</v>
      </c>
      <c r="Q26" s="330">
        <v>1</v>
      </c>
      <c r="R26" s="331">
        <f t="shared" si="23"/>
        <v>133.315789473684</v>
      </c>
      <c r="S26">
        <v>134</v>
      </c>
    </row>
    <row r="27" ht="15" spans="1:19">
      <c r="A27" s="324" t="s">
        <v>2058</v>
      </c>
      <c r="B27" s="319">
        <f t="shared" si="19"/>
        <v>178.473684210526</v>
      </c>
      <c r="C27" s="312">
        <v>2</v>
      </c>
      <c r="D27" s="320" t="s">
        <v>1064</v>
      </c>
      <c r="E27" s="321">
        <v>2</v>
      </c>
      <c r="F27" s="321"/>
      <c r="G27" s="322">
        <f t="shared" si="1"/>
        <v>21.5278</v>
      </c>
      <c r="H27" s="321"/>
      <c r="I27" s="321"/>
      <c r="J27" s="327">
        <v>43</v>
      </c>
      <c r="K27" s="328">
        <f t="shared" si="20"/>
        <v>86</v>
      </c>
      <c r="L27" s="328">
        <v>102.5</v>
      </c>
      <c r="M27" s="328">
        <f t="shared" si="21"/>
        <v>10.7894736842105</v>
      </c>
      <c r="N27" s="321">
        <v>10</v>
      </c>
      <c r="O27" s="328">
        <f>SUM(M27/N27*3)</f>
        <v>3.23684210526316</v>
      </c>
      <c r="P27" s="329">
        <f t="shared" si="22"/>
        <v>89.2368421052632</v>
      </c>
      <c r="Q27" s="330">
        <v>1</v>
      </c>
      <c r="R27" s="331">
        <f t="shared" si="23"/>
        <v>178.473684210526</v>
      </c>
      <c r="S27">
        <v>179</v>
      </c>
    </row>
    <row r="28" ht="15" spans="1:19">
      <c r="A28" s="324" t="s">
        <v>2059</v>
      </c>
      <c r="B28" s="319">
        <f t="shared" si="19"/>
        <v>47.3157894736842</v>
      </c>
      <c r="C28" s="326">
        <v>0.5</v>
      </c>
      <c r="D28" s="320" t="s">
        <v>1064</v>
      </c>
      <c r="E28" s="321">
        <v>0.5</v>
      </c>
      <c r="F28" s="321"/>
      <c r="G28" s="322">
        <f t="shared" si="1"/>
        <v>5.38195</v>
      </c>
      <c r="H28" s="321"/>
      <c r="I28" s="321"/>
      <c r="J28" s="327">
        <v>43</v>
      </c>
      <c r="K28" s="328">
        <f t="shared" si="20"/>
        <v>21.5</v>
      </c>
      <c r="L28" s="328">
        <v>102.5</v>
      </c>
      <c r="M28" s="328">
        <f t="shared" si="21"/>
        <v>10.7894736842105</v>
      </c>
      <c r="N28" s="321">
        <v>10</v>
      </c>
      <c r="O28" s="328">
        <f>SUM(M28/N28*2)</f>
        <v>2.15789473684211</v>
      </c>
      <c r="P28" s="329">
        <f t="shared" si="22"/>
        <v>23.6578947368421</v>
      </c>
      <c r="Q28" s="330">
        <v>1</v>
      </c>
      <c r="R28" s="331">
        <f t="shared" si="23"/>
        <v>47.3157894736842</v>
      </c>
      <c r="S28">
        <v>48</v>
      </c>
    </row>
    <row r="29" ht="15" spans="1:19">
      <c r="A29" s="308" t="s">
        <v>2060</v>
      </c>
      <c r="B29" s="319">
        <v>2000</v>
      </c>
      <c r="C29" s="317"/>
      <c r="D29" s="317"/>
      <c r="E29" s="317"/>
      <c r="F29" s="317"/>
      <c r="G29" s="322">
        <f t="shared" si="1"/>
        <v>0</v>
      </c>
      <c r="H29" s="317"/>
      <c r="I29" s="317"/>
      <c r="J29" s="317"/>
      <c r="K29" s="317"/>
      <c r="L29" s="317"/>
      <c r="M29" s="317"/>
      <c r="N29" s="317"/>
      <c r="O29" s="317"/>
      <c r="P29" s="317"/>
      <c r="Q29" s="317"/>
      <c r="R29" s="317"/>
      <c r="S29" s="317"/>
    </row>
    <row r="30" ht="15" spans="1:19">
      <c r="A30" s="308" t="s">
        <v>2061</v>
      </c>
      <c r="B30" s="323">
        <v>1500</v>
      </c>
      <c r="C30" s="317"/>
      <c r="D30" s="317"/>
      <c r="E30" s="317"/>
      <c r="F30" s="317"/>
      <c r="G30" s="322">
        <f t="shared" si="1"/>
        <v>0</v>
      </c>
      <c r="H30" s="317"/>
      <c r="I30" s="317"/>
      <c r="J30" s="317"/>
      <c r="K30" s="317"/>
      <c r="L30" s="317"/>
      <c r="M30" s="317"/>
      <c r="N30" s="317"/>
      <c r="O30" s="317"/>
      <c r="P30" s="317"/>
      <c r="Q30" s="317"/>
      <c r="R30" s="317"/>
      <c r="S30" s="317"/>
    </row>
    <row r="31" ht="15" spans="1:19">
      <c r="A31" s="324" t="s">
        <v>2062</v>
      </c>
      <c r="B31" s="319">
        <f>SUM(R31)</f>
        <v>70.9736842105263</v>
      </c>
      <c r="C31" s="312">
        <v>0.75</v>
      </c>
      <c r="D31" s="320" t="s">
        <v>1064</v>
      </c>
      <c r="E31" s="321">
        <v>0.75</v>
      </c>
      <c r="F31" s="321"/>
      <c r="G31" s="322">
        <f t="shared" si="1"/>
        <v>8.072925</v>
      </c>
      <c r="H31" s="321"/>
      <c r="I31" s="321"/>
      <c r="J31" s="327">
        <v>43</v>
      </c>
      <c r="K31" s="328">
        <f>SUM(J31*E31)</f>
        <v>32.25</v>
      </c>
      <c r="L31" s="328">
        <v>102.5</v>
      </c>
      <c r="M31" s="328">
        <f>SUM(L31/9.5)</f>
        <v>10.7894736842105</v>
      </c>
      <c r="N31" s="321">
        <v>10</v>
      </c>
      <c r="O31" s="328">
        <f>SUM(M31/N31*3)</f>
        <v>3.23684210526316</v>
      </c>
      <c r="P31" s="329">
        <f>SUM(K31+O31)</f>
        <v>35.4868421052632</v>
      </c>
      <c r="Q31" s="330">
        <v>1</v>
      </c>
      <c r="R31" s="331">
        <f>SUM(P31*(1+Q31))</f>
        <v>70.9736842105263</v>
      </c>
      <c r="S31" s="331">
        <v>71</v>
      </c>
    </row>
    <row r="32" ht="12.75" spans="1:26">
      <c r="A32" s="316" t="s">
        <v>2063</v>
      </c>
      <c r="B32" s="317"/>
      <c r="C32" s="317"/>
      <c r="D32" s="317"/>
      <c r="E32" s="317"/>
      <c r="F32" s="317"/>
      <c r="G32" s="322">
        <f t="shared" si="1"/>
        <v>0</v>
      </c>
      <c r="H32" s="317"/>
      <c r="I32" s="317"/>
      <c r="J32" s="317"/>
      <c r="K32" s="317"/>
      <c r="L32" s="317"/>
      <c r="M32" s="317"/>
      <c r="N32" s="317"/>
      <c r="O32" s="317"/>
      <c r="P32" s="317"/>
      <c r="Q32" s="317"/>
      <c r="R32" s="317"/>
      <c r="S32" s="317"/>
      <c r="T32" s="317"/>
      <c r="U32" s="317"/>
      <c r="V32" s="317"/>
      <c r="W32" s="317"/>
      <c r="X32" s="317"/>
      <c r="Y32" s="317"/>
      <c r="Z32" s="317"/>
    </row>
    <row r="33" ht="15" spans="1:19">
      <c r="A33" s="308" t="s">
        <v>2064</v>
      </c>
      <c r="B33" s="319">
        <f t="shared" ref="B33:B36" si="26">SUM(R33)</f>
        <v>94.7719298245614</v>
      </c>
      <c r="C33" s="320">
        <v>1</v>
      </c>
      <c r="D33" s="320" t="s">
        <v>2037</v>
      </c>
      <c r="E33" s="321">
        <v>1</v>
      </c>
      <c r="F33" s="321"/>
      <c r="G33" s="322">
        <f t="shared" si="1"/>
        <v>10.7639</v>
      </c>
      <c r="H33" s="321"/>
      <c r="I33" s="321"/>
      <c r="J33" s="327">
        <v>43</v>
      </c>
      <c r="K33" s="328">
        <f t="shared" ref="K33:K36" si="27">SUM(J33/E33)</f>
        <v>43</v>
      </c>
      <c r="L33" s="328">
        <v>250</v>
      </c>
      <c r="M33" s="328">
        <f t="shared" ref="M33:M36" si="28">SUM(L33/14.25)</f>
        <v>17.5438596491228</v>
      </c>
      <c r="N33" s="321">
        <v>8</v>
      </c>
      <c r="O33" s="328">
        <f t="shared" ref="O33:O35" si="29">SUM(M33/N33*2)</f>
        <v>4.3859649122807</v>
      </c>
      <c r="P33" s="329">
        <f t="shared" ref="P33:P36" si="30">SUM(K33+O33)</f>
        <v>47.3859649122807</v>
      </c>
      <c r="Q33" s="330">
        <v>1</v>
      </c>
      <c r="R33" s="331">
        <f t="shared" ref="R33:R36" si="31">SUM(P33*(1+Q33))</f>
        <v>94.7719298245614</v>
      </c>
      <c r="S33" s="331">
        <v>95</v>
      </c>
    </row>
    <row r="34" ht="15" spans="1:19">
      <c r="A34" s="308" t="s">
        <v>2065</v>
      </c>
      <c r="B34" s="319">
        <f t="shared" si="26"/>
        <v>16.672514619883</v>
      </c>
      <c r="C34" s="320">
        <v>6</v>
      </c>
      <c r="D34" s="320" t="s">
        <v>2037</v>
      </c>
      <c r="E34" s="321">
        <v>6</v>
      </c>
      <c r="F34" s="321"/>
      <c r="G34" s="322">
        <f t="shared" si="1"/>
        <v>64.5834</v>
      </c>
      <c r="H34" s="321"/>
      <c r="I34" s="321"/>
      <c r="J34" s="327">
        <v>43</v>
      </c>
      <c r="K34" s="328">
        <f t="shared" si="27"/>
        <v>7.16666666666667</v>
      </c>
      <c r="L34" s="328">
        <v>100</v>
      </c>
      <c r="M34" s="328">
        <f t="shared" si="28"/>
        <v>7.01754385964912</v>
      </c>
      <c r="N34" s="321">
        <v>12</v>
      </c>
      <c r="O34" s="328">
        <f t="shared" si="29"/>
        <v>1.16959064327485</v>
      </c>
      <c r="P34" s="329">
        <f t="shared" si="30"/>
        <v>8.33625730994152</v>
      </c>
      <c r="Q34" s="330">
        <v>1</v>
      </c>
      <c r="R34" s="331">
        <f t="shared" si="31"/>
        <v>16.672514619883</v>
      </c>
      <c r="S34">
        <v>17</v>
      </c>
    </row>
    <row r="35" ht="15" spans="1:19">
      <c r="A35" s="308" t="s">
        <v>2066</v>
      </c>
      <c r="B35" s="319">
        <f t="shared" si="26"/>
        <v>25.2426900584795</v>
      </c>
      <c r="C35" s="320">
        <v>4</v>
      </c>
      <c r="D35" s="320" t="s">
        <v>2037</v>
      </c>
      <c r="E35" s="321">
        <v>4</v>
      </c>
      <c r="F35" s="321"/>
      <c r="G35" s="322">
        <f t="shared" si="1"/>
        <v>43.0556</v>
      </c>
      <c r="H35" s="321"/>
      <c r="I35" s="321"/>
      <c r="J35" s="327">
        <v>43</v>
      </c>
      <c r="K35" s="328">
        <f t="shared" si="27"/>
        <v>10.75</v>
      </c>
      <c r="L35" s="328">
        <v>160</v>
      </c>
      <c r="M35" s="328">
        <f t="shared" si="28"/>
        <v>11.2280701754386</v>
      </c>
      <c r="N35" s="321">
        <v>12</v>
      </c>
      <c r="O35" s="328">
        <f t="shared" si="29"/>
        <v>1.87134502923977</v>
      </c>
      <c r="P35" s="329">
        <f t="shared" si="30"/>
        <v>12.6213450292398</v>
      </c>
      <c r="Q35" s="330">
        <v>1</v>
      </c>
      <c r="R35" s="331">
        <f t="shared" si="31"/>
        <v>25.2426900584795</v>
      </c>
      <c r="S35">
        <v>26</v>
      </c>
    </row>
    <row r="36" ht="15" spans="1:19">
      <c r="A36" s="308" t="s">
        <v>2067</v>
      </c>
      <c r="B36" s="319">
        <f t="shared" si="26"/>
        <v>48.6140350877193</v>
      </c>
      <c r="C36" s="320">
        <v>2</v>
      </c>
      <c r="D36" s="320" t="s">
        <v>2037</v>
      </c>
      <c r="E36" s="321">
        <v>2</v>
      </c>
      <c r="F36" s="321"/>
      <c r="G36" s="322">
        <f t="shared" si="1"/>
        <v>21.5278</v>
      </c>
      <c r="H36" s="321"/>
      <c r="I36" s="321"/>
      <c r="J36" s="327">
        <v>43</v>
      </c>
      <c r="K36" s="328">
        <f t="shared" si="27"/>
        <v>21.5</v>
      </c>
      <c r="L36" s="328">
        <v>160</v>
      </c>
      <c r="M36" s="328">
        <f t="shared" si="28"/>
        <v>11.2280701754386</v>
      </c>
      <c r="N36" s="321">
        <v>12</v>
      </c>
      <c r="O36" s="328">
        <f>SUM(M36/N36*3)</f>
        <v>2.80701754385965</v>
      </c>
      <c r="P36" s="329">
        <f t="shared" si="30"/>
        <v>24.3070175438597</v>
      </c>
      <c r="Q36" s="330">
        <v>1</v>
      </c>
      <c r="R36" s="331">
        <f t="shared" si="31"/>
        <v>48.6140350877193</v>
      </c>
      <c r="S36">
        <v>49</v>
      </c>
    </row>
    <row r="37" ht="12.75" spans="1:26">
      <c r="A37" s="316" t="s">
        <v>2068</v>
      </c>
      <c r="B37" s="317"/>
      <c r="C37" s="317"/>
      <c r="D37" s="317"/>
      <c r="E37" s="317"/>
      <c r="F37" s="317"/>
      <c r="G37" s="322">
        <f t="shared" si="1"/>
        <v>0</v>
      </c>
      <c r="H37" s="317"/>
      <c r="I37" s="317"/>
      <c r="J37" s="317"/>
      <c r="K37" s="317"/>
      <c r="L37" s="317"/>
      <c r="M37" s="317"/>
      <c r="N37" s="317"/>
      <c r="O37" s="317"/>
      <c r="P37" s="317"/>
      <c r="Q37" s="317"/>
      <c r="R37" s="317"/>
      <c r="S37" s="317"/>
      <c r="T37" s="317"/>
      <c r="U37" s="317"/>
      <c r="V37" s="317"/>
      <c r="W37" s="317"/>
      <c r="X37" s="317"/>
      <c r="Y37" s="317"/>
      <c r="Z37" s="317"/>
    </row>
    <row r="38" ht="15" spans="1:19">
      <c r="A38" s="308" t="s">
        <v>2069</v>
      </c>
      <c r="B38" s="319">
        <f t="shared" ref="B38:B39" si="32">SUM(R38)</f>
        <v>26.5894736842105</v>
      </c>
      <c r="C38" s="321">
        <v>0.3</v>
      </c>
      <c r="D38" s="320" t="s">
        <v>1064</v>
      </c>
      <c r="E38" s="321">
        <v>0.3</v>
      </c>
      <c r="F38" s="321"/>
      <c r="G38" s="322">
        <f t="shared" si="1"/>
        <v>3.22917</v>
      </c>
      <c r="H38" s="321"/>
      <c r="I38" s="321"/>
      <c r="J38" s="327">
        <v>43</v>
      </c>
      <c r="K38" s="328">
        <f t="shared" ref="K38:K39" si="33">SUM(J38*E38)</f>
        <v>12.9</v>
      </c>
      <c r="L38" s="328">
        <v>100</v>
      </c>
      <c r="M38" s="328">
        <f t="shared" ref="M38:M39" si="34">SUM(L38/9.5)</f>
        <v>10.5263157894737</v>
      </c>
      <c r="N38" s="321">
        <v>80</v>
      </c>
      <c r="O38" s="328">
        <f t="shared" ref="O38:O39" si="35">SUM(M38/N38*3)</f>
        <v>0.394736842105263</v>
      </c>
      <c r="P38" s="329">
        <f t="shared" ref="P38:P39" si="36">SUM(K38+O38)</f>
        <v>13.2947368421053</v>
      </c>
      <c r="Q38" s="330">
        <v>1</v>
      </c>
      <c r="R38" s="331">
        <f t="shared" ref="R38:R39" si="37">SUM(P38*(1+Q38))</f>
        <v>26.5894736842105</v>
      </c>
      <c r="S38" s="331">
        <v>27</v>
      </c>
    </row>
    <row r="39" ht="15" spans="1:19">
      <c r="A39" s="308" t="s">
        <v>2070</v>
      </c>
      <c r="B39" s="319">
        <f t="shared" si="32"/>
        <v>26.5894736842105</v>
      </c>
      <c r="C39" s="321">
        <v>0.3</v>
      </c>
      <c r="D39" s="320" t="s">
        <v>1064</v>
      </c>
      <c r="E39" s="321">
        <v>0.3</v>
      </c>
      <c r="F39" s="321"/>
      <c r="G39" s="322">
        <f t="shared" si="1"/>
        <v>3.22917</v>
      </c>
      <c r="H39" s="321"/>
      <c r="I39" s="321"/>
      <c r="J39" s="327">
        <v>43</v>
      </c>
      <c r="K39" s="328">
        <f t="shared" si="33"/>
        <v>12.9</v>
      </c>
      <c r="L39" s="328">
        <v>100</v>
      </c>
      <c r="M39" s="328">
        <f t="shared" si="34"/>
        <v>10.5263157894737</v>
      </c>
      <c r="N39" s="321">
        <v>80</v>
      </c>
      <c r="O39" s="328">
        <f t="shared" si="35"/>
        <v>0.394736842105263</v>
      </c>
      <c r="P39" s="329">
        <f t="shared" si="36"/>
        <v>13.2947368421053</v>
      </c>
      <c r="Q39" s="330">
        <v>1</v>
      </c>
      <c r="R39" s="331">
        <f t="shared" si="37"/>
        <v>26.5894736842105</v>
      </c>
      <c r="S39">
        <v>27</v>
      </c>
    </row>
    <row r="40" ht="12.75" spans="1:26">
      <c r="A40" s="316" t="s">
        <v>2071</v>
      </c>
      <c r="B40" s="317"/>
      <c r="C40" s="317"/>
      <c r="D40" s="317"/>
      <c r="E40" s="317"/>
      <c r="F40" s="317"/>
      <c r="G40" s="322">
        <f t="shared" si="1"/>
        <v>0</v>
      </c>
      <c r="H40" s="317"/>
      <c r="I40" s="317"/>
      <c r="J40" s="317"/>
      <c r="K40" s="317"/>
      <c r="L40" s="317"/>
      <c r="M40" s="317"/>
      <c r="N40" s="317"/>
      <c r="O40" s="317"/>
      <c r="P40" s="317"/>
      <c r="Q40" s="317"/>
      <c r="R40" s="317"/>
      <c r="S40" s="317"/>
      <c r="T40" s="317"/>
      <c r="U40" s="317"/>
      <c r="V40" s="317"/>
      <c r="W40" s="317"/>
      <c r="X40" s="317"/>
      <c r="Y40" s="317"/>
      <c r="Z40" s="317"/>
    </row>
    <row r="41" ht="15" spans="1:19">
      <c r="A41" s="308" t="s">
        <v>2072</v>
      </c>
      <c r="B41" s="319">
        <f>SUM(R41)</f>
        <v>103.578947368421</v>
      </c>
      <c r="C41" s="320">
        <v>1.5</v>
      </c>
      <c r="D41" s="320" t="s">
        <v>2037</v>
      </c>
      <c r="E41" s="321">
        <v>1.5</v>
      </c>
      <c r="F41" s="321"/>
      <c r="G41" s="322">
        <f t="shared" si="1"/>
        <v>16.14585</v>
      </c>
      <c r="H41" s="321"/>
      <c r="I41" s="321"/>
      <c r="J41" s="327">
        <v>50</v>
      </c>
      <c r="K41" s="328">
        <f>SUM(J41/E41)</f>
        <v>33.3333333333333</v>
      </c>
      <c r="L41" s="328">
        <v>263</v>
      </c>
      <c r="M41" s="328">
        <f>SUM(L41/14.25)</f>
        <v>18.4561403508772</v>
      </c>
      <c r="N41" s="321">
        <v>2</v>
      </c>
      <c r="O41" s="328">
        <f>SUM(M41/N41*2)</f>
        <v>18.4561403508772</v>
      </c>
      <c r="P41" s="329">
        <f>SUM(K41+O41)</f>
        <v>51.7894736842105</v>
      </c>
      <c r="Q41" s="330">
        <v>1</v>
      </c>
      <c r="R41" s="331">
        <f>SUM(P41*(1+Q41))</f>
        <v>103.578947368421</v>
      </c>
      <c r="S41" s="331">
        <v>104</v>
      </c>
    </row>
    <row r="42" ht="15" spans="1:19">
      <c r="A42" s="308" t="s">
        <v>2073</v>
      </c>
      <c r="B42" s="319">
        <v>600</v>
      </c>
      <c r="C42" s="317"/>
      <c r="D42" s="317"/>
      <c r="E42" s="317"/>
      <c r="F42" s="317"/>
      <c r="G42" s="322">
        <f t="shared" si="1"/>
        <v>0</v>
      </c>
      <c r="H42" s="317"/>
      <c r="I42" s="317"/>
      <c r="J42" s="317"/>
      <c r="K42" s="317"/>
      <c r="L42" s="317"/>
      <c r="M42" s="317"/>
      <c r="N42" s="317"/>
      <c r="O42" s="317"/>
      <c r="P42" s="317"/>
      <c r="Q42" s="317"/>
      <c r="R42" s="317"/>
      <c r="S42" s="317"/>
    </row>
    <row r="43" ht="15" spans="1:19">
      <c r="A43" s="308" t="s">
        <v>2074</v>
      </c>
      <c r="B43" s="319">
        <v>1500</v>
      </c>
      <c r="C43" s="317"/>
      <c r="D43" s="317"/>
      <c r="E43" s="317"/>
      <c r="F43" s="317"/>
      <c r="G43" s="322">
        <f t="shared" si="1"/>
        <v>0</v>
      </c>
      <c r="H43" s="317"/>
      <c r="I43" s="317"/>
      <c r="J43" s="317"/>
      <c r="K43" s="317"/>
      <c r="L43" s="317"/>
      <c r="M43" s="317"/>
      <c r="N43" s="317"/>
      <c r="O43" s="317"/>
      <c r="P43" s="317"/>
      <c r="Q43" s="317"/>
      <c r="R43" s="317"/>
      <c r="S43" s="317"/>
    </row>
    <row r="44" ht="15" spans="1:19">
      <c r="A44" s="308" t="s">
        <v>2075</v>
      </c>
      <c r="B44" s="319">
        <f>SUM(R44)</f>
        <v>17.7614035087719</v>
      </c>
      <c r="C44" s="320">
        <v>5</v>
      </c>
      <c r="D44" s="320" t="s">
        <v>2037</v>
      </c>
      <c r="E44" s="321">
        <v>5</v>
      </c>
      <c r="F44" s="321"/>
      <c r="G44" s="322">
        <f t="shared" si="1"/>
        <v>53.8195</v>
      </c>
      <c r="H44" s="321"/>
      <c r="I44" s="321"/>
      <c r="J44" s="327">
        <v>43</v>
      </c>
      <c r="K44" s="328">
        <f>SUM(J44/E44)</f>
        <v>8.6</v>
      </c>
      <c r="L44" s="328">
        <v>20</v>
      </c>
      <c r="M44" s="328">
        <f>SUM(L44/14.25)</f>
        <v>1.40350877192982</v>
      </c>
      <c r="N44" s="321">
        <v>10</v>
      </c>
      <c r="O44" s="328">
        <f>SUM(M44/N44*2)</f>
        <v>0.280701754385965</v>
      </c>
      <c r="P44" s="329">
        <f>SUM(K44+O44)</f>
        <v>8.88070175438596</v>
      </c>
      <c r="Q44" s="330">
        <v>1</v>
      </c>
      <c r="R44" s="331">
        <f>SUM(P44*(1+Q44))</f>
        <v>17.7614035087719</v>
      </c>
      <c r="S44" s="331">
        <v>18</v>
      </c>
    </row>
    <row r="45" ht="12.75" spans="1:26">
      <c r="A45" s="316" t="s">
        <v>40</v>
      </c>
      <c r="B45" s="317"/>
      <c r="C45" s="317"/>
      <c r="D45" s="317"/>
      <c r="E45" s="317"/>
      <c r="F45" s="317"/>
      <c r="G45" s="322">
        <f t="shared" si="1"/>
        <v>0</v>
      </c>
      <c r="H45" s="317"/>
      <c r="I45" s="317"/>
      <c r="J45" s="317"/>
      <c r="K45" s="317"/>
      <c r="L45" s="317"/>
      <c r="M45" s="317"/>
      <c r="N45" s="317"/>
      <c r="O45" s="317"/>
      <c r="P45" s="317"/>
      <c r="Q45" s="317"/>
      <c r="R45" s="317"/>
      <c r="S45" s="317"/>
      <c r="T45" s="317"/>
      <c r="U45" s="317"/>
      <c r="V45" s="317"/>
      <c r="W45" s="317"/>
      <c r="X45" s="317"/>
      <c r="Y45" s="317"/>
      <c r="Z45" s="317"/>
    </row>
    <row r="46" ht="15" spans="1:19">
      <c r="A46" s="308" t="s">
        <v>2076</v>
      </c>
      <c r="B46" s="319">
        <f t="shared" ref="B46:B47" si="38">SUM(R46)</f>
        <v>19.0491228070175</v>
      </c>
      <c r="C46" s="320">
        <v>6</v>
      </c>
      <c r="D46" s="320" t="s">
        <v>2037</v>
      </c>
      <c r="E46" s="321">
        <v>6</v>
      </c>
      <c r="F46" s="321"/>
      <c r="G46" s="322">
        <f t="shared" si="1"/>
        <v>64.5834</v>
      </c>
      <c r="H46" s="321"/>
      <c r="I46" s="321"/>
      <c r="J46" s="327">
        <v>43</v>
      </c>
      <c r="K46" s="328">
        <f t="shared" ref="K46:K47" si="39">SUM(J46/E46)</f>
        <v>7.16666666666667</v>
      </c>
      <c r="L46" s="328">
        <v>112</v>
      </c>
      <c r="M46" s="328">
        <f t="shared" ref="M46:M47" si="40">SUM(L46/9.5)</f>
        <v>11.7894736842105</v>
      </c>
      <c r="N46" s="321">
        <v>15</v>
      </c>
      <c r="O46" s="328">
        <f t="shared" ref="O46:O47" si="41">SUM(M46/N46*3)</f>
        <v>2.35789473684211</v>
      </c>
      <c r="P46" s="329">
        <f t="shared" ref="P46:P47" si="42">SUM(K46+O46)</f>
        <v>9.52456140350877</v>
      </c>
      <c r="Q46" s="330">
        <v>1</v>
      </c>
      <c r="R46" s="331">
        <f t="shared" ref="R46:R47" si="43">SUM(P46*(1+Q46))</f>
        <v>19.0491228070175</v>
      </c>
      <c r="S46" s="331">
        <v>20</v>
      </c>
    </row>
    <row r="47" ht="15" spans="1:19">
      <c r="A47" s="308" t="s">
        <v>2077</v>
      </c>
      <c r="B47" s="319">
        <f t="shared" si="38"/>
        <v>19.7157894736842</v>
      </c>
      <c r="C47" s="320">
        <v>6</v>
      </c>
      <c r="D47" s="320" t="s">
        <v>2037</v>
      </c>
      <c r="E47" s="321">
        <v>6</v>
      </c>
      <c r="F47" s="321"/>
      <c r="G47" s="322">
        <f t="shared" si="1"/>
        <v>64.5834</v>
      </c>
      <c r="H47" s="321"/>
      <c r="I47" s="321"/>
      <c r="J47" s="327">
        <v>45</v>
      </c>
      <c r="K47" s="328">
        <f t="shared" si="39"/>
        <v>7.5</v>
      </c>
      <c r="L47" s="328">
        <v>112</v>
      </c>
      <c r="M47" s="328">
        <f t="shared" si="40"/>
        <v>11.7894736842105</v>
      </c>
      <c r="N47" s="321">
        <v>15</v>
      </c>
      <c r="O47" s="328">
        <f t="shared" si="41"/>
        <v>2.35789473684211</v>
      </c>
      <c r="P47" s="329">
        <f t="shared" si="42"/>
        <v>9.85789473684211</v>
      </c>
      <c r="Q47" s="330">
        <v>1</v>
      </c>
      <c r="R47" s="331">
        <f t="shared" si="43"/>
        <v>19.7157894736842</v>
      </c>
      <c r="S47">
        <v>20</v>
      </c>
    </row>
    <row r="48" ht="12.75" spans="1:26">
      <c r="A48" s="316" t="s">
        <v>2078</v>
      </c>
      <c r="B48" s="317"/>
      <c r="C48" s="317"/>
      <c r="D48" s="317"/>
      <c r="E48" s="317"/>
      <c r="F48" s="317"/>
      <c r="G48" s="322">
        <f t="shared" si="1"/>
        <v>0</v>
      </c>
      <c r="H48" s="317"/>
      <c r="I48" s="317"/>
      <c r="J48" s="317"/>
      <c r="K48" s="317"/>
      <c r="L48" s="317"/>
      <c r="M48" s="317"/>
      <c r="N48" s="317"/>
      <c r="O48" s="317"/>
      <c r="P48" s="317"/>
      <c r="Q48" s="317"/>
      <c r="R48" s="317"/>
      <c r="S48" s="317"/>
      <c r="T48" s="317"/>
      <c r="U48" s="317"/>
      <c r="V48" s="317"/>
      <c r="W48" s="317"/>
      <c r="X48" s="317"/>
      <c r="Y48" s="317"/>
      <c r="Z48" s="317"/>
    </row>
    <row r="49" ht="15" spans="1:19">
      <c r="A49" s="308" t="s">
        <v>2079</v>
      </c>
      <c r="B49" s="323" t="s">
        <v>2080</v>
      </c>
      <c r="C49" s="321"/>
      <c r="D49" s="320"/>
      <c r="E49" s="321"/>
      <c r="F49" s="321"/>
      <c r="G49" s="322">
        <f t="shared" si="1"/>
        <v>0</v>
      </c>
      <c r="H49" s="321"/>
      <c r="I49" s="321"/>
      <c r="J49" s="327"/>
      <c r="K49" s="328"/>
      <c r="L49" s="328"/>
      <c r="M49" s="328"/>
      <c r="N49" s="321"/>
      <c r="O49" s="328"/>
      <c r="P49" s="329"/>
      <c r="Q49" s="330"/>
      <c r="R49" s="331"/>
      <c r="S49" s="331"/>
    </row>
    <row r="50" ht="15" spans="1:19">
      <c r="A50" s="308" t="s">
        <v>2081</v>
      </c>
      <c r="B50" s="323" t="s">
        <v>2080</v>
      </c>
      <c r="C50" s="321"/>
      <c r="D50" s="320"/>
      <c r="E50" s="321"/>
      <c r="F50" s="321"/>
      <c r="G50" s="322">
        <f t="shared" si="1"/>
        <v>0</v>
      </c>
      <c r="H50" s="321"/>
      <c r="I50" s="321"/>
      <c r="J50" s="327"/>
      <c r="K50" s="328"/>
      <c r="L50" s="328"/>
      <c r="M50" s="328"/>
      <c r="N50" s="321"/>
      <c r="O50" s="328"/>
      <c r="P50" s="329"/>
      <c r="Q50" s="330"/>
      <c r="R50" s="331"/>
      <c r="S50" s="331"/>
    </row>
    <row r="51" ht="15" spans="1:19">
      <c r="A51" s="308" t="s">
        <v>2082</v>
      </c>
      <c r="B51" s="323" t="s">
        <v>2080</v>
      </c>
      <c r="C51" s="321"/>
      <c r="D51" s="320"/>
      <c r="E51" s="321"/>
      <c r="F51" s="321"/>
      <c r="G51" s="322">
        <f t="shared" si="1"/>
        <v>0</v>
      </c>
      <c r="H51" s="321"/>
      <c r="I51" s="321"/>
      <c r="J51" s="327"/>
      <c r="K51" s="328"/>
      <c r="L51" s="328"/>
      <c r="M51" s="328"/>
      <c r="N51" s="321"/>
      <c r="O51" s="328"/>
      <c r="P51" s="329"/>
      <c r="Q51" s="330"/>
      <c r="R51" s="331"/>
      <c r="S51" s="331"/>
    </row>
    <row r="52" ht="15" spans="1:19">
      <c r="A52" s="308" t="s">
        <v>2083</v>
      </c>
      <c r="B52" s="323" t="s">
        <v>2080</v>
      </c>
      <c r="C52" s="321"/>
      <c r="D52" s="320"/>
      <c r="E52" s="321"/>
      <c r="F52" s="321"/>
      <c r="G52" s="322">
        <f t="shared" si="1"/>
        <v>0</v>
      </c>
      <c r="H52" s="321"/>
      <c r="I52" s="321"/>
      <c r="J52" s="327"/>
      <c r="K52" s="328"/>
      <c r="L52" s="328"/>
      <c r="M52" s="328"/>
      <c r="N52" s="321"/>
      <c r="O52" s="328"/>
      <c r="P52" s="329"/>
      <c r="Q52" s="330"/>
      <c r="R52" s="331"/>
      <c r="S52" s="331"/>
    </row>
    <row r="53" ht="12.75" spans="1:26">
      <c r="A53" s="316" t="s">
        <v>151</v>
      </c>
      <c r="B53" s="317"/>
      <c r="C53" s="317"/>
      <c r="D53" s="317"/>
      <c r="E53" s="317"/>
      <c r="F53" s="317"/>
      <c r="G53" s="322">
        <f t="shared" si="1"/>
        <v>0</v>
      </c>
      <c r="H53" s="317"/>
      <c r="I53" s="317"/>
      <c r="J53" s="317"/>
      <c r="K53" s="317"/>
      <c r="L53" s="317"/>
      <c r="M53" s="317"/>
      <c r="N53" s="317"/>
      <c r="O53" s="317"/>
      <c r="P53" s="317"/>
      <c r="Q53" s="317"/>
      <c r="R53" s="317"/>
      <c r="S53" s="317"/>
      <c r="T53" s="317"/>
      <c r="U53" s="317"/>
      <c r="V53" s="317"/>
      <c r="W53" s="317"/>
      <c r="X53" s="317"/>
      <c r="Y53" s="317"/>
      <c r="Z53" s="317"/>
    </row>
    <row r="54" ht="15" spans="1:19">
      <c r="A54" s="308" t="s">
        <v>2084</v>
      </c>
      <c r="B54" s="319">
        <f t="shared" ref="B54:B58" si="44">SUM(R54)</f>
        <v>2.77263157894737</v>
      </c>
      <c r="C54" s="320">
        <v>50</v>
      </c>
      <c r="D54" s="320" t="s">
        <v>2037</v>
      </c>
      <c r="E54" s="321">
        <v>50</v>
      </c>
      <c r="F54" s="321"/>
      <c r="G54" s="322">
        <f t="shared" si="1"/>
        <v>538.195</v>
      </c>
      <c r="H54" s="321"/>
      <c r="I54" s="321"/>
      <c r="J54" s="327">
        <v>43</v>
      </c>
      <c r="K54" s="328">
        <f t="shared" ref="K54:K58" si="45">SUM(J54/E54)</f>
        <v>0.86</v>
      </c>
      <c r="L54" s="328">
        <v>50</v>
      </c>
      <c r="M54" s="328">
        <f t="shared" ref="M54:M58" si="46">SUM(L54/9.5)</f>
        <v>5.26315789473684</v>
      </c>
      <c r="N54" s="321">
        <v>10</v>
      </c>
      <c r="O54" s="328">
        <f t="shared" ref="O54:O58" si="47">SUM(M54/N54)</f>
        <v>0.526315789473684</v>
      </c>
      <c r="P54" s="329">
        <f t="shared" ref="P54:P58" si="48">SUM(K54+O54)</f>
        <v>1.38631578947368</v>
      </c>
      <c r="Q54" s="330">
        <v>1</v>
      </c>
      <c r="R54" s="331">
        <f t="shared" ref="R54:R58" si="49">SUM(P54*(1+Q54))</f>
        <v>2.77263157894737</v>
      </c>
      <c r="S54" s="331">
        <v>3</v>
      </c>
    </row>
    <row r="55" ht="15" spans="1:19">
      <c r="A55" s="308" t="s">
        <v>2085</v>
      </c>
      <c r="B55" s="319">
        <f t="shared" si="44"/>
        <v>5.35263157894737</v>
      </c>
      <c r="C55" s="320">
        <v>15</v>
      </c>
      <c r="D55" s="320" t="s">
        <v>2037</v>
      </c>
      <c r="E55" s="321">
        <v>20</v>
      </c>
      <c r="F55" s="321"/>
      <c r="G55" s="322">
        <f t="shared" si="1"/>
        <v>161.4585</v>
      </c>
      <c r="H55" s="321"/>
      <c r="I55" s="321"/>
      <c r="J55" s="327">
        <v>43</v>
      </c>
      <c r="K55" s="328">
        <f t="shared" si="45"/>
        <v>2.15</v>
      </c>
      <c r="L55" s="328">
        <v>50</v>
      </c>
      <c r="M55" s="328">
        <f t="shared" si="46"/>
        <v>5.26315789473684</v>
      </c>
      <c r="N55" s="321">
        <v>10</v>
      </c>
      <c r="O55" s="328">
        <f t="shared" si="47"/>
        <v>0.526315789473684</v>
      </c>
      <c r="P55" s="329">
        <f t="shared" si="48"/>
        <v>2.67631578947368</v>
      </c>
      <c r="Q55" s="330">
        <v>1</v>
      </c>
      <c r="R55" s="331">
        <f t="shared" si="49"/>
        <v>5.35263157894737</v>
      </c>
      <c r="S55">
        <v>6</v>
      </c>
    </row>
    <row r="56" ht="15" spans="1:19">
      <c r="A56" s="308" t="s">
        <v>2086</v>
      </c>
      <c r="B56" s="319">
        <f t="shared" si="44"/>
        <v>2.77263157894737</v>
      </c>
      <c r="C56" s="320">
        <v>50</v>
      </c>
      <c r="D56" s="320" t="s">
        <v>2037</v>
      </c>
      <c r="E56" s="321">
        <v>50</v>
      </c>
      <c r="F56" s="321"/>
      <c r="G56" s="322">
        <f t="shared" si="1"/>
        <v>538.195</v>
      </c>
      <c r="H56" s="321"/>
      <c r="I56" s="321"/>
      <c r="J56" s="327">
        <v>43</v>
      </c>
      <c r="K56" s="328">
        <f t="shared" si="45"/>
        <v>0.86</v>
      </c>
      <c r="L56" s="328">
        <v>50</v>
      </c>
      <c r="M56" s="328">
        <f t="shared" si="46"/>
        <v>5.26315789473684</v>
      </c>
      <c r="N56" s="321">
        <v>10</v>
      </c>
      <c r="O56" s="328">
        <f t="shared" si="47"/>
        <v>0.526315789473684</v>
      </c>
      <c r="P56" s="329">
        <f t="shared" si="48"/>
        <v>1.38631578947368</v>
      </c>
      <c r="Q56" s="330">
        <v>1</v>
      </c>
      <c r="R56" s="331">
        <f t="shared" si="49"/>
        <v>2.77263157894737</v>
      </c>
      <c r="S56">
        <v>3</v>
      </c>
    </row>
    <row r="57" ht="15" spans="1:19">
      <c r="A57" s="308" t="s">
        <v>2087</v>
      </c>
      <c r="B57" s="319">
        <f t="shared" si="44"/>
        <v>5.35263157894737</v>
      </c>
      <c r="C57" s="320">
        <v>20</v>
      </c>
      <c r="D57" s="320" t="s">
        <v>2037</v>
      </c>
      <c r="E57" s="321">
        <v>20</v>
      </c>
      <c r="F57" s="321"/>
      <c r="G57" s="322">
        <f t="shared" si="1"/>
        <v>215.278</v>
      </c>
      <c r="H57" s="321"/>
      <c r="I57" s="321"/>
      <c r="J57" s="327">
        <v>43</v>
      </c>
      <c r="K57" s="328">
        <f t="shared" si="45"/>
        <v>2.15</v>
      </c>
      <c r="L57" s="328">
        <v>50</v>
      </c>
      <c r="M57" s="328">
        <f t="shared" si="46"/>
        <v>5.26315789473684</v>
      </c>
      <c r="N57" s="321">
        <v>10</v>
      </c>
      <c r="O57" s="328">
        <f t="shared" si="47"/>
        <v>0.526315789473684</v>
      </c>
      <c r="P57" s="329">
        <f t="shared" si="48"/>
        <v>2.67631578947368</v>
      </c>
      <c r="Q57" s="330">
        <v>1</v>
      </c>
      <c r="R57" s="331">
        <f t="shared" si="49"/>
        <v>5.35263157894737</v>
      </c>
      <c r="S57">
        <v>6</v>
      </c>
    </row>
    <row r="58" ht="15" spans="1:19">
      <c r="A58" s="308" t="s">
        <v>2088</v>
      </c>
      <c r="B58" s="319">
        <f t="shared" si="44"/>
        <v>3.20263157894737</v>
      </c>
      <c r="C58" s="320">
        <v>40</v>
      </c>
      <c r="D58" s="320" t="s">
        <v>2037</v>
      </c>
      <c r="E58" s="321">
        <v>40</v>
      </c>
      <c r="F58" s="321"/>
      <c r="G58" s="322">
        <f t="shared" si="1"/>
        <v>430.556</v>
      </c>
      <c r="H58" s="321"/>
      <c r="I58" s="321"/>
      <c r="J58" s="327">
        <v>43</v>
      </c>
      <c r="K58" s="328">
        <f t="shared" si="45"/>
        <v>1.075</v>
      </c>
      <c r="L58" s="328">
        <v>50</v>
      </c>
      <c r="M58" s="328">
        <f t="shared" si="46"/>
        <v>5.26315789473684</v>
      </c>
      <c r="N58" s="321">
        <v>10</v>
      </c>
      <c r="O58" s="328">
        <f t="shared" si="47"/>
        <v>0.526315789473684</v>
      </c>
      <c r="P58" s="329">
        <f t="shared" si="48"/>
        <v>1.60131578947368</v>
      </c>
      <c r="Q58" s="330">
        <v>1</v>
      </c>
      <c r="R58" s="331">
        <f t="shared" si="49"/>
        <v>3.20263157894737</v>
      </c>
      <c r="S58">
        <v>4</v>
      </c>
    </row>
    <row r="59" ht="12.75" spans="1:26">
      <c r="A59" s="316" t="s">
        <v>2089</v>
      </c>
      <c r="B59" s="317"/>
      <c r="C59" s="317"/>
      <c r="D59" s="317"/>
      <c r="E59" s="317"/>
      <c r="F59" s="317"/>
      <c r="G59" s="322">
        <f t="shared" si="1"/>
        <v>0</v>
      </c>
      <c r="H59" s="317"/>
      <c r="I59" s="317"/>
      <c r="J59" s="317"/>
      <c r="K59" s="317"/>
      <c r="L59" s="317"/>
      <c r="M59" s="317"/>
      <c r="N59" s="317"/>
      <c r="O59" s="317"/>
      <c r="P59" s="317"/>
      <c r="Q59" s="317"/>
      <c r="R59" s="317"/>
      <c r="S59" s="317"/>
      <c r="T59" s="317"/>
      <c r="U59" s="317"/>
      <c r="V59" s="317"/>
      <c r="W59" s="317"/>
      <c r="X59" s="317"/>
      <c r="Y59" s="317"/>
      <c r="Z59" s="317"/>
    </row>
    <row r="60" ht="15" spans="1:19">
      <c r="A60" s="308" t="s">
        <v>2090</v>
      </c>
      <c r="B60" s="319">
        <f t="shared" ref="B60:B63" si="50">SUM(R60)</f>
        <v>7.75578947368421</v>
      </c>
      <c r="C60" s="320">
        <v>25</v>
      </c>
      <c r="D60" s="320" t="s">
        <v>2033</v>
      </c>
      <c r="E60" s="320">
        <v>25</v>
      </c>
      <c r="F60" s="320"/>
      <c r="G60" s="322">
        <f t="shared" si="1"/>
        <v>269.0975</v>
      </c>
      <c r="H60" s="320"/>
      <c r="I60" s="320"/>
      <c r="J60" s="327">
        <v>43</v>
      </c>
      <c r="K60" s="328">
        <f t="shared" ref="K60:K63" si="51">SUM(J60/E60)</f>
        <v>1.72</v>
      </c>
      <c r="L60" s="328">
        <v>102.5</v>
      </c>
      <c r="M60" s="328">
        <f t="shared" ref="M60:M63" si="52">SUM(L60/9.5)</f>
        <v>10.7894736842105</v>
      </c>
      <c r="N60" s="321">
        <v>10</v>
      </c>
      <c r="O60" s="328">
        <f>SUM(M60/N60*2)</f>
        <v>2.15789473684211</v>
      </c>
      <c r="P60" s="329">
        <f t="shared" ref="P60:P63" si="53">SUM(K60+O60)</f>
        <v>3.8778947368421</v>
      </c>
      <c r="Q60" s="330">
        <v>1</v>
      </c>
      <c r="R60" s="331">
        <f t="shared" ref="R60:R63" si="54">SUM(P60*(1+Q60))</f>
        <v>7.75578947368421</v>
      </c>
      <c r="S60" s="331">
        <v>8</v>
      </c>
    </row>
    <row r="61" ht="15" spans="1:19">
      <c r="A61" s="308" t="s">
        <v>2091</v>
      </c>
      <c r="B61" s="319">
        <f t="shared" si="50"/>
        <v>10.7736842105263</v>
      </c>
      <c r="C61" s="320">
        <v>20</v>
      </c>
      <c r="D61" s="320" t="s">
        <v>2033</v>
      </c>
      <c r="E61" s="320">
        <v>20</v>
      </c>
      <c r="F61" s="320"/>
      <c r="G61" s="322">
        <f t="shared" si="1"/>
        <v>215.278</v>
      </c>
      <c r="H61" s="320"/>
      <c r="I61" s="320"/>
      <c r="J61" s="327">
        <v>43</v>
      </c>
      <c r="K61" s="328">
        <f t="shared" si="51"/>
        <v>2.15</v>
      </c>
      <c r="L61" s="328">
        <v>102.5</v>
      </c>
      <c r="M61" s="328">
        <f t="shared" si="52"/>
        <v>10.7894736842105</v>
      </c>
      <c r="N61" s="321">
        <v>10</v>
      </c>
      <c r="O61" s="328">
        <f t="shared" ref="O61:O62" si="55">SUM(M61/N61*3)</f>
        <v>3.23684210526316</v>
      </c>
      <c r="P61" s="329">
        <f t="shared" si="53"/>
        <v>5.38684210526316</v>
      </c>
      <c r="Q61" s="330">
        <v>1</v>
      </c>
      <c r="R61" s="331">
        <f t="shared" si="54"/>
        <v>10.7736842105263</v>
      </c>
      <c r="S61">
        <v>11</v>
      </c>
    </row>
    <row r="62" ht="15" spans="1:19">
      <c r="A62" s="308" t="s">
        <v>2092</v>
      </c>
      <c r="B62" s="319">
        <f t="shared" si="50"/>
        <v>9.91368421052632</v>
      </c>
      <c r="C62" s="320">
        <v>25</v>
      </c>
      <c r="D62" s="320" t="s">
        <v>2033</v>
      </c>
      <c r="E62" s="320">
        <v>25</v>
      </c>
      <c r="F62" s="320"/>
      <c r="G62" s="322">
        <f t="shared" si="1"/>
        <v>269.0975</v>
      </c>
      <c r="H62" s="320"/>
      <c r="I62" s="320"/>
      <c r="J62" s="327">
        <v>43</v>
      </c>
      <c r="K62" s="328">
        <f t="shared" si="51"/>
        <v>1.72</v>
      </c>
      <c r="L62" s="328">
        <v>102.5</v>
      </c>
      <c r="M62" s="328">
        <f t="shared" si="52"/>
        <v>10.7894736842105</v>
      </c>
      <c r="N62" s="321">
        <v>10</v>
      </c>
      <c r="O62" s="328">
        <f t="shared" si="55"/>
        <v>3.23684210526316</v>
      </c>
      <c r="P62" s="329">
        <f t="shared" si="53"/>
        <v>4.95684210526316</v>
      </c>
      <c r="Q62" s="330">
        <v>1</v>
      </c>
      <c r="R62" s="331">
        <f t="shared" si="54"/>
        <v>9.91368421052632</v>
      </c>
      <c r="S62">
        <v>10</v>
      </c>
    </row>
    <row r="63" ht="15" spans="1:19">
      <c r="A63" s="308" t="s">
        <v>2093</v>
      </c>
      <c r="B63" s="319">
        <f t="shared" si="50"/>
        <v>7.18245614035088</v>
      </c>
      <c r="C63" s="320">
        <v>30</v>
      </c>
      <c r="D63" s="320" t="s">
        <v>2033</v>
      </c>
      <c r="E63" s="320">
        <v>30</v>
      </c>
      <c r="F63" s="320"/>
      <c r="G63" s="322">
        <f t="shared" si="1"/>
        <v>322.917</v>
      </c>
      <c r="H63" s="320"/>
      <c r="I63" s="320"/>
      <c r="J63" s="327">
        <v>43</v>
      </c>
      <c r="K63" s="328">
        <f t="shared" si="51"/>
        <v>1.43333333333333</v>
      </c>
      <c r="L63" s="328">
        <v>102.5</v>
      </c>
      <c r="M63" s="328">
        <f t="shared" si="52"/>
        <v>10.7894736842105</v>
      </c>
      <c r="N63" s="321">
        <v>10</v>
      </c>
      <c r="O63" s="328">
        <f>SUM(M63/N63*2)</f>
        <v>2.15789473684211</v>
      </c>
      <c r="P63" s="329">
        <f t="shared" si="53"/>
        <v>3.59122807017544</v>
      </c>
      <c r="Q63" s="330">
        <v>1</v>
      </c>
      <c r="R63" s="331">
        <f t="shared" si="54"/>
        <v>7.18245614035088</v>
      </c>
      <c r="S63">
        <v>8</v>
      </c>
    </row>
    <row r="64" ht="12.75" spans="1:26">
      <c r="A64" s="316" t="s">
        <v>2094</v>
      </c>
      <c r="B64" s="317"/>
      <c r="C64" s="317"/>
      <c r="D64" s="317"/>
      <c r="E64" s="317"/>
      <c r="F64" s="317"/>
      <c r="G64" s="322">
        <f t="shared" si="1"/>
        <v>0</v>
      </c>
      <c r="H64" s="317"/>
      <c r="I64" s="317"/>
      <c r="J64" s="317"/>
      <c r="K64" s="317"/>
      <c r="L64" s="317"/>
      <c r="M64" s="317"/>
      <c r="N64" s="317"/>
      <c r="O64" s="317"/>
      <c r="P64" s="317"/>
      <c r="Q64" s="317"/>
      <c r="R64" s="317"/>
      <c r="S64" s="317"/>
      <c r="T64" s="317"/>
      <c r="U64" s="317"/>
      <c r="V64" s="317"/>
      <c r="W64" s="317"/>
      <c r="X64" s="317"/>
      <c r="Y64" s="317"/>
      <c r="Z64" s="317"/>
    </row>
    <row r="65" ht="15" spans="1:19">
      <c r="A65" s="308" t="s">
        <v>2095</v>
      </c>
      <c r="B65" s="319">
        <f t="shared" ref="B65:B78" si="56">SUM(R65)</f>
        <v>10.3700159489633</v>
      </c>
      <c r="C65" s="320">
        <v>11</v>
      </c>
      <c r="D65" s="320" t="s">
        <v>2037</v>
      </c>
      <c r="E65" s="321">
        <v>11</v>
      </c>
      <c r="F65" s="321"/>
      <c r="G65" s="322">
        <f t="shared" si="1"/>
        <v>118.4029</v>
      </c>
      <c r="H65" s="321"/>
      <c r="I65" s="321"/>
      <c r="J65" s="327">
        <v>43</v>
      </c>
      <c r="K65" s="328">
        <f t="shared" ref="K65:K78" si="57">SUM(J65/E65)</f>
        <v>3.90909090909091</v>
      </c>
      <c r="L65" s="328">
        <v>100</v>
      </c>
      <c r="M65" s="328">
        <f t="shared" ref="M65:M78" si="58">SUM(L65/14.25)</f>
        <v>7.01754385964912</v>
      </c>
      <c r="N65" s="321">
        <v>11</v>
      </c>
      <c r="O65" s="328">
        <f t="shared" ref="O65:O67" si="59">SUM(M65/N65*2)</f>
        <v>1.27591706539075</v>
      </c>
      <c r="P65" s="329">
        <f t="shared" ref="P65:P78" si="60">SUM(K65+O65)</f>
        <v>5.18500797448166</v>
      </c>
      <c r="Q65" s="330">
        <v>1</v>
      </c>
      <c r="R65" s="331">
        <f t="shared" ref="R65:R78" si="61">SUM(P65*(1+Q65))</f>
        <v>10.3700159489633</v>
      </c>
      <c r="S65" s="331">
        <v>11</v>
      </c>
    </row>
    <row r="66" ht="15" spans="1:19">
      <c r="A66" s="308" t="s">
        <v>2096</v>
      </c>
      <c r="B66" s="319">
        <f t="shared" si="56"/>
        <v>13.3018341307815</v>
      </c>
      <c r="C66" s="320">
        <v>8</v>
      </c>
      <c r="D66" s="320" t="s">
        <v>2037</v>
      </c>
      <c r="E66" s="321">
        <v>8</v>
      </c>
      <c r="F66" s="321"/>
      <c r="G66" s="322">
        <f t="shared" si="1"/>
        <v>86.1112</v>
      </c>
      <c r="H66" s="321"/>
      <c r="I66" s="321"/>
      <c r="J66" s="327">
        <v>43</v>
      </c>
      <c r="K66" s="328">
        <f t="shared" si="57"/>
        <v>5.375</v>
      </c>
      <c r="L66" s="328">
        <v>100</v>
      </c>
      <c r="M66" s="328">
        <f t="shared" si="58"/>
        <v>7.01754385964912</v>
      </c>
      <c r="N66" s="321">
        <v>11</v>
      </c>
      <c r="O66" s="328">
        <f t="shared" si="59"/>
        <v>1.27591706539075</v>
      </c>
      <c r="P66" s="329">
        <f t="shared" si="60"/>
        <v>6.65091706539075</v>
      </c>
      <c r="Q66" s="330">
        <v>1</v>
      </c>
      <c r="R66" s="331">
        <f t="shared" si="61"/>
        <v>13.3018341307815</v>
      </c>
      <c r="S66">
        <v>14</v>
      </c>
    </row>
    <row r="67" ht="15" spans="1:19">
      <c r="A67" s="308" t="s">
        <v>2097</v>
      </c>
      <c r="B67" s="319">
        <f t="shared" si="56"/>
        <v>10.3700159489633</v>
      </c>
      <c r="C67" s="320">
        <v>11</v>
      </c>
      <c r="D67" s="320" t="s">
        <v>2037</v>
      </c>
      <c r="E67" s="321">
        <v>11</v>
      </c>
      <c r="F67" s="321"/>
      <c r="G67" s="322">
        <f t="shared" si="1"/>
        <v>118.4029</v>
      </c>
      <c r="H67" s="321"/>
      <c r="I67" s="321"/>
      <c r="J67" s="327">
        <v>43</v>
      </c>
      <c r="K67" s="328">
        <f t="shared" si="57"/>
        <v>3.90909090909091</v>
      </c>
      <c r="L67" s="328">
        <v>100</v>
      </c>
      <c r="M67" s="328">
        <f t="shared" si="58"/>
        <v>7.01754385964912</v>
      </c>
      <c r="N67" s="321">
        <v>11</v>
      </c>
      <c r="O67" s="328">
        <f t="shared" si="59"/>
        <v>1.27591706539075</v>
      </c>
      <c r="P67" s="329">
        <f t="shared" si="60"/>
        <v>5.18500797448166</v>
      </c>
      <c r="Q67" s="330">
        <v>1</v>
      </c>
      <c r="R67" s="331">
        <f t="shared" si="61"/>
        <v>10.3700159489633</v>
      </c>
      <c r="S67">
        <v>11</v>
      </c>
    </row>
    <row r="68" ht="15" spans="1:19">
      <c r="A68" s="308" t="s">
        <v>2098</v>
      </c>
      <c r="B68" s="319">
        <f t="shared" si="56"/>
        <v>17.4551834130781</v>
      </c>
      <c r="C68" s="320">
        <v>5</v>
      </c>
      <c r="D68" s="320" t="s">
        <v>2037</v>
      </c>
      <c r="E68" s="321">
        <v>5</v>
      </c>
      <c r="F68" s="321"/>
      <c r="G68" s="322">
        <f t="shared" si="1"/>
        <v>53.8195</v>
      </c>
      <c r="H68" s="321"/>
      <c r="I68" s="321"/>
      <c r="J68" s="327">
        <v>43</v>
      </c>
      <c r="K68" s="328">
        <f t="shared" si="57"/>
        <v>8.6</v>
      </c>
      <c r="L68" s="328">
        <v>20</v>
      </c>
      <c r="M68" s="328">
        <f t="shared" si="58"/>
        <v>1.40350877192982</v>
      </c>
      <c r="N68" s="321">
        <v>11</v>
      </c>
      <c r="O68" s="328">
        <f t="shared" ref="O68:O69" si="62">SUM(M68/N68)</f>
        <v>0.127591706539075</v>
      </c>
      <c r="P68" s="329">
        <f t="shared" si="60"/>
        <v>8.72759170653907</v>
      </c>
      <c r="Q68" s="330">
        <v>1</v>
      </c>
      <c r="R68" s="331">
        <f t="shared" si="61"/>
        <v>17.4551834130781</v>
      </c>
      <c r="S68">
        <v>18</v>
      </c>
    </row>
    <row r="69" ht="15" spans="1:19">
      <c r="A69" s="308" t="s">
        <v>2099</v>
      </c>
      <c r="B69" s="319">
        <f t="shared" si="56"/>
        <v>6.88165869218501</v>
      </c>
      <c r="C69" s="320">
        <v>15</v>
      </c>
      <c r="D69" s="320" t="s">
        <v>2037</v>
      </c>
      <c r="E69" s="321">
        <v>15</v>
      </c>
      <c r="F69" s="321"/>
      <c r="G69" s="322">
        <f t="shared" si="1"/>
        <v>161.4585</v>
      </c>
      <c r="H69" s="321"/>
      <c r="I69" s="321"/>
      <c r="J69" s="327">
        <v>43</v>
      </c>
      <c r="K69" s="328">
        <f t="shared" si="57"/>
        <v>2.86666666666667</v>
      </c>
      <c r="L69" s="328">
        <v>90</v>
      </c>
      <c r="M69" s="328">
        <f t="shared" si="58"/>
        <v>6.31578947368421</v>
      </c>
      <c r="N69" s="321">
        <v>11</v>
      </c>
      <c r="O69" s="328">
        <f t="shared" si="62"/>
        <v>0.574162679425837</v>
      </c>
      <c r="P69" s="329">
        <f t="shared" si="60"/>
        <v>3.4408293460925</v>
      </c>
      <c r="Q69" s="330">
        <v>1</v>
      </c>
      <c r="R69" s="331">
        <f t="shared" si="61"/>
        <v>6.88165869218501</v>
      </c>
      <c r="S69">
        <v>7</v>
      </c>
    </row>
    <row r="70" ht="15" spans="1:19">
      <c r="A70" s="308" t="s">
        <v>2100</v>
      </c>
      <c r="B70" s="319">
        <f t="shared" si="56"/>
        <v>10.6762360446571</v>
      </c>
      <c r="C70" s="320">
        <v>11</v>
      </c>
      <c r="D70" s="320" t="s">
        <v>2037</v>
      </c>
      <c r="E70" s="321">
        <v>11</v>
      </c>
      <c r="F70" s="321"/>
      <c r="G70" s="322">
        <f t="shared" si="1"/>
        <v>118.4029</v>
      </c>
      <c r="H70" s="321"/>
      <c r="I70" s="321"/>
      <c r="J70" s="327">
        <v>43</v>
      </c>
      <c r="K70" s="328">
        <f t="shared" si="57"/>
        <v>3.90909090909091</v>
      </c>
      <c r="L70" s="328">
        <v>112</v>
      </c>
      <c r="M70" s="328">
        <f t="shared" si="58"/>
        <v>7.85964912280702</v>
      </c>
      <c r="N70" s="321">
        <v>11</v>
      </c>
      <c r="O70" s="328">
        <f>SUM(M70/N70*2)</f>
        <v>1.42902711323764</v>
      </c>
      <c r="P70" s="329">
        <f t="shared" si="60"/>
        <v>5.33811802232855</v>
      </c>
      <c r="Q70" s="330">
        <v>1</v>
      </c>
      <c r="R70" s="331">
        <f t="shared" si="61"/>
        <v>10.6762360446571</v>
      </c>
      <c r="S70">
        <v>11</v>
      </c>
    </row>
    <row r="71" ht="15" spans="1:19">
      <c r="A71" s="308" t="s">
        <v>2101</v>
      </c>
      <c r="B71" s="319">
        <f t="shared" si="56"/>
        <v>0.828350877192982</v>
      </c>
      <c r="C71" s="320">
        <v>125</v>
      </c>
      <c r="D71" s="320" t="s">
        <v>2037</v>
      </c>
      <c r="E71" s="321">
        <v>125</v>
      </c>
      <c r="F71" s="321"/>
      <c r="G71" s="322">
        <f t="shared" si="1"/>
        <v>1345.4875</v>
      </c>
      <c r="H71" s="321"/>
      <c r="I71" s="321"/>
      <c r="J71" s="327">
        <v>43</v>
      </c>
      <c r="K71" s="328">
        <f t="shared" si="57"/>
        <v>0.344</v>
      </c>
      <c r="L71" s="328">
        <v>50</v>
      </c>
      <c r="M71" s="328">
        <f t="shared" si="58"/>
        <v>3.50877192982456</v>
      </c>
      <c r="N71" s="321">
        <v>50</v>
      </c>
      <c r="O71" s="328">
        <f>SUM(M71/N71)</f>
        <v>0.0701754385964912</v>
      </c>
      <c r="P71" s="329">
        <f t="shared" si="60"/>
        <v>0.414175438596491</v>
      </c>
      <c r="Q71" s="330">
        <v>1</v>
      </c>
      <c r="R71" s="331">
        <f t="shared" si="61"/>
        <v>0.828350877192982</v>
      </c>
      <c r="S71">
        <v>1</v>
      </c>
    </row>
    <row r="72" ht="15" spans="1:19">
      <c r="A72" s="308" t="s">
        <v>2102</v>
      </c>
      <c r="B72" s="319">
        <f t="shared" si="56"/>
        <v>8.02998405103668</v>
      </c>
      <c r="C72" s="320">
        <v>15</v>
      </c>
      <c r="D72" s="320" t="s">
        <v>2037</v>
      </c>
      <c r="E72" s="321">
        <v>15</v>
      </c>
      <c r="F72" s="321"/>
      <c r="G72" s="322">
        <f t="shared" si="1"/>
        <v>161.4585</v>
      </c>
      <c r="H72" s="321"/>
      <c r="I72" s="321"/>
      <c r="J72" s="327">
        <v>43</v>
      </c>
      <c r="K72" s="328">
        <f t="shared" si="57"/>
        <v>2.86666666666667</v>
      </c>
      <c r="L72" s="328">
        <v>90</v>
      </c>
      <c r="M72" s="328">
        <f t="shared" si="58"/>
        <v>6.31578947368421</v>
      </c>
      <c r="N72" s="321">
        <v>11</v>
      </c>
      <c r="O72" s="328">
        <f>SUM(M72/N72*2)</f>
        <v>1.14832535885167</v>
      </c>
      <c r="P72" s="329">
        <f t="shared" si="60"/>
        <v>4.01499202551834</v>
      </c>
      <c r="Q72" s="330">
        <v>1</v>
      </c>
      <c r="R72" s="331">
        <f t="shared" si="61"/>
        <v>8.02998405103668</v>
      </c>
      <c r="S72">
        <v>9</v>
      </c>
    </row>
    <row r="73" ht="15" spans="1:19">
      <c r="A73" s="308" t="s">
        <v>2103</v>
      </c>
      <c r="B73" s="319">
        <f t="shared" si="56"/>
        <v>8.96650717703349</v>
      </c>
      <c r="C73" s="320">
        <v>11</v>
      </c>
      <c r="D73" s="320" t="s">
        <v>2037</v>
      </c>
      <c r="E73" s="321">
        <v>11</v>
      </c>
      <c r="F73" s="321"/>
      <c r="G73" s="322">
        <f t="shared" si="1"/>
        <v>118.4029</v>
      </c>
      <c r="H73" s="321"/>
      <c r="I73" s="321"/>
      <c r="J73" s="327">
        <v>43</v>
      </c>
      <c r="K73" s="328">
        <f t="shared" si="57"/>
        <v>3.90909090909091</v>
      </c>
      <c r="L73" s="328">
        <v>90</v>
      </c>
      <c r="M73" s="328">
        <f t="shared" si="58"/>
        <v>6.31578947368421</v>
      </c>
      <c r="N73" s="321">
        <v>11</v>
      </c>
      <c r="O73" s="328">
        <f>SUM(M73/N73)</f>
        <v>0.574162679425837</v>
      </c>
      <c r="P73" s="329">
        <f t="shared" si="60"/>
        <v>4.48325358851675</v>
      </c>
      <c r="Q73" s="330">
        <v>1</v>
      </c>
      <c r="R73" s="331">
        <f t="shared" si="61"/>
        <v>8.96650717703349</v>
      </c>
      <c r="S73">
        <v>9</v>
      </c>
    </row>
    <row r="74" ht="15" spans="1:19">
      <c r="A74" s="308" t="s">
        <v>2104</v>
      </c>
      <c r="B74" s="319">
        <f t="shared" si="56"/>
        <v>12.1087719298246</v>
      </c>
      <c r="C74" s="320">
        <v>10</v>
      </c>
      <c r="D74" s="320" t="s">
        <v>2037</v>
      </c>
      <c r="E74" s="321">
        <v>10</v>
      </c>
      <c r="F74" s="321"/>
      <c r="G74" s="322">
        <f t="shared" si="1"/>
        <v>107.639</v>
      </c>
      <c r="H74" s="321"/>
      <c r="I74" s="321"/>
      <c r="J74" s="327">
        <v>43</v>
      </c>
      <c r="K74" s="328">
        <f t="shared" si="57"/>
        <v>4.3</v>
      </c>
      <c r="L74" s="328">
        <v>100</v>
      </c>
      <c r="M74" s="328">
        <f t="shared" si="58"/>
        <v>7.01754385964912</v>
      </c>
      <c r="N74" s="321">
        <v>8</v>
      </c>
      <c r="O74" s="328">
        <f t="shared" ref="O74:O75" si="63">SUM(M74/N74*2)</f>
        <v>1.75438596491228</v>
      </c>
      <c r="P74" s="329">
        <f t="shared" si="60"/>
        <v>6.05438596491228</v>
      </c>
      <c r="Q74" s="330">
        <v>1</v>
      </c>
      <c r="R74" s="331">
        <f t="shared" si="61"/>
        <v>12.1087719298246</v>
      </c>
      <c r="S74">
        <v>13</v>
      </c>
    </row>
    <row r="75" ht="15" spans="1:19">
      <c r="A75" s="308" t="s">
        <v>2105</v>
      </c>
      <c r="B75" s="319">
        <f t="shared" si="56"/>
        <v>10.6251993620415</v>
      </c>
      <c r="C75" s="320">
        <v>11</v>
      </c>
      <c r="D75" s="320" t="s">
        <v>2037</v>
      </c>
      <c r="E75" s="321">
        <v>11</v>
      </c>
      <c r="F75" s="321"/>
      <c r="G75" s="322">
        <f t="shared" si="1"/>
        <v>118.4029</v>
      </c>
      <c r="H75" s="321"/>
      <c r="I75" s="321"/>
      <c r="J75" s="327">
        <v>43</v>
      </c>
      <c r="K75" s="328">
        <f t="shared" si="57"/>
        <v>3.90909090909091</v>
      </c>
      <c r="L75" s="328">
        <v>100</v>
      </c>
      <c r="M75" s="328">
        <f t="shared" si="58"/>
        <v>7.01754385964912</v>
      </c>
      <c r="N75" s="321">
        <v>10</v>
      </c>
      <c r="O75" s="328">
        <f t="shared" si="63"/>
        <v>1.40350877192982</v>
      </c>
      <c r="P75" s="329">
        <f t="shared" si="60"/>
        <v>5.31259968102073</v>
      </c>
      <c r="Q75" s="330">
        <v>1</v>
      </c>
      <c r="R75" s="331">
        <f t="shared" si="61"/>
        <v>10.6251993620415</v>
      </c>
      <c r="S75">
        <v>11</v>
      </c>
    </row>
    <row r="76" ht="15" spans="1:19">
      <c r="A76" s="308" t="s">
        <v>2106</v>
      </c>
      <c r="B76" s="319">
        <f t="shared" si="56"/>
        <v>21.7551834130782</v>
      </c>
      <c r="C76" s="320">
        <v>4</v>
      </c>
      <c r="D76" s="320" t="s">
        <v>2037</v>
      </c>
      <c r="E76" s="321">
        <v>4</v>
      </c>
      <c r="F76" s="321"/>
      <c r="G76" s="322">
        <f t="shared" si="1"/>
        <v>43.0556</v>
      </c>
      <c r="H76" s="321"/>
      <c r="I76" s="321"/>
      <c r="J76" s="327">
        <v>43</v>
      </c>
      <c r="K76" s="328">
        <f t="shared" si="57"/>
        <v>10.75</v>
      </c>
      <c r="L76" s="328">
        <v>20</v>
      </c>
      <c r="M76" s="328">
        <f t="shared" si="58"/>
        <v>1.40350877192982</v>
      </c>
      <c r="N76" s="321">
        <v>11</v>
      </c>
      <c r="O76" s="328">
        <f>SUM(M76/N76)</f>
        <v>0.127591706539075</v>
      </c>
      <c r="P76" s="329">
        <f t="shared" si="60"/>
        <v>10.8775917065391</v>
      </c>
      <c r="Q76" s="330">
        <v>1</v>
      </c>
      <c r="R76" s="331">
        <f t="shared" si="61"/>
        <v>21.7551834130782</v>
      </c>
      <c r="S76">
        <v>22</v>
      </c>
    </row>
    <row r="77" ht="15" spans="1:19">
      <c r="A77" s="308" t="s">
        <v>2107</v>
      </c>
      <c r="B77" s="319">
        <f t="shared" si="56"/>
        <v>10.3700159489633</v>
      </c>
      <c r="C77" s="320">
        <v>11</v>
      </c>
      <c r="D77" s="320" t="s">
        <v>2037</v>
      </c>
      <c r="E77" s="321">
        <v>11</v>
      </c>
      <c r="F77" s="321"/>
      <c r="G77" s="322">
        <f t="shared" si="1"/>
        <v>118.4029</v>
      </c>
      <c r="H77" s="321"/>
      <c r="I77" s="321"/>
      <c r="J77" s="327">
        <v>43</v>
      </c>
      <c r="K77" s="328">
        <f t="shared" si="57"/>
        <v>3.90909090909091</v>
      </c>
      <c r="L77" s="328">
        <v>100</v>
      </c>
      <c r="M77" s="328">
        <f t="shared" si="58"/>
        <v>7.01754385964912</v>
      </c>
      <c r="N77" s="321">
        <v>11</v>
      </c>
      <c r="O77" s="328">
        <f t="shared" ref="O77:O78" si="64">SUM(M77/N77*2)</f>
        <v>1.27591706539075</v>
      </c>
      <c r="P77" s="329">
        <f t="shared" si="60"/>
        <v>5.18500797448166</v>
      </c>
      <c r="Q77" s="330">
        <v>1</v>
      </c>
      <c r="R77" s="331">
        <f t="shared" si="61"/>
        <v>10.3700159489633</v>
      </c>
      <c r="S77">
        <v>11</v>
      </c>
    </row>
    <row r="78" ht="15" spans="1:19">
      <c r="A78" s="308" t="s">
        <v>2108</v>
      </c>
      <c r="B78" s="319">
        <f t="shared" si="56"/>
        <v>13.0643274853801</v>
      </c>
      <c r="C78" s="320">
        <v>9</v>
      </c>
      <c r="D78" s="320" t="s">
        <v>2037</v>
      </c>
      <c r="E78" s="321">
        <v>9</v>
      </c>
      <c r="F78" s="321"/>
      <c r="G78" s="322">
        <f t="shared" si="1"/>
        <v>96.8751</v>
      </c>
      <c r="H78" s="321"/>
      <c r="I78" s="321"/>
      <c r="J78" s="327">
        <v>43</v>
      </c>
      <c r="K78" s="328">
        <f t="shared" si="57"/>
        <v>4.77777777777778</v>
      </c>
      <c r="L78" s="328">
        <v>100</v>
      </c>
      <c r="M78" s="328">
        <f t="shared" si="58"/>
        <v>7.01754385964912</v>
      </c>
      <c r="N78" s="321">
        <v>8</v>
      </c>
      <c r="O78" s="328">
        <f t="shared" si="64"/>
        <v>1.75438596491228</v>
      </c>
      <c r="P78" s="329">
        <f t="shared" si="60"/>
        <v>6.53216374269006</v>
      </c>
      <c r="Q78" s="330">
        <v>1</v>
      </c>
      <c r="R78" s="331">
        <f t="shared" si="61"/>
        <v>13.0643274853801</v>
      </c>
      <c r="S78">
        <v>14</v>
      </c>
    </row>
    <row r="79" ht="12.75" spans="1:26">
      <c r="A79" s="316" t="s">
        <v>2109</v>
      </c>
      <c r="B79" s="317"/>
      <c r="C79" s="317"/>
      <c r="D79" s="317"/>
      <c r="E79" s="317"/>
      <c r="F79" s="317"/>
      <c r="G79" s="322">
        <f t="shared" si="1"/>
        <v>0</v>
      </c>
      <c r="H79" s="317"/>
      <c r="I79" s="317"/>
      <c r="J79" s="317"/>
      <c r="K79" s="317"/>
      <c r="L79" s="317"/>
      <c r="M79" s="317"/>
      <c r="N79" s="317"/>
      <c r="O79" s="317"/>
      <c r="P79" s="317"/>
      <c r="Q79" s="317"/>
      <c r="R79" s="317"/>
      <c r="S79" s="317"/>
      <c r="T79" s="317"/>
      <c r="U79" s="317"/>
      <c r="V79" s="317"/>
      <c r="W79" s="317"/>
      <c r="X79" s="317"/>
      <c r="Y79" s="317"/>
      <c r="Z79" s="317"/>
    </row>
    <row r="80" ht="15" spans="1:19">
      <c r="A80" s="308" t="s">
        <v>2110</v>
      </c>
      <c r="B80" s="319">
        <f t="shared" ref="B80:B91" si="65">SUM(R80)</f>
        <v>47.3157894736842</v>
      </c>
      <c r="C80" s="321">
        <v>0.5</v>
      </c>
      <c r="D80" s="320" t="s">
        <v>1064</v>
      </c>
      <c r="E80" s="321">
        <v>0.5</v>
      </c>
      <c r="F80" s="321"/>
      <c r="G80" s="322">
        <f t="shared" si="1"/>
        <v>5.38195</v>
      </c>
      <c r="H80" s="321"/>
      <c r="I80" s="321"/>
      <c r="J80" s="327">
        <v>43</v>
      </c>
      <c r="K80" s="328">
        <f t="shared" ref="K80:K91" si="66">SUM(J80*E80)</f>
        <v>21.5</v>
      </c>
      <c r="L80" s="328">
        <v>102.5</v>
      </c>
      <c r="M80" s="328">
        <f t="shared" ref="M80:M91" si="67">SUM(L80/9.5)</f>
        <v>10.7894736842105</v>
      </c>
      <c r="N80" s="321">
        <v>10</v>
      </c>
      <c r="O80" s="328">
        <f t="shared" ref="O80:O81" si="68">SUM(M80/N80*2)</f>
        <v>2.15789473684211</v>
      </c>
      <c r="P80" s="329">
        <f t="shared" ref="P80:P91" si="69">SUM(K80+O80)</f>
        <v>23.6578947368421</v>
      </c>
      <c r="Q80" s="330">
        <v>1</v>
      </c>
      <c r="R80" s="331">
        <f t="shared" ref="R80:R91" si="70">SUM(P80*(1+Q80))</f>
        <v>47.3157894736842</v>
      </c>
      <c r="S80" s="331">
        <v>48</v>
      </c>
    </row>
    <row r="81" ht="15" spans="1:19">
      <c r="A81" s="308" t="s">
        <v>2111</v>
      </c>
      <c r="B81" s="319">
        <f t="shared" si="65"/>
        <v>133.315789473684</v>
      </c>
      <c r="C81" s="320">
        <v>1.5</v>
      </c>
      <c r="D81" s="320" t="s">
        <v>1064</v>
      </c>
      <c r="E81" s="321">
        <v>1.5</v>
      </c>
      <c r="F81" s="321"/>
      <c r="G81" s="322">
        <f t="shared" si="1"/>
        <v>16.14585</v>
      </c>
      <c r="H81" s="321"/>
      <c r="I81" s="321"/>
      <c r="J81" s="327">
        <v>43</v>
      </c>
      <c r="K81" s="328">
        <f t="shared" si="66"/>
        <v>64.5</v>
      </c>
      <c r="L81" s="328">
        <v>102.5</v>
      </c>
      <c r="M81" s="328">
        <f t="shared" si="67"/>
        <v>10.7894736842105</v>
      </c>
      <c r="N81" s="321">
        <v>10</v>
      </c>
      <c r="O81" s="328">
        <f t="shared" si="68"/>
        <v>2.15789473684211</v>
      </c>
      <c r="P81" s="329">
        <f t="shared" si="69"/>
        <v>66.6578947368421</v>
      </c>
      <c r="Q81" s="330">
        <v>1</v>
      </c>
      <c r="R81" s="331">
        <f t="shared" si="70"/>
        <v>133.315789473684</v>
      </c>
      <c r="S81">
        <v>134</v>
      </c>
    </row>
    <row r="82" ht="15" spans="1:19">
      <c r="A82" s="308" t="s">
        <v>2112</v>
      </c>
      <c r="B82" s="319">
        <f t="shared" si="65"/>
        <v>178.473684210526</v>
      </c>
      <c r="C82" s="320">
        <v>2</v>
      </c>
      <c r="D82" s="320" t="s">
        <v>1064</v>
      </c>
      <c r="E82" s="321">
        <v>2</v>
      </c>
      <c r="F82" s="321"/>
      <c r="G82" s="322">
        <f t="shared" si="1"/>
        <v>21.5278</v>
      </c>
      <c r="H82" s="321"/>
      <c r="I82" s="321"/>
      <c r="J82" s="327">
        <v>43</v>
      </c>
      <c r="K82" s="328">
        <f t="shared" si="66"/>
        <v>86</v>
      </c>
      <c r="L82" s="328">
        <v>102.5</v>
      </c>
      <c r="M82" s="328">
        <f t="shared" si="67"/>
        <v>10.7894736842105</v>
      </c>
      <c r="N82" s="321">
        <v>10</v>
      </c>
      <c r="O82" s="328">
        <f>SUM(M82/N82*3)</f>
        <v>3.23684210526316</v>
      </c>
      <c r="P82" s="329">
        <f t="shared" si="69"/>
        <v>89.2368421052632</v>
      </c>
      <c r="Q82" s="330">
        <v>1</v>
      </c>
      <c r="R82" s="331">
        <f t="shared" si="70"/>
        <v>178.473684210526</v>
      </c>
      <c r="S82">
        <v>179</v>
      </c>
    </row>
    <row r="83" ht="15" spans="1:19">
      <c r="A83" s="308" t="s">
        <v>2113</v>
      </c>
      <c r="B83" s="319">
        <f t="shared" si="65"/>
        <v>90.3157894736842</v>
      </c>
      <c r="C83" s="320">
        <v>1</v>
      </c>
      <c r="D83" s="320" t="s">
        <v>1064</v>
      </c>
      <c r="E83" s="321">
        <v>1</v>
      </c>
      <c r="F83" s="321"/>
      <c r="G83" s="322">
        <f t="shared" si="1"/>
        <v>10.7639</v>
      </c>
      <c r="H83" s="321"/>
      <c r="I83" s="321"/>
      <c r="J83" s="327">
        <v>43</v>
      </c>
      <c r="K83" s="328">
        <f t="shared" si="66"/>
        <v>43</v>
      </c>
      <c r="L83" s="328">
        <v>102.5</v>
      </c>
      <c r="M83" s="328">
        <f t="shared" si="67"/>
        <v>10.7894736842105</v>
      </c>
      <c r="N83" s="321">
        <v>10</v>
      </c>
      <c r="O83" s="328">
        <f>SUM(M83/N83*2)</f>
        <v>2.15789473684211</v>
      </c>
      <c r="P83" s="329">
        <f t="shared" si="69"/>
        <v>45.1578947368421</v>
      </c>
      <c r="Q83" s="330">
        <v>1</v>
      </c>
      <c r="R83" s="331">
        <f t="shared" si="70"/>
        <v>90.3157894736842</v>
      </c>
      <c r="S83">
        <v>91</v>
      </c>
    </row>
    <row r="84" ht="15" spans="1:19">
      <c r="A84" s="308" t="s">
        <v>2114</v>
      </c>
      <c r="B84" s="319">
        <f t="shared" si="65"/>
        <v>135.473684210526</v>
      </c>
      <c r="C84" s="320">
        <v>1.5</v>
      </c>
      <c r="D84" s="320" t="s">
        <v>1064</v>
      </c>
      <c r="E84" s="321">
        <v>1.5</v>
      </c>
      <c r="F84" s="321"/>
      <c r="G84" s="322">
        <f t="shared" si="1"/>
        <v>16.14585</v>
      </c>
      <c r="H84" s="321"/>
      <c r="I84" s="321"/>
      <c r="J84" s="327">
        <v>43</v>
      </c>
      <c r="K84" s="328">
        <f t="shared" si="66"/>
        <v>64.5</v>
      </c>
      <c r="L84" s="328">
        <v>102.5</v>
      </c>
      <c r="M84" s="328">
        <f t="shared" si="67"/>
        <v>10.7894736842105</v>
      </c>
      <c r="N84" s="321">
        <v>10</v>
      </c>
      <c r="O84" s="328">
        <f>SUM(M84/N84*3)</f>
        <v>3.23684210526316</v>
      </c>
      <c r="P84" s="329">
        <f t="shared" si="69"/>
        <v>67.7368421052632</v>
      </c>
      <c r="Q84" s="330">
        <v>1</v>
      </c>
      <c r="R84" s="331">
        <f t="shared" si="70"/>
        <v>135.473684210526</v>
      </c>
      <c r="S84">
        <v>136</v>
      </c>
    </row>
    <row r="85" ht="15" spans="1:19">
      <c r="A85" s="308" t="s">
        <v>2115</v>
      </c>
      <c r="B85" s="319">
        <f t="shared" si="65"/>
        <v>47.3157894736842</v>
      </c>
      <c r="C85" s="321">
        <v>0.5</v>
      </c>
      <c r="D85" s="320" t="s">
        <v>1064</v>
      </c>
      <c r="E85" s="321">
        <v>0.5</v>
      </c>
      <c r="F85" s="321"/>
      <c r="G85" s="322">
        <f t="shared" si="1"/>
        <v>5.38195</v>
      </c>
      <c r="H85" s="321"/>
      <c r="I85" s="321"/>
      <c r="J85" s="327">
        <v>43</v>
      </c>
      <c r="K85" s="328">
        <f t="shared" si="66"/>
        <v>21.5</v>
      </c>
      <c r="L85" s="328">
        <v>102.5</v>
      </c>
      <c r="M85" s="328">
        <f t="shared" si="67"/>
        <v>10.7894736842105</v>
      </c>
      <c r="N85" s="321">
        <v>10</v>
      </c>
      <c r="O85" s="328">
        <f t="shared" ref="O85:O88" si="71">SUM(M85/N85*2)</f>
        <v>2.15789473684211</v>
      </c>
      <c r="P85" s="329">
        <f t="shared" si="69"/>
        <v>23.6578947368421</v>
      </c>
      <c r="Q85" s="330">
        <v>1</v>
      </c>
      <c r="R85" s="331">
        <f t="shared" si="70"/>
        <v>47.3157894736842</v>
      </c>
      <c r="S85">
        <v>48</v>
      </c>
    </row>
    <row r="86" ht="15" spans="1:19">
      <c r="A86" s="308" t="s">
        <v>2116</v>
      </c>
      <c r="B86" s="319">
        <f t="shared" si="65"/>
        <v>47.3157894736842</v>
      </c>
      <c r="C86" s="321">
        <v>0.5</v>
      </c>
      <c r="D86" s="320" t="s">
        <v>1064</v>
      </c>
      <c r="E86" s="321">
        <v>0.5</v>
      </c>
      <c r="F86" s="321"/>
      <c r="G86" s="322">
        <f t="shared" si="1"/>
        <v>5.38195</v>
      </c>
      <c r="H86" s="321"/>
      <c r="I86" s="321"/>
      <c r="J86" s="327">
        <v>43</v>
      </c>
      <c r="K86" s="328">
        <f t="shared" si="66"/>
        <v>21.5</v>
      </c>
      <c r="L86" s="328">
        <v>102.5</v>
      </c>
      <c r="M86" s="328">
        <f t="shared" si="67"/>
        <v>10.7894736842105</v>
      </c>
      <c r="N86" s="321">
        <v>10</v>
      </c>
      <c r="O86" s="328">
        <f t="shared" si="71"/>
        <v>2.15789473684211</v>
      </c>
      <c r="P86" s="329">
        <f t="shared" si="69"/>
        <v>23.6578947368421</v>
      </c>
      <c r="Q86" s="330">
        <v>1</v>
      </c>
      <c r="R86" s="331">
        <f t="shared" si="70"/>
        <v>47.3157894736842</v>
      </c>
      <c r="S86">
        <v>48</v>
      </c>
    </row>
    <row r="87" ht="15" spans="1:19">
      <c r="A87" s="308" t="s">
        <v>2117</v>
      </c>
      <c r="B87" s="319">
        <f t="shared" si="65"/>
        <v>68.8157894736842</v>
      </c>
      <c r="C87" s="320">
        <v>0.75</v>
      </c>
      <c r="D87" s="320" t="s">
        <v>1064</v>
      </c>
      <c r="E87" s="321">
        <v>0.75</v>
      </c>
      <c r="F87" s="321"/>
      <c r="G87" s="322">
        <f t="shared" si="1"/>
        <v>8.072925</v>
      </c>
      <c r="H87" s="321"/>
      <c r="I87" s="321"/>
      <c r="J87" s="327">
        <v>43</v>
      </c>
      <c r="K87" s="328">
        <f t="shared" si="66"/>
        <v>32.25</v>
      </c>
      <c r="L87" s="328">
        <v>102.5</v>
      </c>
      <c r="M87" s="328">
        <f t="shared" si="67"/>
        <v>10.7894736842105</v>
      </c>
      <c r="N87" s="321">
        <v>10</v>
      </c>
      <c r="O87" s="328">
        <f t="shared" si="71"/>
        <v>2.15789473684211</v>
      </c>
      <c r="P87" s="329">
        <f t="shared" si="69"/>
        <v>34.4078947368421</v>
      </c>
      <c r="Q87" s="330">
        <v>1</v>
      </c>
      <c r="R87" s="331">
        <f t="shared" si="70"/>
        <v>68.8157894736842</v>
      </c>
      <c r="S87">
        <v>69</v>
      </c>
    </row>
    <row r="88" ht="15" spans="1:19">
      <c r="A88" s="308" t="s">
        <v>2118</v>
      </c>
      <c r="B88" s="319">
        <f t="shared" si="65"/>
        <v>176.315789473684</v>
      </c>
      <c r="C88" s="320">
        <v>2</v>
      </c>
      <c r="D88" s="320" t="s">
        <v>1064</v>
      </c>
      <c r="E88" s="321">
        <v>2</v>
      </c>
      <c r="F88" s="321"/>
      <c r="G88" s="322">
        <f t="shared" si="1"/>
        <v>21.5278</v>
      </c>
      <c r="H88" s="321"/>
      <c r="I88" s="321"/>
      <c r="J88" s="327">
        <v>43</v>
      </c>
      <c r="K88" s="328">
        <f t="shared" si="66"/>
        <v>86</v>
      </c>
      <c r="L88" s="328">
        <v>102.5</v>
      </c>
      <c r="M88" s="328">
        <f t="shared" si="67"/>
        <v>10.7894736842105</v>
      </c>
      <c r="N88" s="321">
        <v>10</v>
      </c>
      <c r="O88" s="328">
        <f t="shared" si="71"/>
        <v>2.15789473684211</v>
      </c>
      <c r="P88" s="329">
        <f t="shared" si="69"/>
        <v>88.1578947368421</v>
      </c>
      <c r="Q88" s="330">
        <v>1</v>
      </c>
      <c r="R88" s="331">
        <f t="shared" si="70"/>
        <v>176.315789473684</v>
      </c>
      <c r="S88">
        <v>177</v>
      </c>
    </row>
    <row r="89" ht="15" spans="1:19">
      <c r="A89" s="308" t="s">
        <v>2119</v>
      </c>
      <c r="B89" s="319">
        <f t="shared" si="65"/>
        <v>264.473684210526</v>
      </c>
      <c r="C89" s="320">
        <v>3</v>
      </c>
      <c r="D89" s="320" t="s">
        <v>1064</v>
      </c>
      <c r="E89" s="321">
        <v>3</v>
      </c>
      <c r="F89" s="321"/>
      <c r="G89" s="322">
        <f t="shared" si="1"/>
        <v>32.2917</v>
      </c>
      <c r="H89" s="321"/>
      <c r="I89" s="321"/>
      <c r="J89" s="327">
        <v>43</v>
      </c>
      <c r="K89" s="328">
        <f t="shared" si="66"/>
        <v>129</v>
      </c>
      <c r="L89" s="328">
        <v>102.5</v>
      </c>
      <c r="M89" s="328">
        <f t="shared" si="67"/>
        <v>10.7894736842105</v>
      </c>
      <c r="N89" s="321">
        <v>10</v>
      </c>
      <c r="O89" s="328">
        <f>SUM(M89/N89*3)</f>
        <v>3.23684210526316</v>
      </c>
      <c r="P89" s="329">
        <f t="shared" si="69"/>
        <v>132.236842105263</v>
      </c>
      <c r="Q89" s="330">
        <v>1</v>
      </c>
      <c r="R89" s="331">
        <f t="shared" si="70"/>
        <v>264.473684210526</v>
      </c>
      <c r="S89">
        <v>265</v>
      </c>
    </row>
    <row r="90" ht="15" spans="1:19">
      <c r="A90" s="308" t="s">
        <v>2120</v>
      </c>
      <c r="B90" s="319">
        <f t="shared" si="65"/>
        <v>133.315789473684</v>
      </c>
      <c r="C90" s="320">
        <v>1.5</v>
      </c>
      <c r="D90" s="320" t="s">
        <v>1064</v>
      </c>
      <c r="E90" s="321">
        <v>1.5</v>
      </c>
      <c r="F90" s="321"/>
      <c r="G90" s="322">
        <f t="shared" si="1"/>
        <v>16.14585</v>
      </c>
      <c r="H90" s="321"/>
      <c r="I90" s="321"/>
      <c r="J90" s="327">
        <v>43</v>
      </c>
      <c r="K90" s="328">
        <f t="shared" si="66"/>
        <v>64.5</v>
      </c>
      <c r="L90" s="328">
        <v>102.5</v>
      </c>
      <c r="M90" s="328">
        <f t="shared" si="67"/>
        <v>10.7894736842105</v>
      </c>
      <c r="N90" s="321">
        <v>10</v>
      </c>
      <c r="O90" s="328">
        <f>SUM(M90/N90*2)</f>
        <v>2.15789473684211</v>
      </c>
      <c r="P90" s="329">
        <f t="shared" si="69"/>
        <v>66.6578947368421</v>
      </c>
      <c r="Q90" s="330">
        <v>1</v>
      </c>
      <c r="R90" s="331">
        <f t="shared" si="70"/>
        <v>133.315789473684</v>
      </c>
      <c r="S90">
        <v>134</v>
      </c>
    </row>
    <row r="91" ht="15" spans="1:19">
      <c r="A91" s="308" t="s">
        <v>2121</v>
      </c>
      <c r="B91" s="319">
        <f t="shared" si="65"/>
        <v>178.473684210526</v>
      </c>
      <c r="C91" s="320">
        <v>2</v>
      </c>
      <c r="D91" s="320" t="s">
        <v>1064</v>
      </c>
      <c r="E91" s="321">
        <v>2</v>
      </c>
      <c r="F91" s="321"/>
      <c r="G91" s="322">
        <f t="shared" si="1"/>
        <v>21.5278</v>
      </c>
      <c r="H91" s="321"/>
      <c r="I91" s="321"/>
      <c r="J91" s="327">
        <v>43</v>
      </c>
      <c r="K91" s="328">
        <f t="shared" si="66"/>
        <v>86</v>
      </c>
      <c r="L91" s="328">
        <v>102.5</v>
      </c>
      <c r="M91" s="328">
        <f t="shared" si="67"/>
        <v>10.7894736842105</v>
      </c>
      <c r="N91" s="321">
        <v>10</v>
      </c>
      <c r="O91" s="328">
        <f>SUM(M91/N91*3)</f>
        <v>3.23684210526316</v>
      </c>
      <c r="P91" s="329">
        <f t="shared" si="69"/>
        <v>89.2368421052632</v>
      </c>
      <c r="Q91" s="330">
        <v>1</v>
      </c>
      <c r="R91" s="331">
        <f t="shared" si="70"/>
        <v>178.473684210526</v>
      </c>
      <c r="S91">
        <v>179</v>
      </c>
    </row>
    <row r="92" ht="12.75" spans="1:26">
      <c r="A92" s="316" t="s">
        <v>2122</v>
      </c>
      <c r="B92" s="317"/>
      <c r="C92" s="317"/>
      <c r="D92" s="317"/>
      <c r="E92" s="317"/>
      <c r="F92" s="317"/>
      <c r="G92" s="322">
        <f t="shared" si="1"/>
        <v>0</v>
      </c>
      <c r="H92" s="317"/>
      <c r="I92" s="317"/>
      <c r="J92" s="317"/>
      <c r="K92" s="317"/>
      <c r="L92" s="317"/>
      <c r="M92" s="317"/>
      <c r="N92" s="317"/>
      <c r="O92" s="317"/>
      <c r="P92" s="317"/>
      <c r="Q92" s="317"/>
      <c r="R92" s="317"/>
      <c r="S92" s="317"/>
      <c r="T92" s="317"/>
      <c r="U92" s="317"/>
      <c r="V92" s="317"/>
      <c r="W92" s="317"/>
      <c r="X92" s="317"/>
      <c r="Y92" s="317"/>
      <c r="Z92" s="317"/>
    </row>
    <row r="93" ht="15" spans="1:19">
      <c r="A93" s="308" t="s">
        <v>2123</v>
      </c>
      <c r="B93" s="319">
        <f t="shared" ref="B93:B97" si="72">SUM(R93)</f>
        <v>14.8375484164958</v>
      </c>
      <c r="C93" s="320">
        <v>7</v>
      </c>
      <c r="D93" s="320" t="s">
        <v>2037</v>
      </c>
      <c r="E93" s="321">
        <v>7</v>
      </c>
      <c r="F93" s="321"/>
      <c r="G93" s="322">
        <f t="shared" si="1"/>
        <v>75.3473</v>
      </c>
      <c r="H93" s="321"/>
      <c r="I93" s="321"/>
      <c r="J93" s="327">
        <v>43</v>
      </c>
      <c r="K93" s="328">
        <f t="shared" ref="K93:K97" si="73">SUM(J93/E93)</f>
        <v>6.14285714285714</v>
      </c>
      <c r="L93" s="328">
        <v>100</v>
      </c>
      <c r="M93" s="328">
        <f t="shared" ref="M93:M97" si="74">SUM(L93/14.25)</f>
        <v>7.01754385964912</v>
      </c>
      <c r="N93" s="321">
        <v>11</v>
      </c>
      <c r="O93" s="328">
        <f t="shared" ref="O93:O97" si="75">SUM(M93/N93*2)</f>
        <v>1.27591706539075</v>
      </c>
      <c r="P93" s="329">
        <f t="shared" ref="P93:P97" si="76">SUM(K93+O93)</f>
        <v>7.41877420824789</v>
      </c>
      <c r="Q93" s="330">
        <v>1</v>
      </c>
      <c r="R93" s="331">
        <f t="shared" ref="R93:R97" si="77">SUM(P93*(1+Q93))</f>
        <v>14.8375484164958</v>
      </c>
      <c r="S93" s="331">
        <v>15</v>
      </c>
    </row>
    <row r="94" ht="15" spans="1:19">
      <c r="A94" s="308" t="s">
        <v>2124</v>
      </c>
      <c r="B94" s="319">
        <f t="shared" si="72"/>
        <v>14.8375484164958</v>
      </c>
      <c r="C94" s="320">
        <v>7</v>
      </c>
      <c r="D94" s="320" t="s">
        <v>2037</v>
      </c>
      <c r="E94" s="321">
        <v>7</v>
      </c>
      <c r="F94" s="321"/>
      <c r="G94" s="322">
        <f t="shared" si="1"/>
        <v>75.3473</v>
      </c>
      <c r="H94" s="321"/>
      <c r="I94" s="321"/>
      <c r="J94" s="327">
        <v>43</v>
      </c>
      <c r="K94" s="328">
        <f t="shared" si="73"/>
        <v>6.14285714285714</v>
      </c>
      <c r="L94" s="328">
        <v>100</v>
      </c>
      <c r="M94" s="328">
        <f t="shared" si="74"/>
        <v>7.01754385964912</v>
      </c>
      <c r="N94" s="321">
        <v>11</v>
      </c>
      <c r="O94" s="328">
        <f t="shared" si="75"/>
        <v>1.27591706539075</v>
      </c>
      <c r="P94" s="329">
        <f t="shared" si="76"/>
        <v>7.41877420824789</v>
      </c>
      <c r="Q94" s="330">
        <v>1</v>
      </c>
      <c r="R94" s="331">
        <f t="shared" si="77"/>
        <v>14.8375484164958</v>
      </c>
      <c r="S94">
        <v>15</v>
      </c>
    </row>
    <row r="95" ht="15" spans="1:19">
      <c r="A95" s="308" t="s">
        <v>2125</v>
      </c>
      <c r="B95" s="319">
        <f t="shared" si="72"/>
        <v>31.2185007974482</v>
      </c>
      <c r="C95" s="320">
        <v>3</v>
      </c>
      <c r="D95" s="320" t="s">
        <v>2037</v>
      </c>
      <c r="E95" s="321">
        <v>3</v>
      </c>
      <c r="F95" s="321"/>
      <c r="G95" s="322">
        <f t="shared" si="1"/>
        <v>32.2917</v>
      </c>
      <c r="H95" s="321"/>
      <c r="I95" s="321"/>
      <c r="J95" s="327">
        <v>43</v>
      </c>
      <c r="K95" s="328">
        <f t="shared" si="73"/>
        <v>14.3333333333333</v>
      </c>
      <c r="L95" s="328">
        <v>100</v>
      </c>
      <c r="M95" s="328">
        <f t="shared" si="74"/>
        <v>7.01754385964912</v>
      </c>
      <c r="N95" s="321">
        <v>11</v>
      </c>
      <c r="O95" s="328">
        <f t="shared" si="75"/>
        <v>1.27591706539075</v>
      </c>
      <c r="P95" s="329">
        <f t="shared" si="76"/>
        <v>15.6092503987241</v>
      </c>
      <c r="Q95" s="330">
        <v>1</v>
      </c>
      <c r="R95" s="331">
        <f t="shared" si="77"/>
        <v>31.2185007974482</v>
      </c>
      <c r="S95">
        <v>32</v>
      </c>
    </row>
    <row r="96" ht="15" spans="1:19">
      <c r="A96" s="308" t="s">
        <v>2126</v>
      </c>
      <c r="B96" s="319">
        <f t="shared" si="72"/>
        <v>19.7518341307815</v>
      </c>
      <c r="C96" s="320">
        <v>5</v>
      </c>
      <c r="D96" s="320" t="s">
        <v>2037</v>
      </c>
      <c r="E96" s="321">
        <v>5</v>
      </c>
      <c r="F96" s="321"/>
      <c r="G96" s="322">
        <f t="shared" si="1"/>
        <v>53.8195</v>
      </c>
      <c r="H96" s="321"/>
      <c r="I96" s="321"/>
      <c r="J96" s="327">
        <v>43</v>
      </c>
      <c r="K96" s="328">
        <f t="shared" si="73"/>
        <v>8.6</v>
      </c>
      <c r="L96" s="328">
        <v>100</v>
      </c>
      <c r="M96" s="328">
        <f t="shared" si="74"/>
        <v>7.01754385964912</v>
      </c>
      <c r="N96" s="321">
        <v>11</v>
      </c>
      <c r="O96" s="328">
        <f t="shared" si="75"/>
        <v>1.27591706539075</v>
      </c>
      <c r="P96" s="329">
        <f t="shared" si="76"/>
        <v>9.87591706539075</v>
      </c>
      <c r="Q96" s="330">
        <v>1</v>
      </c>
      <c r="R96" s="331">
        <f t="shared" si="77"/>
        <v>19.7518341307815</v>
      </c>
      <c r="S96">
        <v>20</v>
      </c>
    </row>
    <row r="97" ht="15" spans="1:19">
      <c r="A97" s="308" t="s">
        <v>2127</v>
      </c>
      <c r="B97" s="319">
        <f t="shared" si="72"/>
        <v>12.1073896863371</v>
      </c>
      <c r="C97" s="320">
        <v>9</v>
      </c>
      <c r="D97" s="320" t="s">
        <v>2037</v>
      </c>
      <c r="E97" s="321">
        <v>9</v>
      </c>
      <c r="F97" s="321"/>
      <c r="G97" s="322">
        <f t="shared" si="1"/>
        <v>96.8751</v>
      </c>
      <c r="H97" s="321"/>
      <c r="I97" s="321"/>
      <c r="J97" s="327">
        <v>43</v>
      </c>
      <c r="K97" s="328">
        <f t="shared" si="73"/>
        <v>4.77777777777778</v>
      </c>
      <c r="L97" s="328">
        <v>100</v>
      </c>
      <c r="M97" s="328">
        <f t="shared" si="74"/>
        <v>7.01754385964912</v>
      </c>
      <c r="N97" s="321">
        <v>11</v>
      </c>
      <c r="O97" s="328">
        <f t="shared" si="75"/>
        <v>1.27591706539075</v>
      </c>
      <c r="P97" s="329">
        <f t="shared" si="76"/>
        <v>6.05369484316853</v>
      </c>
      <c r="Q97" s="330">
        <v>1</v>
      </c>
      <c r="R97" s="331">
        <f t="shared" si="77"/>
        <v>12.1073896863371</v>
      </c>
      <c r="S97">
        <v>13</v>
      </c>
    </row>
    <row r="98" ht="12.75" spans="1:26">
      <c r="A98" s="316" t="s">
        <v>2128</v>
      </c>
      <c r="B98" s="317"/>
      <c r="C98" s="317"/>
      <c r="D98" s="317"/>
      <c r="E98" s="317"/>
      <c r="F98" s="317"/>
      <c r="G98" s="322">
        <f t="shared" si="1"/>
        <v>0</v>
      </c>
      <c r="H98" s="317"/>
      <c r="I98" s="317"/>
      <c r="J98" s="317"/>
      <c r="K98" s="317"/>
      <c r="L98" s="317"/>
      <c r="M98" s="317"/>
      <c r="N98" s="317"/>
      <c r="O98" s="317"/>
      <c r="P98" s="317"/>
      <c r="Q98" s="317"/>
      <c r="R98" s="317"/>
      <c r="S98" s="317"/>
      <c r="T98" s="317"/>
      <c r="U98" s="317"/>
      <c r="V98" s="317"/>
      <c r="W98" s="317"/>
      <c r="X98" s="317"/>
      <c r="Y98" s="317"/>
      <c r="Z98" s="317"/>
    </row>
    <row r="99" ht="15" spans="1:19">
      <c r="A99" s="308" t="s">
        <v>2129</v>
      </c>
      <c r="B99" s="319">
        <f t="shared" ref="B99:B100" si="78">SUM(R99)</f>
        <v>205.333333333333</v>
      </c>
      <c r="C99" s="321">
        <v>2</v>
      </c>
      <c r="D99" s="320" t="s">
        <v>1064</v>
      </c>
      <c r="E99" s="321">
        <v>2</v>
      </c>
      <c r="F99" s="321"/>
      <c r="G99" s="322">
        <f t="shared" si="1"/>
        <v>21.5278</v>
      </c>
      <c r="H99" s="321"/>
      <c r="I99" s="321"/>
      <c r="J99" s="327">
        <v>43</v>
      </c>
      <c r="K99" s="328">
        <f t="shared" ref="K99:K100" si="79">SUM(J99*E99)</f>
        <v>86</v>
      </c>
      <c r="L99" s="328">
        <v>100</v>
      </c>
      <c r="M99" s="328">
        <v>100</v>
      </c>
      <c r="N99" s="321">
        <v>12</v>
      </c>
      <c r="O99" s="328">
        <f t="shared" ref="O99:O100" si="80">SUM(M99/N99*2)</f>
        <v>16.6666666666667</v>
      </c>
      <c r="P99" s="329">
        <f t="shared" ref="P99:P100" si="81">SUM(K99+O99)</f>
        <v>102.666666666667</v>
      </c>
      <c r="Q99" s="330">
        <v>1</v>
      </c>
      <c r="R99" s="331">
        <f t="shared" ref="R99:R100" si="82">SUM(P99*(1+Q99))</f>
        <v>205.333333333333</v>
      </c>
      <c r="S99" s="331">
        <v>206</v>
      </c>
    </row>
    <row r="100" ht="15" spans="1:19">
      <c r="A100" s="308" t="s">
        <v>2130</v>
      </c>
      <c r="B100" s="319">
        <f t="shared" si="78"/>
        <v>205.333333333333</v>
      </c>
      <c r="C100" s="321">
        <v>2</v>
      </c>
      <c r="D100" s="320" t="s">
        <v>1064</v>
      </c>
      <c r="E100" s="321">
        <v>2</v>
      </c>
      <c r="F100" s="321"/>
      <c r="G100" s="322">
        <f t="shared" si="1"/>
        <v>21.5278</v>
      </c>
      <c r="H100" s="321"/>
      <c r="I100" s="321"/>
      <c r="J100" s="327">
        <v>43</v>
      </c>
      <c r="K100" s="328">
        <f t="shared" si="79"/>
        <v>86</v>
      </c>
      <c r="L100" s="328">
        <v>100</v>
      </c>
      <c r="M100" s="328">
        <v>100</v>
      </c>
      <c r="N100" s="321">
        <v>12</v>
      </c>
      <c r="O100" s="328">
        <f t="shared" si="80"/>
        <v>16.6666666666667</v>
      </c>
      <c r="P100" s="329">
        <f t="shared" si="81"/>
        <v>102.666666666667</v>
      </c>
      <c r="Q100" s="330">
        <v>1</v>
      </c>
      <c r="R100" s="331">
        <f t="shared" si="82"/>
        <v>205.333333333333</v>
      </c>
      <c r="S100">
        <v>206</v>
      </c>
    </row>
    <row r="101" ht="12.75" spans="1:26">
      <c r="A101" s="316" t="s">
        <v>2131</v>
      </c>
      <c r="B101" s="317"/>
      <c r="C101" s="317"/>
      <c r="D101" s="317"/>
      <c r="E101" s="317"/>
      <c r="F101" s="317"/>
      <c r="G101" s="322">
        <f t="shared" si="1"/>
        <v>0</v>
      </c>
      <c r="H101" s="317"/>
      <c r="I101" s="317"/>
      <c r="J101" s="317"/>
      <c r="K101" s="317"/>
      <c r="L101" s="317"/>
      <c r="M101" s="317"/>
      <c r="N101" s="317"/>
      <c r="O101" s="317"/>
      <c r="P101" s="317"/>
      <c r="Q101" s="317"/>
      <c r="R101" s="317"/>
      <c r="S101" s="317"/>
      <c r="T101" s="317"/>
      <c r="U101" s="317"/>
      <c r="V101" s="317"/>
      <c r="W101" s="317"/>
      <c r="X101" s="317"/>
      <c r="Y101" s="317"/>
      <c r="Z101" s="317"/>
    </row>
    <row r="102" ht="15" spans="1:19">
      <c r="A102" s="308" t="s">
        <v>2132</v>
      </c>
      <c r="B102" s="319">
        <v>0</v>
      </c>
      <c r="C102" s="317"/>
      <c r="D102" s="317"/>
      <c r="E102" s="317"/>
      <c r="F102" s="317"/>
      <c r="G102" s="322">
        <f t="shared" si="1"/>
        <v>0</v>
      </c>
      <c r="H102" s="317"/>
      <c r="I102" s="317"/>
      <c r="J102" s="317"/>
      <c r="K102" s="317"/>
      <c r="L102" s="317"/>
      <c r="M102" s="317"/>
      <c r="N102" s="317"/>
      <c r="O102" s="317"/>
      <c r="P102" s="317"/>
      <c r="Q102" s="317"/>
      <c r="R102" s="317"/>
      <c r="S102" s="317"/>
    </row>
    <row r="103" ht="15" spans="1:19">
      <c r="A103" s="308" t="s">
        <v>2133</v>
      </c>
      <c r="B103" s="319">
        <v>0</v>
      </c>
      <c r="C103" s="317"/>
      <c r="D103" s="317"/>
      <c r="E103" s="317"/>
      <c r="F103" s="317"/>
      <c r="G103" s="322">
        <f t="shared" si="1"/>
        <v>0</v>
      </c>
      <c r="H103" s="317"/>
      <c r="I103" s="317"/>
      <c r="J103" s="317"/>
      <c r="K103" s="317"/>
      <c r="L103" s="317"/>
      <c r="M103" s="317"/>
      <c r="N103" s="317"/>
      <c r="O103" s="317"/>
      <c r="P103" s="317"/>
      <c r="Q103" s="317"/>
      <c r="R103" s="317"/>
      <c r="S103" s="317"/>
    </row>
    <row r="104" ht="15" spans="1:19">
      <c r="A104" s="308" t="s">
        <v>2134</v>
      </c>
      <c r="B104" s="319">
        <v>0</v>
      </c>
      <c r="C104" s="317"/>
      <c r="D104" s="317"/>
      <c r="E104" s="317"/>
      <c r="F104" s="317"/>
      <c r="G104" s="322">
        <f t="shared" si="1"/>
        <v>0</v>
      </c>
      <c r="H104" s="317"/>
      <c r="I104" s="317"/>
      <c r="J104" s="317"/>
      <c r="K104" s="317"/>
      <c r="L104" s="317"/>
      <c r="M104" s="317"/>
      <c r="N104" s="317"/>
      <c r="O104" s="317"/>
      <c r="P104" s="317"/>
      <c r="Q104" s="317"/>
      <c r="R104" s="317"/>
      <c r="S104" s="317"/>
    </row>
    <row r="105" ht="15" spans="1:19">
      <c r="A105" s="308" t="s">
        <v>2135</v>
      </c>
      <c r="B105" s="319">
        <v>0</v>
      </c>
      <c r="C105" s="317"/>
      <c r="D105" s="317"/>
      <c r="E105" s="317"/>
      <c r="F105" s="317"/>
      <c r="G105" s="322">
        <f t="shared" si="1"/>
        <v>0</v>
      </c>
      <c r="H105" s="317"/>
      <c r="I105" s="317"/>
      <c r="J105" s="317"/>
      <c r="K105" s="317"/>
      <c r="L105" s="317"/>
      <c r="M105" s="317"/>
      <c r="N105" s="317"/>
      <c r="O105" s="317"/>
      <c r="P105" s="317"/>
      <c r="Q105" s="317"/>
      <c r="R105" s="317"/>
      <c r="S105" s="317"/>
    </row>
    <row r="106" ht="15" spans="1:19">
      <c r="A106" s="308" t="s">
        <v>2136</v>
      </c>
      <c r="B106" s="319">
        <v>0</v>
      </c>
      <c r="C106" s="317"/>
      <c r="D106" s="317"/>
      <c r="E106" s="317"/>
      <c r="F106" s="317"/>
      <c r="G106" s="322">
        <f t="shared" si="1"/>
        <v>0</v>
      </c>
      <c r="H106" s="317"/>
      <c r="I106" s="317"/>
      <c r="J106" s="317"/>
      <c r="K106" s="317"/>
      <c r="L106" s="317"/>
      <c r="M106" s="317"/>
      <c r="N106" s="317"/>
      <c r="O106" s="317"/>
      <c r="P106" s="317"/>
      <c r="Q106" s="317"/>
      <c r="R106" s="317"/>
      <c r="S106" s="317"/>
    </row>
    <row r="107" ht="15" spans="1:19">
      <c r="A107" s="308" t="s">
        <v>2137</v>
      </c>
      <c r="B107" s="319">
        <v>0</v>
      </c>
      <c r="C107" s="317"/>
      <c r="D107" s="317"/>
      <c r="E107" s="317"/>
      <c r="F107" s="317"/>
      <c r="G107" s="322">
        <f t="shared" si="1"/>
        <v>0</v>
      </c>
      <c r="H107" s="317"/>
      <c r="I107" s="317"/>
      <c r="J107" s="317"/>
      <c r="K107" s="317"/>
      <c r="L107" s="317"/>
      <c r="M107" s="317"/>
      <c r="N107" s="317"/>
      <c r="O107" s="317"/>
      <c r="P107" s="317"/>
      <c r="Q107" s="317"/>
      <c r="R107" s="317"/>
      <c r="S107" s="317"/>
    </row>
    <row r="108" ht="15" spans="1:19">
      <c r="A108" s="308" t="s">
        <v>2138</v>
      </c>
      <c r="B108" s="319">
        <v>0</v>
      </c>
      <c r="C108" s="317"/>
      <c r="D108" s="317"/>
      <c r="E108" s="317"/>
      <c r="F108" s="317"/>
      <c r="G108" s="322">
        <f t="shared" si="1"/>
        <v>0</v>
      </c>
      <c r="H108" s="317"/>
      <c r="I108" s="317"/>
      <c r="J108" s="317"/>
      <c r="K108" s="317"/>
      <c r="L108" s="317"/>
      <c r="M108" s="317"/>
      <c r="N108" s="317"/>
      <c r="O108" s="317"/>
      <c r="P108" s="317"/>
      <c r="Q108" s="317"/>
      <c r="R108" s="317"/>
      <c r="S108" s="317"/>
    </row>
    <row r="109" ht="12.75" spans="1:26">
      <c r="A109" s="316" t="s">
        <v>2139</v>
      </c>
      <c r="B109" s="317"/>
      <c r="C109" s="317"/>
      <c r="D109" s="317"/>
      <c r="E109" s="317"/>
      <c r="F109" s="317"/>
      <c r="G109" s="322">
        <f t="shared" si="1"/>
        <v>0</v>
      </c>
      <c r="H109" s="317"/>
      <c r="I109" s="317"/>
      <c r="J109" s="317"/>
      <c r="K109" s="317"/>
      <c r="L109" s="317"/>
      <c r="M109" s="317"/>
      <c r="N109" s="317"/>
      <c r="O109" s="317"/>
      <c r="P109" s="317"/>
      <c r="Q109" s="317"/>
      <c r="R109" s="317"/>
      <c r="S109" s="317"/>
      <c r="T109" s="317"/>
      <c r="U109" s="317"/>
      <c r="V109" s="317"/>
      <c r="W109" s="317"/>
      <c r="X109" s="317"/>
      <c r="Y109" s="317"/>
      <c r="Z109" s="317"/>
    </row>
    <row r="110" ht="15" spans="1:19">
      <c r="A110" s="308" t="s">
        <v>2140</v>
      </c>
      <c r="B110" s="319">
        <v>1250</v>
      </c>
      <c r="C110" s="317"/>
      <c r="D110" s="317"/>
      <c r="E110" s="317"/>
      <c r="F110" s="317"/>
      <c r="G110" s="322">
        <f t="shared" si="1"/>
        <v>0</v>
      </c>
      <c r="H110" s="317"/>
      <c r="I110" s="317"/>
      <c r="J110" s="317"/>
      <c r="K110" s="317"/>
      <c r="L110" s="317"/>
      <c r="M110" s="317"/>
      <c r="N110" s="317"/>
      <c r="O110" s="317"/>
      <c r="P110" s="317"/>
      <c r="Q110" s="317"/>
      <c r="R110" s="317"/>
      <c r="S110" s="317"/>
    </row>
    <row r="111" ht="15" spans="1:19">
      <c r="A111" s="308" t="s">
        <v>2141</v>
      </c>
      <c r="B111" s="319">
        <v>997</v>
      </c>
      <c r="C111" s="317"/>
      <c r="D111" s="317"/>
      <c r="E111" s="317"/>
      <c r="F111" s="317"/>
      <c r="G111" s="322">
        <f t="shared" si="1"/>
        <v>0</v>
      </c>
      <c r="H111" s="317"/>
      <c r="I111" s="317"/>
      <c r="J111" s="317"/>
      <c r="K111" s="317"/>
      <c r="L111" s="317"/>
      <c r="M111" s="317"/>
      <c r="N111" s="317"/>
      <c r="O111" s="317"/>
      <c r="P111" s="317"/>
      <c r="Q111" s="317"/>
      <c r="R111" s="317"/>
      <c r="S111" s="317"/>
    </row>
    <row r="112" ht="15" spans="1:19">
      <c r="A112" s="308" t="s">
        <v>2142</v>
      </c>
      <c r="B112" s="319">
        <v>497</v>
      </c>
      <c r="C112" s="317"/>
      <c r="D112" s="317"/>
      <c r="E112" s="317"/>
      <c r="F112" s="317"/>
      <c r="G112" s="322">
        <f t="shared" si="1"/>
        <v>0</v>
      </c>
      <c r="H112" s="317"/>
      <c r="I112" s="317"/>
      <c r="J112" s="317"/>
      <c r="K112" s="317"/>
      <c r="L112" s="317"/>
      <c r="M112" s="317"/>
      <c r="N112" s="317"/>
      <c r="O112" s="317"/>
      <c r="P112" s="317"/>
      <c r="Q112" s="317"/>
      <c r="R112" s="317"/>
      <c r="S112" s="317"/>
    </row>
    <row r="113" ht="15" spans="1:19">
      <c r="A113" s="308" t="s">
        <v>2143</v>
      </c>
      <c r="B113" s="319">
        <v>897</v>
      </c>
      <c r="C113" s="317"/>
      <c r="D113" s="317"/>
      <c r="E113" s="317"/>
      <c r="F113" s="317"/>
      <c r="G113" s="322">
        <f t="shared" si="1"/>
        <v>0</v>
      </c>
      <c r="H113" s="317"/>
      <c r="I113" s="317"/>
      <c r="J113" s="317"/>
      <c r="K113" s="317"/>
      <c r="L113" s="317"/>
      <c r="M113" s="317"/>
      <c r="N113" s="317"/>
      <c r="O113" s="317"/>
      <c r="P113" s="317"/>
      <c r="Q113" s="317"/>
      <c r="R113" s="317"/>
      <c r="S113" s="317"/>
    </row>
    <row r="114" ht="15" spans="1:19">
      <c r="A114" s="308" t="s">
        <v>2144</v>
      </c>
      <c r="B114" s="319">
        <v>1200</v>
      </c>
      <c r="C114" s="317"/>
      <c r="D114" s="317"/>
      <c r="E114" s="317"/>
      <c r="F114" s="317"/>
      <c r="G114" s="322">
        <f t="shared" si="1"/>
        <v>0</v>
      </c>
      <c r="H114" s="317"/>
      <c r="I114" s="317"/>
      <c r="J114" s="317"/>
      <c r="K114" s="317"/>
      <c r="L114" s="317"/>
      <c r="M114" s="317"/>
      <c r="N114" s="317"/>
      <c r="O114" s="317"/>
      <c r="P114" s="317"/>
      <c r="Q114" s="317"/>
      <c r="R114" s="317"/>
      <c r="S114" s="317"/>
    </row>
    <row r="115" ht="15" spans="1:19">
      <c r="A115" s="308" t="s">
        <v>2145</v>
      </c>
      <c r="B115" s="319">
        <v>429</v>
      </c>
      <c r="C115" s="317"/>
      <c r="D115" s="317"/>
      <c r="E115" s="317"/>
      <c r="F115" s="317"/>
      <c r="G115" s="322">
        <f t="shared" si="1"/>
        <v>0</v>
      </c>
      <c r="H115" s="317"/>
      <c r="I115" s="317"/>
      <c r="J115" s="317"/>
      <c r="K115" s="317"/>
      <c r="L115" s="317"/>
      <c r="M115" s="317"/>
      <c r="N115" s="317"/>
      <c r="O115" s="317"/>
      <c r="P115" s="317"/>
      <c r="Q115" s="317"/>
      <c r="R115" s="317"/>
      <c r="S115" s="317"/>
    </row>
    <row r="116" ht="15" spans="1:19">
      <c r="A116" s="308" t="s">
        <v>2146</v>
      </c>
      <c r="B116" s="319">
        <v>297</v>
      </c>
      <c r="C116" s="317"/>
      <c r="D116" s="317"/>
      <c r="E116" s="317"/>
      <c r="F116" s="317"/>
      <c r="G116" s="322">
        <f t="shared" si="1"/>
        <v>0</v>
      </c>
      <c r="H116" s="317"/>
      <c r="I116" s="317"/>
      <c r="J116" s="317"/>
      <c r="K116" s="317"/>
      <c r="L116" s="317"/>
      <c r="M116" s="317"/>
      <c r="N116" s="317"/>
      <c r="O116" s="317"/>
      <c r="P116" s="317"/>
      <c r="Q116" s="317"/>
      <c r="R116" s="317"/>
      <c r="S116" s="317"/>
    </row>
    <row r="117" ht="12.75" spans="1:26">
      <c r="A117" s="316" t="s">
        <v>2147</v>
      </c>
      <c r="B117" s="317"/>
      <c r="C117" s="317"/>
      <c r="D117" s="317"/>
      <c r="E117" s="317"/>
      <c r="F117" s="317"/>
      <c r="G117" s="322">
        <f t="shared" si="1"/>
        <v>0</v>
      </c>
      <c r="H117" s="317"/>
      <c r="I117" s="317"/>
      <c r="J117" s="317"/>
      <c r="K117" s="317"/>
      <c r="L117" s="317"/>
      <c r="M117" s="317"/>
      <c r="N117" s="317"/>
      <c r="O117" s="317"/>
      <c r="P117" s="317"/>
      <c r="Q117" s="317"/>
      <c r="R117" s="317"/>
      <c r="S117" s="317"/>
      <c r="T117" s="317"/>
      <c r="U117" s="317"/>
      <c r="V117" s="317"/>
      <c r="W117" s="317"/>
      <c r="X117" s="317"/>
      <c r="Y117" s="317"/>
      <c r="Z117" s="317"/>
    </row>
    <row r="118" ht="15" spans="1:19">
      <c r="A118" s="308" t="s">
        <v>2148</v>
      </c>
      <c r="B118" s="319">
        <v>1200</v>
      </c>
      <c r="C118" s="317"/>
      <c r="D118" s="317"/>
      <c r="E118" s="317"/>
      <c r="F118" s="317"/>
      <c r="G118" s="322">
        <f t="shared" si="1"/>
        <v>0</v>
      </c>
      <c r="H118" s="317"/>
      <c r="I118" s="317"/>
      <c r="J118" s="317"/>
      <c r="K118" s="317"/>
      <c r="L118" s="317"/>
      <c r="M118" s="317"/>
      <c r="N118" s="317"/>
      <c r="O118" s="317"/>
      <c r="P118" s="317"/>
      <c r="Q118" s="317"/>
      <c r="R118" s="317"/>
      <c r="S118" s="317"/>
    </row>
    <row r="119" ht="15" spans="1:19">
      <c r="A119" s="308" t="s">
        <v>2149</v>
      </c>
      <c r="B119" s="319">
        <f t="shared" ref="B119:B121" si="83">SUM(R119)</f>
        <v>344</v>
      </c>
      <c r="C119" s="321">
        <v>4</v>
      </c>
      <c r="D119" s="320" t="s">
        <v>1064</v>
      </c>
      <c r="E119" s="321">
        <v>4</v>
      </c>
      <c r="F119" s="321"/>
      <c r="G119" s="322">
        <f t="shared" si="1"/>
        <v>43.0556</v>
      </c>
      <c r="H119" s="321"/>
      <c r="I119" s="321"/>
      <c r="J119" s="327">
        <v>43</v>
      </c>
      <c r="K119" s="328">
        <f t="shared" ref="K119:K121" si="84">SUM(J119*E119)</f>
        <v>172</v>
      </c>
      <c r="L119" s="328">
        <v>0</v>
      </c>
      <c r="M119" s="328">
        <f t="shared" ref="M119:M121" si="85">SUM(L119/14.25)</f>
        <v>0</v>
      </c>
      <c r="N119" s="321">
        <v>8</v>
      </c>
      <c r="O119" s="328">
        <f t="shared" ref="O119:O121" si="86">SUM(M119/N119*2)</f>
        <v>0</v>
      </c>
      <c r="P119" s="329">
        <f t="shared" ref="P119:P121" si="87">SUM(K119+O119)</f>
        <v>172</v>
      </c>
      <c r="Q119" s="330">
        <v>1</v>
      </c>
      <c r="R119" s="331">
        <f t="shared" ref="R119:R121" si="88">SUM(P119*(1+Q119))</f>
        <v>344</v>
      </c>
      <c r="S119" s="331">
        <v>344</v>
      </c>
    </row>
    <row r="120" ht="15" spans="1:19">
      <c r="A120" s="308" t="s">
        <v>2150</v>
      </c>
      <c r="B120" s="319">
        <f t="shared" si="83"/>
        <v>172</v>
      </c>
      <c r="C120" s="321">
        <v>2</v>
      </c>
      <c r="D120" s="320" t="s">
        <v>1064</v>
      </c>
      <c r="E120" s="321">
        <v>2</v>
      </c>
      <c r="F120" s="321"/>
      <c r="G120" s="322">
        <f t="shared" si="1"/>
        <v>21.5278</v>
      </c>
      <c r="H120" s="321"/>
      <c r="I120" s="321"/>
      <c r="J120" s="327">
        <v>43</v>
      </c>
      <c r="K120" s="328">
        <f t="shared" si="84"/>
        <v>86</v>
      </c>
      <c r="L120" s="328">
        <v>0</v>
      </c>
      <c r="M120" s="328">
        <f t="shared" si="85"/>
        <v>0</v>
      </c>
      <c r="N120" s="321">
        <v>8</v>
      </c>
      <c r="O120" s="328">
        <f t="shared" si="86"/>
        <v>0</v>
      </c>
      <c r="P120" s="329">
        <f t="shared" si="87"/>
        <v>86</v>
      </c>
      <c r="Q120" s="330">
        <v>1</v>
      </c>
      <c r="R120" s="331">
        <f t="shared" si="88"/>
        <v>172</v>
      </c>
      <c r="S120">
        <v>172</v>
      </c>
    </row>
    <row r="121" ht="15" spans="1:19">
      <c r="A121" s="308" t="s">
        <v>2151</v>
      </c>
      <c r="B121" s="319">
        <f t="shared" si="83"/>
        <v>175.929824561404</v>
      </c>
      <c r="C121" s="321">
        <v>2</v>
      </c>
      <c r="D121" s="320" t="s">
        <v>1064</v>
      </c>
      <c r="E121" s="321">
        <v>2</v>
      </c>
      <c r="F121" s="321"/>
      <c r="G121" s="322">
        <f t="shared" si="1"/>
        <v>21.5278</v>
      </c>
      <c r="H121" s="321"/>
      <c r="I121" s="321"/>
      <c r="J121" s="327">
        <v>43</v>
      </c>
      <c r="K121" s="328">
        <f t="shared" si="84"/>
        <v>86</v>
      </c>
      <c r="L121" s="328">
        <v>112</v>
      </c>
      <c r="M121" s="328">
        <f t="shared" si="85"/>
        <v>7.85964912280702</v>
      </c>
      <c r="N121" s="321">
        <v>8</v>
      </c>
      <c r="O121" s="328">
        <f t="shared" si="86"/>
        <v>1.96491228070175</v>
      </c>
      <c r="P121" s="329">
        <f t="shared" si="87"/>
        <v>87.9649122807018</v>
      </c>
      <c r="Q121" s="330">
        <v>1</v>
      </c>
      <c r="R121" s="331">
        <f t="shared" si="88"/>
        <v>175.929824561404</v>
      </c>
      <c r="S121">
        <v>176</v>
      </c>
    </row>
    <row r="122" ht="15" spans="1:19">
      <c r="A122" s="308" t="s">
        <v>2152</v>
      </c>
      <c r="B122" s="319">
        <v>0</v>
      </c>
      <c r="C122" s="317"/>
      <c r="D122" s="317"/>
      <c r="E122" s="317"/>
      <c r="F122" s="317"/>
      <c r="G122" s="322">
        <f t="shared" si="1"/>
        <v>0</v>
      </c>
      <c r="H122" s="317"/>
      <c r="I122" s="317"/>
      <c r="J122" s="317"/>
      <c r="K122" s="317"/>
      <c r="L122" s="317"/>
      <c r="M122" s="317"/>
      <c r="N122" s="317"/>
      <c r="O122" s="317"/>
      <c r="P122" s="317"/>
      <c r="Q122" s="317"/>
      <c r="R122" s="317"/>
      <c r="S122" s="317"/>
    </row>
    <row r="123" ht="15" spans="1:19">
      <c r="A123" s="308" t="s">
        <v>2153</v>
      </c>
      <c r="B123" s="319">
        <v>0</v>
      </c>
      <c r="C123" s="317"/>
      <c r="D123" s="317"/>
      <c r="E123" s="317"/>
      <c r="F123" s="317"/>
      <c r="G123" s="322">
        <f t="shared" si="1"/>
        <v>0</v>
      </c>
      <c r="H123" s="317"/>
      <c r="I123" s="317"/>
      <c r="J123" s="317"/>
      <c r="K123" s="317"/>
      <c r="L123" s="317"/>
      <c r="M123" s="317"/>
      <c r="N123" s="317"/>
      <c r="O123" s="317"/>
      <c r="P123" s="317"/>
      <c r="Q123" s="317"/>
      <c r="R123" s="317"/>
      <c r="S123" s="317"/>
    </row>
    <row r="124" ht="15" spans="1:19">
      <c r="A124" s="308" t="s">
        <v>2154</v>
      </c>
      <c r="B124" s="319">
        <v>70</v>
      </c>
      <c r="C124" s="317"/>
      <c r="D124" s="317"/>
      <c r="E124" s="317"/>
      <c r="F124" s="317"/>
      <c r="G124" s="322">
        <f t="shared" si="1"/>
        <v>0</v>
      </c>
      <c r="H124" s="317"/>
      <c r="I124" s="317"/>
      <c r="J124" s="317"/>
      <c r="K124" s="317"/>
      <c r="L124" s="317"/>
      <c r="M124" s="317"/>
      <c r="N124" s="317"/>
      <c r="O124" s="317"/>
      <c r="P124" s="317"/>
      <c r="Q124" s="317"/>
      <c r="R124" s="317"/>
      <c r="S124" s="317"/>
    </row>
    <row r="125" ht="15" spans="1:19">
      <c r="A125" s="308" t="s">
        <v>2155</v>
      </c>
      <c r="B125" s="319">
        <v>100</v>
      </c>
      <c r="C125" s="317"/>
      <c r="D125" s="317"/>
      <c r="E125" s="317"/>
      <c r="F125" s="317"/>
      <c r="G125" s="322">
        <f t="shared" si="1"/>
        <v>0</v>
      </c>
      <c r="H125" s="317"/>
      <c r="I125" s="317"/>
      <c r="J125" s="317"/>
      <c r="K125" s="317"/>
      <c r="L125" s="317"/>
      <c r="M125" s="317"/>
      <c r="N125" s="317"/>
      <c r="O125" s="317"/>
      <c r="P125" s="317"/>
      <c r="Q125" s="317"/>
      <c r="R125" s="317"/>
      <c r="S125" s="317"/>
    </row>
    <row r="126" ht="15" spans="1:19">
      <c r="A126" s="308" t="s">
        <v>2156</v>
      </c>
      <c r="B126" s="323">
        <v>120</v>
      </c>
      <c r="C126" s="312"/>
      <c r="D126" s="312"/>
      <c r="E126" s="312"/>
      <c r="F126" s="312"/>
      <c r="G126" s="322">
        <f t="shared" si="1"/>
        <v>0</v>
      </c>
      <c r="H126" s="312"/>
      <c r="I126" s="312"/>
      <c r="J126" s="312"/>
      <c r="K126" s="312"/>
      <c r="L126" s="312"/>
      <c r="M126" s="312"/>
      <c r="N126" s="312"/>
      <c r="O126" s="312"/>
      <c r="P126" s="312"/>
      <c r="Q126" s="312"/>
      <c r="R126" s="312"/>
      <c r="S126" s="312"/>
    </row>
    <row r="127" ht="15" spans="1:19">
      <c r="A127" s="308" t="s">
        <v>2157</v>
      </c>
      <c r="B127" s="319">
        <v>0</v>
      </c>
      <c r="C127" s="317"/>
      <c r="D127" s="317"/>
      <c r="E127" s="317"/>
      <c r="F127" s="317"/>
      <c r="G127" s="322">
        <f t="shared" si="1"/>
        <v>0</v>
      </c>
      <c r="H127" s="317"/>
      <c r="I127" s="317"/>
      <c r="J127" s="317"/>
      <c r="K127" s="317"/>
      <c r="L127" s="317"/>
      <c r="M127" s="317"/>
      <c r="N127" s="317"/>
      <c r="O127" s="317"/>
      <c r="P127" s="317"/>
      <c r="Q127" s="317"/>
      <c r="R127" s="317"/>
      <c r="S127" s="317"/>
    </row>
    <row r="128" ht="15" spans="1:19">
      <c r="A128" s="308" t="s">
        <v>2158</v>
      </c>
      <c r="B128" s="319">
        <v>700</v>
      </c>
      <c r="C128" s="317"/>
      <c r="D128" s="317"/>
      <c r="E128" s="317"/>
      <c r="F128" s="317"/>
      <c r="G128" s="322">
        <f t="shared" si="1"/>
        <v>0</v>
      </c>
      <c r="H128" s="317"/>
      <c r="I128" s="317"/>
      <c r="J128" s="317"/>
      <c r="K128" s="317"/>
      <c r="L128" s="317"/>
      <c r="M128" s="317"/>
      <c r="N128" s="317"/>
      <c r="O128" s="317"/>
      <c r="P128" s="317"/>
      <c r="Q128" s="317"/>
      <c r="R128" s="317"/>
      <c r="S128" s="317"/>
    </row>
    <row r="129" ht="15" spans="1:19">
      <c r="A129" s="308" t="s">
        <v>2159</v>
      </c>
      <c r="B129" s="323">
        <v>2200</v>
      </c>
      <c r="C129" s="317"/>
      <c r="D129" s="317"/>
      <c r="E129" s="317"/>
      <c r="F129" s="317"/>
      <c r="G129" s="322">
        <f t="shared" si="1"/>
        <v>0</v>
      </c>
      <c r="H129" s="317"/>
      <c r="I129" s="317"/>
      <c r="J129" s="317"/>
      <c r="K129" s="317"/>
      <c r="L129" s="317"/>
      <c r="M129" s="317"/>
      <c r="N129" s="317"/>
      <c r="O129" s="317"/>
      <c r="P129" s="317"/>
      <c r="Q129" s="317"/>
      <c r="R129" s="317"/>
      <c r="S129" s="317"/>
    </row>
    <row r="130" ht="15" spans="1:19">
      <c r="A130" s="308" t="s">
        <v>2160</v>
      </c>
      <c r="B130" s="319">
        <f>SUM(R130)</f>
        <v>363.929824561404</v>
      </c>
      <c r="C130" s="321">
        <v>4</v>
      </c>
      <c r="D130" s="320" t="s">
        <v>1064</v>
      </c>
      <c r="E130" s="321">
        <v>4</v>
      </c>
      <c r="F130" s="321"/>
      <c r="G130" s="322">
        <f t="shared" si="1"/>
        <v>43.0556</v>
      </c>
      <c r="H130" s="321"/>
      <c r="I130" s="321"/>
      <c r="J130" s="327">
        <v>45</v>
      </c>
      <c r="K130" s="328">
        <f>SUM(J130*E130)</f>
        <v>180</v>
      </c>
      <c r="L130" s="328">
        <v>112</v>
      </c>
      <c r="M130" s="328">
        <f>SUM(L130/14.25)</f>
        <v>7.85964912280702</v>
      </c>
      <c r="N130" s="321">
        <v>8</v>
      </c>
      <c r="O130" s="328">
        <f>SUM(M130/N130*2)</f>
        <v>1.96491228070175</v>
      </c>
      <c r="P130" s="329">
        <f>SUM(K130+O130)</f>
        <v>181.964912280702</v>
      </c>
      <c r="Q130" s="330">
        <v>1</v>
      </c>
      <c r="R130" s="331">
        <f>SUM(P130*(1+Q130))</f>
        <v>363.929824561404</v>
      </c>
      <c r="S130" s="331">
        <v>364</v>
      </c>
    </row>
    <row r="131" ht="12.75" spans="1:26">
      <c r="A131" s="316" t="s">
        <v>2161</v>
      </c>
      <c r="B131" s="317"/>
      <c r="C131" s="317"/>
      <c r="D131" s="317"/>
      <c r="E131" s="317"/>
      <c r="F131" s="317"/>
      <c r="G131" s="322">
        <f t="shared" si="1"/>
        <v>0</v>
      </c>
      <c r="H131" s="317"/>
      <c r="I131" s="317"/>
      <c r="J131" s="317"/>
      <c r="K131" s="317"/>
      <c r="L131" s="317"/>
      <c r="M131" s="317"/>
      <c r="N131" s="317"/>
      <c r="O131" s="317"/>
      <c r="P131" s="317"/>
      <c r="Q131" s="317"/>
      <c r="R131" s="317"/>
      <c r="S131" s="317"/>
      <c r="T131" s="317"/>
      <c r="U131" s="317"/>
      <c r="V131" s="317"/>
      <c r="W131" s="317"/>
      <c r="X131" s="317"/>
      <c r="Y131" s="317"/>
      <c r="Z131" s="317"/>
    </row>
    <row r="132" ht="15" spans="1:19">
      <c r="A132" s="308" t="s">
        <v>2162</v>
      </c>
      <c r="B132" s="319">
        <f t="shared" ref="B132:B134" si="89">SUM(R132)</f>
        <v>8.61988304093567</v>
      </c>
      <c r="C132" s="320">
        <v>15</v>
      </c>
      <c r="D132" s="320" t="s">
        <v>2033</v>
      </c>
      <c r="E132" s="321">
        <v>15</v>
      </c>
      <c r="F132" s="321"/>
      <c r="G132" s="322">
        <f t="shared" ref="G132:G134" si="90">C132*3</f>
        <v>45</v>
      </c>
      <c r="H132" s="321"/>
      <c r="I132" s="321"/>
      <c r="J132" s="327">
        <v>45</v>
      </c>
      <c r="K132" s="328">
        <f t="shared" ref="K132:K134" si="91">SUM(J132/E132)</f>
        <v>3</v>
      </c>
      <c r="L132" s="328">
        <v>112</v>
      </c>
      <c r="M132" s="328">
        <f t="shared" ref="M132:M134" si="92">SUM(L132/14.25)</f>
        <v>7.85964912280702</v>
      </c>
      <c r="N132" s="321">
        <v>12</v>
      </c>
      <c r="O132" s="328">
        <f t="shared" ref="O132:O134" si="93">SUM(M132/N132*2)</f>
        <v>1.30994152046784</v>
      </c>
      <c r="P132" s="329">
        <f t="shared" ref="P132:P134" si="94">SUM(K132+O132)</f>
        <v>4.30994152046784</v>
      </c>
      <c r="Q132" s="330">
        <v>1</v>
      </c>
      <c r="R132" s="331">
        <f t="shared" ref="R132:R134" si="95">SUM(P132*(1+Q132))</f>
        <v>8.61988304093567</v>
      </c>
      <c r="S132" s="331">
        <v>9</v>
      </c>
    </row>
    <row r="133" ht="15" spans="1:19">
      <c r="A133" s="308" t="s">
        <v>2163</v>
      </c>
      <c r="B133" s="319">
        <f t="shared" si="89"/>
        <v>8.61988304093567</v>
      </c>
      <c r="C133" s="320">
        <v>15</v>
      </c>
      <c r="D133" s="320" t="s">
        <v>2033</v>
      </c>
      <c r="E133" s="321">
        <v>15</v>
      </c>
      <c r="F133" s="321"/>
      <c r="G133" s="322">
        <f t="shared" si="90"/>
        <v>45</v>
      </c>
      <c r="H133" s="321"/>
      <c r="I133" s="321"/>
      <c r="J133" s="327">
        <v>45</v>
      </c>
      <c r="K133" s="328">
        <f t="shared" si="91"/>
        <v>3</v>
      </c>
      <c r="L133" s="328">
        <v>112</v>
      </c>
      <c r="M133" s="328">
        <f t="shared" si="92"/>
        <v>7.85964912280702</v>
      </c>
      <c r="N133" s="321">
        <v>12</v>
      </c>
      <c r="O133" s="328">
        <f t="shared" si="93"/>
        <v>1.30994152046784</v>
      </c>
      <c r="P133" s="329">
        <f t="shared" si="94"/>
        <v>4.30994152046784</v>
      </c>
      <c r="Q133" s="330">
        <v>1</v>
      </c>
      <c r="R133" s="331">
        <f t="shared" si="95"/>
        <v>8.61988304093567</v>
      </c>
      <c r="S133">
        <v>9</v>
      </c>
    </row>
    <row r="134" ht="16.5" customHeight="1" spans="1:19">
      <c r="A134" s="308" t="s">
        <v>2164</v>
      </c>
      <c r="B134" s="319">
        <f t="shared" si="89"/>
        <v>11.6198830409357</v>
      </c>
      <c r="C134" s="320">
        <v>10</v>
      </c>
      <c r="D134" s="320" t="s">
        <v>2033</v>
      </c>
      <c r="E134" s="321">
        <v>10</v>
      </c>
      <c r="F134" s="321"/>
      <c r="G134" s="322">
        <f t="shared" si="90"/>
        <v>30</v>
      </c>
      <c r="H134" s="321"/>
      <c r="I134" s="321"/>
      <c r="J134" s="327">
        <v>45</v>
      </c>
      <c r="K134" s="328">
        <f t="shared" si="91"/>
        <v>4.5</v>
      </c>
      <c r="L134" s="328">
        <v>112</v>
      </c>
      <c r="M134" s="328">
        <f t="shared" si="92"/>
        <v>7.85964912280702</v>
      </c>
      <c r="N134" s="321">
        <v>12</v>
      </c>
      <c r="O134" s="328">
        <f t="shared" si="93"/>
        <v>1.30994152046784</v>
      </c>
      <c r="P134" s="329">
        <f t="shared" si="94"/>
        <v>5.80994152046784</v>
      </c>
      <c r="Q134" s="330">
        <v>1</v>
      </c>
      <c r="R134" s="331">
        <f t="shared" si="95"/>
        <v>11.6198830409357</v>
      </c>
      <c r="S134">
        <v>12</v>
      </c>
    </row>
    <row r="135" ht="12.75" spans="1:26">
      <c r="A135" s="316" t="s">
        <v>2165</v>
      </c>
      <c r="B135" s="317"/>
      <c r="C135" s="317"/>
      <c r="D135" s="317"/>
      <c r="E135" s="317"/>
      <c r="F135" s="317"/>
      <c r="G135" s="322">
        <f t="shared" ref="G135:G159" si="96">C135*10.7639</f>
        <v>0</v>
      </c>
      <c r="H135" s="317"/>
      <c r="I135" s="317"/>
      <c r="J135" s="317"/>
      <c r="K135" s="317"/>
      <c r="L135" s="317"/>
      <c r="M135" s="317"/>
      <c r="N135" s="317"/>
      <c r="O135" s="317"/>
      <c r="P135" s="317"/>
      <c r="Q135" s="317"/>
      <c r="R135" s="317"/>
      <c r="S135" s="317"/>
      <c r="T135" s="317"/>
      <c r="U135" s="317"/>
      <c r="V135" s="317"/>
      <c r="W135" s="317"/>
      <c r="X135" s="317"/>
      <c r="Y135" s="317"/>
      <c r="Z135" s="317"/>
    </row>
    <row r="136" ht="15" spans="1:19">
      <c r="A136" s="308" t="s">
        <v>2166</v>
      </c>
      <c r="B136" s="319">
        <f t="shared" ref="B136:B140" si="97">SUM(R136)</f>
        <v>47.8771929824561</v>
      </c>
      <c r="C136" s="321">
        <v>0.5</v>
      </c>
      <c r="D136" s="320" t="s">
        <v>1064</v>
      </c>
      <c r="E136" s="321">
        <v>0.5</v>
      </c>
      <c r="F136" s="321"/>
      <c r="G136" s="322">
        <f t="shared" si="96"/>
        <v>5.38195</v>
      </c>
      <c r="H136" s="321"/>
      <c r="I136" s="321"/>
      <c r="J136" s="327">
        <v>45</v>
      </c>
      <c r="K136" s="328">
        <f t="shared" ref="K136:K140" si="98">SUM(J136*E136)</f>
        <v>22.5</v>
      </c>
      <c r="L136" s="328">
        <v>102.5</v>
      </c>
      <c r="M136" s="328">
        <f t="shared" ref="M136:M140" si="99">SUM(L136/14.25)</f>
        <v>7.19298245614035</v>
      </c>
      <c r="N136" s="321">
        <v>10</v>
      </c>
      <c r="O136" s="328">
        <f t="shared" ref="O136:O140" si="100">SUM(M136/N136*2)</f>
        <v>1.43859649122807</v>
      </c>
      <c r="P136" s="329">
        <f t="shared" ref="P136:P140" si="101">SUM(K136+O136)</f>
        <v>23.9385964912281</v>
      </c>
      <c r="Q136" s="330">
        <v>1</v>
      </c>
      <c r="R136" s="331">
        <f t="shared" ref="R136:R140" si="102">SUM(P136*(1+Q136))</f>
        <v>47.8771929824561</v>
      </c>
      <c r="S136" s="331">
        <v>48</v>
      </c>
    </row>
    <row r="137" ht="15" spans="1:19">
      <c r="A137" s="308" t="s">
        <v>2167</v>
      </c>
      <c r="B137" s="319">
        <f t="shared" si="97"/>
        <v>47.8771929824561</v>
      </c>
      <c r="C137" s="321">
        <v>0.5</v>
      </c>
      <c r="D137" s="320" t="s">
        <v>1064</v>
      </c>
      <c r="E137" s="321">
        <v>0.5</v>
      </c>
      <c r="F137" s="321"/>
      <c r="G137" s="322">
        <f t="shared" si="96"/>
        <v>5.38195</v>
      </c>
      <c r="H137" s="321"/>
      <c r="I137" s="321"/>
      <c r="J137" s="327">
        <v>45</v>
      </c>
      <c r="K137" s="328">
        <f t="shared" si="98"/>
        <v>22.5</v>
      </c>
      <c r="L137" s="328">
        <v>102.5</v>
      </c>
      <c r="M137" s="328">
        <f t="shared" si="99"/>
        <v>7.19298245614035</v>
      </c>
      <c r="N137" s="321">
        <v>10</v>
      </c>
      <c r="O137" s="328">
        <f t="shared" si="100"/>
        <v>1.43859649122807</v>
      </c>
      <c r="P137" s="329">
        <f t="shared" si="101"/>
        <v>23.9385964912281</v>
      </c>
      <c r="Q137" s="330">
        <v>1</v>
      </c>
      <c r="R137" s="331">
        <f t="shared" si="102"/>
        <v>47.8771929824561</v>
      </c>
      <c r="S137">
        <v>48</v>
      </c>
    </row>
    <row r="138" ht="15" spans="1:19">
      <c r="A138" s="308" t="s">
        <v>2168</v>
      </c>
      <c r="B138" s="319">
        <f t="shared" si="97"/>
        <v>47.8771929824561</v>
      </c>
      <c r="C138" s="321">
        <v>0.5</v>
      </c>
      <c r="D138" s="320" t="s">
        <v>1064</v>
      </c>
      <c r="E138" s="321">
        <v>0.5</v>
      </c>
      <c r="F138" s="321"/>
      <c r="G138" s="322">
        <f t="shared" si="96"/>
        <v>5.38195</v>
      </c>
      <c r="H138" s="321"/>
      <c r="I138" s="321"/>
      <c r="J138" s="327">
        <v>45</v>
      </c>
      <c r="K138" s="328">
        <f t="shared" si="98"/>
        <v>22.5</v>
      </c>
      <c r="L138" s="328">
        <v>102.5</v>
      </c>
      <c r="M138" s="328">
        <f t="shared" si="99"/>
        <v>7.19298245614035</v>
      </c>
      <c r="N138" s="321">
        <v>10</v>
      </c>
      <c r="O138" s="328">
        <f t="shared" si="100"/>
        <v>1.43859649122807</v>
      </c>
      <c r="P138" s="329">
        <f t="shared" si="101"/>
        <v>23.9385964912281</v>
      </c>
      <c r="Q138" s="330">
        <v>1</v>
      </c>
      <c r="R138" s="331">
        <f t="shared" si="102"/>
        <v>47.8771929824561</v>
      </c>
      <c r="S138">
        <v>48</v>
      </c>
    </row>
    <row r="139" ht="15" spans="1:19">
      <c r="A139" s="308" t="s">
        <v>2169</v>
      </c>
      <c r="B139" s="319">
        <f t="shared" si="97"/>
        <v>47.8771929824561</v>
      </c>
      <c r="C139" s="321">
        <v>0.5</v>
      </c>
      <c r="D139" s="320" t="s">
        <v>1064</v>
      </c>
      <c r="E139" s="321">
        <v>0.5</v>
      </c>
      <c r="F139" s="321"/>
      <c r="G139" s="322">
        <f t="shared" si="96"/>
        <v>5.38195</v>
      </c>
      <c r="H139" s="321"/>
      <c r="I139" s="321"/>
      <c r="J139" s="327">
        <v>45</v>
      </c>
      <c r="K139" s="328">
        <f t="shared" si="98"/>
        <v>22.5</v>
      </c>
      <c r="L139" s="328">
        <v>102.5</v>
      </c>
      <c r="M139" s="328">
        <f t="shared" si="99"/>
        <v>7.19298245614035</v>
      </c>
      <c r="N139" s="321">
        <v>10</v>
      </c>
      <c r="O139" s="328">
        <f t="shared" si="100"/>
        <v>1.43859649122807</v>
      </c>
      <c r="P139" s="329">
        <f t="shared" si="101"/>
        <v>23.9385964912281</v>
      </c>
      <c r="Q139" s="330">
        <v>1</v>
      </c>
      <c r="R139" s="331">
        <f t="shared" si="102"/>
        <v>47.8771929824561</v>
      </c>
      <c r="S139">
        <v>48</v>
      </c>
    </row>
    <row r="140" ht="15" spans="1:19">
      <c r="A140" s="308" t="s">
        <v>2170</v>
      </c>
      <c r="B140" s="319">
        <f t="shared" si="97"/>
        <v>47.8771929824561</v>
      </c>
      <c r="C140" s="321">
        <v>0.5</v>
      </c>
      <c r="D140" s="320" t="s">
        <v>1064</v>
      </c>
      <c r="E140" s="321">
        <v>0.5</v>
      </c>
      <c r="F140" s="321"/>
      <c r="G140" s="322">
        <f t="shared" si="96"/>
        <v>5.38195</v>
      </c>
      <c r="H140" s="321"/>
      <c r="I140" s="321"/>
      <c r="J140" s="327">
        <v>45</v>
      </c>
      <c r="K140" s="328">
        <f t="shared" si="98"/>
        <v>22.5</v>
      </c>
      <c r="L140" s="328">
        <v>102.5</v>
      </c>
      <c r="M140" s="328">
        <f t="shared" si="99"/>
        <v>7.19298245614035</v>
      </c>
      <c r="N140" s="321">
        <v>10</v>
      </c>
      <c r="O140" s="328">
        <f t="shared" si="100"/>
        <v>1.43859649122807</v>
      </c>
      <c r="P140" s="329">
        <f t="shared" si="101"/>
        <v>23.9385964912281</v>
      </c>
      <c r="Q140" s="330">
        <v>1</v>
      </c>
      <c r="R140" s="331">
        <f t="shared" si="102"/>
        <v>47.8771929824561</v>
      </c>
      <c r="S140">
        <v>48</v>
      </c>
    </row>
    <row r="141" ht="12.75" spans="1:26">
      <c r="A141" s="316" t="s">
        <v>2171</v>
      </c>
      <c r="B141" s="317"/>
      <c r="C141" s="317"/>
      <c r="D141" s="317"/>
      <c r="E141" s="317"/>
      <c r="F141" s="317"/>
      <c r="G141" s="322">
        <f t="shared" si="96"/>
        <v>0</v>
      </c>
      <c r="H141" s="317"/>
      <c r="I141" s="317"/>
      <c r="J141" s="317"/>
      <c r="K141" s="317"/>
      <c r="L141" s="317"/>
      <c r="M141" s="317"/>
      <c r="N141" s="317"/>
      <c r="O141" s="317"/>
      <c r="P141" s="317"/>
      <c r="Q141" s="317"/>
      <c r="R141" s="317"/>
      <c r="S141" s="317"/>
      <c r="T141" s="317"/>
      <c r="U141" s="317"/>
      <c r="V141" s="317"/>
      <c r="W141" s="317"/>
      <c r="X141" s="317"/>
      <c r="Y141" s="317"/>
      <c r="Z141" s="317"/>
    </row>
    <row r="142" ht="15" spans="1:19">
      <c r="A142" s="308" t="s">
        <v>2172</v>
      </c>
      <c r="B142" s="319">
        <f t="shared" ref="B142:B144" si="103">SUM(R142)</f>
        <v>363.143859649123</v>
      </c>
      <c r="C142" s="321">
        <v>4</v>
      </c>
      <c r="D142" s="320" t="s">
        <v>1064</v>
      </c>
      <c r="E142" s="321">
        <v>4</v>
      </c>
      <c r="F142" s="321"/>
      <c r="G142" s="322">
        <f t="shared" si="96"/>
        <v>43.0556</v>
      </c>
      <c r="H142" s="321"/>
      <c r="I142" s="321"/>
      <c r="J142" s="327">
        <v>45</v>
      </c>
      <c r="K142" s="328">
        <f t="shared" ref="K142:K144" si="104">SUM(J142*E142)</f>
        <v>180</v>
      </c>
      <c r="L142" s="328">
        <v>112</v>
      </c>
      <c r="M142" s="328">
        <f>SUM(L142/14.25)</f>
        <v>7.85964912280702</v>
      </c>
      <c r="N142" s="321">
        <v>10</v>
      </c>
      <c r="O142" s="328">
        <f t="shared" ref="O142:O144" si="105">SUM(M142/N142*2)</f>
        <v>1.5719298245614</v>
      </c>
      <c r="P142" s="329">
        <f t="shared" ref="P142:P144" si="106">SUM(K142+O142)</f>
        <v>181.571929824561</v>
      </c>
      <c r="Q142" s="330">
        <v>1</v>
      </c>
      <c r="R142" s="331">
        <f t="shared" ref="R142:R144" si="107">SUM(P142*(1+Q142))</f>
        <v>363.143859649123</v>
      </c>
      <c r="S142" s="331">
        <v>364</v>
      </c>
    </row>
    <row r="143" ht="15" spans="1:19">
      <c r="A143" s="308" t="s">
        <v>2173</v>
      </c>
      <c r="B143" s="319">
        <f t="shared" si="103"/>
        <v>724.315789473684</v>
      </c>
      <c r="C143" s="321">
        <v>8</v>
      </c>
      <c r="D143" s="320" t="s">
        <v>1064</v>
      </c>
      <c r="E143" s="321">
        <v>8</v>
      </c>
      <c r="F143" s="321"/>
      <c r="G143" s="322">
        <f t="shared" si="96"/>
        <v>86.1112</v>
      </c>
      <c r="H143" s="321"/>
      <c r="I143" s="321"/>
      <c r="J143" s="327">
        <v>45</v>
      </c>
      <c r="K143" s="328">
        <f t="shared" si="104"/>
        <v>360</v>
      </c>
      <c r="L143" s="328">
        <v>102.5</v>
      </c>
      <c r="M143" s="328">
        <f t="shared" ref="M143:M144" si="108">SUM(L143/9.5)</f>
        <v>10.7894736842105</v>
      </c>
      <c r="N143" s="321">
        <v>10</v>
      </c>
      <c r="O143" s="328">
        <f t="shared" si="105"/>
        <v>2.15789473684211</v>
      </c>
      <c r="P143" s="329">
        <f t="shared" si="106"/>
        <v>362.157894736842</v>
      </c>
      <c r="Q143" s="330">
        <v>1</v>
      </c>
      <c r="R143" s="331">
        <f t="shared" si="107"/>
        <v>724.315789473684</v>
      </c>
      <c r="S143">
        <v>725</v>
      </c>
    </row>
    <row r="144" ht="15" spans="1:19">
      <c r="A144" s="308" t="s">
        <v>2174</v>
      </c>
      <c r="B144" s="319">
        <f t="shared" si="103"/>
        <v>1084.31578947368</v>
      </c>
      <c r="C144" s="321">
        <v>12</v>
      </c>
      <c r="D144" s="320" t="s">
        <v>1064</v>
      </c>
      <c r="E144" s="321">
        <v>12</v>
      </c>
      <c r="F144" s="321"/>
      <c r="G144" s="322">
        <f t="shared" si="96"/>
        <v>129.1668</v>
      </c>
      <c r="H144" s="321"/>
      <c r="I144" s="321"/>
      <c r="J144" s="327">
        <v>45</v>
      </c>
      <c r="K144" s="328">
        <f t="shared" si="104"/>
        <v>540</v>
      </c>
      <c r="L144" s="328">
        <v>102.5</v>
      </c>
      <c r="M144" s="328">
        <f t="shared" si="108"/>
        <v>10.7894736842105</v>
      </c>
      <c r="N144" s="321">
        <v>10</v>
      </c>
      <c r="O144" s="328">
        <f t="shared" si="105"/>
        <v>2.15789473684211</v>
      </c>
      <c r="P144" s="329">
        <f t="shared" si="106"/>
        <v>542.157894736842</v>
      </c>
      <c r="Q144" s="330">
        <v>1</v>
      </c>
      <c r="R144" s="331">
        <f t="shared" si="107"/>
        <v>1084.31578947368</v>
      </c>
      <c r="S144">
        <v>1085</v>
      </c>
    </row>
    <row r="145" ht="12.75" spans="1:26">
      <c r="A145" s="316" t="s">
        <v>2175</v>
      </c>
      <c r="B145" s="317"/>
      <c r="C145" s="317"/>
      <c r="D145" s="317"/>
      <c r="E145" s="317"/>
      <c r="F145" s="317"/>
      <c r="G145" s="322">
        <f t="shared" si="96"/>
        <v>0</v>
      </c>
      <c r="H145" s="317"/>
      <c r="I145" s="317"/>
      <c r="J145" s="317"/>
      <c r="K145" s="317"/>
      <c r="L145" s="317"/>
      <c r="M145" s="317"/>
      <c r="N145" s="317"/>
      <c r="O145" s="317"/>
      <c r="P145" s="317"/>
      <c r="Q145" s="317"/>
      <c r="R145" s="317"/>
      <c r="S145" s="317"/>
      <c r="T145" s="317"/>
      <c r="U145" s="317"/>
      <c r="V145" s="317"/>
      <c r="W145" s="317"/>
      <c r="X145" s="317"/>
      <c r="Y145" s="317"/>
      <c r="Z145" s="317"/>
    </row>
    <row r="146" ht="15" spans="1:19">
      <c r="A146" s="308" t="s">
        <v>525</v>
      </c>
      <c r="B146" s="319">
        <v>25</v>
      </c>
      <c r="C146" s="312"/>
      <c r="D146" s="312"/>
      <c r="E146" s="312"/>
      <c r="F146" s="312"/>
      <c r="G146" s="322">
        <f t="shared" si="96"/>
        <v>0</v>
      </c>
      <c r="H146" s="312"/>
      <c r="I146" s="312"/>
      <c r="J146" s="312"/>
      <c r="K146" s="312"/>
      <c r="L146" s="312"/>
      <c r="M146" s="312"/>
      <c r="N146" s="312"/>
      <c r="O146" s="312"/>
      <c r="P146" s="312"/>
      <c r="Q146" s="312"/>
      <c r="R146" s="312"/>
      <c r="S146" s="312"/>
    </row>
    <row r="147" ht="15" spans="1:19">
      <c r="A147" s="308" t="s">
        <v>526</v>
      </c>
      <c r="B147" s="319">
        <v>850</v>
      </c>
      <c r="C147" s="312"/>
      <c r="D147" s="312"/>
      <c r="E147" s="312"/>
      <c r="F147" s="312"/>
      <c r="G147" s="322">
        <f t="shared" si="96"/>
        <v>0</v>
      </c>
      <c r="H147" s="312"/>
      <c r="I147" s="312"/>
      <c r="J147" s="312"/>
      <c r="K147" s="312"/>
      <c r="L147" s="312"/>
      <c r="M147" s="312"/>
      <c r="N147" s="312"/>
      <c r="O147" s="312"/>
      <c r="P147" s="312"/>
      <c r="Q147" s="312"/>
      <c r="R147" s="312"/>
      <c r="S147" s="312"/>
    </row>
    <row r="148" ht="15" spans="1:19">
      <c r="A148" s="308" t="s">
        <v>527</v>
      </c>
      <c r="B148" s="319">
        <v>180</v>
      </c>
      <c r="C148" s="312"/>
      <c r="D148" s="312"/>
      <c r="E148" s="312"/>
      <c r="F148" s="312"/>
      <c r="G148" s="322">
        <f t="shared" si="96"/>
        <v>0</v>
      </c>
      <c r="H148" s="312"/>
      <c r="I148" s="312"/>
      <c r="J148" s="312"/>
      <c r="K148" s="312"/>
      <c r="L148" s="312"/>
      <c r="M148" s="312"/>
      <c r="N148" s="312"/>
      <c r="O148" s="312"/>
      <c r="P148" s="312"/>
      <c r="Q148" s="312"/>
      <c r="R148" s="312"/>
      <c r="S148" s="312"/>
    </row>
    <row r="149" ht="15" spans="1:19">
      <c r="A149" s="308" t="s">
        <v>528</v>
      </c>
      <c r="B149" s="319">
        <v>1100</v>
      </c>
      <c r="C149" s="312"/>
      <c r="D149" s="312"/>
      <c r="E149" s="312"/>
      <c r="F149" s="312"/>
      <c r="G149" s="322">
        <f t="shared" si="96"/>
        <v>0</v>
      </c>
      <c r="H149" s="312"/>
      <c r="I149" s="312"/>
      <c r="J149" s="312"/>
      <c r="K149" s="312"/>
      <c r="L149" s="312"/>
      <c r="M149" s="312"/>
      <c r="N149" s="312"/>
      <c r="O149" s="312"/>
      <c r="P149" s="312"/>
      <c r="Q149" s="312"/>
      <c r="R149" s="312"/>
      <c r="S149" s="312"/>
    </row>
    <row r="150" ht="15" spans="1:19">
      <c r="A150" s="308" t="s">
        <v>529</v>
      </c>
      <c r="B150" s="319">
        <v>650</v>
      </c>
      <c r="C150" s="312"/>
      <c r="D150" s="312"/>
      <c r="E150" s="312"/>
      <c r="F150" s="312"/>
      <c r="G150" s="322">
        <f t="shared" si="96"/>
        <v>0</v>
      </c>
      <c r="H150" s="312"/>
      <c r="I150" s="312"/>
      <c r="J150" s="312"/>
      <c r="K150" s="312"/>
      <c r="L150" s="312"/>
      <c r="M150" s="312"/>
      <c r="N150" s="312"/>
      <c r="O150" s="312"/>
      <c r="P150" s="312"/>
      <c r="Q150" s="312"/>
      <c r="R150" s="312"/>
      <c r="S150" s="312"/>
    </row>
    <row r="151" ht="15" spans="1:19">
      <c r="A151" s="308" t="s">
        <v>530</v>
      </c>
      <c r="B151" s="319">
        <v>280</v>
      </c>
      <c r="C151" s="312"/>
      <c r="D151" s="312"/>
      <c r="E151" s="312"/>
      <c r="F151" s="312"/>
      <c r="G151" s="322">
        <f t="shared" si="96"/>
        <v>0</v>
      </c>
      <c r="H151" s="312"/>
      <c r="I151" s="312"/>
      <c r="J151" s="312"/>
      <c r="K151" s="312"/>
      <c r="L151" s="312"/>
      <c r="M151" s="312"/>
      <c r="N151" s="312"/>
      <c r="O151" s="312"/>
      <c r="P151" s="312"/>
      <c r="Q151" s="312"/>
      <c r="R151" s="312"/>
      <c r="S151" s="312"/>
    </row>
    <row r="152" ht="15" spans="1:19">
      <c r="A152" s="308" t="s">
        <v>531</v>
      </c>
      <c r="B152" s="319">
        <v>1800</v>
      </c>
      <c r="C152" s="312"/>
      <c r="D152" s="312"/>
      <c r="E152" s="312"/>
      <c r="F152" s="312"/>
      <c r="G152" s="322">
        <f t="shared" si="96"/>
        <v>0</v>
      </c>
      <c r="H152" s="312"/>
      <c r="I152" s="312"/>
      <c r="J152" s="312"/>
      <c r="K152" s="312"/>
      <c r="L152" s="312"/>
      <c r="M152" s="312"/>
      <c r="N152" s="312"/>
      <c r="O152" s="312"/>
      <c r="P152" s="312"/>
      <c r="Q152" s="312"/>
      <c r="R152" s="312"/>
      <c r="S152" s="312"/>
    </row>
    <row r="153" ht="15" spans="1:19">
      <c r="A153" s="308" t="s">
        <v>532</v>
      </c>
      <c r="B153" s="319">
        <v>0</v>
      </c>
      <c r="C153" s="312"/>
      <c r="D153" s="312"/>
      <c r="E153" s="312"/>
      <c r="F153" s="312"/>
      <c r="G153" s="322">
        <f t="shared" si="96"/>
        <v>0</v>
      </c>
      <c r="H153" s="312"/>
      <c r="I153" s="312"/>
      <c r="J153" s="312"/>
      <c r="K153" s="312"/>
      <c r="L153" s="312"/>
      <c r="M153" s="312"/>
      <c r="N153" s="312"/>
      <c r="O153" s="312"/>
      <c r="P153" s="312"/>
      <c r="Q153" s="312"/>
      <c r="R153" s="312"/>
      <c r="S153" s="312"/>
    </row>
    <row r="154" ht="15" spans="1:19">
      <c r="A154" s="308" t="s">
        <v>533</v>
      </c>
      <c r="B154" s="319">
        <v>200</v>
      </c>
      <c r="C154" s="312"/>
      <c r="D154" s="312"/>
      <c r="E154" s="312"/>
      <c r="F154" s="312"/>
      <c r="G154" s="322">
        <f t="shared" si="96"/>
        <v>0</v>
      </c>
      <c r="H154" s="312"/>
      <c r="I154" s="312"/>
      <c r="J154" s="312"/>
      <c r="K154" s="312"/>
      <c r="L154" s="312"/>
      <c r="M154" s="312"/>
      <c r="N154" s="312"/>
      <c r="O154" s="312"/>
      <c r="P154" s="312"/>
      <c r="Q154" s="312"/>
      <c r="R154" s="312"/>
      <c r="S154" s="312"/>
    </row>
    <row r="155" ht="15" spans="1:19">
      <c r="A155" s="308" t="s">
        <v>534</v>
      </c>
      <c r="B155" s="319">
        <v>70</v>
      </c>
      <c r="C155" s="312"/>
      <c r="D155" s="312"/>
      <c r="E155" s="312"/>
      <c r="F155" s="312"/>
      <c r="G155" s="322">
        <f t="shared" si="96"/>
        <v>0</v>
      </c>
      <c r="H155" s="312"/>
      <c r="I155" s="312"/>
      <c r="J155" s="312"/>
      <c r="K155" s="312"/>
      <c r="L155" s="312"/>
      <c r="M155" s="312"/>
      <c r="N155" s="312"/>
      <c r="O155" s="312"/>
      <c r="P155" s="312"/>
      <c r="Q155" s="312"/>
      <c r="R155" s="312"/>
      <c r="S155" s="312"/>
    </row>
    <row r="156" ht="15" spans="1:19">
      <c r="A156" s="308" t="s">
        <v>535</v>
      </c>
      <c r="B156" s="319">
        <v>400</v>
      </c>
      <c r="C156" s="312"/>
      <c r="D156" s="312"/>
      <c r="E156" s="312"/>
      <c r="F156" s="312"/>
      <c r="G156" s="322">
        <f t="shared" si="96"/>
        <v>0</v>
      </c>
      <c r="H156" s="312"/>
      <c r="I156" s="312"/>
      <c r="J156" s="312"/>
      <c r="K156" s="312"/>
      <c r="L156" s="312"/>
      <c r="M156" s="312"/>
      <c r="N156" s="312"/>
      <c r="O156" s="312"/>
      <c r="P156" s="312"/>
      <c r="Q156" s="312"/>
      <c r="R156" s="312"/>
      <c r="S156" s="312"/>
    </row>
    <row r="157" ht="15" spans="1:19">
      <c r="A157" s="308" t="s">
        <v>536</v>
      </c>
      <c r="B157" s="319">
        <v>800</v>
      </c>
      <c r="C157" s="312"/>
      <c r="D157" s="312"/>
      <c r="E157" s="312"/>
      <c r="F157" s="312"/>
      <c r="G157" s="322">
        <f t="shared" si="96"/>
        <v>0</v>
      </c>
      <c r="H157" s="312"/>
      <c r="I157" s="312"/>
      <c r="J157" s="312"/>
      <c r="K157" s="312"/>
      <c r="L157" s="312"/>
      <c r="M157" s="312"/>
      <c r="N157" s="312"/>
      <c r="O157" s="312"/>
      <c r="P157" s="312"/>
      <c r="Q157" s="312"/>
      <c r="R157" s="312"/>
      <c r="S157" s="312"/>
    </row>
    <row r="158" ht="15" spans="1:19">
      <c r="A158" s="308" t="s">
        <v>537</v>
      </c>
      <c r="B158" s="319">
        <v>0</v>
      </c>
      <c r="C158" s="312"/>
      <c r="D158" s="312"/>
      <c r="E158" s="312"/>
      <c r="F158" s="312"/>
      <c r="G158" s="322">
        <f t="shared" si="96"/>
        <v>0</v>
      </c>
      <c r="H158" s="312"/>
      <c r="I158" s="312"/>
      <c r="J158" s="312"/>
      <c r="K158" s="312"/>
      <c r="L158" s="312"/>
      <c r="M158" s="312"/>
      <c r="N158" s="312"/>
      <c r="O158" s="312"/>
      <c r="P158" s="312"/>
      <c r="Q158" s="312"/>
      <c r="R158" s="312"/>
      <c r="S158" s="312"/>
    </row>
    <row r="159" ht="15" spans="1:19">
      <c r="A159" s="308" t="s">
        <v>538</v>
      </c>
      <c r="B159" s="319">
        <v>500</v>
      </c>
      <c r="C159" s="312"/>
      <c r="D159" s="312"/>
      <c r="E159" s="312"/>
      <c r="F159" s="312"/>
      <c r="G159" s="322">
        <f t="shared" si="96"/>
        <v>0</v>
      </c>
      <c r="H159" s="312"/>
      <c r="I159" s="312"/>
      <c r="J159" s="312"/>
      <c r="K159" s="312"/>
      <c r="L159" s="312"/>
      <c r="M159" s="312"/>
      <c r="N159" s="312"/>
      <c r="O159" s="312"/>
      <c r="P159" s="312"/>
      <c r="Q159" s="312"/>
      <c r="R159" s="312"/>
      <c r="S159" s="312"/>
    </row>
    <row r="160" ht="12.75" spans="3:19">
      <c r="C160" s="312"/>
      <c r="D160" s="312"/>
      <c r="E160" s="312"/>
      <c r="F160" s="312"/>
      <c r="G160" s="312"/>
      <c r="H160" s="312"/>
      <c r="I160" s="312"/>
      <c r="J160" s="312"/>
      <c r="K160" s="312"/>
      <c r="L160" s="312"/>
      <c r="M160" s="312"/>
      <c r="N160" s="312"/>
      <c r="O160" s="312"/>
      <c r="P160" s="312"/>
      <c r="Q160" s="312"/>
      <c r="R160" s="312"/>
      <c r="S160" s="312"/>
    </row>
    <row r="161" ht="12.75" spans="3:19">
      <c r="C161" s="312"/>
      <c r="D161" s="312"/>
      <c r="E161" s="312"/>
      <c r="F161" s="312"/>
      <c r="G161" s="312"/>
      <c r="H161" s="312"/>
      <c r="I161" s="312"/>
      <c r="J161" s="312"/>
      <c r="K161" s="312"/>
      <c r="L161" s="312"/>
      <c r="M161" s="312"/>
      <c r="N161" s="312"/>
      <c r="O161" s="312"/>
      <c r="P161" s="312"/>
      <c r="Q161" s="312"/>
      <c r="R161" s="312"/>
      <c r="S161" s="312"/>
    </row>
    <row r="162" ht="12.75" spans="3:19">
      <c r="C162" s="312"/>
      <c r="D162" s="312"/>
      <c r="E162" s="312"/>
      <c r="F162" s="312"/>
      <c r="G162" s="312"/>
      <c r="H162" s="312"/>
      <c r="I162" s="312"/>
      <c r="J162" s="312"/>
      <c r="K162" s="312"/>
      <c r="L162" s="312"/>
      <c r="M162" s="312"/>
      <c r="N162" s="312"/>
      <c r="O162" s="312"/>
      <c r="P162" s="312"/>
      <c r="Q162" s="312"/>
      <c r="R162" s="312"/>
      <c r="S162" s="312"/>
    </row>
    <row r="163" ht="12.75" spans="3:19">
      <c r="C163" s="312"/>
      <c r="D163" s="312"/>
      <c r="E163" s="312"/>
      <c r="F163" s="312"/>
      <c r="G163" s="312"/>
      <c r="H163" s="312"/>
      <c r="I163" s="312"/>
      <c r="J163" s="312"/>
      <c r="K163" s="312"/>
      <c r="L163" s="312"/>
      <c r="M163" s="312"/>
      <c r="N163" s="312"/>
      <c r="O163" s="312"/>
      <c r="P163" s="312"/>
      <c r="Q163" s="312"/>
      <c r="R163" s="312"/>
      <c r="S163" s="312"/>
    </row>
    <row r="164" ht="12.75" spans="3:19">
      <c r="C164" s="312"/>
      <c r="D164" s="312"/>
      <c r="E164" s="312"/>
      <c r="F164" s="312"/>
      <c r="G164" s="312"/>
      <c r="H164" s="312"/>
      <c r="I164" s="312"/>
      <c r="J164" s="312"/>
      <c r="K164" s="312"/>
      <c r="L164" s="312"/>
      <c r="M164" s="312"/>
      <c r="N164" s="312"/>
      <c r="O164" s="312"/>
      <c r="P164" s="312"/>
      <c r="Q164" s="312"/>
      <c r="R164" s="312"/>
      <c r="S164" s="312"/>
    </row>
    <row r="165" ht="12.75" spans="3:19">
      <c r="C165" s="312"/>
      <c r="D165" s="312"/>
      <c r="E165" s="312"/>
      <c r="F165" s="312"/>
      <c r="G165" s="312"/>
      <c r="H165" s="312"/>
      <c r="I165" s="312"/>
      <c r="J165" s="312"/>
      <c r="K165" s="312"/>
      <c r="L165" s="312"/>
      <c r="M165" s="312"/>
      <c r="N165" s="312"/>
      <c r="O165" s="312"/>
      <c r="P165" s="312"/>
      <c r="Q165" s="312"/>
      <c r="R165" s="312"/>
      <c r="S165" s="312"/>
    </row>
    <row r="166" ht="12.75" spans="3:19">
      <c r="C166" s="312"/>
      <c r="D166" s="312"/>
      <c r="E166" s="312"/>
      <c r="F166" s="312"/>
      <c r="G166" s="312"/>
      <c r="H166" s="312"/>
      <c r="I166" s="312"/>
      <c r="J166" s="312"/>
      <c r="K166" s="312"/>
      <c r="L166" s="312"/>
      <c r="M166" s="312"/>
      <c r="N166" s="312"/>
      <c r="O166" s="312"/>
      <c r="P166" s="312"/>
      <c r="Q166" s="312"/>
      <c r="R166" s="312"/>
      <c r="S166" s="312"/>
    </row>
    <row r="167" ht="12.75" spans="3:19">
      <c r="C167" s="312"/>
      <c r="D167" s="312"/>
      <c r="E167" s="312"/>
      <c r="F167" s="312"/>
      <c r="G167" s="312"/>
      <c r="H167" s="312"/>
      <c r="I167" s="312"/>
      <c r="J167" s="312"/>
      <c r="K167" s="312"/>
      <c r="L167" s="312"/>
      <c r="M167" s="312"/>
      <c r="N167" s="312"/>
      <c r="O167" s="312"/>
      <c r="P167" s="312"/>
      <c r="Q167" s="312"/>
      <c r="R167" s="312"/>
      <c r="S167" s="312"/>
    </row>
    <row r="168" ht="12.75" spans="3:19">
      <c r="C168" s="312"/>
      <c r="D168" s="312"/>
      <c r="E168" s="312"/>
      <c r="F168" s="312"/>
      <c r="G168" s="312"/>
      <c r="H168" s="312"/>
      <c r="I168" s="312"/>
      <c r="J168" s="312"/>
      <c r="K168" s="312"/>
      <c r="L168" s="312"/>
      <c r="M168" s="312"/>
      <c r="N168" s="312"/>
      <c r="O168" s="312"/>
      <c r="P168" s="312"/>
      <c r="Q168" s="312"/>
      <c r="R168" s="312"/>
      <c r="S168" s="312"/>
    </row>
    <row r="169" ht="12.75" spans="3:19">
      <c r="C169" s="312"/>
      <c r="D169" s="312"/>
      <c r="E169" s="312"/>
      <c r="F169" s="312"/>
      <c r="G169" s="312"/>
      <c r="H169" s="312"/>
      <c r="I169" s="312"/>
      <c r="J169" s="312"/>
      <c r="K169" s="312"/>
      <c r="L169" s="312"/>
      <c r="M169" s="312"/>
      <c r="N169" s="312"/>
      <c r="O169" s="312"/>
      <c r="P169" s="312"/>
      <c r="Q169" s="312"/>
      <c r="R169" s="312"/>
      <c r="S169" s="312"/>
    </row>
    <row r="170" ht="12.75" spans="3:19">
      <c r="C170" s="312"/>
      <c r="D170" s="312"/>
      <c r="E170" s="312"/>
      <c r="F170" s="312"/>
      <c r="G170" s="312"/>
      <c r="H170" s="312"/>
      <c r="I170" s="312"/>
      <c r="J170" s="312"/>
      <c r="K170" s="312"/>
      <c r="L170" s="312"/>
      <c r="M170" s="312"/>
      <c r="N170" s="312"/>
      <c r="O170" s="312"/>
      <c r="P170" s="312"/>
      <c r="Q170" s="312"/>
      <c r="R170" s="312"/>
      <c r="S170" s="312"/>
    </row>
    <row r="171" ht="12.75" spans="3:19">
      <c r="C171" s="312"/>
      <c r="D171" s="312"/>
      <c r="E171" s="312"/>
      <c r="F171" s="312"/>
      <c r="G171" s="312"/>
      <c r="H171" s="312"/>
      <c r="I171" s="312"/>
      <c r="J171" s="312"/>
      <c r="K171" s="312"/>
      <c r="L171" s="312"/>
      <c r="M171" s="312"/>
      <c r="N171" s="312"/>
      <c r="O171" s="312"/>
      <c r="P171" s="312"/>
      <c r="Q171" s="312"/>
      <c r="R171" s="312"/>
      <c r="S171" s="312"/>
    </row>
    <row r="172" ht="12.75" spans="3:19">
      <c r="C172" s="312"/>
      <c r="D172" s="312"/>
      <c r="E172" s="312"/>
      <c r="F172" s="312"/>
      <c r="G172" s="312"/>
      <c r="H172" s="312"/>
      <c r="I172" s="312"/>
      <c r="J172" s="312"/>
      <c r="K172" s="312"/>
      <c r="L172" s="312"/>
      <c r="M172" s="312"/>
      <c r="N172" s="312"/>
      <c r="O172" s="312"/>
      <c r="P172" s="312"/>
      <c r="Q172" s="312"/>
      <c r="R172" s="312"/>
      <c r="S172" s="312"/>
    </row>
    <row r="173" ht="12.75" spans="3:19">
      <c r="C173" s="312"/>
      <c r="D173" s="312"/>
      <c r="E173" s="312"/>
      <c r="F173" s="312"/>
      <c r="G173" s="312"/>
      <c r="H173" s="312"/>
      <c r="I173" s="312"/>
      <c r="J173" s="312"/>
      <c r="K173" s="312"/>
      <c r="L173" s="312"/>
      <c r="M173" s="312"/>
      <c r="N173" s="312"/>
      <c r="O173" s="312"/>
      <c r="P173" s="312"/>
      <c r="Q173" s="312"/>
      <c r="R173" s="312"/>
      <c r="S173" s="312"/>
    </row>
    <row r="174" ht="12.75" spans="3:19">
      <c r="C174" s="312"/>
      <c r="D174" s="312"/>
      <c r="E174" s="312"/>
      <c r="F174" s="312"/>
      <c r="G174" s="312"/>
      <c r="H174" s="312"/>
      <c r="I174" s="312"/>
      <c r="J174" s="312"/>
      <c r="K174" s="312"/>
      <c r="L174" s="312"/>
      <c r="M174" s="312"/>
      <c r="N174" s="312"/>
      <c r="O174" s="312"/>
      <c r="P174" s="312"/>
      <c r="Q174" s="312"/>
      <c r="R174" s="312"/>
      <c r="S174" s="312"/>
    </row>
    <row r="175" ht="12.75" spans="3:19">
      <c r="C175" s="312"/>
      <c r="D175" s="312"/>
      <c r="E175" s="312"/>
      <c r="F175" s="312"/>
      <c r="G175" s="312"/>
      <c r="H175" s="312"/>
      <c r="I175" s="312"/>
      <c r="J175" s="312"/>
      <c r="K175" s="312"/>
      <c r="L175" s="312"/>
      <c r="M175" s="312"/>
      <c r="N175" s="312"/>
      <c r="O175" s="312"/>
      <c r="P175" s="312"/>
      <c r="Q175" s="312"/>
      <c r="R175" s="312"/>
      <c r="S175" s="312"/>
    </row>
    <row r="176" ht="12.75" spans="3:19">
      <c r="C176" s="312"/>
      <c r="D176" s="312"/>
      <c r="E176" s="312"/>
      <c r="F176" s="312"/>
      <c r="G176" s="312"/>
      <c r="H176" s="312"/>
      <c r="I176" s="312"/>
      <c r="J176" s="312"/>
      <c r="K176" s="312"/>
      <c r="L176" s="312"/>
      <c r="M176" s="312"/>
      <c r="N176" s="312"/>
      <c r="O176" s="312"/>
      <c r="P176" s="312"/>
      <c r="Q176" s="312"/>
      <c r="R176" s="312"/>
      <c r="S176" s="312"/>
    </row>
    <row r="177" ht="12.75" spans="3:19">
      <c r="C177" s="312"/>
      <c r="D177" s="312"/>
      <c r="E177" s="312"/>
      <c r="F177" s="312"/>
      <c r="G177" s="312"/>
      <c r="H177" s="312"/>
      <c r="I177" s="312"/>
      <c r="J177" s="312"/>
      <c r="K177" s="312"/>
      <c r="L177" s="312"/>
      <c r="M177" s="312"/>
      <c r="N177" s="312"/>
      <c r="O177" s="312"/>
      <c r="P177" s="312"/>
      <c r="Q177" s="312"/>
      <c r="R177" s="312"/>
      <c r="S177" s="312"/>
    </row>
    <row r="178" ht="12.75" spans="3:19">
      <c r="C178" s="312"/>
      <c r="D178" s="312"/>
      <c r="E178" s="312"/>
      <c r="F178" s="312"/>
      <c r="G178" s="312"/>
      <c r="H178" s="312"/>
      <c r="I178" s="312"/>
      <c r="J178" s="312"/>
      <c r="K178" s="312"/>
      <c r="L178" s="312"/>
      <c r="M178" s="312"/>
      <c r="N178" s="312"/>
      <c r="O178" s="312"/>
      <c r="P178" s="312"/>
      <c r="Q178" s="312"/>
      <c r="R178" s="312"/>
      <c r="S178" s="312"/>
    </row>
    <row r="179" ht="12.75" spans="3:19">
      <c r="C179" s="312"/>
      <c r="D179" s="312"/>
      <c r="E179" s="312"/>
      <c r="F179" s="312"/>
      <c r="G179" s="312"/>
      <c r="H179" s="312"/>
      <c r="I179" s="312"/>
      <c r="J179" s="312"/>
      <c r="K179" s="312"/>
      <c r="L179" s="312"/>
      <c r="M179" s="312"/>
      <c r="N179" s="312"/>
      <c r="O179" s="312"/>
      <c r="P179" s="312"/>
      <c r="Q179" s="312"/>
      <c r="R179" s="312"/>
      <c r="S179" s="312"/>
    </row>
    <row r="180" ht="12.75" spans="3:19">
      <c r="C180" s="312"/>
      <c r="D180" s="312"/>
      <c r="E180" s="312"/>
      <c r="F180" s="312"/>
      <c r="G180" s="312"/>
      <c r="H180" s="312"/>
      <c r="I180" s="312"/>
      <c r="J180" s="312"/>
      <c r="K180" s="312"/>
      <c r="L180" s="312"/>
      <c r="M180" s="312"/>
      <c r="N180" s="312"/>
      <c r="O180" s="312"/>
      <c r="P180" s="312"/>
      <c r="Q180" s="312"/>
      <c r="R180" s="312"/>
      <c r="S180" s="312"/>
    </row>
    <row r="181" ht="12.75" spans="3:19">
      <c r="C181" s="312"/>
      <c r="D181" s="312"/>
      <c r="E181" s="312"/>
      <c r="F181" s="312"/>
      <c r="G181" s="312"/>
      <c r="H181" s="312"/>
      <c r="I181" s="312"/>
      <c r="J181" s="312"/>
      <c r="K181" s="312"/>
      <c r="L181" s="312"/>
      <c r="M181" s="312"/>
      <c r="N181" s="312"/>
      <c r="O181" s="312"/>
      <c r="P181" s="312"/>
      <c r="Q181" s="312"/>
      <c r="R181" s="312"/>
      <c r="S181" s="312"/>
    </row>
    <row r="182" ht="12.75" spans="3:19">
      <c r="C182" s="312"/>
      <c r="D182" s="312"/>
      <c r="E182" s="312"/>
      <c r="F182" s="312"/>
      <c r="G182" s="312"/>
      <c r="H182" s="312"/>
      <c r="I182" s="312"/>
      <c r="J182" s="312"/>
      <c r="K182" s="312"/>
      <c r="L182" s="312"/>
      <c r="M182" s="312"/>
      <c r="N182" s="312"/>
      <c r="O182" s="312"/>
      <c r="P182" s="312"/>
      <c r="Q182" s="312"/>
      <c r="R182" s="312"/>
      <c r="S182" s="312"/>
    </row>
    <row r="183" ht="12.75" spans="3:19">
      <c r="C183" s="312"/>
      <c r="D183" s="312"/>
      <c r="E183" s="312"/>
      <c r="F183" s="312"/>
      <c r="G183" s="312"/>
      <c r="H183" s="312"/>
      <c r="I183" s="312"/>
      <c r="J183" s="312"/>
      <c r="K183" s="312"/>
      <c r="L183" s="312"/>
      <c r="M183" s="312"/>
      <c r="N183" s="312"/>
      <c r="O183" s="312"/>
      <c r="P183" s="312"/>
      <c r="Q183" s="312"/>
      <c r="R183" s="312"/>
      <c r="S183" s="312"/>
    </row>
    <row r="184" ht="12.75" spans="3:19">
      <c r="C184" s="312"/>
      <c r="D184" s="312"/>
      <c r="E184" s="312"/>
      <c r="F184" s="312"/>
      <c r="G184" s="312"/>
      <c r="H184" s="312"/>
      <c r="I184" s="312"/>
      <c r="J184" s="312"/>
      <c r="K184" s="312"/>
      <c r="L184" s="312"/>
      <c r="M184" s="312"/>
      <c r="N184" s="312"/>
      <c r="O184" s="312"/>
      <c r="P184" s="312"/>
      <c r="Q184" s="312"/>
      <c r="R184" s="312"/>
      <c r="S184" s="312"/>
    </row>
    <row r="185" ht="12.75" spans="3:19">
      <c r="C185" s="312"/>
      <c r="D185" s="312"/>
      <c r="E185" s="312"/>
      <c r="F185" s="312"/>
      <c r="G185" s="312"/>
      <c r="H185" s="312"/>
      <c r="I185" s="312"/>
      <c r="J185" s="312"/>
      <c r="K185" s="312"/>
      <c r="L185" s="312"/>
      <c r="M185" s="312"/>
      <c r="N185" s="312"/>
      <c r="O185" s="312"/>
      <c r="P185" s="312"/>
      <c r="Q185" s="312"/>
      <c r="R185" s="312"/>
      <c r="S185" s="312"/>
    </row>
    <row r="186" ht="12.75" spans="3:19">
      <c r="C186" s="312"/>
      <c r="D186" s="312"/>
      <c r="E186" s="312"/>
      <c r="F186" s="312"/>
      <c r="G186" s="312"/>
      <c r="H186" s="312"/>
      <c r="I186" s="312"/>
      <c r="J186" s="312"/>
      <c r="K186" s="312"/>
      <c r="L186" s="312"/>
      <c r="M186" s="312"/>
      <c r="N186" s="312"/>
      <c r="O186" s="312"/>
      <c r="P186" s="312"/>
      <c r="Q186" s="312"/>
      <c r="R186" s="312"/>
      <c r="S186" s="312"/>
    </row>
    <row r="187" ht="12.75" spans="3:19">
      <c r="C187" s="312"/>
      <c r="D187" s="312"/>
      <c r="E187" s="312"/>
      <c r="F187" s="312"/>
      <c r="G187" s="312"/>
      <c r="H187" s="312"/>
      <c r="I187" s="312"/>
      <c r="J187" s="312"/>
      <c r="K187" s="312"/>
      <c r="L187" s="312"/>
      <c r="M187" s="312"/>
      <c r="N187" s="312"/>
      <c r="O187" s="312"/>
      <c r="P187" s="312"/>
      <c r="Q187" s="312"/>
      <c r="R187" s="312"/>
      <c r="S187" s="312"/>
    </row>
    <row r="188" ht="12.75" spans="3:19">
      <c r="C188" s="312"/>
      <c r="D188" s="312"/>
      <c r="E188" s="312"/>
      <c r="F188" s="312"/>
      <c r="G188" s="312"/>
      <c r="H188" s="312"/>
      <c r="I188" s="312"/>
      <c r="J188" s="312"/>
      <c r="K188" s="312"/>
      <c r="L188" s="312"/>
      <c r="M188" s="312"/>
      <c r="N188" s="312"/>
      <c r="O188" s="312"/>
      <c r="P188" s="312"/>
      <c r="Q188" s="312"/>
      <c r="R188" s="312"/>
      <c r="S188" s="312"/>
    </row>
    <row r="189" ht="12.75" spans="3:19">
      <c r="C189" s="312"/>
      <c r="D189" s="312"/>
      <c r="E189" s="312"/>
      <c r="F189" s="312"/>
      <c r="G189" s="312"/>
      <c r="H189" s="312"/>
      <c r="I189" s="312"/>
      <c r="J189" s="312"/>
      <c r="K189" s="312"/>
      <c r="L189" s="312"/>
      <c r="M189" s="312"/>
      <c r="N189" s="312"/>
      <c r="O189" s="312"/>
      <c r="P189" s="312"/>
      <c r="Q189" s="312"/>
      <c r="R189" s="312"/>
      <c r="S189" s="312"/>
    </row>
    <row r="190" ht="12.75" spans="3:19">
      <c r="C190" s="312"/>
      <c r="D190" s="312"/>
      <c r="E190" s="312"/>
      <c r="F190" s="312"/>
      <c r="G190" s="312"/>
      <c r="H190" s="312"/>
      <c r="I190" s="312"/>
      <c r="J190" s="312"/>
      <c r="K190" s="312"/>
      <c r="L190" s="312"/>
      <c r="M190" s="312"/>
      <c r="N190" s="312"/>
      <c r="O190" s="312"/>
      <c r="P190" s="312"/>
      <c r="Q190" s="312"/>
      <c r="R190" s="312"/>
      <c r="S190" s="312"/>
    </row>
    <row r="191" ht="12.75" spans="3:19">
      <c r="C191" s="312"/>
      <c r="D191" s="312"/>
      <c r="E191" s="312"/>
      <c r="F191" s="312"/>
      <c r="G191" s="312"/>
      <c r="H191" s="312"/>
      <c r="I191" s="312"/>
      <c r="J191" s="312"/>
      <c r="K191" s="312"/>
      <c r="L191" s="312"/>
      <c r="M191" s="312"/>
      <c r="N191" s="312"/>
      <c r="O191" s="312"/>
      <c r="P191" s="312"/>
      <c r="Q191" s="312"/>
      <c r="R191" s="312"/>
      <c r="S191" s="312"/>
    </row>
    <row r="192" ht="12.75" spans="3:19">
      <c r="C192" s="312"/>
      <c r="D192" s="312"/>
      <c r="E192" s="312"/>
      <c r="F192" s="312"/>
      <c r="G192" s="312"/>
      <c r="H192" s="312"/>
      <c r="I192" s="312"/>
      <c r="J192" s="312"/>
      <c r="K192" s="312"/>
      <c r="L192" s="312"/>
      <c r="M192" s="312"/>
      <c r="N192" s="312"/>
      <c r="O192" s="312"/>
      <c r="P192" s="312"/>
      <c r="Q192" s="312"/>
      <c r="R192" s="312"/>
      <c r="S192" s="312"/>
    </row>
    <row r="193" ht="12.75" spans="3:19">
      <c r="C193" s="312"/>
      <c r="D193" s="312"/>
      <c r="E193" s="312"/>
      <c r="F193" s="312"/>
      <c r="G193" s="312"/>
      <c r="H193" s="312"/>
      <c r="I193" s="312"/>
      <c r="J193" s="312"/>
      <c r="K193" s="312"/>
      <c r="L193" s="312"/>
      <c r="M193" s="312"/>
      <c r="N193" s="312"/>
      <c r="O193" s="312"/>
      <c r="P193" s="312"/>
      <c r="Q193" s="312"/>
      <c r="R193" s="312"/>
      <c r="S193" s="312"/>
    </row>
    <row r="194" ht="12.75" spans="3:19">
      <c r="C194" s="312"/>
      <c r="D194" s="312"/>
      <c r="E194" s="312"/>
      <c r="F194" s="312"/>
      <c r="G194" s="312"/>
      <c r="H194" s="312"/>
      <c r="I194" s="312"/>
      <c r="J194" s="312"/>
      <c r="K194" s="312"/>
      <c r="L194" s="312"/>
      <c r="M194" s="312"/>
      <c r="N194" s="312"/>
      <c r="O194" s="312"/>
      <c r="P194" s="312"/>
      <c r="Q194" s="312"/>
      <c r="R194" s="312"/>
      <c r="S194" s="312"/>
    </row>
    <row r="195" ht="12.75" spans="3:19">
      <c r="C195" s="312"/>
      <c r="D195" s="312"/>
      <c r="E195" s="312"/>
      <c r="F195" s="312"/>
      <c r="G195" s="312"/>
      <c r="H195" s="312"/>
      <c r="I195" s="312"/>
      <c r="J195" s="312"/>
      <c r="K195" s="312"/>
      <c r="L195" s="312"/>
      <c r="M195" s="312"/>
      <c r="N195" s="312"/>
      <c r="O195" s="312"/>
      <c r="P195" s="312"/>
      <c r="Q195" s="312"/>
      <c r="R195" s="312"/>
      <c r="S195" s="312"/>
    </row>
    <row r="196" ht="12.75" spans="3:19">
      <c r="C196" s="312"/>
      <c r="D196" s="312"/>
      <c r="E196" s="312"/>
      <c r="F196" s="312"/>
      <c r="G196" s="312"/>
      <c r="H196" s="312"/>
      <c r="I196" s="312"/>
      <c r="J196" s="312"/>
      <c r="K196" s="312"/>
      <c r="L196" s="312"/>
      <c r="M196" s="312"/>
      <c r="N196" s="312"/>
      <c r="O196" s="312"/>
      <c r="P196" s="312"/>
      <c r="Q196" s="312"/>
      <c r="R196" s="312"/>
      <c r="S196" s="312"/>
    </row>
    <row r="197" ht="12.75" spans="3:19">
      <c r="C197" s="312"/>
      <c r="D197" s="312"/>
      <c r="E197" s="312"/>
      <c r="F197" s="312"/>
      <c r="G197" s="312"/>
      <c r="H197" s="312"/>
      <c r="I197" s="312"/>
      <c r="J197" s="312"/>
      <c r="K197" s="312"/>
      <c r="L197" s="312"/>
      <c r="M197" s="312"/>
      <c r="N197" s="312"/>
      <c r="O197" s="312"/>
      <c r="P197" s="312"/>
      <c r="Q197" s="312"/>
      <c r="R197" s="312"/>
      <c r="S197" s="312"/>
    </row>
    <row r="198" ht="12.75" spans="3:19">
      <c r="C198" s="312"/>
      <c r="D198" s="312"/>
      <c r="E198" s="312"/>
      <c r="F198" s="312"/>
      <c r="G198" s="312"/>
      <c r="H198" s="312"/>
      <c r="I198" s="312"/>
      <c r="J198" s="312"/>
      <c r="K198" s="312"/>
      <c r="L198" s="312"/>
      <c r="M198" s="312"/>
      <c r="N198" s="312"/>
      <c r="O198" s="312"/>
      <c r="P198" s="312"/>
      <c r="Q198" s="312"/>
      <c r="R198" s="312"/>
      <c r="S198" s="312"/>
    </row>
    <row r="199" ht="12.75" spans="3:19">
      <c r="C199" s="312"/>
      <c r="D199" s="312"/>
      <c r="E199" s="312"/>
      <c r="F199" s="312"/>
      <c r="G199" s="312"/>
      <c r="H199" s="312"/>
      <c r="I199" s="312"/>
      <c r="J199" s="312"/>
      <c r="K199" s="312"/>
      <c r="L199" s="312"/>
      <c r="M199" s="312"/>
      <c r="N199" s="312"/>
      <c r="O199" s="312"/>
      <c r="P199" s="312"/>
      <c r="Q199" s="312"/>
      <c r="R199" s="312"/>
      <c r="S199" s="312"/>
    </row>
    <row r="200" ht="12.75" spans="3:19">
      <c r="C200" s="312"/>
      <c r="D200" s="312"/>
      <c r="E200" s="312"/>
      <c r="F200" s="312"/>
      <c r="G200" s="312"/>
      <c r="H200" s="312"/>
      <c r="I200" s="312"/>
      <c r="J200" s="312"/>
      <c r="K200" s="312"/>
      <c r="L200" s="312"/>
      <c r="M200" s="312"/>
      <c r="N200" s="312"/>
      <c r="O200" s="312"/>
      <c r="P200" s="312"/>
      <c r="Q200" s="312"/>
      <c r="R200" s="312"/>
      <c r="S200" s="312"/>
    </row>
    <row r="201" ht="12.75" spans="3:19">
      <c r="C201" s="312"/>
      <c r="D201" s="312"/>
      <c r="E201" s="312"/>
      <c r="F201" s="312"/>
      <c r="G201" s="312"/>
      <c r="H201" s="312"/>
      <c r="I201" s="312"/>
      <c r="J201" s="312"/>
      <c r="K201" s="312"/>
      <c r="L201" s="312"/>
      <c r="M201" s="312"/>
      <c r="N201" s="312"/>
      <c r="O201" s="312"/>
      <c r="P201" s="312"/>
      <c r="Q201" s="312"/>
      <c r="R201" s="312"/>
      <c r="S201" s="312"/>
    </row>
    <row r="202" ht="12.75" spans="3:19">
      <c r="C202" s="312"/>
      <c r="D202" s="312"/>
      <c r="E202" s="312"/>
      <c r="F202" s="312"/>
      <c r="G202" s="312"/>
      <c r="H202" s="312"/>
      <c r="I202" s="312"/>
      <c r="J202" s="312"/>
      <c r="K202" s="312"/>
      <c r="L202" s="312"/>
      <c r="M202" s="312"/>
      <c r="N202" s="312"/>
      <c r="O202" s="312"/>
      <c r="P202" s="312"/>
      <c r="Q202" s="312"/>
      <c r="R202" s="312"/>
      <c r="S202" s="312"/>
    </row>
    <row r="203" ht="12.75" spans="3:19">
      <c r="C203" s="312"/>
      <c r="D203" s="312"/>
      <c r="E203" s="312"/>
      <c r="F203" s="312"/>
      <c r="G203" s="312"/>
      <c r="H203" s="312"/>
      <c r="I203" s="312"/>
      <c r="J203" s="312"/>
      <c r="K203" s="312"/>
      <c r="L203" s="312"/>
      <c r="M203" s="312"/>
      <c r="N203" s="312"/>
      <c r="O203" s="312"/>
      <c r="P203" s="312"/>
      <c r="Q203" s="312"/>
      <c r="R203" s="312"/>
      <c r="S203" s="312"/>
    </row>
    <row r="204" ht="12.75" spans="3:19">
      <c r="C204" s="312"/>
      <c r="D204" s="312"/>
      <c r="E204" s="312"/>
      <c r="F204" s="312"/>
      <c r="G204" s="312"/>
      <c r="H204" s="312"/>
      <c r="I204" s="312"/>
      <c r="J204" s="312"/>
      <c r="K204" s="312"/>
      <c r="L204" s="312"/>
      <c r="M204" s="312"/>
      <c r="N204" s="312"/>
      <c r="O204" s="312"/>
      <c r="P204" s="312"/>
      <c r="Q204" s="312"/>
      <c r="R204" s="312"/>
      <c r="S204" s="312"/>
    </row>
    <row r="205" ht="12.75" spans="3:19">
      <c r="C205" s="312"/>
      <c r="D205" s="312"/>
      <c r="E205" s="312"/>
      <c r="F205" s="312"/>
      <c r="G205" s="312"/>
      <c r="H205" s="312"/>
      <c r="I205" s="312"/>
      <c r="J205" s="312"/>
      <c r="K205" s="312"/>
      <c r="L205" s="312"/>
      <c r="M205" s="312"/>
      <c r="N205" s="312"/>
      <c r="O205" s="312"/>
      <c r="P205" s="312"/>
      <c r="Q205" s="312"/>
      <c r="R205" s="312"/>
      <c r="S205" s="312"/>
    </row>
    <row r="206" ht="12.75" spans="3:19">
      <c r="C206" s="312"/>
      <c r="D206" s="312"/>
      <c r="E206" s="312"/>
      <c r="F206" s="312"/>
      <c r="G206" s="312"/>
      <c r="H206" s="312"/>
      <c r="I206" s="312"/>
      <c r="J206" s="312"/>
      <c r="K206" s="312"/>
      <c r="L206" s="312"/>
      <c r="M206" s="312"/>
      <c r="N206" s="312"/>
      <c r="O206" s="312"/>
      <c r="P206" s="312"/>
      <c r="Q206" s="312"/>
      <c r="R206" s="312"/>
      <c r="S206" s="312"/>
    </row>
    <row r="207" ht="12.75" spans="3:19">
      <c r="C207" s="312"/>
      <c r="D207" s="312"/>
      <c r="E207" s="312"/>
      <c r="F207" s="312"/>
      <c r="G207" s="312"/>
      <c r="H207" s="312"/>
      <c r="I207" s="312"/>
      <c r="J207" s="312"/>
      <c r="K207" s="312"/>
      <c r="L207" s="312"/>
      <c r="M207" s="312"/>
      <c r="N207" s="312"/>
      <c r="O207" s="312"/>
      <c r="P207" s="312"/>
      <c r="Q207" s="312"/>
      <c r="R207" s="312"/>
      <c r="S207" s="312"/>
    </row>
    <row r="208" ht="12.75" spans="3:19">
      <c r="C208" s="312"/>
      <c r="D208" s="312"/>
      <c r="E208" s="312"/>
      <c r="F208" s="312"/>
      <c r="G208" s="312"/>
      <c r="H208" s="312"/>
      <c r="I208" s="312"/>
      <c r="J208" s="312"/>
      <c r="K208" s="312"/>
      <c r="L208" s="312"/>
      <c r="M208" s="312"/>
      <c r="N208" s="312"/>
      <c r="O208" s="312"/>
      <c r="P208" s="312"/>
      <c r="Q208" s="312"/>
      <c r="R208" s="312"/>
      <c r="S208" s="312"/>
    </row>
    <row r="209" ht="12.75" spans="3:19">
      <c r="C209" s="312"/>
      <c r="D209" s="312"/>
      <c r="E209" s="312"/>
      <c r="F209" s="312"/>
      <c r="G209" s="312"/>
      <c r="H209" s="312"/>
      <c r="I209" s="312"/>
      <c r="J209" s="312"/>
      <c r="K209" s="312"/>
      <c r="L209" s="312"/>
      <c r="M209" s="312"/>
      <c r="N209" s="312"/>
      <c r="O209" s="312"/>
      <c r="P209" s="312"/>
      <c r="Q209" s="312"/>
      <c r="R209" s="312"/>
      <c r="S209" s="312"/>
    </row>
    <row r="210" ht="12.75" spans="3:19">
      <c r="C210" s="312"/>
      <c r="D210" s="312"/>
      <c r="E210" s="312"/>
      <c r="F210" s="312"/>
      <c r="G210" s="312"/>
      <c r="H210" s="312"/>
      <c r="I210" s="312"/>
      <c r="J210" s="312"/>
      <c r="K210" s="312"/>
      <c r="L210" s="312"/>
      <c r="M210" s="312"/>
      <c r="N210" s="312"/>
      <c r="O210" s="312"/>
      <c r="P210" s="312"/>
      <c r="Q210" s="312"/>
      <c r="R210" s="312"/>
      <c r="S210" s="312"/>
    </row>
    <row r="211" ht="12.75" spans="3:19">
      <c r="C211" s="312"/>
      <c r="D211" s="312"/>
      <c r="E211" s="312"/>
      <c r="F211" s="312"/>
      <c r="G211" s="312"/>
      <c r="H211" s="312"/>
      <c r="I211" s="312"/>
      <c r="J211" s="312"/>
      <c r="K211" s="312"/>
      <c r="L211" s="312"/>
      <c r="M211" s="312"/>
      <c r="N211" s="312"/>
      <c r="O211" s="312"/>
      <c r="P211" s="312"/>
      <c r="Q211" s="312"/>
      <c r="R211" s="312"/>
      <c r="S211" s="312"/>
    </row>
    <row r="212" ht="12.75" spans="3:19">
      <c r="C212" s="312"/>
      <c r="D212" s="312"/>
      <c r="E212" s="312"/>
      <c r="F212" s="312"/>
      <c r="G212" s="312"/>
      <c r="H212" s="312"/>
      <c r="I212" s="312"/>
      <c r="J212" s="312"/>
      <c r="K212" s="312"/>
      <c r="L212" s="312"/>
      <c r="M212" s="312"/>
      <c r="N212" s="312"/>
      <c r="O212" s="312"/>
      <c r="P212" s="312"/>
      <c r="Q212" s="312"/>
      <c r="R212" s="312"/>
      <c r="S212" s="312"/>
    </row>
    <row r="213" ht="12.75" spans="3:19">
      <c r="C213" s="312"/>
      <c r="D213" s="312"/>
      <c r="E213" s="312"/>
      <c r="F213" s="312"/>
      <c r="G213" s="312"/>
      <c r="H213" s="312"/>
      <c r="I213" s="312"/>
      <c r="J213" s="312"/>
      <c r="K213" s="312"/>
      <c r="L213" s="312"/>
      <c r="M213" s="312"/>
      <c r="N213" s="312"/>
      <c r="O213" s="312"/>
      <c r="P213" s="312"/>
      <c r="Q213" s="312"/>
      <c r="R213" s="312"/>
      <c r="S213" s="312"/>
    </row>
    <row r="214" ht="12.75" spans="3:19">
      <c r="C214" s="312"/>
      <c r="D214" s="312"/>
      <c r="E214" s="312"/>
      <c r="F214" s="312"/>
      <c r="G214" s="312"/>
      <c r="H214" s="312"/>
      <c r="I214" s="312"/>
      <c r="J214" s="312"/>
      <c r="K214" s="312"/>
      <c r="L214" s="312"/>
      <c r="M214" s="312"/>
      <c r="N214" s="312"/>
      <c r="O214" s="312"/>
      <c r="P214" s="312"/>
      <c r="Q214" s="312"/>
      <c r="R214" s="312"/>
      <c r="S214" s="312"/>
    </row>
    <row r="215" ht="12.75" spans="3:19">
      <c r="C215" s="312"/>
      <c r="D215" s="312"/>
      <c r="E215" s="312"/>
      <c r="F215" s="312"/>
      <c r="G215" s="312"/>
      <c r="H215" s="312"/>
      <c r="I215" s="312"/>
      <c r="J215" s="312"/>
      <c r="K215" s="312"/>
      <c r="L215" s="312"/>
      <c r="M215" s="312"/>
      <c r="N215" s="312"/>
      <c r="O215" s="312"/>
      <c r="P215" s="312"/>
      <c r="Q215" s="312"/>
      <c r="R215" s="312"/>
      <c r="S215" s="312"/>
    </row>
    <row r="216" ht="12.75" spans="3:19">
      <c r="C216" s="312"/>
      <c r="D216" s="312"/>
      <c r="E216" s="312"/>
      <c r="F216" s="312"/>
      <c r="G216" s="312"/>
      <c r="H216" s="312"/>
      <c r="I216" s="312"/>
      <c r="J216" s="312"/>
      <c r="K216" s="312"/>
      <c r="L216" s="312"/>
      <c r="M216" s="312"/>
      <c r="N216" s="312"/>
      <c r="O216" s="312"/>
      <c r="P216" s="312"/>
      <c r="Q216" s="312"/>
      <c r="R216" s="312"/>
      <c r="S216" s="312"/>
    </row>
    <row r="217" ht="12.75" spans="3:19">
      <c r="C217" s="312"/>
      <c r="D217" s="312"/>
      <c r="E217" s="312"/>
      <c r="F217" s="312"/>
      <c r="G217" s="312"/>
      <c r="H217" s="312"/>
      <c r="I217" s="312"/>
      <c r="J217" s="312"/>
      <c r="K217" s="312"/>
      <c r="L217" s="312"/>
      <c r="M217" s="312"/>
      <c r="N217" s="312"/>
      <c r="O217" s="312"/>
      <c r="P217" s="312"/>
      <c r="Q217" s="312"/>
      <c r="R217" s="312"/>
      <c r="S217" s="312"/>
    </row>
    <row r="218" ht="12.75" spans="3:19">
      <c r="C218" s="312"/>
      <c r="D218" s="312"/>
      <c r="E218" s="312"/>
      <c r="F218" s="312"/>
      <c r="G218" s="312"/>
      <c r="H218" s="312"/>
      <c r="I218" s="312"/>
      <c r="J218" s="312"/>
      <c r="K218" s="312"/>
      <c r="L218" s="312"/>
      <c r="M218" s="312"/>
      <c r="N218" s="312"/>
      <c r="O218" s="312"/>
      <c r="P218" s="312"/>
      <c r="Q218" s="312"/>
      <c r="R218" s="312"/>
      <c r="S218" s="312"/>
    </row>
    <row r="219" ht="12.75" spans="3:19">
      <c r="C219" s="312"/>
      <c r="D219" s="312"/>
      <c r="E219" s="312"/>
      <c r="F219" s="312"/>
      <c r="G219" s="312"/>
      <c r="H219" s="312"/>
      <c r="I219" s="312"/>
      <c r="J219" s="312"/>
      <c r="K219" s="312"/>
      <c r="L219" s="312"/>
      <c r="M219" s="312"/>
      <c r="N219" s="312"/>
      <c r="O219" s="312"/>
      <c r="P219" s="312"/>
      <c r="Q219" s="312"/>
      <c r="R219" s="312"/>
      <c r="S219" s="312"/>
    </row>
    <row r="220" ht="12.75" spans="3:19">
      <c r="C220" s="312"/>
      <c r="D220" s="312"/>
      <c r="E220" s="312"/>
      <c r="F220" s="312"/>
      <c r="G220" s="312"/>
      <c r="H220" s="312"/>
      <c r="I220" s="312"/>
      <c r="J220" s="312"/>
      <c r="K220" s="312"/>
      <c r="L220" s="312"/>
      <c r="M220" s="312"/>
      <c r="N220" s="312"/>
      <c r="O220" s="312"/>
      <c r="P220" s="312"/>
      <c r="Q220" s="312"/>
      <c r="R220" s="312"/>
      <c r="S220" s="312"/>
    </row>
    <row r="221" ht="12.75" spans="3:19">
      <c r="C221" s="312"/>
      <c r="D221" s="312"/>
      <c r="E221" s="312"/>
      <c r="F221" s="312"/>
      <c r="G221" s="312"/>
      <c r="H221" s="312"/>
      <c r="I221" s="312"/>
      <c r="J221" s="312"/>
      <c r="K221" s="312"/>
      <c r="L221" s="312"/>
      <c r="M221" s="312"/>
      <c r="N221" s="312"/>
      <c r="O221" s="312"/>
      <c r="P221" s="312"/>
      <c r="Q221" s="312"/>
      <c r="R221" s="312"/>
      <c r="S221" s="312"/>
    </row>
    <row r="222" ht="12.75" spans="3:19">
      <c r="C222" s="312"/>
      <c r="D222" s="312"/>
      <c r="E222" s="312"/>
      <c r="F222" s="312"/>
      <c r="G222" s="312"/>
      <c r="H222" s="312"/>
      <c r="I222" s="312"/>
      <c r="J222" s="312"/>
      <c r="K222" s="312"/>
      <c r="L222" s="312"/>
      <c r="M222" s="312"/>
      <c r="N222" s="312"/>
      <c r="O222" s="312"/>
      <c r="P222" s="312"/>
      <c r="Q222" s="312"/>
      <c r="R222" s="312"/>
      <c r="S222" s="312"/>
    </row>
    <row r="223" ht="12.75" spans="3:19">
      <c r="C223" s="312"/>
      <c r="D223" s="312"/>
      <c r="E223" s="312"/>
      <c r="F223" s="312"/>
      <c r="G223" s="312"/>
      <c r="H223" s="312"/>
      <c r="I223" s="312"/>
      <c r="J223" s="312"/>
      <c r="K223" s="312"/>
      <c r="L223" s="312"/>
      <c r="M223" s="312"/>
      <c r="N223" s="312"/>
      <c r="O223" s="312"/>
      <c r="P223" s="312"/>
      <c r="Q223" s="312"/>
      <c r="R223" s="312"/>
      <c r="S223" s="312"/>
    </row>
    <row r="224" ht="12.75" spans="3:19">
      <c r="C224" s="312"/>
      <c r="D224" s="312"/>
      <c r="E224" s="312"/>
      <c r="F224" s="312"/>
      <c r="G224" s="312"/>
      <c r="H224" s="312"/>
      <c r="I224" s="312"/>
      <c r="J224" s="312"/>
      <c r="K224" s="312"/>
      <c r="L224" s="312"/>
      <c r="M224" s="312"/>
      <c r="N224" s="312"/>
      <c r="O224" s="312"/>
      <c r="P224" s="312"/>
      <c r="Q224" s="312"/>
      <c r="R224" s="312"/>
      <c r="S224" s="312"/>
    </row>
    <row r="225" ht="12.75" spans="3:19">
      <c r="C225" s="312"/>
      <c r="D225" s="312"/>
      <c r="E225" s="312"/>
      <c r="F225" s="312"/>
      <c r="G225" s="312"/>
      <c r="H225" s="312"/>
      <c r="I225" s="312"/>
      <c r="J225" s="312"/>
      <c r="K225" s="312"/>
      <c r="L225" s="312"/>
      <c r="M225" s="312"/>
      <c r="N225" s="312"/>
      <c r="O225" s="312"/>
      <c r="P225" s="312"/>
      <c r="Q225" s="312"/>
      <c r="R225" s="312"/>
      <c r="S225" s="312"/>
    </row>
    <row r="226" ht="12.75" spans="3:19">
      <c r="C226" s="312"/>
      <c r="D226" s="312"/>
      <c r="E226" s="312"/>
      <c r="F226" s="312"/>
      <c r="G226" s="312"/>
      <c r="H226" s="312"/>
      <c r="I226" s="312"/>
      <c r="J226" s="312"/>
      <c r="K226" s="312"/>
      <c r="L226" s="312"/>
      <c r="M226" s="312"/>
      <c r="N226" s="312"/>
      <c r="O226" s="312"/>
      <c r="P226" s="312"/>
      <c r="Q226" s="312"/>
      <c r="R226" s="312"/>
      <c r="S226" s="312"/>
    </row>
    <row r="227" ht="12.75" spans="3:19">
      <c r="C227" s="312"/>
      <c r="D227" s="312"/>
      <c r="E227" s="312"/>
      <c r="F227" s="312"/>
      <c r="G227" s="312"/>
      <c r="H227" s="312"/>
      <c r="I227" s="312"/>
      <c r="J227" s="312"/>
      <c r="K227" s="312"/>
      <c r="L227" s="312"/>
      <c r="M227" s="312"/>
      <c r="N227" s="312"/>
      <c r="O227" s="312"/>
      <c r="P227" s="312"/>
      <c r="Q227" s="312"/>
      <c r="R227" s="312"/>
      <c r="S227" s="312"/>
    </row>
    <row r="228" ht="12.75" spans="3:19">
      <c r="C228" s="312"/>
      <c r="D228" s="312"/>
      <c r="E228" s="312"/>
      <c r="F228" s="312"/>
      <c r="G228" s="312"/>
      <c r="H228" s="312"/>
      <c r="I228" s="312"/>
      <c r="J228" s="312"/>
      <c r="K228" s="312"/>
      <c r="L228" s="312"/>
      <c r="M228" s="312"/>
      <c r="N228" s="312"/>
      <c r="O228" s="312"/>
      <c r="P228" s="312"/>
      <c r="Q228" s="312"/>
      <c r="R228" s="312"/>
      <c r="S228" s="312"/>
    </row>
    <row r="229" ht="12.75" spans="3:19">
      <c r="C229" s="312"/>
      <c r="D229" s="312"/>
      <c r="E229" s="312"/>
      <c r="F229" s="312"/>
      <c r="G229" s="312"/>
      <c r="H229" s="312"/>
      <c r="I229" s="312"/>
      <c r="J229" s="312"/>
      <c r="K229" s="312"/>
      <c r="L229" s="312"/>
      <c r="M229" s="312"/>
      <c r="N229" s="312"/>
      <c r="O229" s="312"/>
      <c r="P229" s="312"/>
      <c r="Q229" s="312"/>
      <c r="R229" s="312"/>
      <c r="S229" s="312"/>
    </row>
    <row r="230" ht="12.75" spans="3:19">
      <c r="C230" s="312"/>
      <c r="D230" s="312"/>
      <c r="E230" s="312"/>
      <c r="F230" s="312"/>
      <c r="G230" s="312"/>
      <c r="H230" s="312"/>
      <c r="I230" s="312"/>
      <c r="J230" s="312"/>
      <c r="K230" s="312"/>
      <c r="L230" s="312"/>
      <c r="M230" s="312"/>
      <c r="N230" s="312"/>
      <c r="O230" s="312"/>
      <c r="P230" s="312"/>
      <c r="Q230" s="312"/>
      <c r="R230" s="312"/>
      <c r="S230" s="312"/>
    </row>
    <row r="231" ht="12.75" spans="3:19">
      <c r="C231" s="312"/>
      <c r="D231" s="312"/>
      <c r="E231" s="312"/>
      <c r="F231" s="312"/>
      <c r="G231" s="312"/>
      <c r="H231" s="312"/>
      <c r="I231" s="312"/>
      <c r="J231" s="312"/>
      <c r="K231" s="312"/>
      <c r="L231" s="312"/>
      <c r="M231" s="312"/>
      <c r="N231" s="312"/>
      <c r="O231" s="312"/>
      <c r="P231" s="312"/>
      <c r="Q231" s="312"/>
      <c r="R231" s="312"/>
      <c r="S231" s="312"/>
    </row>
    <row r="232" ht="12.75" spans="3:19">
      <c r="C232" s="312"/>
      <c r="D232" s="312"/>
      <c r="E232" s="312"/>
      <c r="F232" s="312"/>
      <c r="G232" s="312"/>
      <c r="H232" s="312"/>
      <c r="I232" s="312"/>
      <c r="J232" s="312"/>
      <c r="K232" s="312"/>
      <c r="L232" s="312"/>
      <c r="M232" s="312"/>
      <c r="N232" s="312"/>
      <c r="O232" s="312"/>
      <c r="P232" s="312"/>
      <c r="Q232" s="312"/>
      <c r="R232" s="312"/>
      <c r="S232" s="312"/>
    </row>
    <row r="233" ht="12.75" spans="3:19">
      <c r="C233" s="312"/>
      <c r="D233" s="312"/>
      <c r="E233" s="312"/>
      <c r="F233" s="312"/>
      <c r="G233" s="312"/>
      <c r="H233" s="312"/>
      <c r="I233" s="312"/>
      <c r="J233" s="312"/>
      <c r="K233" s="312"/>
      <c r="L233" s="312"/>
      <c r="M233" s="312"/>
      <c r="N233" s="312"/>
      <c r="O233" s="312"/>
      <c r="P233" s="312"/>
      <c r="Q233" s="312"/>
      <c r="R233" s="312"/>
      <c r="S233" s="312"/>
    </row>
    <row r="234" ht="12.75" spans="3:19">
      <c r="C234" s="312"/>
      <c r="D234" s="312"/>
      <c r="E234" s="312"/>
      <c r="F234" s="312"/>
      <c r="G234" s="312"/>
      <c r="H234" s="312"/>
      <c r="I234" s="312"/>
      <c r="J234" s="312"/>
      <c r="K234" s="312"/>
      <c r="L234" s="312"/>
      <c r="M234" s="312"/>
      <c r="N234" s="312"/>
      <c r="O234" s="312"/>
      <c r="P234" s="312"/>
      <c r="Q234" s="312"/>
      <c r="R234" s="312"/>
      <c r="S234" s="312"/>
    </row>
    <row r="235" ht="12.75" spans="3:19">
      <c r="C235" s="312"/>
      <c r="D235" s="312"/>
      <c r="E235" s="312"/>
      <c r="F235" s="312"/>
      <c r="G235" s="312"/>
      <c r="H235" s="312"/>
      <c r="I235" s="312"/>
      <c r="J235" s="312"/>
      <c r="K235" s="312"/>
      <c r="L235" s="312"/>
      <c r="M235" s="312"/>
      <c r="N235" s="312"/>
      <c r="O235" s="312"/>
      <c r="P235" s="312"/>
      <c r="Q235" s="312"/>
      <c r="R235" s="312"/>
      <c r="S235" s="312"/>
    </row>
    <row r="236" ht="12.75" spans="3:19">
      <c r="C236" s="312"/>
      <c r="D236" s="312"/>
      <c r="E236" s="312"/>
      <c r="F236" s="312"/>
      <c r="G236" s="312"/>
      <c r="H236" s="312"/>
      <c r="I236" s="312"/>
      <c r="J236" s="312"/>
      <c r="K236" s="312"/>
      <c r="L236" s="312"/>
      <c r="M236" s="312"/>
      <c r="N236" s="312"/>
      <c r="O236" s="312"/>
      <c r="P236" s="312"/>
      <c r="Q236" s="312"/>
      <c r="R236" s="312"/>
      <c r="S236" s="312"/>
    </row>
    <row r="237" ht="12.75" spans="3:19">
      <c r="C237" s="312"/>
      <c r="D237" s="312"/>
      <c r="E237" s="312"/>
      <c r="F237" s="312"/>
      <c r="G237" s="312"/>
      <c r="H237" s="312"/>
      <c r="I237" s="312"/>
      <c r="J237" s="312"/>
      <c r="K237" s="312"/>
      <c r="L237" s="312"/>
      <c r="M237" s="312"/>
      <c r="N237" s="312"/>
      <c r="O237" s="312"/>
      <c r="P237" s="312"/>
      <c r="Q237" s="312"/>
      <c r="R237" s="312"/>
      <c r="S237" s="312"/>
    </row>
    <row r="238" ht="12.75" spans="3:19">
      <c r="C238" s="312"/>
      <c r="D238" s="312"/>
      <c r="E238" s="312"/>
      <c r="F238" s="312"/>
      <c r="G238" s="312"/>
      <c r="H238" s="312"/>
      <c r="I238" s="312"/>
      <c r="J238" s="312"/>
      <c r="K238" s="312"/>
      <c r="L238" s="312"/>
      <c r="M238" s="312"/>
      <c r="N238" s="312"/>
      <c r="O238" s="312"/>
      <c r="P238" s="312"/>
      <c r="Q238" s="312"/>
      <c r="R238" s="312"/>
      <c r="S238" s="312"/>
    </row>
    <row r="239" ht="12.75" spans="3:19">
      <c r="C239" s="312"/>
      <c r="D239" s="312"/>
      <c r="E239" s="312"/>
      <c r="F239" s="312"/>
      <c r="G239" s="312"/>
      <c r="H239" s="312"/>
      <c r="I239" s="312"/>
      <c r="J239" s="312"/>
      <c r="K239" s="312"/>
      <c r="L239" s="312"/>
      <c r="M239" s="312"/>
      <c r="N239" s="312"/>
      <c r="O239" s="312"/>
      <c r="P239" s="312"/>
      <c r="Q239" s="312"/>
      <c r="R239" s="312"/>
      <c r="S239" s="312"/>
    </row>
    <row r="240" ht="12.75" spans="3:19">
      <c r="C240" s="312"/>
      <c r="D240" s="312"/>
      <c r="E240" s="312"/>
      <c r="F240" s="312"/>
      <c r="G240" s="312"/>
      <c r="H240" s="312"/>
      <c r="I240" s="312"/>
      <c r="J240" s="312"/>
      <c r="K240" s="312"/>
      <c r="L240" s="312"/>
      <c r="M240" s="312"/>
      <c r="N240" s="312"/>
      <c r="O240" s="312"/>
      <c r="P240" s="312"/>
      <c r="Q240" s="312"/>
      <c r="R240" s="312"/>
      <c r="S240" s="312"/>
    </row>
    <row r="241" ht="12.75" spans="3:19">
      <c r="C241" s="312"/>
      <c r="D241" s="312"/>
      <c r="E241" s="312"/>
      <c r="F241" s="312"/>
      <c r="G241" s="312"/>
      <c r="H241" s="312"/>
      <c r="I241" s="312"/>
      <c r="J241" s="312"/>
      <c r="K241" s="312"/>
      <c r="L241" s="312"/>
      <c r="M241" s="312"/>
      <c r="N241" s="312"/>
      <c r="O241" s="312"/>
      <c r="P241" s="312"/>
      <c r="Q241" s="312"/>
      <c r="R241" s="312"/>
      <c r="S241" s="312"/>
    </row>
    <row r="242" ht="12.75" spans="3:19">
      <c r="C242" s="312"/>
      <c r="D242" s="312"/>
      <c r="E242" s="312"/>
      <c r="F242" s="312"/>
      <c r="G242" s="312"/>
      <c r="H242" s="312"/>
      <c r="I242" s="312"/>
      <c r="J242" s="312"/>
      <c r="K242" s="312"/>
      <c r="L242" s="312"/>
      <c r="M242" s="312"/>
      <c r="N242" s="312"/>
      <c r="O242" s="312"/>
      <c r="P242" s="312"/>
      <c r="Q242" s="312"/>
      <c r="R242" s="312"/>
      <c r="S242" s="312"/>
    </row>
    <row r="243" ht="12.75" spans="3:19">
      <c r="C243" s="312"/>
      <c r="D243" s="312"/>
      <c r="E243" s="312"/>
      <c r="F243" s="312"/>
      <c r="G243" s="312"/>
      <c r="H243" s="312"/>
      <c r="I243" s="312"/>
      <c r="J243" s="312"/>
      <c r="K243" s="312"/>
      <c r="L243" s="312"/>
      <c r="M243" s="312"/>
      <c r="N243" s="312"/>
      <c r="O243" s="312"/>
      <c r="P243" s="312"/>
      <c r="Q243" s="312"/>
      <c r="R243" s="312"/>
      <c r="S243" s="312"/>
    </row>
    <row r="244" ht="12.75" spans="3:19">
      <c r="C244" s="312"/>
      <c r="D244" s="312"/>
      <c r="E244" s="312"/>
      <c r="F244" s="312"/>
      <c r="G244" s="312"/>
      <c r="H244" s="312"/>
      <c r="I244" s="312"/>
      <c r="J244" s="312"/>
      <c r="K244" s="312"/>
      <c r="L244" s="312"/>
      <c r="M244" s="312"/>
      <c r="N244" s="312"/>
      <c r="O244" s="312"/>
      <c r="P244" s="312"/>
      <c r="Q244" s="312"/>
      <c r="R244" s="312"/>
      <c r="S244" s="312"/>
    </row>
    <row r="245" ht="12.75" spans="3:19">
      <c r="C245" s="312"/>
      <c r="D245" s="312"/>
      <c r="E245" s="312"/>
      <c r="F245" s="312"/>
      <c r="G245" s="312"/>
      <c r="H245" s="312"/>
      <c r="I245" s="312"/>
      <c r="J245" s="312"/>
      <c r="K245" s="312"/>
      <c r="L245" s="312"/>
      <c r="M245" s="312"/>
      <c r="N245" s="312"/>
      <c r="O245" s="312"/>
      <c r="P245" s="312"/>
      <c r="Q245" s="312"/>
      <c r="R245" s="312"/>
      <c r="S245" s="312"/>
    </row>
    <row r="246" ht="12.75" spans="3:19">
      <c r="C246" s="312"/>
      <c r="D246" s="312"/>
      <c r="E246" s="312"/>
      <c r="F246" s="312"/>
      <c r="G246" s="312"/>
      <c r="H246" s="312"/>
      <c r="I246" s="312"/>
      <c r="J246" s="312"/>
      <c r="K246" s="312"/>
      <c r="L246" s="312"/>
      <c r="M246" s="312"/>
      <c r="N246" s="312"/>
      <c r="O246" s="312"/>
      <c r="P246" s="312"/>
      <c r="Q246" s="312"/>
      <c r="R246" s="312"/>
      <c r="S246" s="312"/>
    </row>
    <row r="247" ht="12.75" spans="3:19">
      <c r="C247" s="312"/>
      <c r="D247" s="312"/>
      <c r="E247" s="312"/>
      <c r="F247" s="312"/>
      <c r="G247" s="312"/>
      <c r="H247" s="312"/>
      <c r="I247" s="312"/>
      <c r="J247" s="312"/>
      <c r="K247" s="312"/>
      <c r="L247" s="312"/>
      <c r="M247" s="312"/>
      <c r="N247" s="312"/>
      <c r="O247" s="312"/>
      <c r="P247" s="312"/>
      <c r="Q247" s="312"/>
      <c r="R247" s="312"/>
      <c r="S247" s="312"/>
    </row>
    <row r="248" ht="12.75" spans="3:19">
      <c r="C248" s="312"/>
      <c r="D248" s="312"/>
      <c r="E248" s="312"/>
      <c r="F248" s="312"/>
      <c r="G248" s="312"/>
      <c r="H248" s="312"/>
      <c r="I248" s="312"/>
      <c r="J248" s="312"/>
      <c r="K248" s="312"/>
      <c r="L248" s="312"/>
      <c r="M248" s="312"/>
      <c r="N248" s="312"/>
      <c r="O248" s="312"/>
      <c r="P248" s="312"/>
      <c r="Q248" s="312"/>
      <c r="R248" s="312"/>
      <c r="S248" s="312"/>
    </row>
    <row r="249" ht="12.75" spans="3:19">
      <c r="C249" s="312"/>
      <c r="D249" s="312"/>
      <c r="E249" s="312"/>
      <c r="F249" s="312"/>
      <c r="G249" s="312"/>
      <c r="H249" s="312"/>
      <c r="I249" s="312"/>
      <c r="J249" s="312"/>
      <c r="K249" s="312"/>
      <c r="L249" s="312"/>
      <c r="M249" s="312"/>
      <c r="N249" s="312"/>
      <c r="O249" s="312"/>
      <c r="P249" s="312"/>
      <c r="Q249" s="312"/>
      <c r="R249" s="312"/>
      <c r="S249" s="312"/>
    </row>
    <row r="250" ht="12.75" spans="3:19">
      <c r="C250" s="312"/>
      <c r="D250" s="312"/>
      <c r="E250" s="312"/>
      <c r="F250" s="312"/>
      <c r="G250" s="312"/>
      <c r="H250" s="312"/>
      <c r="I250" s="312"/>
      <c r="J250" s="312"/>
      <c r="K250" s="312"/>
      <c r="L250" s="312"/>
      <c r="M250" s="312"/>
      <c r="N250" s="312"/>
      <c r="O250" s="312"/>
      <c r="P250" s="312"/>
      <c r="Q250" s="312"/>
      <c r="R250" s="312"/>
      <c r="S250" s="312"/>
    </row>
    <row r="251" ht="12.75" spans="3:19">
      <c r="C251" s="312"/>
      <c r="D251" s="312"/>
      <c r="E251" s="312"/>
      <c r="F251" s="312"/>
      <c r="G251" s="312"/>
      <c r="H251" s="312"/>
      <c r="I251" s="312"/>
      <c r="J251" s="312"/>
      <c r="K251" s="312"/>
      <c r="L251" s="312"/>
      <c r="M251" s="312"/>
      <c r="N251" s="312"/>
      <c r="O251" s="312"/>
      <c r="P251" s="312"/>
      <c r="Q251" s="312"/>
      <c r="R251" s="312"/>
      <c r="S251" s="312"/>
    </row>
    <row r="252" ht="12.75" spans="3:19">
      <c r="C252" s="312"/>
      <c r="D252" s="312"/>
      <c r="E252" s="312"/>
      <c r="F252" s="312"/>
      <c r="G252" s="312"/>
      <c r="H252" s="312"/>
      <c r="I252" s="312"/>
      <c r="J252" s="312"/>
      <c r="K252" s="312"/>
      <c r="L252" s="312"/>
      <c r="M252" s="312"/>
      <c r="N252" s="312"/>
      <c r="O252" s="312"/>
      <c r="P252" s="312"/>
      <c r="Q252" s="312"/>
      <c r="R252" s="312"/>
      <c r="S252" s="312"/>
    </row>
    <row r="253" ht="12.75" spans="3:19">
      <c r="C253" s="312"/>
      <c r="D253" s="312"/>
      <c r="E253" s="312"/>
      <c r="F253" s="312"/>
      <c r="G253" s="312"/>
      <c r="H253" s="312"/>
      <c r="I253" s="312"/>
      <c r="J253" s="312"/>
      <c r="K253" s="312"/>
      <c r="L253" s="312"/>
      <c r="M253" s="312"/>
      <c r="N253" s="312"/>
      <c r="O253" s="312"/>
      <c r="P253" s="312"/>
      <c r="Q253" s="312"/>
      <c r="R253" s="312"/>
      <c r="S253" s="312"/>
    </row>
    <row r="254" ht="12.75" spans="3:19">
      <c r="C254" s="312"/>
      <c r="D254" s="312"/>
      <c r="E254" s="312"/>
      <c r="F254" s="312"/>
      <c r="G254" s="312"/>
      <c r="H254" s="312"/>
      <c r="I254" s="312"/>
      <c r="J254" s="312"/>
      <c r="K254" s="312"/>
      <c r="L254" s="312"/>
      <c r="M254" s="312"/>
      <c r="N254" s="312"/>
      <c r="O254" s="312"/>
      <c r="P254" s="312"/>
      <c r="Q254" s="312"/>
      <c r="R254" s="312"/>
      <c r="S254" s="312"/>
    </row>
    <row r="255" ht="12.75" spans="3:19">
      <c r="C255" s="312"/>
      <c r="D255" s="312"/>
      <c r="E255" s="312"/>
      <c r="F255" s="312"/>
      <c r="G255" s="312"/>
      <c r="H255" s="312"/>
      <c r="I255" s="312"/>
      <c r="J255" s="312"/>
      <c r="K255" s="312"/>
      <c r="L255" s="312"/>
      <c r="M255" s="312"/>
      <c r="N255" s="312"/>
      <c r="O255" s="312"/>
      <c r="P255" s="312"/>
      <c r="Q255" s="312"/>
      <c r="R255" s="312"/>
      <c r="S255" s="312"/>
    </row>
    <row r="256" ht="12.75" spans="3:19">
      <c r="C256" s="312"/>
      <c r="D256" s="312"/>
      <c r="E256" s="312"/>
      <c r="F256" s="312"/>
      <c r="G256" s="312"/>
      <c r="H256" s="312"/>
      <c r="I256" s="312"/>
      <c r="J256" s="312"/>
      <c r="K256" s="312"/>
      <c r="L256" s="312"/>
      <c r="M256" s="312"/>
      <c r="N256" s="312"/>
      <c r="O256" s="312"/>
      <c r="P256" s="312"/>
      <c r="Q256" s="312"/>
      <c r="R256" s="312"/>
      <c r="S256" s="312"/>
    </row>
    <row r="257" ht="12.75" spans="3:19">
      <c r="C257" s="312"/>
      <c r="D257" s="312"/>
      <c r="E257" s="312"/>
      <c r="F257" s="312"/>
      <c r="G257" s="312"/>
      <c r="H257" s="312"/>
      <c r="I257" s="312"/>
      <c r="J257" s="312"/>
      <c r="K257" s="312"/>
      <c r="L257" s="312"/>
      <c r="M257" s="312"/>
      <c r="N257" s="312"/>
      <c r="O257" s="312"/>
      <c r="P257" s="312"/>
      <c r="Q257" s="312"/>
      <c r="R257" s="312"/>
      <c r="S257" s="312"/>
    </row>
    <row r="258" ht="12.75" spans="3:19">
      <c r="C258" s="312"/>
      <c r="D258" s="312"/>
      <c r="E258" s="312"/>
      <c r="F258" s="312"/>
      <c r="G258" s="312"/>
      <c r="H258" s="312"/>
      <c r="I258" s="312"/>
      <c r="J258" s="312"/>
      <c r="K258" s="312"/>
      <c r="L258" s="312"/>
      <c r="M258" s="312"/>
      <c r="N258" s="312"/>
      <c r="O258" s="312"/>
      <c r="P258" s="312"/>
      <c r="Q258" s="312"/>
      <c r="R258" s="312"/>
      <c r="S258" s="312"/>
    </row>
    <row r="259" ht="12.75" spans="3:19">
      <c r="C259" s="312"/>
      <c r="D259" s="312"/>
      <c r="E259" s="312"/>
      <c r="F259" s="312"/>
      <c r="G259" s="312"/>
      <c r="H259" s="312"/>
      <c r="I259" s="312"/>
      <c r="J259" s="312"/>
      <c r="K259" s="312"/>
      <c r="L259" s="312"/>
      <c r="M259" s="312"/>
      <c r="N259" s="312"/>
      <c r="O259" s="312"/>
      <c r="P259" s="312"/>
      <c r="Q259" s="312"/>
      <c r="R259" s="312"/>
      <c r="S259" s="312"/>
    </row>
    <row r="260" ht="12.75" spans="3:19">
      <c r="C260" s="312"/>
      <c r="D260" s="312"/>
      <c r="E260" s="312"/>
      <c r="F260" s="312"/>
      <c r="G260" s="312"/>
      <c r="H260" s="312"/>
      <c r="I260" s="312"/>
      <c r="J260" s="312"/>
      <c r="K260" s="312"/>
      <c r="L260" s="312"/>
      <c r="M260" s="312"/>
      <c r="N260" s="312"/>
      <c r="O260" s="312"/>
      <c r="P260" s="312"/>
      <c r="Q260" s="312"/>
      <c r="R260" s="312"/>
      <c r="S260" s="312"/>
    </row>
    <row r="261" ht="12.75" spans="3:19">
      <c r="C261" s="312"/>
      <c r="D261" s="312"/>
      <c r="E261" s="312"/>
      <c r="F261" s="312"/>
      <c r="G261" s="312"/>
      <c r="H261" s="312"/>
      <c r="I261" s="312"/>
      <c r="J261" s="312"/>
      <c r="K261" s="312"/>
      <c r="L261" s="312"/>
      <c r="M261" s="312"/>
      <c r="N261" s="312"/>
      <c r="O261" s="312"/>
      <c r="P261" s="312"/>
      <c r="Q261" s="312"/>
      <c r="R261" s="312"/>
      <c r="S261" s="312"/>
    </row>
    <row r="262" ht="12.75" spans="3:19">
      <c r="C262" s="312"/>
      <c r="D262" s="312"/>
      <c r="E262" s="312"/>
      <c r="F262" s="312"/>
      <c r="G262" s="312"/>
      <c r="H262" s="312"/>
      <c r="I262" s="312"/>
      <c r="J262" s="312"/>
      <c r="K262" s="312"/>
      <c r="L262" s="312"/>
      <c r="M262" s="312"/>
      <c r="N262" s="312"/>
      <c r="O262" s="312"/>
      <c r="P262" s="312"/>
      <c r="Q262" s="312"/>
      <c r="R262" s="312"/>
      <c r="S262" s="312"/>
    </row>
    <row r="263" ht="12.75" spans="3:19">
      <c r="C263" s="312"/>
      <c r="D263" s="312"/>
      <c r="E263" s="312"/>
      <c r="F263" s="312"/>
      <c r="G263" s="312"/>
      <c r="H263" s="312"/>
      <c r="I263" s="312"/>
      <c r="J263" s="312"/>
      <c r="K263" s="312"/>
      <c r="L263" s="312"/>
      <c r="M263" s="312"/>
      <c r="N263" s="312"/>
      <c r="O263" s="312"/>
      <c r="P263" s="312"/>
      <c r="Q263" s="312"/>
      <c r="R263" s="312"/>
      <c r="S263" s="312"/>
    </row>
    <row r="264" ht="12.75" spans="3:19">
      <c r="C264" s="312"/>
      <c r="D264" s="312"/>
      <c r="E264" s="312"/>
      <c r="F264" s="312"/>
      <c r="G264" s="312"/>
      <c r="H264" s="312"/>
      <c r="I264" s="312"/>
      <c r="J264" s="312"/>
      <c r="K264" s="312"/>
      <c r="L264" s="312"/>
      <c r="M264" s="312"/>
      <c r="N264" s="312"/>
      <c r="O264" s="312"/>
      <c r="P264" s="312"/>
      <c r="Q264" s="312"/>
      <c r="R264" s="312"/>
      <c r="S264" s="312"/>
    </row>
    <row r="265" ht="12.75" spans="3:19">
      <c r="C265" s="312"/>
      <c r="D265" s="312"/>
      <c r="E265" s="312"/>
      <c r="F265" s="312"/>
      <c r="G265" s="312"/>
      <c r="H265" s="312"/>
      <c r="I265" s="312"/>
      <c r="J265" s="312"/>
      <c r="K265" s="312"/>
      <c r="L265" s="312"/>
      <c r="M265" s="312"/>
      <c r="N265" s="312"/>
      <c r="O265" s="312"/>
      <c r="P265" s="312"/>
      <c r="Q265" s="312"/>
      <c r="R265" s="312"/>
      <c r="S265" s="312"/>
    </row>
    <row r="266" ht="12.75" spans="3:19">
      <c r="C266" s="312"/>
      <c r="D266" s="312"/>
      <c r="E266" s="312"/>
      <c r="F266" s="312"/>
      <c r="G266" s="312"/>
      <c r="H266" s="312"/>
      <c r="I266" s="312"/>
      <c r="J266" s="312"/>
      <c r="K266" s="312"/>
      <c r="L266" s="312"/>
      <c r="M266" s="312"/>
      <c r="N266" s="312"/>
      <c r="O266" s="312"/>
      <c r="P266" s="312"/>
      <c r="Q266" s="312"/>
      <c r="R266" s="312"/>
      <c r="S266" s="312"/>
    </row>
    <row r="267" ht="12.75" spans="3:19">
      <c r="C267" s="312"/>
      <c r="D267" s="312"/>
      <c r="E267" s="312"/>
      <c r="F267" s="312"/>
      <c r="G267" s="312"/>
      <c r="H267" s="312"/>
      <c r="I267" s="312"/>
      <c r="J267" s="312"/>
      <c r="K267" s="312"/>
      <c r="L267" s="312"/>
      <c r="M267" s="312"/>
      <c r="N267" s="312"/>
      <c r="O267" s="312"/>
      <c r="P267" s="312"/>
      <c r="Q267" s="312"/>
      <c r="R267" s="312"/>
      <c r="S267" s="312"/>
    </row>
    <row r="268" ht="12.75" spans="3:19">
      <c r="C268" s="312"/>
      <c r="D268" s="312"/>
      <c r="E268" s="312"/>
      <c r="F268" s="312"/>
      <c r="G268" s="312"/>
      <c r="H268" s="312"/>
      <c r="I268" s="312"/>
      <c r="J268" s="312"/>
      <c r="K268" s="312"/>
      <c r="L268" s="312"/>
      <c r="M268" s="312"/>
      <c r="N268" s="312"/>
      <c r="O268" s="312"/>
      <c r="P268" s="312"/>
      <c r="Q268" s="312"/>
      <c r="R268" s="312"/>
      <c r="S268" s="312"/>
    </row>
    <row r="269" ht="12.75" spans="3:19">
      <c r="C269" s="312"/>
      <c r="D269" s="312"/>
      <c r="E269" s="312"/>
      <c r="F269" s="312"/>
      <c r="G269" s="312"/>
      <c r="H269" s="312"/>
      <c r="I269" s="312"/>
      <c r="J269" s="312"/>
      <c r="K269" s="312"/>
      <c r="L269" s="312"/>
      <c r="M269" s="312"/>
      <c r="N269" s="312"/>
      <c r="O269" s="312"/>
      <c r="P269" s="312"/>
      <c r="Q269" s="312"/>
      <c r="R269" s="312"/>
      <c r="S269" s="312"/>
    </row>
    <row r="270" ht="12.75" spans="3:19">
      <c r="C270" s="312"/>
      <c r="D270" s="312"/>
      <c r="E270" s="312"/>
      <c r="F270" s="312"/>
      <c r="G270" s="312"/>
      <c r="H270" s="312"/>
      <c r="I270" s="312"/>
      <c r="J270" s="312"/>
      <c r="K270" s="312"/>
      <c r="L270" s="312"/>
      <c r="M270" s="312"/>
      <c r="N270" s="312"/>
      <c r="O270" s="312"/>
      <c r="P270" s="312"/>
      <c r="Q270" s="312"/>
      <c r="R270" s="312"/>
      <c r="S270" s="312"/>
    </row>
    <row r="271" ht="12.75" spans="3:19">
      <c r="C271" s="312"/>
      <c r="D271" s="312"/>
      <c r="E271" s="312"/>
      <c r="F271" s="312"/>
      <c r="G271" s="312"/>
      <c r="H271" s="312"/>
      <c r="I271" s="312"/>
      <c r="J271" s="312"/>
      <c r="K271" s="312"/>
      <c r="L271" s="312"/>
      <c r="M271" s="312"/>
      <c r="N271" s="312"/>
      <c r="O271" s="312"/>
      <c r="P271" s="312"/>
      <c r="Q271" s="312"/>
      <c r="R271" s="312"/>
      <c r="S271" s="312"/>
    </row>
    <row r="272" ht="12.75" spans="3:19">
      <c r="C272" s="312"/>
      <c r="D272" s="312"/>
      <c r="E272" s="312"/>
      <c r="F272" s="312"/>
      <c r="G272" s="312"/>
      <c r="H272" s="312"/>
      <c r="I272" s="312"/>
      <c r="J272" s="312"/>
      <c r="K272" s="312"/>
      <c r="L272" s="312"/>
      <c r="M272" s="312"/>
      <c r="N272" s="312"/>
      <c r="O272" s="312"/>
      <c r="P272" s="312"/>
      <c r="Q272" s="312"/>
      <c r="R272" s="312"/>
      <c r="S272" s="312"/>
    </row>
    <row r="273" ht="12.75" spans="3:19">
      <c r="C273" s="312"/>
      <c r="D273" s="312"/>
      <c r="E273" s="312"/>
      <c r="F273" s="312"/>
      <c r="G273" s="312"/>
      <c r="H273" s="312"/>
      <c r="I273" s="312"/>
      <c r="J273" s="312"/>
      <c r="K273" s="312"/>
      <c r="L273" s="312"/>
      <c r="M273" s="312"/>
      <c r="N273" s="312"/>
      <c r="O273" s="312"/>
      <c r="P273" s="312"/>
      <c r="Q273" s="312"/>
      <c r="R273" s="312"/>
      <c r="S273" s="312"/>
    </row>
    <row r="274" ht="12.75" spans="3:19">
      <c r="C274" s="312"/>
      <c r="D274" s="312"/>
      <c r="E274" s="312"/>
      <c r="F274" s="312"/>
      <c r="G274" s="312"/>
      <c r="H274" s="312"/>
      <c r="I274" s="312"/>
      <c r="J274" s="312"/>
      <c r="K274" s="312"/>
      <c r="L274" s="312"/>
      <c r="M274" s="312"/>
      <c r="N274" s="312"/>
      <c r="O274" s="312"/>
      <c r="P274" s="312"/>
      <c r="Q274" s="312"/>
      <c r="R274" s="312"/>
      <c r="S274" s="312"/>
    </row>
    <row r="275" ht="12.75" spans="3:19">
      <c r="C275" s="312"/>
      <c r="D275" s="312"/>
      <c r="E275" s="312"/>
      <c r="F275" s="312"/>
      <c r="G275" s="312"/>
      <c r="H275" s="312"/>
      <c r="I275" s="312"/>
      <c r="J275" s="312"/>
      <c r="K275" s="312"/>
      <c r="L275" s="312"/>
      <c r="M275" s="312"/>
      <c r="N275" s="312"/>
      <c r="O275" s="312"/>
      <c r="P275" s="312"/>
      <c r="Q275" s="312"/>
      <c r="R275" s="312"/>
      <c r="S275" s="312"/>
    </row>
    <row r="276" ht="12.75" spans="3:19">
      <c r="C276" s="312"/>
      <c r="D276" s="312"/>
      <c r="E276" s="312"/>
      <c r="F276" s="312"/>
      <c r="G276" s="312"/>
      <c r="H276" s="312"/>
      <c r="I276" s="312"/>
      <c r="J276" s="312"/>
      <c r="K276" s="312"/>
      <c r="L276" s="312"/>
      <c r="M276" s="312"/>
      <c r="N276" s="312"/>
      <c r="O276" s="312"/>
      <c r="P276" s="312"/>
      <c r="Q276" s="312"/>
      <c r="R276" s="312"/>
      <c r="S276" s="312"/>
    </row>
    <row r="277" ht="12.75" spans="3:19">
      <c r="C277" s="312"/>
      <c r="D277" s="312"/>
      <c r="E277" s="312"/>
      <c r="F277" s="312"/>
      <c r="G277" s="312"/>
      <c r="H277" s="312"/>
      <c r="I277" s="312"/>
      <c r="J277" s="312"/>
      <c r="K277" s="312"/>
      <c r="L277" s="312"/>
      <c r="M277" s="312"/>
      <c r="N277" s="312"/>
      <c r="O277" s="312"/>
      <c r="P277" s="312"/>
      <c r="Q277" s="312"/>
      <c r="R277" s="312"/>
      <c r="S277" s="312"/>
    </row>
    <row r="278" ht="12.75" spans="3:19">
      <c r="C278" s="312"/>
      <c r="D278" s="312"/>
      <c r="E278" s="312"/>
      <c r="F278" s="312"/>
      <c r="G278" s="312"/>
      <c r="H278" s="312"/>
      <c r="I278" s="312"/>
      <c r="J278" s="312"/>
      <c r="K278" s="312"/>
      <c r="L278" s="312"/>
      <c r="M278" s="312"/>
      <c r="N278" s="312"/>
      <c r="O278" s="312"/>
      <c r="P278" s="312"/>
      <c r="Q278" s="312"/>
      <c r="R278" s="312"/>
      <c r="S278" s="312"/>
    </row>
    <row r="279" ht="12.75" spans="3:19">
      <c r="C279" s="312"/>
      <c r="D279" s="312"/>
      <c r="E279" s="312"/>
      <c r="F279" s="312"/>
      <c r="G279" s="312"/>
      <c r="H279" s="312"/>
      <c r="I279" s="312"/>
      <c r="J279" s="312"/>
      <c r="K279" s="312"/>
      <c r="L279" s="312"/>
      <c r="M279" s="312"/>
      <c r="N279" s="312"/>
      <c r="O279" s="312"/>
      <c r="P279" s="312"/>
      <c r="Q279" s="312"/>
      <c r="R279" s="312"/>
      <c r="S279" s="312"/>
    </row>
    <row r="280" ht="12.75" spans="3:19">
      <c r="C280" s="312"/>
      <c r="D280" s="312"/>
      <c r="E280" s="312"/>
      <c r="F280" s="312"/>
      <c r="G280" s="312"/>
      <c r="H280" s="312"/>
      <c r="I280" s="312"/>
      <c r="J280" s="312"/>
      <c r="K280" s="312"/>
      <c r="L280" s="312"/>
      <c r="M280" s="312"/>
      <c r="N280" s="312"/>
      <c r="O280" s="312"/>
      <c r="P280" s="312"/>
      <c r="Q280" s="312"/>
      <c r="R280" s="312"/>
      <c r="S280" s="312"/>
    </row>
    <row r="281" ht="12.75" spans="3:19">
      <c r="C281" s="312"/>
      <c r="D281" s="312"/>
      <c r="E281" s="312"/>
      <c r="F281" s="312"/>
      <c r="G281" s="312"/>
      <c r="H281" s="312"/>
      <c r="I281" s="312"/>
      <c r="J281" s="312"/>
      <c r="K281" s="312"/>
      <c r="L281" s="312"/>
      <c r="M281" s="312"/>
      <c r="N281" s="312"/>
      <c r="O281" s="312"/>
      <c r="P281" s="312"/>
      <c r="Q281" s="312"/>
      <c r="R281" s="312"/>
      <c r="S281" s="312"/>
    </row>
    <row r="282" ht="12.75" spans="3:19">
      <c r="C282" s="312"/>
      <c r="D282" s="312"/>
      <c r="E282" s="312"/>
      <c r="F282" s="312"/>
      <c r="G282" s="312"/>
      <c r="H282" s="312"/>
      <c r="I282" s="312"/>
      <c r="J282" s="312"/>
      <c r="K282" s="312"/>
      <c r="L282" s="312"/>
      <c r="M282" s="312"/>
      <c r="N282" s="312"/>
      <c r="O282" s="312"/>
      <c r="P282" s="312"/>
      <c r="Q282" s="312"/>
      <c r="R282" s="312"/>
      <c r="S282" s="312"/>
    </row>
    <row r="283" ht="12.75" spans="3:19">
      <c r="C283" s="312"/>
      <c r="D283" s="312"/>
      <c r="E283" s="312"/>
      <c r="F283" s="312"/>
      <c r="G283" s="312"/>
      <c r="H283" s="312"/>
      <c r="I283" s="312"/>
      <c r="J283" s="312"/>
      <c r="K283" s="312"/>
      <c r="L283" s="312"/>
      <c r="M283" s="312"/>
      <c r="N283" s="312"/>
      <c r="O283" s="312"/>
      <c r="P283" s="312"/>
      <c r="Q283" s="312"/>
      <c r="R283" s="312"/>
      <c r="S283" s="312"/>
    </row>
    <row r="284" ht="12.75" spans="3:19">
      <c r="C284" s="312"/>
      <c r="D284" s="312"/>
      <c r="E284" s="312"/>
      <c r="F284" s="312"/>
      <c r="G284" s="312"/>
      <c r="H284" s="312"/>
      <c r="I284" s="312"/>
      <c r="J284" s="312"/>
      <c r="K284" s="312"/>
      <c r="L284" s="312"/>
      <c r="M284" s="312"/>
      <c r="N284" s="312"/>
      <c r="O284" s="312"/>
      <c r="P284" s="312"/>
      <c r="Q284" s="312"/>
      <c r="R284" s="312"/>
      <c r="S284" s="312"/>
    </row>
    <row r="285" ht="12.75" spans="3:19">
      <c r="C285" s="312"/>
      <c r="D285" s="312"/>
      <c r="E285" s="312"/>
      <c r="F285" s="312"/>
      <c r="G285" s="312"/>
      <c r="H285" s="312"/>
      <c r="I285" s="312"/>
      <c r="J285" s="312"/>
      <c r="K285" s="312"/>
      <c r="L285" s="312"/>
      <c r="M285" s="312"/>
      <c r="N285" s="312"/>
      <c r="O285" s="312"/>
      <c r="P285" s="312"/>
      <c r="Q285" s="312"/>
      <c r="R285" s="312"/>
      <c r="S285" s="312"/>
    </row>
    <row r="286" ht="12.75" spans="3:19">
      <c r="C286" s="312"/>
      <c r="D286" s="312"/>
      <c r="E286" s="312"/>
      <c r="F286" s="312"/>
      <c r="G286" s="312"/>
      <c r="H286" s="312"/>
      <c r="I286" s="312"/>
      <c r="J286" s="312"/>
      <c r="K286" s="312"/>
      <c r="L286" s="312"/>
      <c r="M286" s="312"/>
      <c r="N286" s="312"/>
      <c r="O286" s="312"/>
      <c r="P286" s="312"/>
      <c r="Q286" s="312"/>
      <c r="R286" s="312"/>
      <c r="S286" s="312"/>
    </row>
    <row r="287" ht="12.75" spans="3:19">
      <c r="C287" s="312"/>
      <c r="D287" s="312"/>
      <c r="E287" s="312"/>
      <c r="F287" s="312"/>
      <c r="G287" s="312"/>
      <c r="H287" s="312"/>
      <c r="I287" s="312"/>
      <c r="J287" s="312"/>
      <c r="K287" s="312"/>
      <c r="L287" s="312"/>
      <c r="M287" s="312"/>
      <c r="N287" s="312"/>
      <c r="O287" s="312"/>
      <c r="P287" s="312"/>
      <c r="Q287" s="312"/>
      <c r="R287" s="312"/>
      <c r="S287" s="312"/>
    </row>
    <row r="288" ht="12.75" spans="3:19">
      <c r="C288" s="312"/>
      <c r="D288" s="312"/>
      <c r="E288" s="312"/>
      <c r="F288" s="312"/>
      <c r="G288" s="312"/>
      <c r="H288" s="312"/>
      <c r="I288" s="312"/>
      <c r="J288" s="312"/>
      <c r="K288" s="312"/>
      <c r="L288" s="312"/>
      <c r="M288" s="312"/>
      <c r="N288" s="312"/>
      <c r="O288" s="312"/>
      <c r="P288" s="312"/>
      <c r="Q288" s="312"/>
      <c r="R288" s="312"/>
      <c r="S288" s="312"/>
    </row>
    <row r="289" ht="12.75" spans="3:19">
      <c r="C289" s="312"/>
      <c r="D289" s="312"/>
      <c r="E289" s="312"/>
      <c r="F289" s="312"/>
      <c r="G289" s="312"/>
      <c r="H289" s="312"/>
      <c r="I289" s="312"/>
      <c r="J289" s="312"/>
      <c r="K289" s="312"/>
      <c r="L289" s="312"/>
      <c r="M289" s="312"/>
      <c r="N289" s="312"/>
      <c r="O289" s="312"/>
      <c r="P289" s="312"/>
      <c r="Q289" s="312"/>
      <c r="R289" s="312"/>
      <c r="S289" s="312"/>
    </row>
    <row r="290" ht="12.75" spans="3:19">
      <c r="C290" s="312"/>
      <c r="D290" s="312"/>
      <c r="E290" s="312"/>
      <c r="F290" s="312"/>
      <c r="G290" s="312"/>
      <c r="H290" s="312"/>
      <c r="I290" s="312"/>
      <c r="J290" s="312"/>
      <c r="K290" s="312"/>
      <c r="L290" s="312"/>
      <c r="M290" s="312"/>
      <c r="N290" s="312"/>
      <c r="O290" s="312"/>
      <c r="P290" s="312"/>
      <c r="Q290" s="312"/>
      <c r="R290" s="312"/>
      <c r="S290" s="312"/>
    </row>
    <row r="291" ht="12.75" spans="3:19">
      <c r="C291" s="312"/>
      <c r="D291" s="312"/>
      <c r="E291" s="312"/>
      <c r="F291" s="312"/>
      <c r="G291" s="312"/>
      <c r="H291" s="312"/>
      <c r="I291" s="312"/>
      <c r="J291" s="312"/>
      <c r="K291" s="312"/>
      <c r="L291" s="312"/>
      <c r="M291" s="312"/>
      <c r="N291" s="312"/>
      <c r="O291" s="312"/>
      <c r="P291" s="312"/>
      <c r="Q291" s="312"/>
      <c r="R291" s="312"/>
      <c r="S291" s="312"/>
    </row>
    <row r="292" ht="12.75" spans="3:19">
      <c r="C292" s="312"/>
      <c r="D292" s="312"/>
      <c r="E292" s="312"/>
      <c r="F292" s="312"/>
      <c r="G292" s="312"/>
      <c r="H292" s="312"/>
      <c r="I292" s="312"/>
      <c r="J292" s="312"/>
      <c r="K292" s="312"/>
      <c r="L292" s="312"/>
      <c r="M292" s="312"/>
      <c r="N292" s="312"/>
      <c r="O292" s="312"/>
      <c r="P292" s="312"/>
      <c r="Q292" s="312"/>
      <c r="R292" s="312"/>
      <c r="S292" s="312"/>
    </row>
    <row r="293" ht="12.75" spans="3:19">
      <c r="C293" s="312"/>
      <c r="D293" s="312"/>
      <c r="E293" s="312"/>
      <c r="F293" s="312"/>
      <c r="G293" s="312"/>
      <c r="H293" s="312"/>
      <c r="I293" s="312"/>
      <c r="J293" s="312"/>
      <c r="K293" s="312"/>
      <c r="L293" s="312"/>
      <c r="M293" s="312"/>
      <c r="N293" s="312"/>
      <c r="O293" s="312"/>
      <c r="P293" s="312"/>
      <c r="Q293" s="312"/>
      <c r="R293" s="312"/>
      <c r="S293" s="312"/>
    </row>
    <row r="294" ht="12.75" spans="3:19">
      <c r="C294" s="312"/>
      <c r="D294" s="312"/>
      <c r="E294" s="312"/>
      <c r="F294" s="312"/>
      <c r="G294" s="312"/>
      <c r="H294" s="312"/>
      <c r="I294" s="312"/>
      <c r="J294" s="312"/>
      <c r="K294" s="312"/>
      <c r="L294" s="312"/>
      <c r="M294" s="312"/>
      <c r="N294" s="312"/>
      <c r="O294" s="312"/>
      <c r="P294" s="312"/>
      <c r="Q294" s="312"/>
      <c r="R294" s="312"/>
      <c r="S294" s="312"/>
    </row>
    <row r="295" ht="12.75" spans="3:19">
      <c r="C295" s="312"/>
      <c r="D295" s="312"/>
      <c r="E295" s="312"/>
      <c r="F295" s="312"/>
      <c r="G295" s="312"/>
      <c r="H295" s="312"/>
      <c r="I295" s="312"/>
      <c r="J295" s="312"/>
      <c r="K295" s="312"/>
      <c r="L295" s="312"/>
      <c r="M295" s="312"/>
      <c r="N295" s="312"/>
      <c r="O295" s="312"/>
      <c r="P295" s="312"/>
      <c r="Q295" s="312"/>
      <c r="R295" s="312"/>
      <c r="S295" s="312"/>
    </row>
    <row r="296" ht="12.75" spans="3:19">
      <c r="C296" s="312"/>
      <c r="D296" s="312"/>
      <c r="E296" s="312"/>
      <c r="F296" s="312"/>
      <c r="G296" s="312"/>
      <c r="H296" s="312"/>
      <c r="I296" s="312"/>
      <c r="J296" s="312"/>
      <c r="K296" s="312"/>
      <c r="L296" s="312"/>
      <c r="M296" s="312"/>
      <c r="N296" s="312"/>
      <c r="O296" s="312"/>
      <c r="P296" s="312"/>
      <c r="Q296" s="312"/>
      <c r="R296" s="312"/>
      <c r="S296" s="312"/>
    </row>
    <row r="297" ht="12.75" spans="3:19">
      <c r="C297" s="312"/>
      <c r="D297" s="312"/>
      <c r="E297" s="312"/>
      <c r="F297" s="312"/>
      <c r="G297" s="312"/>
      <c r="H297" s="312"/>
      <c r="I297" s="312"/>
      <c r="J297" s="312"/>
      <c r="K297" s="312"/>
      <c r="L297" s="312"/>
      <c r="M297" s="312"/>
      <c r="N297" s="312"/>
      <c r="O297" s="312"/>
      <c r="P297" s="312"/>
      <c r="Q297" s="312"/>
      <c r="R297" s="312"/>
      <c r="S297" s="312"/>
    </row>
    <row r="298" ht="12.75" spans="3:19">
      <c r="C298" s="312"/>
      <c r="D298" s="312"/>
      <c r="E298" s="312"/>
      <c r="F298" s="312"/>
      <c r="G298" s="312"/>
      <c r="H298" s="312"/>
      <c r="I298" s="312"/>
      <c r="J298" s="312"/>
      <c r="K298" s="312"/>
      <c r="L298" s="312"/>
      <c r="M298" s="312"/>
      <c r="N298" s="312"/>
      <c r="O298" s="312"/>
      <c r="P298" s="312"/>
      <c r="Q298" s="312"/>
      <c r="R298" s="312"/>
      <c r="S298" s="312"/>
    </row>
    <row r="299" ht="12.75" spans="3:19">
      <c r="C299" s="312"/>
      <c r="D299" s="312"/>
      <c r="E299" s="312"/>
      <c r="F299" s="312"/>
      <c r="G299" s="312"/>
      <c r="H299" s="312"/>
      <c r="I299" s="312"/>
      <c r="J299" s="312"/>
      <c r="K299" s="312"/>
      <c r="L299" s="312"/>
      <c r="M299" s="312"/>
      <c r="N299" s="312"/>
      <c r="O299" s="312"/>
      <c r="P299" s="312"/>
      <c r="Q299" s="312"/>
      <c r="R299" s="312"/>
      <c r="S299" s="312"/>
    </row>
    <row r="300" ht="12.75" spans="3:19">
      <c r="C300" s="312"/>
      <c r="D300" s="312"/>
      <c r="E300" s="312"/>
      <c r="F300" s="312"/>
      <c r="G300" s="312"/>
      <c r="H300" s="312"/>
      <c r="I300" s="312"/>
      <c r="J300" s="312"/>
      <c r="K300" s="312"/>
      <c r="L300" s="312"/>
      <c r="M300" s="312"/>
      <c r="N300" s="312"/>
      <c r="O300" s="312"/>
      <c r="P300" s="312"/>
      <c r="Q300" s="312"/>
      <c r="R300" s="312"/>
      <c r="S300" s="312"/>
    </row>
    <row r="301" ht="12.75" spans="3:19">
      <c r="C301" s="312"/>
      <c r="D301" s="312"/>
      <c r="E301" s="312"/>
      <c r="F301" s="312"/>
      <c r="G301" s="312"/>
      <c r="H301" s="312"/>
      <c r="I301" s="312"/>
      <c r="J301" s="312"/>
      <c r="K301" s="312"/>
      <c r="L301" s="312"/>
      <c r="M301" s="312"/>
      <c r="N301" s="312"/>
      <c r="O301" s="312"/>
      <c r="P301" s="312"/>
      <c r="Q301" s="312"/>
      <c r="R301" s="312"/>
      <c r="S301" s="312"/>
    </row>
    <row r="302" ht="12.75" spans="3:19">
      <c r="C302" s="312"/>
      <c r="D302" s="312"/>
      <c r="E302" s="312"/>
      <c r="F302" s="312"/>
      <c r="G302" s="312"/>
      <c r="H302" s="312"/>
      <c r="I302" s="312"/>
      <c r="J302" s="312"/>
      <c r="K302" s="312"/>
      <c r="L302" s="312"/>
      <c r="M302" s="312"/>
      <c r="N302" s="312"/>
      <c r="O302" s="312"/>
      <c r="P302" s="312"/>
      <c r="Q302" s="312"/>
      <c r="R302" s="312"/>
      <c r="S302" s="312"/>
    </row>
    <row r="303" ht="12.75" spans="3:19">
      <c r="C303" s="312"/>
      <c r="D303" s="312"/>
      <c r="E303" s="312"/>
      <c r="F303" s="312"/>
      <c r="G303" s="312"/>
      <c r="H303" s="312"/>
      <c r="I303" s="312"/>
      <c r="J303" s="312"/>
      <c r="K303" s="312"/>
      <c r="L303" s="312"/>
      <c r="M303" s="312"/>
      <c r="N303" s="312"/>
      <c r="O303" s="312"/>
      <c r="P303" s="312"/>
      <c r="Q303" s="312"/>
      <c r="R303" s="312"/>
      <c r="S303" s="312"/>
    </row>
    <row r="304" ht="12.75" spans="3:19">
      <c r="C304" s="312"/>
      <c r="D304" s="312"/>
      <c r="E304" s="312"/>
      <c r="F304" s="312"/>
      <c r="G304" s="312"/>
      <c r="H304" s="312"/>
      <c r="I304" s="312"/>
      <c r="J304" s="312"/>
      <c r="K304" s="312"/>
      <c r="L304" s="312"/>
      <c r="M304" s="312"/>
      <c r="N304" s="312"/>
      <c r="O304" s="312"/>
      <c r="P304" s="312"/>
      <c r="Q304" s="312"/>
      <c r="R304" s="312"/>
      <c r="S304" s="312"/>
    </row>
    <row r="305" ht="12.75" spans="3:19">
      <c r="C305" s="312"/>
      <c r="D305" s="312"/>
      <c r="E305" s="312"/>
      <c r="F305" s="312"/>
      <c r="G305" s="312"/>
      <c r="H305" s="312"/>
      <c r="I305" s="312"/>
      <c r="J305" s="312"/>
      <c r="K305" s="312"/>
      <c r="L305" s="312"/>
      <c r="M305" s="312"/>
      <c r="N305" s="312"/>
      <c r="O305" s="312"/>
      <c r="P305" s="312"/>
      <c r="Q305" s="312"/>
      <c r="R305" s="312"/>
      <c r="S305" s="312"/>
    </row>
    <row r="306" ht="12.75" spans="3:19">
      <c r="C306" s="312"/>
      <c r="D306" s="312"/>
      <c r="E306" s="312"/>
      <c r="F306" s="312"/>
      <c r="G306" s="312"/>
      <c r="H306" s="312"/>
      <c r="I306" s="312"/>
      <c r="J306" s="312"/>
      <c r="K306" s="312"/>
      <c r="L306" s="312"/>
      <c r="M306" s="312"/>
      <c r="N306" s="312"/>
      <c r="O306" s="312"/>
      <c r="P306" s="312"/>
      <c r="Q306" s="312"/>
      <c r="R306" s="312"/>
      <c r="S306" s="312"/>
    </row>
    <row r="307" ht="12.75" spans="3:19">
      <c r="C307" s="312"/>
      <c r="D307" s="312"/>
      <c r="E307" s="312"/>
      <c r="F307" s="312"/>
      <c r="G307" s="312"/>
      <c r="H307" s="312"/>
      <c r="I307" s="312"/>
      <c r="J307" s="312"/>
      <c r="K307" s="312"/>
      <c r="L307" s="312"/>
      <c r="M307" s="312"/>
      <c r="N307" s="312"/>
      <c r="O307" s="312"/>
      <c r="P307" s="312"/>
      <c r="Q307" s="312"/>
      <c r="R307" s="312"/>
      <c r="S307" s="312"/>
    </row>
    <row r="308" ht="12.75" spans="3:19">
      <c r="C308" s="312"/>
      <c r="D308" s="312"/>
      <c r="E308" s="312"/>
      <c r="F308" s="312"/>
      <c r="G308" s="312"/>
      <c r="H308" s="312"/>
      <c r="I308" s="312"/>
      <c r="J308" s="312"/>
      <c r="K308" s="312"/>
      <c r="L308" s="312"/>
      <c r="M308" s="312"/>
      <c r="N308" s="312"/>
      <c r="O308" s="312"/>
      <c r="P308" s="312"/>
      <c r="Q308" s="312"/>
      <c r="R308" s="312"/>
      <c r="S308" s="312"/>
    </row>
    <row r="309" ht="12.75" spans="3:19">
      <c r="C309" s="312"/>
      <c r="D309" s="312"/>
      <c r="E309" s="312"/>
      <c r="F309" s="312"/>
      <c r="G309" s="312"/>
      <c r="H309" s="312"/>
      <c r="I309" s="312"/>
      <c r="J309" s="312"/>
      <c r="K309" s="312"/>
      <c r="L309" s="312"/>
      <c r="M309" s="312"/>
      <c r="N309" s="312"/>
      <c r="O309" s="312"/>
      <c r="P309" s="312"/>
      <c r="Q309" s="312"/>
      <c r="R309" s="312"/>
      <c r="S309" s="312"/>
    </row>
    <row r="310" ht="12.75" spans="3:19">
      <c r="C310" s="312"/>
      <c r="D310" s="312"/>
      <c r="E310" s="312"/>
      <c r="F310" s="312"/>
      <c r="G310" s="312"/>
      <c r="H310" s="312"/>
      <c r="I310" s="312"/>
      <c r="J310" s="312"/>
      <c r="K310" s="312"/>
      <c r="L310" s="312"/>
      <c r="M310" s="312"/>
      <c r="N310" s="312"/>
      <c r="O310" s="312"/>
      <c r="P310" s="312"/>
      <c r="Q310" s="312"/>
      <c r="R310" s="312"/>
      <c r="S310" s="312"/>
    </row>
    <row r="311" ht="12.75" spans="3:19">
      <c r="C311" s="312"/>
      <c r="D311" s="312"/>
      <c r="E311" s="312"/>
      <c r="F311" s="312"/>
      <c r="G311" s="312"/>
      <c r="H311" s="312"/>
      <c r="I311" s="312"/>
      <c r="J311" s="312"/>
      <c r="K311" s="312"/>
      <c r="L311" s="312"/>
      <c r="M311" s="312"/>
      <c r="N311" s="312"/>
      <c r="O311" s="312"/>
      <c r="P311" s="312"/>
      <c r="Q311" s="312"/>
      <c r="R311" s="312"/>
      <c r="S311" s="312"/>
    </row>
    <row r="312" ht="12.75" spans="3:19">
      <c r="C312" s="312"/>
      <c r="D312" s="312"/>
      <c r="E312" s="312"/>
      <c r="F312" s="312"/>
      <c r="G312" s="312"/>
      <c r="H312" s="312"/>
      <c r="I312" s="312"/>
      <c r="J312" s="312"/>
      <c r="K312" s="312"/>
      <c r="L312" s="312"/>
      <c r="M312" s="312"/>
      <c r="N312" s="312"/>
      <c r="O312" s="312"/>
      <c r="P312" s="312"/>
      <c r="Q312" s="312"/>
      <c r="R312" s="312"/>
      <c r="S312" s="312"/>
    </row>
    <row r="313" ht="12.75" spans="3:19">
      <c r="C313" s="312"/>
      <c r="D313" s="312"/>
      <c r="E313" s="312"/>
      <c r="F313" s="312"/>
      <c r="G313" s="312"/>
      <c r="H313" s="312"/>
      <c r="I313" s="312"/>
      <c r="J313" s="312"/>
      <c r="K313" s="312"/>
      <c r="L313" s="312"/>
      <c r="M313" s="312"/>
      <c r="N313" s="312"/>
      <c r="O313" s="312"/>
      <c r="P313" s="312"/>
      <c r="Q313" s="312"/>
      <c r="R313" s="312"/>
      <c r="S313" s="312"/>
    </row>
    <row r="314" ht="12.75" spans="3:19">
      <c r="C314" s="312"/>
      <c r="D314" s="312"/>
      <c r="E314" s="312"/>
      <c r="F314" s="312"/>
      <c r="G314" s="312"/>
      <c r="H314" s="312"/>
      <c r="I314" s="312"/>
      <c r="J314" s="312"/>
      <c r="K314" s="312"/>
      <c r="L314" s="312"/>
      <c r="M314" s="312"/>
      <c r="N314" s="312"/>
      <c r="O314" s="312"/>
      <c r="P314" s="312"/>
      <c r="Q314" s="312"/>
      <c r="R314" s="312"/>
      <c r="S314" s="312"/>
    </row>
    <row r="315" ht="12.75" spans="3:19">
      <c r="C315" s="312"/>
      <c r="D315" s="312"/>
      <c r="E315" s="312"/>
      <c r="F315" s="312"/>
      <c r="G315" s="312"/>
      <c r="H315" s="312"/>
      <c r="I315" s="312"/>
      <c r="J315" s="312"/>
      <c r="K315" s="312"/>
      <c r="L315" s="312"/>
      <c r="M315" s="312"/>
      <c r="N315" s="312"/>
      <c r="O315" s="312"/>
      <c r="P315" s="312"/>
      <c r="Q315" s="312"/>
      <c r="R315" s="312"/>
      <c r="S315" s="312"/>
    </row>
    <row r="316" ht="12.75" spans="3:19">
      <c r="C316" s="312"/>
      <c r="D316" s="312"/>
      <c r="E316" s="312"/>
      <c r="F316" s="312"/>
      <c r="G316" s="312"/>
      <c r="H316" s="312"/>
      <c r="I316" s="312"/>
      <c r="J316" s="312"/>
      <c r="K316" s="312"/>
      <c r="L316" s="312"/>
      <c r="M316" s="312"/>
      <c r="N316" s="312"/>
      <c r="O316" s="312"/>
      <c r="P316" s="312"/>
      <c r="Q316" s="312"/>
      <c r="R316" s="312"/>
      <c r="S316" s="312"/>
    </row>
    <row r="317" ht="12.75" spans="3:19">
      <c r="C317" s="312"/>
      <c r="D317" s="312"/>
      <c r="E317" s="312"/>
      <c r="F317" s="312"/>
      <c r="G317" s="312"/>
      <c r="H317" s="312"/>
      <c r="I317" s="312"/>
      <c r="J317" s="312"/>
      <c r="K317" s="312"/>
      <c r="L317" s="312"/>
      <c r="M317" s="312"/>
      <c r="N317" s="312"/>
      <c r="O317" s="312"/>
      <c r="P317" s="312"/>
      <c r="Q317" s="312"/>
      <c r="R317" s="312"/>
      <c r="S317" s="312"/>
    </row>
    <row r="318" ht="12.75" spans="3:19">
      <c r="C318" s="312"/>
      <c r="D318" s="312"/>
      <c r="E318" s="312"/>
      <c r="F318" s="312"/>
      <c r="G318" s="312"/>
      <c r="H318" s="312"/>
      <c r="I318" s="312"/>
      <c r="J318" s="312"/>
      <c r="K318" s="312"/>
      <c r="L318" s="312"/>
      <c r="M318" s="312"/>
      <c r="N318" s="312"/>
      <c r="O318" s="312"/>
      <c r="P318" s="312"/>
      <c r="Q318" s="312"/>
      <c r="R318" s="312"/>
      <c r="S318" s="312"/>
    </row>
    <row r="319" ht="12.75" spans="3:19">
      <c r="C319" s="312"/>
      <c r="D319" s="312"/>
      <c r="E319" s="312"/>
      <c r="F319" s="312"/>
      <c r="G319" s="312"/>
      <c r="H319" s="312"/>
      <c r="I319" s="312"/>
      <c r="J319" s="312"/>
      <c r="K319" s="312"/>
      <c r="L319" s="312"/>
      <c r="M319" s="312"/>
      <c r="N319" s="312"/>
      <c r="O319" s="312"/>
      <c r="P319" s="312"/>
      <c r="Q319" s="312"/>
      <c r="R319" s="312"/>
      <c r="S319" s="312"/>
    </row>
    <row r="320" ht="12.75" spans="3:19">
      <c r="C320" s="312"/>
      <c r="D320" s="312"/>
      <c r="E320" s="312"/>
      <c r="F320" s="312"/>
      <c r="G320" s="312"/>
      <c r="H320" s="312"/>
      <c r="I320" s="312"/>
      <c r="J320" s="312"/>
      <c r="K320" s="312"/>
      <c r="L320" s="312"/>
      <c r="M320" s="312"/>
      <c r="N320" s="312"/>
      <c r="O320" s="312"/>
      <c r="P320" s="312"/>
      <c r="Q320" s="312"/>
      <c r="R320" s="312"/>
      <c r="S320" s="312"/>
    </row>
    <row r="321" ht="12.75" spans="3:19">
      <c r="C321" s="312"/>
      <c r="D321" s="312"/>
      <c r="E321" s="312"/>
      <c r="F321" s="312"/>
      <c r="G321" s="312"/>
      <c r="H321" s="312"/>
      <c r="I321" s="312"/>
      <c r="J321" s="312"/>
      <c r="K321" s="312"/>
      <c r="L321" s="312"/>
      <c r="M321" s="312"/>
      <c r="N321" s="312"/>
      <c r="O321" s="312"/>
      <c r="P321" s="312"/>
      <c r="Q321" s="312"/>
      <c r="R321" s="312"/>
      <c r="S321" s="312"/>
    </row>
    <row r="322" ht="12.75" spans="3:19">
      <c r="C322" s="312"/>
      <c r="D322" s="312"/>
      <c r="E322" s="312"/>
      <c r="F322" s="312"/>
      <c r="G322" s="312"/>
      <c r="H322" s="312"/>
      <c r="I322" s="312"/>
      <c r="J322" s="312"/>
      <c r="K322" s="312"/>
      <c r="L322" s="312"/>
      <c r="M322" s="312"/>
      <c r="N322" s="312"/>
      <c r="O322" s="312"/>
      <c r="P322" s="312"/>
      <c r="Q322" s="312"/>
      <c r="R322" s="312"/>
      <c r="S322" s="312"/>
    </row>
    <row r="323" ht="12.75" spans="3:19">
      <c r="C323" s="312"/>
      <c r="D323" s="312"/>
      <c r="E323" s="312"/>
      <c r="F323" s="312"/>
      <c r="G323" s="312"/>
      <c r="H323" s="312"/>
      <c r="I323" s="312"/>
      <c r="J323" s="312"/>
      <c r="K323" s="312"/>
      <c r="L323" s="312"/>
      <c r="M323" s="312"/>
      <c r="N323" s="312"/>
      <c r="O323" s="312"/>
      <c r="P323" s="312"/>
      <c r="Q323" s="312"/>
      <c r="R323" s="312"/>
      <c r="S323" s="312"/>
    </row>
    <row r="324" ht="12.75" spans="3:19">
      <c r="C324" s="312"/>
      <c r="D324" s="312"/>
      <c r="E324" s="312"/>
      <c r="F324" s="312"/>
      <c r="G324" s="312"/>
      <c r="H324" s="312"/>
      <c r="I324" s="312"/>
      <c r="J324" s="312"/>
      <c r="K324" s="312"/>
      <c r="L324" s="312"/>
      <c r="M324" s="312"/>
      <c r="N324" s="312"/>
      <c r="O324" s="312"/>
      <c r="P324" s="312"/>
      <c r="Q324" s="312"/>
      <c r="R324" s="312"/>
      <c r="S324" s="312"/>
    </row>
    <row r="325" ht="12.75" spans="3:19">
      <c r="C325" s="312"/>
      <c r="D325" s="312"/>
      <c r="E325" s="312"/>
      <c r="F325" s="312"/>
      <c r="G325" s="312"/>
      <c r="H325" s="312"/>
      <c r="I325" s="312"/>
      <c r="J325" s="312"/>
      <c r="K325" s="312"/>
      <c r="L325" s="312"/>
      <c r="M325" s="312"/>
      <c r="N325" s="312"/>
      <c r="O325" s="312"/>
      <c r="P325" s="312"/>
      <c r="Q325" s="312"/>
      <c r="R325" s="312"/>
      <c r="S325" s="312"/>
    </row>
    <row r="326" ht="12.75" spans="3:19">
      <c r="C326" s="312"/>
      <c r="D326" s="312"/>
      <c r="E326" s="312"/>
      <c r="F326" s="312"/>
      <c r="G326" s="312"/>
      <c r="H326" s="312"/>
      <c r="I326" s="312"/>
      <c r="J326" s="312"/>
      <c r="K326" s="312"/>
      <c r="L326" s="312"/>
      <c r="M326" s="312"/>
      <c r="N326" s="312"/>
      <c r="O326" s="312"/>
      <c r="P326" s="312"/>
      <c r="Q326" s="312"/>
      <c r="R326" s="312"/>
      <c r="S326" s="312"/>
    </row>
    <row r="327" ht="12.75" spans="3:19">
      <c r="C327" s="312"/>
      <c r="D327" s="312"/>
      <c r="E327" s="312"/>
      <c r="F327" s="312"/>
      <c r="G327" s="312"/>
      <c r="H327" s="312"/>
      <c r="I327" s="312"/>
      <c r="J327" s="312"/>
      <c r="K327" s="312"/>
      <c r="L327" s="312"/>
      <c r="M327" s="312"/>
      <c r="N327" s="312"/>
      <c r="O327" s="312"/>
      <c r="P327" s="312"/>
      <c r="Q327" s="312"/>
      <c r="R327" s="312"/>
      <c r="S327" s="312"/>
    </row>
    <row r="328" ht="12.75" spans="3:19">
      <c r="C328" s="312"/>
      <c r="D328" s="312"/>
      <c r="E328" s="312"/>
      <c r="F328" s="312"/>
      <c r="G328" s="312"/>
      <c r="H328" s="312"/>
      <c r="I328" s="312"/>
      <c r="J328" s="312"/>
      <c r="K328" s="312"/>
      <c r="L328" s="312"/>
      <c r="M328" s="312"/>
      <c r="N328" s="312"/>
      <c r="O328" s="312"/>
      <c r="P328" s="312"/>
      <c r="Q328" s="312"/>
      <c r="R328" s="312"/>
      <c r="S328" s="312"/>
    </row>
    <row r="329" ht="12.75" spans="3:19">
      <c r="C329" s="312"/>
      <c r="D329" s="312"/>
      <c r="E329" s="312"/>
      <c r="F329" s="312"/>
      <c r="G329" s="312"/>
      <c r="H329" s="312"/>
      <c r="I329" s="312"/>
      <c r="J329" s="312"/>
      <c r="K329" s="312"/>
      <c r="L329" s="312"/>
      <c r="M329" s="312"/>
      <c r="N329" s="312"/>
      <c r="O329" s="312"/>
      <c r="P329" s="312"/>
      <c r="Q329" s="312"/>
      <c r="R329" s="312"/>
      <c r="S329" s="312"/>
    </row>
    <row r="330" ht="12.75" spans="3:19">
      <c r="C330" s="312"/>
      <c r="D330" s="312"/>
      <c r="E330" s="312"/>
      <c r="F330" s="312"/>
      <c r="G330" s="312"/>
      <c r="H330" s="312"/>
      <c r="I330" s="312"/>
      <c r="J330" s="312"/>
      <c r="K330" s="312"/>
      <c r="L330" s="312"/>
      <c r="M330" s="312"/>
      <c r="N330" s="312"/>
      <c r="O330" s="312"/>
      <c r="P330" s="312"/>
      <c r="Q330" s="312"/>
      <c r="R330" s="312"/>
      <c r="S330" s="312"/>
    </row>
    <row r="331" ht="12.75" spans="3:19">
      <c r="C331" s="312"/>
      <c r="D331" s="312"/>
      <c r="E331" s="312"/>
      <c r="F331" s="312"/>
      <c r="G331" s="312"/>
      <c r="H331" s="312"/>
      <c r="I331" s="312"/>
      <c r="J331" s="312"/>
      <c r="K331" s="312"/>
      <c r="L331" s="312"/>
      <c r="M331" s="312"/>
      <c r="N331" s="312"/>
      <c r="O331" s="312"/>
      <c r="P331" s="312"/>
      <c r="Q331" s="312"/>
      <c r="R331" s="312"/>
      <c r="S331" s="312"/>
    </row>
    <row r="332" ht="12.75" spans="3:19">
      <c r="C332" s="312"/>
      <c r="D332" s="312"/>
      <c r="E332" s="312"/>
      <c r="F332" s="312"/>
      <c r="G332" s="312"/>
      <c r="H332" s="312"/>
      <c r="I332" s="312"/>
      <c r="J332" s="312"/>
      <c r="K332" s="312"/>
      <c r="L332" s="312"/>
      <c r="M332" s="312"/>
      <c r="N332" s="312"/>
      <c r="O332" s="312"/>
      <c r="P332" s="312"/>
      <c r="Q332" s="312"/>
      <c r="R332" s="312"/>
      <c r="S332" s="312"/>
    </row>
    <row r="333" ht="12.75" spans="3:19">
      <c r="C333" s="312"/>
      <c r="D333" s="312"/>
      <c r="E333" s="312"/>
      <c r="F333" s="312"/>
      <c r="G333" s="312"/>
      <c r="H333" s="312"/>
      <c r="I333" s="312"/>
      <c r="J333" s="312"/>
      <c r="K333" s="312"/>
      <c r="L333" s="312"/>
      <c r="M333" s="312"/>
      <c r="N333" s="312"/>
      <c r="O333" s="312"/>
      <c r="P333" s="312"/>
      <c r="Q333" s="312"/>
      <c r="R333" s="312"/>
      <c r="S333" s="312"/>
    </row>
    <row r="334" ht="12.75" spans="3:19">
      <c r="C334" s="312"/>
      <c r="D334" s="312"/>
      <c r="E334" s="312"/>
      <c r="F334" s="312"/>
      <c r="G334" s="312"/>
      <c r="H334" s="312"/>
      <c r="I334" s="312"/>
      <c r="J334" s="312"/>
      <c r="K334" s="312"/>
      <c r="L334" s="312"/>
      <c r="M334" s="312"/>
      <c r="N334" s="312"/>
      <c r="O334" s="312"/>
      <c r="P334" s="312"/>
      <c r="Q334" s="312"/>
      <c r="R334" s="312"/>
      <c r="S334" s="312"/>
    </row>
    <row r="335" ht="12.75" spans="3:19">
      <c r="C335" s="312"/>
      <c r="D335" s="312"/>
      <c r="E335" s="312"/>
      <c r="F335" s="312"/>
      <c r="G335" s="312"/>
      <c r="H335" s="312"/>
      <c r="I335" s="312"/>
      <c r="J335" s="312"/>
      <c r="K335" s="312"/>
      <c r="L335" s="312"/>
      <c r="M335" s="312"/>
      <c r="N335" s="312"/>
      <c r="O335" s="312"/>
      <c r="P335" s="312"/>
      <c r="Q335" s="312"/>
      <c r="R335" s="312"/>
      <c r="S335" s="312"/>
    </row>
    <row r="336" ht="12.75" spans="3:19">
      <c r="C336" s="312"/>
      <c r="D336" s="312"/>
      <c r="E336" s="312"/>
      <c r="F336" s="312"/>
      <c r="G336" s="312"/>
      <c r="H336" s="312"/>
      <c r="I336" s="312"/>
      <c r="J336" s="312"/>
      <c r="K336" s="312"/>
      <c r="L336" s="312"/>
      <c r="M336" s="312"/>
      <c r="N336" s="312"/>
      <c r="O336" s="312"/>
      <c r="P336" s="312"/>
      <c r="Q336" s="312"/>
      <c r="R336" s="312"/>
      <c r="S336" s="312"/>
    </row>
    <row r="337" ht="12.75" spans="3:19">
      <c r="C337" s="312"/>
      <c r="D337" s="312"/>
      <c r="E337" s="312"/>
      <c r="F337" s="312"/>
      <c r="G337" s="312"/>
      <c r="H337" s="312"/>
      <c r="I337" s="312"/>
      <c r="J337" s="312"/>
      <c r="K337" s="312"/>
      <c r="L337" s="312"/>
      <c r="M337" s="312"/>
      <c r="N337" s="312"/>
      <c r="O337" s="312"/>
      <c r="P337" s="312"/>
      <c r="Q337" s="312"/>
      <c r="R337" s="312"/>
      <c r="S337" s="312"/>
    </row>
    <row r="338" ht="12.75" spans="3:19">
      <c r="C338" s="312"/>
      <c r="D338" s="312"/>
      <c r="E338" s="312"/>
      <c r="F338" s="312"/>
      <c r="G338" s="312"/>
      <c r="H338" s="312"/>
      <c r="I338" s="312"/>
      <c r="J338" s="312"/>
      <c r="K338" s="312"/>
      <c r="L338" s="312"/>
      <c r="M338" s="312"/>
      <c r="N338" s="312"/>
      <c r="O338" s="312"/>
      <c r="P338" s="312"/>
      <c r="Q338" s="312"/>
      <c r="R338" s="312"/>
      <c r="S338" s="312"/>
    </row>
    <row r="339" ht="12.75" spans="3:19">
      <c r="C339" s="312"/>
      <c r="D339" s="312"/>
      <c r="E339" s="312"/>
      <c r="F339" s="312"/>
      <c r="G339" s="312"/>
      <c r="H339" s="312"/>
      <c r="I339" s="312"/>
      <c r="J339" s="312"/>
      <c r="K339" s="312"/>
      <c r="L339" s="312"/>
      <c r="M339" s="312"/>
      <c r="N339" s="312"/>
      <c r="O339" s="312"/>
      <c r="P339" s="312"/>
      <c r="Q339" s="312"/>
      <c r="R339" s="312"/>
      <c r="S339" s="312"/>
    </row>
    <row r="340" ht="12.75" spans="3:19">
      <c r="C340" s="312"/>
      <c r="D340" s="312"/>
      <c r="E340" s="312"/>
      <c r="F340" s="312"/>
      <c r="G340" s="312"/>
      <c r="H340" s="312"/>
      <c r="I340" s="312"/>
      <c r="J340" s="312"/>
      <c r="K340" s="312"/>
      <c r="L340" s="312"/>
      <c r="M340" s="312"/>
      <c r="N340" s="312"/>
      <c r="O340" s="312"/>
      <c r="P340" s="312"/>
      <c r="Q340" s="312"/>
      <c r="R340" s="312"/>
      <c r="S340" s="312"/>
    </row>
    <row r="341" ht="12.75" spans="3:19">
      <c r="C341" s="312"/>
      <c r="D341" s="312"/>
      <c r="E341" s="312"/>
      <c r="F341" s="312"/>
      <c r="G341" s="312"/>
      <c r="H341" s="312"/>
      <c r="I341" s="312"/>
      <c r="J341" s="312"/>
      <c r="K341" s="312"/>
      <c r="L341" s="312"/>
      <c r="M341" s="312"/>
      <c r="N341" s="312"/>
      <c r="O341" s="312"/>
      <c r="P341" s="312"/>
      <c r="Q341" s="312"/>
      <c r="R341" s="312"/>
      <c r="S341" s="312"/>
    </row>
    <row r="342" ht="12.75" spans="3:19">
      <c r="C342" s="312"/>
      <c r="D342" s="312"/>
      <c r="E342" s="312"/>
      <c r="F342" s="312"/>
      <c r="G342" s="312"/>
      <c r="H342" s="312"/>
      <c r="I342" s="312"/>
      <c r="J342" s="312"/>
      <c r="K342" s="312"/>
      <c r="L342" s="312"/>
      <c r="M342" s="312"/>
      <c r="N342" s="312"/>
      <c r="O342" s="312"/>
      <c r="P342" s="312"/>
      <c r="Q342" s="312"/>
      <c r="R342" s="312"/>
      <c r="S342" s="312"/>
    </row>
    <row r="343" ht="12.75" spans="3:19">
      <c r="C343" s="312"/>
      <c r="D343" s="312"/>
      <c r="E343" s="312"/>
      <c r="F343" s="312"/>
      <c r="G343" s="312"/>
      <c r="H343" s="312"/>
      <c r="I343" s="312"/>
      <c r="J343" s="312"/>
      <c r="K343" s="312"/>
      <c r="L343" s="312"/>
      <c r="M343" s="312"/>
      <c r="N343" s="312"/>
      <c r="O343" s="312"/>
      <c r="P343" s="312"/>
      <c r="Q343" s="312"/>
      <c r="R343" s="312"/>
      <c r="S343" s="312"/>
    </row>
    <row r="344" ht="12.75" spans="3:19">
      <c r="C344" s="312"/>
      <c r="D344" s="312"/>
      <c r="E344" s="312"/>
      <c r="F344" s="312"/>
      <c r="G344" s="312"/>
      <c r="H344" s="312"/>
      <c r="I344" s="312"/>
      <c r="J344" s="312"/>
      <c r="K344" s="312"/>
      <c r="L344" s="312"/>
      <c r="M344" s="312"/>
      <c r="N344" s="312"/>
      <c r="O344" s="312"/>
      <c r="P344" s="312"/>
      <c r="Q344" s="312"/>
      <c r="R344" s="312"/>
      <c r="S344" s="312"/>
    </row>
    <row r="345" ht="12.75" spans="3:19">
      <c r="C345" s="312"/>
      <c r="D345" s="312"/>
      <c r="E345" s="312"/>
      <c r="F345" s="312"/>
      <c r="G345" s="312"/>
      <c r="H345" s="312"/>
      <c r="I345" s="312"/>
      <c r="J345" s="312"/>
      <c r="K345" s="312"/>
      <c r="L345" s="312"/>
      <c r="M345" s="312"/>
      <c r="N345" s="312"/>
      <c r="O345" s="312"/>
      <c r="P345" s="312"/>
      <c r="Q345" s="312"/>
      <c r="R345" s="312"/>
      <c r="S345" s="312"/>
    </row>
    <row r="346" ht="12.75" spans="3:19">
      <c r="C346" s="312"/>
      <c r="D346" s="312"/>
      <c r="E346" s="312"/>
      <c r="F346" s="312"/>
      <c r="G346" s="312"/>
      <c r="H346" s="312"/>
      <c r="I346" s="312"/>
      <c r="J346" s="312"/>
      <c r="K346" s="312"/>
      <c r="L346" s="312"/>
      <c r="M346" s="312"/>
      <c r="N346" s="312"/>
      <c r="O346" s="312"/>
      <c r="P346" s="312"/>
      <c r="Q346" s="312"/>
      <c r="R346" s="312"/>
      <c r="S346" s="312"/>
    </row>
    <row r="347" ht="12.75" spans="3:19">
      <c r="C347" s="312"/>
      <c r="D347" s="312"/>
      <c r="E347" s="312"/>
      <c r="F347" s="312"/>
      <c r="G347" s="312"/>
      <c r="H347" s="312"/>
      <c r="I347" s="312"/>
      <c r="J347" s="312"/>
      <c r="K347" s="312"/>
      <c r="L347" s="312"/>
      <c r="M347" s="312"/>
      <c r="N347" s="312"/>
      <c r="O347" s="312"/>
      <c r="P347" s="312"/>
      <c r="Q347" s="312"/>
      <c r="R347" s="312"/>
      <c r="S347" s="312"/>
    </row>
    <row r="348" ht="12.75" spans="3:19">
      <c r="C348" s="312"/>
      <c r="D348" s="312"/>
      <c r="E348" s="312"/>
      <c r="F348" s="312"/>
      <c r="G348" s="312"/>
      <c r="H348" s="312"/>
      <c r="I348" s="312"/>
      <c r="J348" s="312"/>
      <c r="K348" s="312"/>
      <c r="L348" s="312"/>
      <c r="M348" s="312"/>
      <c r="N348" s="312"/>
      <c r="O348" s="312"/>
      <c r="P348" s="312"/>
      <c r="Q348" s="312"/>
      <c r="R348" s="312"/>
      <c r="S348" s="312"/>
    </row>
    <row r="349" ht="12.75" spans="3:19">
      <c r="C349" s="312"/>
      <c r="D349" s="312"/>
      <c r="E349" s="312"/>
      <c r="F349" s="312"/>
      <c r="G349" s="312"/>
      <c r="H349" s="312"/>
      <c r="I349" s="312"/>
      <c r="J349" s="312"/>
      <c r="K349" s="312"/>
      <c r="L349" s="312"/>
      <c r="M349" s="312"/>
      <c r="N349" s="312"/>
      <c r="O349" s="312"/>
      <c r="P349" s="312"/>
      <c r="Q349" s="312"/>
      <c r="R349" s="312"/>
      <c r="S349" s="312"/>
    </row>
    <row r="350" ht="12.75" spans="3:19">
      <c r="C350" s="312"/>
      <c r="D350" s="312"/>
      <c r="E350" s="312"/>
      <c r="F350" s="312"/>
      <c r="G350" s="312"/>
      <c r="H350" s="312"/>
      <c r="I350" s="312"/>
      <c r="J350" s="312"/>
      <c r="K350" s="312"/>
      <c r="L350" s="312"/>
      <c r="M350" s="312"/>
      <c r="N350" s="312"/>
      <c r="O350" s="312"/>
      <c r="P350" s="312"/>
      <c r="Q350" s="312"/>
      <c r="R350" s="312"/>
      <c r="S350" s="312"/>
    </row>
    <row r="351" ht="12.75" spans="3:19">
      <c r="C351" s="312"/>
      <c r="D351" s="312"/>
      <c r="E351" s="312"/>
      <c r="F351" s="312"/>
      <c r="G351" s="312"/>
      <c r="H351" s="312"/>
      <c r="I351" s="312"/>
      <c r="J351" s="312"/>
      <c r="K351" s="312"/>
      <c r="L351" s="312"/>
      <c r="M351" s="312"/>
      <c r="N351" s="312"/>
      <c r="O351" s="312"/>
      <c r="P351" s="312"/>
      <c r="Q351" s="312"/>
      <c r="R351" s="312"/>
      <c r="S351" s="312"/>
    </row>
    <row r="352" ht="12.75" spans="3:19">
      <c r="C352" s="312"/>
      <c r="D352" s="312"/>
      <c r="E352" s="312"/>
      <c r="F352" s="312"/>
      <c r="G352" s="312"/>
      <c r="H352" s="312"/>
      <c r="I352" s="312"/>
      <c r="J352" s="312"/>
      <c r="K352" s="312"/>
      <c r="L352" s="312"/>
      <c r="M352" s="312"/>
      <c r="N352" s="312"/>
      <c r="O352" s="312"/>
      <c r="P352" s="312"/>
      <c r="Q352" s="312"/>
      <c r="R352" s="312"/>
      <c r="S352" s="312"/>
    </row>
    <row r="353" ht="12.75" spans="3:19">
      <c r="C353" s="312"/>
      <c r="D353" s="312"/>
      <c r="E353" s="312"/>
      <c r="F353" s="312"/>
      <c r="G353" s="312"/>
      <c r="H353" s="312"/>
      <c r="I353" s="312"/>
      <c r="J353" s="312"/>
      <c r="K353" s="312"/>
      <c r="L353" s="312"/>
      <c r="M353" s="312"/>
      <c r="N353" s="312"/>
      <c r="O353" s="312"/>
      <c r="P353" s="312"/>
      <c r="Q353" s="312"/>
      <c r="R353" s="312"/>
      <c r="S353" s="312"/>
    </row>
    <row r="354" ht="12.75" spans="3:19">
      <c r="C354" s="312"/>
      <c r="D354" s="312"/>
      <c r="E354" s="312"/>
      <c r="F354" s="312"/>
      <c r="G354" s="312"/>
      <c r="H354" s="312"/>
      <c r="I354" s="312"/>
      <c r="J354" s="312"/>
      <c r="K354" s="312"/>
      <c r="L354" s="312"/>
      <c r="M354" s="312"/>
      <c r="N354" s="312"/>
      <c r="O354" s="312"/>
      <c r="P354" s="312"/>
      <c r="Q354" s="312"/>
      <c r="R354" s="312"/>
      <c r="S354" s="312"/>
    </row>
    <row r="355" ht="12.75" spans="3:19">
      <c r="C355" s="312"/>
      <c r="D355" s="312"/>
      <c r="E355" s="312"/>
      <c r="F355" s="312"/>
      <c r="G355" s="312"/>
      <c r="H355" s="312"/>
      <c r="I355" s="312"/>
      <c r="J355" s="312"/>
      <c r="K355" s="312"/>
      <c r="L355" s="312"/>
      <c r="M355" s="312"/>
      <c r="N355" s="312"/>
      <c r="O355" s="312"/>
      <c r="P355" s="312"/>
      <c r="Q355" s="312"/>
      <c r="R355" s="312"/>
      <c r="S355" s="312"/>
    </row>
    <row r="356" ht="12.75" spans="3:19">
      <c r="C356" s="312"/>
      <c r="D356" s="312"/>
      <c r="E356" s="312"/>
      <c r="F356" s="312"/>
      <c r="G356" s="312"/>
      <c r="H356" s="312"/>
      <c r="I356" s="312"/>
      <c r="J356" s="312"/>
      <c r="K356" s="312"/>
      <c r="L356" s="312"/>
      <c r="M356" s="312"/>
      <c r="N356" s="312"/>
      <c r="O356" s="312"/>
      <c r="P356" s="312"/>
      <c r="Q356" s="312"/>
      <c r="R356" s="312"/>
      <c r="S356" s="312"/>
    </row>
    <row r="357" ht="12.75" spans="3:19">
      <c r="C357" s="312"/>
      <c r="D357" s="312"/>
      <c r="E357" s="312"/>
      <c r="F357" s="312"/>
      <c r="G357" s="312"/>
      <c r="H357" s="312"/>
      <c r="I357" s="312"/>
      <c r="J357" s="312"/>
      <c r="K357" s="312"/>
      <c r="L357" s="312"/>
      <c r="M357" s="312"/>
      <c r="N357" s="312"/>
      <c r="O357" s="312"/>
      <c r="P357" s="312"/>
      <c r="Q357" s="312"/>
      <c r="R357" s="312"/>
      <c r="S357" s="312"/>
    </row>
    <row r="358" ht="12.75" spans="3:19">
      <c r="C358" s="312"/>
      <c r="D358" s="312"/>
      <c r="E358" s="312"/>
      <c r="F358" s="312"/>
      <c r="G358" s="312"/>
      <c r="H358" s="312"/>
      <c r="I358" s="312"/>
      <c r="J358" s="312"/>
      <c r="K358" s="312"/>
      <c r="L358" s="312"/>
      <c r="M358" s="312"/>
      <c r="N358" s="312"/>
      <c r="O358" s="312"/>
      <c r="P358" s="312"/>
      <c r="Q358" s="312"/>
      <c r="R358" s="312"/>
      <c r="S358" s="312"/>
    </row>
    <row r="359" ht="12.75" spans="3:19">
      <c r="C359" s="312"/>
      <c r="D359" s="312"/>
      <c r="E359" s="312"/>
      <c r="F359" s="312"/>
      <c r="G359" s="312"/>
      <c r="H359" s="312"/>
      <c r="I359" s="312"/>
      <c r="J359" s="312"/>
      <c r="K359" s="312"/>
      <c r="L359" s="312"/>
      <c r="M359" s="312"/>
      <c r="N359" s="312"/>
      <c r="O359" s="312"/>
      <c r="P359" s="312"/>
      <c r="Q359" s="312"/>
      <c r="R359" s="312"/>
      <c r="S359" s="312"/>
    </row>
    <row r="360" ht="12.75" spans="3:19">
      <c r="C360" s="312"/>
      <c r="D360" s="312"/>
      <c r="E360" s="312"/>
      <c r="F360" s="312"/>
      <c r="G360" s="312"/>
      <c r="H360" s="312"/>
      <c r="I360" s="312"/>
      <c r="J360" s="312"/>
      <c r="K360" s="312"/>
      <c r="L360" s="312"/>
      <c r="M360" s="312"/>
      <c r="N360" s="312"/>
      <c r="O360" s="312"/>
      <c r="P360" s="312"/>
      <c r="Q360" s="312"/>
      <c r="R360" s="312"/>
      <c r="S360" s="312"/>
    </row>
    <row r="361" ht="12.75" spans="3:19">
      <c r="C361" s="312"/>
      <c r="D361" s="312"/>
      <c r="E361" s="312"/>
      <c r="F361" s="312"/>
      <c r="G361" s="312"/>
      <c r="H361" s="312"/>
      <c r="I361" s="312"/>
      <c r="J361" s="312"/>
      <c r="K361" s="312"/>
      <c r="L361" s="312"/>
      <c r="M361" s="312"/>
      <c r="N361" s="312"/>
      <c r="O361" s="312"/>
      <c r="P361" s="312"/>
      <c r="Q361" s="312"/>
      <c r="R361" s="312"/>
      <c r="S361" s="312"/>
    </row>
    <row r="362" ht="12.75" spans="3:19">
      <c r="C362" s="312"/>
      <c r="D362" s="312"/>
      <c r="E362" s="312"/>
      <c r="F362" s="312"/>
      <c r="G362" s="312"/>
      <c r="H362" s="312"/>
      <c r="I362" s="312"/>
      <c r="J362" s="312"/>
      <c r="K362" s="312"/>
      <c r="L362" s="312"/>
      <c r="M362" s="312"/>
      <c r="N362" s="312"/>
      <c r="O362" s="312"/>
      <c r="P362" s="312"/>
      <c r="Q362" s="312"/>
      <c r="R362" s="312"/>
      <c r="S362" s="312"/>
    </row>
    <row r="363" ht="12.75" spans="3:19">
      <c r="C363" s="312"/>
      <c r="D363" s="312"/>
      <c r="E363" s="312"/>
      <c r="F363" s="312"/>
      <c r="G363" s="312"/>
      <c r="H363" s="312"/>
      <c r="I363" s="312"/>
      <c r="J363" s="312"/>
      <c r="K363" s="312"/>
      <c r="L363" s="312"/>
      <c r="M363" s="312"/>
      <c r="N363" s="312"/>
      <c r="O363" s="312"/>
      <c r="P363" s="312"/>
      <c r="Q363" s="312"/>
      <c r="R363" s="312"/>
      <c r="S363" s="312"/>
    </row>
    <row r="364" ht="12.75" spans="3:19">
      <c r="C364" s="312"/>
      <c r="D364" s="312"/>
      <c r="E364" s="312"/>
      <c r="F364" s="312"/>
      <c r="G364" s="312"/>
      <c r="H364" s="312"/>
      <c r="I364" s="312"/>
      <c r="J364" s="312"/>
      <c r="K364" s="312"/>
      <c r="L364" s="312"/>
      <c r="M364" s="312"/>
      <c r="N364" s="312"/>
      <c r="O364" s="312"/>
      <c r="P364" s="312"/>
      <c r="Q364" s="312"/>
      <c r="R364" s="312"/>
      <c r="S364" s="312"/>
    </row>
    <row r="365" ht="12.75" spans="3:19">
      <c r="C365" s="312"/>
      <c r="D365" s="312"/>
      <c r="E365" s="312"/>
      <c r="F365" s="312"/>
      <c r="G365" s="312"/>
      <c r="H365" s="312"/>
      <c r="I365" s="312"/>
      <c r="J365" s="312"/>
      <c r="K365" s="312"/>
      <c r="L365" s="312"/>
      <c r="M365" s="312"/>
      <c r="N365" s="312"/>
      <c r="O365" s="312"/>
      <c r="P365" s="312"/>
      <c r="Q365" s="312"/>
      <c r="R365" s="312"/>
      <c r="S365" s="312"/>
    </row>
    <row r="366" ht="12.75" spans="3:19">
      <c r="C366" s="312"/>
      <c r="D366" s="312"/>
      <c r="E366" s="312"/>
      <c r="F366" s="312"/>
      <c r="G366" s="312"/>
      <c r="H366" s="312"/>
      <c r="I366" s="312"/>
      <c r="J366" s="312"/>
      <c r="K366" s="312"/>
      <c r="L366" s="312"/>
      <c r="M366" s="312"/>
      <c r="N366" s="312"/>
      <c r="O366" s="312"/>
      <c r="P366" s="312"/>
      <c r="Q366" s="312"/>
      <c r="R366" s="312"/>
      <c r="S366" s="312"/>
    </row>
    <row r="367" ht="12.75" spans="3:19">
      <c r="C367" s="312"/>
      <c r="D367" s="312"/>
      <c r="E367" s="312"/>
      <c r="F367" s="312"/>
      <c r="G367" s="312"/>
      <c r="H367" s="312"/>
      <c r="I367" s="312"/>
      <c r="J367" s="312"/>
      <c r="K367" s="312"/>
      <c r="L367" s="312"/>
      <c r="M367" s="312"/>
      <c r="N367" s="312"/>
      <c r="O367" s="312"/>
      <c r="P367" s="312"/>
      <c r="Q367" s="312"/>
      <c r="R367" s="312"/>
      <c r="S367" s="312"/>
    </row>
    <row r="368" ht="12.75" spans="3:19">
      <c r="C368" s="312"/>
      <c r="D368" s="312"/>
      <c r="E368" s="312"/>
      <c r="F368" s="312"/>
      <c r="G368" s="312"/>
      <c r="H368" s="312"/>
      <c r="I368" s="312"/>
      <c r="J368" s="312"/>
      <c r="K368" s="312"/>
      <c r="L368" s="312"/>
      <c r="M368" s="312"/>
      <c r="N368" s="312"/>
      <c r="O368" s="312"/>
      <c r="P368" s="312"/>
      <c r="Q368" s="312"/>
      <c r="R368" s="312"/>
      <c r="S368" s="312"/>
    </row>
    <row r="369" ht="12.75" spans="3:19">
      <c r="C369" s="312"/>
      <c r="D369" s="312"/>
      <c r="E369" s="312"/>
      <c r="F369" s="312"/>
      <c r="G369" s="312"/>
      <c r="H369" s="312"/>
      <c r="I369" s="312"/>
      <c r="J369" s="312"/>
      <c r="K369" s="312"/>
      <c r="L369" s="312"/>
      <c r="M369" s="312"/>
      <c r="N369" s="312"/>
      <c r="O369" s="312"/>
      <c r="P369" s="312"/>
      <c r="Q369" s="312"/>
      <c r="R369" s="312"/>
      <c r="S369" s="312"/>
    </row>
    <row r="370" ht="12.75" spans="3:19">
      <c r="C370" s="312"/>
      <c r="D370" s="312"/>
      <c r="E370" s="312"/>
      <c r="F370" s="312"/>
      <c r="G370" s="312"/>
      <c r="H370" s="312"/>
      <c r="I370" s="312"/>
      <c r="J370" s="312"/>
      <c r="K370" s="312"/>
      <c r="L370" s="312"/>
      <c r="M370" s="312"/>
      <c r="N370" s="312"/>
      <c r="O370" s="312"/>
      <c r="P370" s="312"/>
      <c r="Q370" s="312"/>
      <c r="R370" s="312"/>
      <c r="S370" s="312"/>
    </row>
    <row r="371" ht="12.75" spans="3:19">
      <c r="C371" s="312"/>
      <c r="D371" s="312"/>
      <c r="E371" s="312"/>
      <c r="F371" s="312"/>
      <c r="G371" s="312"/>
      <c r="H371" s="312"/>
      <c r="I371" s="312"/>
      <c r="J371" s="312"/>
      <c r="K371" s="312"/>
      <c r="L371" s="312"/>
      <c r="M371" s="312"/>
      <c r="N371" s="312"/>
      <c r="O371" s="312"/>
      <c r="P371" s="312"/>
      <c r="Q371" s="312"/>
      <c r="R371" s="312"/>
      <c r="S371" s="312"/>
    </row>
    <row r="372" ht="12.75" spans="3:19">
      <c r="C372" s="312"/>
      <c r="D372" s="312"/>
      <c r="E372" s="312"/>
      <c r="F372" s="312"/>
      <c r="G372" s="312"/>
      <c r="H372" s="312"/>
      <c r="I372" s="312"/>
      <c r="J372" s="312"/>
      <c r="K372" s="312"/>
      <c r="L372" s="312"/>
      <c r="M372" s="312"/>
      <c r="N372" s="312"/>
      <c r="O372" s="312"/>
      <c r="P372" s="312"/>
      <c r="Q372" s="312"/>
      <c r="R372" s="312"/>
      <c r="S372" s="312"/>
    </row>
    <row r="373" ht="12.75" spans="3:19">
      <c r="C373" s="312"/>
      <c r="D373" s="312"/>
      <c r="E373" s="312"/>
      <c r="F373" s="312"/>
      <c r="G373" s="312"/>
      <c r="H373" s="312"/>
      <c r="I373" s="312"/>
      <c r="J373" s="312"/>
      <c r="K373" s="312"/>
      <c r="L373" s="312"/>
      <c r="M373" s="312"/>
      <c r="N373" s="312"/>
      <c r="O373" s="312"/>
      <c r="P373" s="312"/>
      <c r="Q373" s="312"/>
      <c r="R373" s="312"/>
      <c r="S373" s="312"/>
    </row>
    <row r="374" ht="12.75" spans="3:19">
      <c r="C374" s="312"/>
      <c r="D374" s="312"/>
      <c r="E374" s="312"/>
      <c r="F374" s="312"/>
      <c r="G374" s="312"/>
      <c r="H374" s="312"/>
      <c r="I374" s="312"/>
      <c r="J374" s="312"/>
      <c r="K374" s="312"/>
      <c r="L374" s="312"/>
      <c r="M374" s="312"/>
      <c r="N374" s="312"/>
      <c r="O374" s="312"/>
      <c r="P374" s="312"/>
      <c r="Q374" s="312"/>
      <c r="R374" s="312"/>
      <c r="S374" s="312"/>
    </row>
    <row r="375" ht="12.75" spans="3:19">
      <c r="C375" s="312"/>
      <c r="D375" s="312"/>
      <c r="E375" s="312"/>
      <c r="F375" s="312"/>
      <c r="G375" s="312"/>
      <c r="H375" s="312"/>
      <c r="I375" s="312"/>
      <c r="J375" s="312"/>
      <c r="K375" s="312"/>
      <c r="L375" s="312"/>
      <c r="M375" s="312"/>
      <c r="N375" s="312"/>
      <c r="O375" s="312"/>
      <c r="P375" s="312"/>
      <c r="Q375" s="312"/>
      <c r="R375" s="312"/>
      <c r="S375" s="312"/>
    </row>
    <row r="376" ht="12.75" spans="3:19">
      <c r="C376" s="312"/>
      <c r="D376" s="312"/>
      <c r="E376" s="312"/>
      <c r="F376" s="312"/>
      <c r="G376" s="312"/>
      <c r="H376" s="312"/>
      <c r="I376" s="312"/>
      <c r="J376" s="312"/>
      <c r="K376" s="312"/>
      <c r="L376" s="312"/>
      <c r="M376" s="312"/>
      <c r="N376" s="312"/>
      <c r="O376" s="312"/>
      <c r="P376" s="312"/>
      <c r="Q376" s="312"/>
      <c r="R376" s="312"/>
      <c r="S376" s="312"/>
    </row>
    <row r="377" ht="12.75" spans="3:19">
      <c r="C377" s="312"/>
      <c r="D377" s="312"/>
      <c r="E377" s="312"/>
      <c r="F377" s="312"/>
      <c r="G377" s="312"/>
      <c r="H377" s="312"/>
      <c r="I377" s="312"/>
      <c r="J377" s="312"/>
      <c r="K377" s="312"/>
      <c r="L377" s="312"/>
      <c r="M377" s="312"/>
      <c r="N377" s="312"/>
      <c r="O377" s="312"/>
      <c r="P377" s="312"/>
      <c r="Q377" s="312"/>
      <c r="R377" s="312"/>
      <c r="S377" s="312"/>
    </row>
    <row r="378" ht="12.75" spans="3:19">
      <c r="C378" s="312"/>
      <c r="D378" s="312"/>
      <c r="E378" s="312"/>
      <c r="F378" s="312"/>
      <c r="G378" s="312"/>
      <c r="H378" s="312"/>
      <c r="I378" s="312"/>
      <c r="J378" s="312"/>
      <c r="K378" s="312"/>
      <c r="L378" s="312"/>
      <c r="M378" s="312"/>
      <c r="N378" s="312"/>
      <c r="O378" s="312"/>
      <c r="P378" s="312"/>
      <c r="Q378" s="312"/>
      <c r="R378" s="312"/>
      <c r="S378" s="312"/>
    </row>
    <row r="379" ht="12.75" spans="3:19">
      <c r="C379" s="312"/>
      <c r="D379" s="312"/>
      <c r="E379" s="312"/>
      <c r="F379" s="312"/>
      <c r="G379" s="312"/>
      <c r="H379" s="312"/>
      <c r="I379" s="312"/>
      <c r="J379" s="312"/>
      <c r="K379" s="312"/>
      <c r="L379" s="312"/>
      <c r="M379" s="312"/>
      <c r="N379" s="312"/>
      <c r="O379" s="312"/>
      <c r="P379" s="312"/>
      <c r="Q379" s="312"/>
      <c r="R379" s="312"/>
      <c r="S379" s="312"/>
    </row>
    <row r="380" ht="12.75" spans="3:19">
      <c r="C380" s="312"/>
      <c r="D380" s="312"/>
      <c r="E380" s="312"/>
      <c r="F380" s="312"/>
      <c r="G380" s="312"/>
      <c r="H380" s="312"/>
      <c r="I380" s="312"/>
      <c r="J380" s="312"/>
      <c r="K380" s="312"/>
      <c r="L380" s="312"/>
      <c r="M380" s="312"/>
      <c r="N380" s="312"/>
      <c r="O380" s="312"/>
      <c r="P380" s="312"/>
      <c r="Q380" s="312"/>
      <c r="R380" s="312"/>
      <c r="S380" s="312"/>
    </row>
    <row r="381" ht="12.75" spans="3:19">
      <c r="C381" s="312"/>
      <c r="D381" s="312"/>
      <c r="E381" s="312"/>
      <c r="F381" s="312"/>
      <c r="G381" s="312"/>
      <c r="H381" s="312"/>
      <c r="I381" s="312"/>
      <c r="J381" s="312"/>
      <c r="K381" s="312"/>
      <c r="L381" s="312"/>
      <c r="M381" s="312"/>
      <c r="N381" s="312"/>
      <c r="O381" s="312"/>
      <c r="P381" s="312"/>
      <c r="Q381" s="312"/>
      <c r="R381" s="312"/>
      <c r="S381" s="312"/>
    </row>
    <row r="382" ht="12.75" spans="3:19">
      <c r="C382" s="312"/>
      <c r="D382" s="312"/>
      <c r="E382" s="312"/>
      <c r="F382" s="312"/>
      <c r="G382" s="312"/>
      <c r="H382" s="312"/>
      <c r="I382" s="312"/>
      <c r="J382" s="312"/>
      <c r="K382" s="312"/>
      <c r="L382" s="312"/>
      <c r="M382" s="312"/>
      <c r="N382" s="312"/>
      <c r="O382" s="312"/>
      <c r="P382" s="312"/>
      <c r="Q382" s="312"/>
      <c r="R382" s="312"/>
      <c r="S382" s="312"/>
    </row>
    <row r="383" ht="12.75" spans="3:19">
      <c r="C383" s="312"/>
      <c r="D383" s="312"/>
      <c r="E383" s="312"/>
      <c r="F383" s="312"/>
      <c r="G383" s="312"/>
      <c r="H383" s="312"/>
      <c r="I383" s="312"/>
      <c r="J383" s="312"/>
      <c r="K383" s="312"/>
      <c r="L383" s="312"/>
      <c r="M383" s="312"/>
      <c r="N383" s="312"/>
      <c r="O383" s="312"/>
      <c r="P383" s="312"/>
      <c r="Q383" s="312"/>
      <c r="R383" s="312"/>
      <c r="S383" s="312"/>
    </row>
    <row r="384" ht="12.75" spans="3:19">
      <c r="C384" s="312"/>
      <c r="D384" s="312"/>
      <c r="E384" s="312"/>
      <c r="F384" s="312"/>
      <c r="G384" s="312"/>
      <c r="H384" s="312"/>
      <c r="I384" s="312"/>
      <c r="J384" s="312"/>
      <c r="K384" s="312"/>
      <c r="L384" s="312"/>
      <c r="M384" s="312"/>
      <c r="N384" s="312"/>
      <c r="O384" s="312"/>
      <c r="P384" s="312"/>
      <c r="Q384" s="312"/>
      <c r="R384" s="312"/>
      <c r="S384" s="312"/>
    </row>
    <row r="385" ht="12.75" spans="3:19">
      <c r="C385" s="312"/>
      <c r="D385" s="312"/>
      <c r="E385" s="312"/>
      <c r="F385" s="312"/>
      <c r="G385" s="312"/>
      <c r="H385" s="312"/>
      <c r="I385" s="312"/>
      <c r="J385" s="312"/>
      <c r="K385" s="312"/>
      <c r="L385" s="312"/>
      <c r="M385" s="312"/>
      <c r="N385" s="312"/>
      <c r="O385" s="312"/>
      <c r="P385" s="312"/>
      <c r="Q385" s="312"/>
      <c r="R385" s="312"/>
      <c r="S385" s="312"/>
    </row>
    <row r="386" ht="12.75" spans="3:19">
      <c r="C386" s="312"/>
      <c r="D386" s="312"/>
      <c r="E386" s="312"/>
      <c r="F386" s="312"/>
      <c r="G386" s="312"/>
      <c r="H386" s="312"/>
      <c r="I386" s="312"/>
      <c r="J386" s="312"/>
      <c r="K386" s="312"/>
      <c r="L386" s="312"/>
      <c r="M386" s="312"/>
      <c r="N386" s="312"/>
      <c r="O386" s="312"/>
      <c r="P386" s="312"/>
      <c r="Q386" s="312"/>
      <c r="R386" s="312"/>
      <c r="S386" s="312"/>
    </row>
    <row r="387" ht="12.75" spans="3:19">
      <c r="C387" s="312"/>
      <c r="D387" s="312"/>
      <c r="E387" s="312"/>
      <c r="F387" s="312"/>
      <c r="G387" s="312"/>
      <c r="H387" s="312"/>
      <c r="I387" s="312"/>
      <c r="J387" s="312"/>
      <c r="K387" s="312"/>
      <c r="L387" s="312"/>
      <c r="M387" s="312"/>
      <c r="N387" s="312"/>
      <c r="O387" s="312"/>
      <c r="P387" s="312"/>
      <c r="Q387" s="312"/>
      <c r="R387" s="312"/>
      <c r="S387" s="312"/>
    </row>
    <row r="388" ht="12.75" spans="3:19">
      <c r="C388" s="312"/>
      <c r="D388" s="312"/>
      <c r="E388" s="312"/>
      <c r="F388" s="312"/>
      <c r="G388" s="312"/>
      <c r="H388" s="312"/>
      <c r="I388" s="312"/>
      <c r="J388" s="312"/>
      <c r="K388" s="312"/>
      <c r="L388" s="312"/>
      <c r="M388" s="312"/>
      <c r="N388" s="312"/>
      <c r="O388" s="312"/>
      <c r="P388" s="312"/>
      <c r="Q388" s="312"/>
      <c r="R388" s="312"/>
      <c r="S388" s="312"/>
    </row>
    <row r="389" ht="12.75" spans="3:19">
      <c r="C389" s="312"/>
      <c r="D389" s="312"/>
      <c r="E389" s="312"/>
      <c r="F389" s="312"/>
      <c r="G389" s="312"/>
      <c r="H389" s="312"/>
      <c r="I389" s="312"/>
      <c r="J389" s="312"/>
      <c r="K389" s="312"/>
      <c r="L389" s="312"/>
      <c r="M389" s="312"/>
      <c r="N389" s="312"/>
      <c r="O389" s="312"/>
      <c r="P389" s="312"/>
      <c r="Q389" s="312"/>
      <c r="R389" s="312"/>
      <c r="S389" s="312"/>
    </row>
    <row r="390" ht="12.75" spans="3:19">
      <c r="C390" s="312"/>
      <c r="D390" s="312"/>
      <c r="E390" s="312"/>
      <c r="F390" s="312"/>
      <c r="G390" s="312"/>
      <c r="H390" s="312"/>
      <c r="I390" s="312"/>
      <c r="J390" s="312"/>
      <c r="K390" s="312"/>
      <c r="L390" s="312"/>
      <c r="M390" s="312"/>
      <c r="N390" s="312"/>
      <c r="O390" s="312"/>
      <c r="P390" s="312"/>
      <c r="Q390" s="312"/>
      <c r="R390" s="312"/>
      <c r="S390" s="312"/>
    </row>
    <row r="391" ht="12.75" spans="3:19">
      <c r="C391" s="312"/>
      <c r="D391" s="312"/>
      <c r="E391" s="312"/>
      <c r="F391" s="312"/>
      <c r="G391" s="312"/>
      <c r="H391" s="312"/>
      <c r="I391" s="312"/>
      <c r="J391" s="312"/>
      <c r="K391" s="312"/>
      <c r="L391" s="312"/>
      <c r="M391" s="312"/>
      <c r="N391" s="312"/>
      <c r="O391" s="312"/>
      <c r="P391" s="312"/>
      <c r="Q391" s="312"/>
      <c r="R391" s="312"/>
      <c r="S391" s="312"/>
    </row>
    <row r="392" ht="12.75" spans="3:19">
      <c r="C392" s="312"/>
      <c r="D392" s="312"/>
      <c r="E392" s="312"/>
      <c r="F392" s="312"/>
      <c r="G392" s="312"/>
      <c r="H392" s="312"/>
      <c r="I392" s="312"/>
      <c r="J392" s="312"/>
      <c r="K392" s="312"/>
      <c r="L392" s="312"/>
      <c r="M392" s="312"/>
      <c r="N392" s="312"/>
      <c r="O392" s="312"/>
      <c r="P392" s="312"/>
      <c r="Q392" s="312"/>
      <c r="R392" s="312"/>
      <c r="S392" s="312"/>
    </row>
    <row r="393" ht="12.75" spans="3:19">
      <c r="C393" s="312"/>
      <c r="D393" s="312"/>
      <c r="E393" s="312"/>
      <c r="F393" s="312"/>
      <c r="G393" s="312"/>
      <c r="H393" s="312"/>
      <c r="I393" s="312"/>
      <c r="J393" s="312"/>
      <c r="K393" s="312"/>
      <c r="L393" s="312"/>
      <c r="M393" s="312"/>
      <c r="N393" s="312"/>
      <c r="O393" s="312"/>
      <c r="P393" s="312"/>
      <c r="Q393" s="312"/>
      <c r="R393" s="312"/>
      <c r="S393" s="312"/>
    </row>
    <row r="394" ht="12.75" spans="3:19">
      <c r="C394" s="312"/>
      <c r="D394" s="312"/>
      <c r="E394" s="312"/>
      <c r="F394" s="312"/>
      <c r="G394" s="312"/>
      <c r="H394" s="312"/>
      <c r="I394" s="312"/>
      <c r="J394" s="312"/>
      <c r="K394" s="312"/>
      <c r="L394" s="312"/>
      <c r="M394" s="312"/>
      <c r="N394" s="312"/>
      <c r="O394" s="312"/>
      <c r="P394" s="312"/>
      <c r="Q394" s="312"/>
      <c r="R394" s="312"/>
      <c r="S394" s="312"/>
    </row>
    <row r="395" ht="12.75" spans="3:19">
      <c r="C395" s="312"/>
      <c r="D395" s="312"/>
      <c r="E395" s="312"/>
      <c r="F395" s="312"/>
      <c r="G395" s="312"/>
      <c r="H395" s="312"/>
      <c r="I395" s="312"/>
      <c r="J395" s="312"/>
      <c r="K395" s="312"/>
      <c r="L395" s="312"/>
      <c r="M395" s="312"/>
      <c r="N395" s="312"/>
      <c r="O395" s="312"/>
      <c r="P395" s="312"/>
      <c r="Q395" s="312"/>
      <c r="R395" s="312"/>
      <c r="S395" s="312"/>
    </row>
    <row r="396" ht="12.75" spans="3:19">
      <c r="C396" s="312"/>
      <c r="D396" s="312"/>
      <c r="E396" s="312"/>
      <c r="F396" s="312"/>
      <c r="G396" s="312"/>
      <c r="H396" s="312"/>
      <c r="I396" s="312"/>
      <c r="J396" s="312"/>
      <c r="K396" s="312"/>
      <c r="L396" s="312"/>
      <c r="M396" s="312"/>
      <c r="N396" s="312"/>
      <c r="O396" s="312"/>
      <c r="P396" s="312"/>
      <c r="Q396" s="312"/>
      <c r="R396" s="312"/>
      <c r="S396" s="312"/>
    </row>
    <row r="397" ht="12.75" spans="3:19">
      <c r="C397" s="312"/>
      <c r="D397" s="312"/>
      <c r="E397" s="312"/>
      <c r="F397" s="312"/>
      <c r="G397" s="312"/>
      <c r="H397" s="312"/>
      <c r="I397" s="312"/>
      <c r="J397" s="312"/>
      <c r="K397" s="312"/>
      <c r="L397" s="312"/>
      <c r="M397" s="312"/>
      <c r="N397" s="312"/>
      <c r="O397" s="312"/>
      <c r="P397" s="312"/>
      <c r="Q397" s="312"/>
      <c r="R397" s="312"/>
      <c r="S397" s="312"/>
    </row>
    <row r="398" ht="12.75" spans="3:19">
      <c r="C398" s="312"/>
      <c r="D398" s="312"/>
      <c r="E398" s="312"/>
      <c r="F398" s="312"/>
      <c r="G398" s="312"/>
      <c r="H398" s="312"/>
      <c r="I398" s="312"/>
      <c r="J398" s="312"/>
      <c r="K398" s="312"/>
      <c r="L398" s="312"/>
      <c r="M398" s="312"/>
      <c r="N398" s="312"/>
      <c r="O398" s="312"/>
      <c r="P398" s="312"/>
      <c r="Q398" s="312"/>
      <c r="R398" s="312"/>
      <c r="S398" s="312"/>
    </row>
    <row r="399" ht="12.75" spans="3:19">
      <c r="C399" s="312"/>
      <c r="D399" s="312"/>
      <c r="E399" s="312"/>
      <c r="F399" s="312"/>
      <c r="G399" s="312"/>
      <c r="H399" s="312"/>
      <c r="I399" s="312"/>
      <c r="J399" s="312"/>
      <c r="K399" s="312"/>
      <c r="L399" s="312"/>
      <c r="M399" s="312"/>
      <c r="N399" s="312"/>
      <c r="O399" s="312"/>
      <c r="P399" s="312"/>
      <c r="Q399" s="312"/>
      <c r="R399" s="312"/>
      <c r="S399" s="312"/>
    </row>
    <row r="400" ht="12.75" spans="3:19">
      <c r="C400" s="312"/>
      <c r="D400" s="312"/>
      <c r="E400" s="312"/>
      <c r="F400" s="312"/>
      <c r="G400" s="312"/>
      <c r="H400" s="312"/>
      <c r="I400" s="312"/>
      <c r="J400" s="312"/>
      <c r="K400" s="312"/>
      <c r="L400" s="312"/>
      <c r="M400" s="312"/>
      <c r="N400" s="312"/>
      <c r="O400" s="312"/>
      <c r="P400" s="312"/>
      <c r="Q400" s="312"/>
      <c r="R400" s="312"/>
      <c r="S400" s="312"/>
    </row>
    <row r="401" ht="12.75" spans="3:19">
      <c r="C401" s="312"/>
      <c r="D401" s="312"/>
      <c r="E401" s="312"/>
      <c r="F401" s="312"/>
      <c r="G401" s="312"/>
      <c r="H401" s="312"/>
      <c r="I401" s="312"/>
      <c r="J401" s="312"/>
      <c r="K401" s="312"/>
      <c r="L401" s="312"/>
      <c r="M401" s="312"/>
      <c r="N401" s="312"/>
      <c r="O401" s="312"/>
      <c r="P401" s="312"/>
      <c r="Q401" s="312"/>
      <c r="R401" s="312"/>
      <c r="S401" s="312"/>
    </row>
    <row r="402" ht="12.75" spans="3:19">
      <c r="C402" s="312"/>
      <c r="D402" s="312"/>
      <c r="E402" s="312"/>
      <c r="F402" s="312"/>
      <c r="G402" s="312"/>
      <c r="H402" s="312"/>
      <c r="I402" s="312"/>
      <c r="J402" s="312"/>
      <c r="K402" s="312"/>
      <c r="L402" s="312"/>
      <c r="M402" s="312"/>
      <c r="N402" s="312"/>
      <c r="O402" s="312"/>
      <c r="P402" s="312"/>
      <c r="Q402" s="312"/>
      <c r="R402" s="312"/>
      <c r="S402" s="312"/>
    </row>
    <row r="403" ht="12.75" spans="3:19">
      <c r="C403" s="312"/>
      <c r="D403" s="312"/>
      <c r="E403" s="312"/>
      <c r="F403" s="312"/>
      <c r="G403" s="312"/>
      <c r="H403" s="312"/>
      <c r="I403" s="312"/>
      <c r="J403" s="312"/>
      <c r="K403" s="312"/>
      <c r="L403" s="312"/>
      <c r="M403" s="312"/>
      <c r="N403" s="312"/>
      <c r="O403" s="312"/>
      <c r="P403" s="312"/>
      <c r="Q403" s="312"/>
      <c r="R403" s="312"/>
      <c r="S403" s="312"/>
    </row>
    <row r="404" ht="12.75" spans="3:19">
      <c r="C404" s="312"/>
      <c r="D404" s="312"/>
      <c r="E404" s="312"/>
      <c r="F404" s="312"/>
      <c r="G404" s="312"/>
      <c r="H404" s="312"/>
      <c r="I404" s="312"/>
      <c r="J404" s="312"/>
      <c r="K404" s="312"/>
      <c r="L404" s="312"/>
      <c r="M404" s="312"/>
      <c r="N404" s="312"/>
      <c r="O404" s="312"/>
      <c r="P404" s="312"/>
      <c r="Q404" s="312"/>
      <c r="R404" s="312"/>
      <c r="S404" s="312"/>
    </row>
    <row r="405" ht="12.75" spans="3:19">
      <c r="C405" s="312"/>
      <c r="D405" s="312"/>
      <c r="E405" s="312"/>
      <c r="F405" s="312"/>
      <c r="G405" s="312"/>
      <c r="H405" s="312"/>
      <c r="I405" s="312"/>
      <c r="J405" s="312"/>
      <c r="K405" s="312"/>
      <c r="L405" s="312"/>
      <c r="M405" s="312"/>
      <c r="N405" s="312"/>
      <c r="O405" s="312"/>
      <c r="P405" s="312"/>
      <c r="Q405" s="312"/>
      <c r="R405" s="312"/>
      <c r="S405" s="312"/>
    </row>
    <row r="406" ht="12.75" spans="3:19">
      <c r="C406" s="312"/>
      <c r="D406" s="312"/>
      <c r="E406" s="312"/>
      <c r="F406" s="312"/>
      <c r="G406" s="312"/>
      <c r="H406" s="312"/>
      <c r="I406" s="312"/>
      <c r="J406" s="312"/>
      <c r="K406" s="312"/>
      <c r="L406" s="312"/>
      <c r="M406" s="312"/>
      <c r="N406" s="312"/>
      <c r="O406" s="312"/>
      <c r="P406" s="312"/>
      <c r="Q406" s="312"/>
      <c r="R406" s="312"/>
      <c r="S406" s="312"/>
    </row>
    <row r="407" ht="12.75" spans="3:19">
      <c r="C407" s="312"/>
      <c r="D407" s="312"/>
      <c r="E407" s="312"/>
      <c r="F407" s="312"/>
      <c r="G407" s="312"/>
      <c r="H407" s="312"/>
      <c r="I407" s="312"/>
      <c r="J407" s="312"/>
      <c r="K407" s="312"/>
      <c r="L407" s="312"/>
      <c r="M407" s="312"/>
      <c r="N407" s="312"/>
      <c r="O407" s="312"/>
      <c r="P407" s="312"/>
      <c r="Q407" s="312"/>
      <c r="R407" s="312"/>
      <c r="S407" s="312"/>
    </row>
    <row r="408" ht="12.75" spans="3:19">
      <c r="C408" s="312"/>
      <c r="D408" s="312"/>
      <c r="E408" s="312"/>
      <c r="F408" s="312"/>
      <c r="G408" s="312"/>
      <c r="H408" s="312"/>
      <c r="I408" s="312"/>
      <c r="J408" s="312"/>
      <c r="K408" s="312"/>
      <c r="L408" s="312"/>
      <c r="M408" s="312"/>
      <c r="N408" s="312"/>
      <c r="O408" s="312"/>
      <c r="P408" s="312"/>
      <c r="Q408" s="312"/>
      <c r="R408" s="312"/>
      <c r="S408" s="312"/>
    </row>
    <row r="409" ht="12.75" spans="3:19">
      <c r="C409" s="312"/>
      <c r="D409" s="312"/>
      <c r="E409" s="312"/>
      <c r="F409" s="312"/>
      <c r="G409" s="312"/>
      <c r="H409" s="312"/>
      <c r="I409" s="312"/>
      <c r="J409" s="312"/>
      <c r="K409" s="312"/>
      <c r="L409" s="312"/>
      <c r="M409" s="312"/>
      <c r="N409" s="312"/>
      <c r="O409" s="312"/>
      <c r="P409" s="312"/>
      <c r="Q409" s="312"/>
      <c r="R409" s="312"/>
      <c r="S409" s="312"/>
    </row>
    <row r="410" ht="12.75" spans="3:19">
      <c r="C410" s="312"/>
      <c r="D410" s="312"/>
      <c r="E410" s="312"/>
      <c r="F410" s="312"/>
      <c r="G410" s="312"/>
      <c r="H410" s="312"/>
      <c r="I410" s="312"/>
      <c r="J410" s="312"/>
      <c r="K410" s="312"/>
      <c r="L410" s="312"/>
      <c r="M410" s="312"/>
      <c r="N410" s="312"/>
      <c r="O410" s="312"/>
      <c r="P410" s="312"/>
      <c r="Q410" s="312"/>
      <c r="R410" s="312"/>
      <c r="S410" s="312"/>
    </row>
    <row r="411" ht="12.75" spans="3:19">
      <c r="C411" s="312"/>
      <c r="D411" s="312"/>
      <c r="E411" s="312"/>
      <c r="F411" s="312"/>
      <c r="G411" s="312"/>
      <c r="H411" s="312"/>
      <c r="I411" s="312"/>
      <c r="J411" s="312"/>
      <c r="K411" s="312"/>
      <c r="L411" s="312"/>
      <c r="M411" s="312"/>
      <c r="N411" s="312"/>
      <c r="O411" s="312"/>
      <c r="P411" s="312"/>
      <c r="Q411" s="312"/>
      <c r="R411" s="312"/>
      <c r="S411" s="312"/>
    </row>
    <row r="412" ht="12.75" spans="3:19">
      <c r="C412" s="312"/>
      <c r="D412" s="312"/>
      <c r="E412" s="312"/>
      <c r="F412" s="312"/>
      <c r="G412" s="312"/>
      <c r="H412" s="312"/>
      <c r="I412" s="312"/>
      <c r="J412" s="312"/>
      <c r="K412" s="312"/>
      <c r="L412" s="312"/>
      <c r="M412" s="312"/>
      <c r="N412" s="312"/>
      <c r="O412" s="312"/>
      <c r="P412" s="312"/>
      <c r="Q412" s="312"/>
      <c r="R412" s="312"/>
      <c r="S412" s="312"/>
    </row>
    <row r="413" ht="12.75" spans="3:19">
      <c r="C413" s="312"/>
      <c r="D413" s="312"/>
      <c r="E413" s="312"/>
      <c r="F413" s="312"/>
      <c r="G413" s="312"/>
      <c r="H413" s="312"/>
      <c r="I413" s="312"/>
      <c r="J413" s="312"/>
      <c r="K413" s="312"/>
      <c r="L413" s="312"/>
      <c r="M413" s="312"/>
      <c r="N413" s="312"/>
      <c r="O413" s="312"/>
      <c r="P413" s="312"/>
      <c r="Q413" s="312"/>
      <c r="R413" s="312"/>
      <c r="S413" s="312"/>
    </row>
    <row r="414" ht="12.75" spans="3:19">
      <c r="C414" s="312"/>
      <c r="D414" s="312"/>
      <c r="E414" s="312"/>
      <c r="F414" s="312"/>
      <c r="G414" s="312"/>
      <c r="H414" s="312"/>
      <c r="I414" s="312"/>
      <c r="J414" s="312"/>
      <c r="K414" s="312"/>
      <c r="L414" s="312"/>
      <c r="M414" s="312"/>
      <c r="N414" s="312"/>
      <c r="O414" s="312"/>
      <c r="P414" s="312"/>
      <c r="Q414" s="312"/>
      <c r="R414" s="312"/>
      <c r="S414" s="312"/>
    </row>
    <row r="415" ht="12.75" spans="3:19">
      <c r="C415" s="312"/>
      <c r="D415" s="312"/>
      <c r="E415" s="312"/>
      <c r="F415" s="312"/>
      <c r="G415" s="312"/>
      <c r="H415" s="312"/>
      <c r="I415" s="312"/>
      <c r="J415" s="312"/>
      <c r="K415" s="312"/>
      <c r="L415" s="312"/>
      <c r="M415" s="312"/>
      <c r="N415" s="312"/>
      <c r="O415" s="312"/>
      <c r="P415" s="312"/>
      <c r="Q415" s="312"/>
      <c r="R415" s="312"/>
      <c r="S415" s="312"/>
    </row>
    <row r="416" ht="12.75" spans="3:19">
      <c r="C416" s="312"/>
      <c r="D416" s="312"/>
      <c r="E416" s="312"/>
      <c r="F416" s="312"/>
      <c r="G416" s="312"/>
      <c r="H416" s="312"/>
      <c r="I416" s="312"/>
      <c r="J416" s="312"/>
      <c r="K416" s="312"/>
      <c r="L416" s="312"/>
      <c r="M416" s="312"/>
      <c r="N416" s="312"/>
      <c r="O416" s="312"/>
      <c r="P416" s="312"/>
      <c r="Q416" s="312"/>
      <c r="R416" s="312"/>
      <c r="S416" s="312"/>
    </row>
    <row r="417" ht="12.75" spans="3:19">
      <c r="C417" s="312"/>
      <c r="D417" s="312"/>
      <c r="E417" s="312"/>
      <c r="F417" s="312"/>
      <c r="G417" s="312"/>
      <c r="H417" s="312"/>
      <c r="I417" s="312"/>
      <c r="J417" s="312"/>
      <c r="K417" s="312"/>
      <c r="L417" s="312"/>
      <c r="M417" s="312"/>
      <c r="N417" s="312"/>
      <c r="O417" s="312"/>
      <c r="P417" s="312"/>
      <c r="Q417" s="312"/>
      <c r="R417" s="312"/>
      <c r="S417" s="312"/>
    </row>
    <row r="418" ht="12.75" spans="3:19">
      <c r="C418" s="312"/>
      <c r="D418" s="312"/>
      <c r="E418" s="312"/>
      <c r="F418" s="312"/>
      <c r="G418" s="312"/>
      <c r="H418" s="312"/>
      <c r="I418" s="312"/>
      <c r="J418" s="312"/>
      <c r="K418" s="312"/>
      <c r="L418" s="312"/>
      <c r="M418" s="312"/>
      <c r="N418" s="312"/>
      <c r="O418" s="312"/>
      <c r="P418" s="312"/>
      <c r="Q418" s="312"/>
      <c r="R418" s="312"/>
      <c r="S418" s="312"/>
    </row>
    <row r="419" ht="12.75" spans="3:19">
      <c r="C419" s="312"/>
      <c r="D419" s="312"/>
      <c r="E419" s="312"/>
      <c r="F419" s="312"/>
      <c r="G419" s="312"/>
      <c r="H419" s="312"/>
      <c r="I419" s="312"/>
      <c r="J419" s="312"/>
      <c r="K419" s="312"/>
      <c r="L419" s="312"/>
      <c r="M419" s="312"/>
      <c r="N419" s="312"/>
      <c r="O419" s="312"/>
      <c r="P419" s="312"/>
      <c r="Q419" s="312"/>
      <c r="R419" s="312"/>
      <c r="S419" s="312"/>
    </row>
    <row r="420" ht="12.75" spans="3:19">
      <c r="C420" s="312"/>
      <c r="D420" s="312"/>
      <c r="E420" s="312"/>
      <c r="F420" s="312"/>
      <c r="G420" s="312"/>
      <c r="H420" s="312"/>
      <c r="I420" s="312"/>
      <c r="J420" s="312"/>
      <c r="K420" s="312"/>
      <c r="L420" s="312"/>
      <c r="M420" s="312"/>
      <c r="N420" s="312"/>
      <c r="O420" s="312"/>
      <c r="P420" s="312"/>
      <c r="Q420" s="312"/>
      <c r="R420" s="312"/>
      <c r="S420" s="312"/>
    </row>
    <row r="421" ht="12.75" spans="3:19">
      <c r="C421" s="312"/>
      <c r="D421" s="312"/>
      <c r="E421" s="312"/>
      <c r="F421" s="312"/>
      <c r="G421" s="312"/>
      <c r="H421" s="312"/>
      <c r="I421" s="312"/>
      <c r="J421" s="312"/>
      <c r="K421" s="312"/>
      <c r="L421" s="312"/>
      <c r="M421" s="312"/>
      <c r="N421" s="312"/>
      <c r="O421" s="312"/>
      <c r="P421" s="312"/>
      <c r="Q421" s="312"/>
      <c r="R421" s="312"/>
      <c r="S421" s="312"/>
    </row>
    <row r="422" ht="12.75" spans="3:19">
      <c r="C422" s="312"/>
      <c r="D422" s="312"/>
      <c r="E422" s="312"/>
      <c r="F422" s="312"/>
      <c r="G422" s="312"/>
      <c r="H422" s="312"/>
      <c r="I422" s="312"/>
      <c r="J422" s="312"/>
      <c r="K422" s="312"/>
      <c r="L422" s="312"/>
      <c r="M422" s="312"/>
      <c r="N422" s="312"/>
      <c r="O422" s="312"/>
      <c r="P422" s="312"/>
      <c r="Q422" s="312"/>
      <c r="R422" s="312"/>
      <c r="S422" s="312"/>
    </row>
    <row r="423" ht="12.75" spans="3:19">
      <c r="C423" s="312"/>
      <c r="D423" s="312"/>
      <c r="E423" s="312"/>
      <c r="F423" s="312"/>
      <c r="G423" s="312"/>
      <c r="H423" s="312"/>
      <c r="I423" s="312"/>
      <c r="J423" s="312"/>
      <c r="K423" s="312"/>
      <c r="L423" s="312"/>
      <c r="M423" s="312"/>
      <c r="N423" s="312"/>
      <c r="O423" s="312"/>
      <c r="P423" s="312"/>
      <c r="Q423" s="312"/>
      <c r="R423" s="312"/>
      <c r="S423" s="312"/>
    </row>
    <row r="424" ht="12.75" spans="3:19">
      <c r="C424" s="312"/>
      <c r="D424" s="312"/>
      <c r="E424" s="312"/>
      <c r="F424" s="312"/>
      <c r="G424" s="312"/>
      <c r="H424" s="312"/>
      <c r="I424" s="312"/>
      <c r="J424" s="312"/>
      <c r="K424" s="312"/>
      <c r="L424" s="312"/>
      <c r="M424" s="312"/>
      <c r="N424" s="312"/>
      <c r="O424" s="312"/>
      <c r="P424" s="312"/>
      <c r="Q424" s="312"/>
      <c r="R424" s="312"/>
      <c r="S424" s="312"/>
    </row>
    <row r="425" ht="12.75" spans="3:19">
      <c r="C425" s="312"/>
      <c r="D425" s="312"/>
      <c r="E425" s="312"/>
      <c r="F425" s="312"/>
      <c r="G425" s="312"/>
      <c r="H425" s="312"/>
      <c r="I425" s="312"/>
      <c r="J425" s="312"/>
      <c r="K425" s="312"/>
      <c r="L425" s="312"/>
      <c r="M425" s="312"/>
      <c r="N425" s="312"/>
      <c r="O425" s="312"/>
      <c r="P425" s="312"/>
      <c r="Q425" s="312"/>
      <c r="R425" s="312"/>
      <c r="S425" s="312"/>
    </row>
    <row r="426" ht="12.75" spans="3:19">
      <c r="C426" s="312"/>
      <c r="D426" s="312"/>
      <c r="E426" s="312"/>
      <c r="F426" s="312"/>
      <c r="G426" s="312"/>
      <c r="H426" s="312"/>
      <c r="I426" s="312"/>
      <c r="J426" s="312"/>
      <c r="K426" s="312"/>
      <c r="L426" s="312"/>
      <c r="M426" s="312"/>
      <c r="N426" s="312"/>
      <c r="O426" s="312"/>
      <c r="P426" s="312"/>
      <c r="Q426" s="312"/>
      <c r="R426" s="312"/>
      <c r="S426" s="312"/>
    </row>
    <row r="427" ht="12.75" spans="3:19">
      <c r="C427" s="312"/>
      <c r="D427" s="312"/>
      <c r="E427" s="312"/>
      <c r="F427" s="312"/>
      <c r="G427" s="312"/>
      <c r="H427" s="312"/>
      <c r="I427" s="312"/>
      <c r="J427" s="312"/>
      <c r="K427" s="312"/>
      <c r="L427" s="312"/>
      <c r="M427" s="312"/>
      <c r="N427" s="312"/>
      <c r="O427" s="312"/>
      <c r="P427" s="312"/>
      <c r="Q427" s="312"/>
      <c r="R427" s="312"/>
      <c r="S427" s="312"/>
    </row>
    <row r="428" ht="12.75" spans="3:19">
      <c r="C428" s="312"/>
      <c r="D428" s="312"/>
      <c r="E428" s="312"/>
      <c r="F428" s="312"/>
      <c r="G428" s="312"/>
      <c r="H428" s="312"/>
      <c r="I428" s="312"/>
      <c r="J428" s="312"/>
      <c r="K428" s="312"/>
      <c r="L428" s="312"/>
      <c r="M428" s="312"/>
      <c r="N428" s="312"/>
      <c r="O428" s="312"/>
      <c r="P428" s="312"/>
      <c r="Q428" s="312"/>
      <c r="R428" s="312"/>
      <c r="S428" s="312"/>
    </row>
    <row r="429" ht="12.75" spans="3:19">
      <c r="C429" s="312"/>
      <c r="D429" s="312"/>
      <c r="E429" s="312"/>
      <c r="F429" s="312"/>
      <c r="G429" s="312"/>
      <c r="H429" s="312"/>
      <c r="I429" s="312"/>
      <c r="J429" s="312"/>
      <c r="K429" s="312"/>
      <c r="L429" s="312"/>
      <c r="M429" s="312"/>
      <c r="N429" s="312"/>
      <c r="O429" s="312"/>
      <c r="P429" s="312"/>
      <c r="Q429" s="312"/>
      <c r="R429" s="312"/>
      <c r="S429" s="312"/>
    </row>
    <row r="430" ht="12.75" spans="3:19">
      <c r="C430" s="312"/>
      <c r="D430" s="312"/>
      <c r="E430" s="312"/>
      <c r="F430" s="312"/>
      <c r="G430" s="312"/>
      <c r="H430" s="312"/>
      <c r="I430" s="312"/>
      <c r="J430" s="312"/>
      <c r="K430" s="312"/>
      <c r="L430" s="312"/>
      <c r="M430" s="312"/>
      <c r="N430" s="312"/>
      <c r="O430" s="312"/>
      <c r="P430" s="312"/>
      <c r="Q430" s="312"/>
      <c r="R430" s="312"/>
      <c r="S430" s="312"/>
    </row>
    <row r="431" ht="12.75" spans="3:19">
      <c r="C431" s="312"/>
      <c r="D431" s="312"/>
      <c r="E431" s="312"/>
      <c r="F431" s="312"/>
      <c r="G431" s="312"/>
      <c r="H431" s="312"/>
      <c r="I431" s="312"/>
      <c r="J431" s="312"/>
      <c r="K431" s="312"/>
      <c r="L431" s="312"/>
      <c r="M431" s="312"/>
      <c r="N431" s="312"/>
      <c r="O431" s="312"/>
      <c r="P431" s="312"/>
      <c r="Q431" s="312"/>
      <c r="R431" s="312"/>
      <c r="S431" s="312"/>
    </row>
    <row r="432" ht="12.75" spans="3:19">
      <c r="C432" s="312"/>
      <c r="D432" s="312"/>
      <c r="E432" s="312"/>
      <c r="F432" s="312"/>
      <c r="G432" s="312"/>
      <c r="H432" s="312"/>
      <c r="I432" s="312"/>
      <c r="J432" s="312"/>
      <c r="K432" s="312"/>
      <c r="L432" s="312"/>
      <c r="M432" s="312"/>
      <c r="N432" s="312"/>
      <c r="O432" s="312"/>
      <c r="P432" s="312"/>
      <c r="Q432" s="312"/>
      <c r="R432" s="312"/>
      <c r="S432" s="312"/>
    </row>
    <row r="433" ht="12.75" spans="3:19">
      <c r="C433" s="312"/>
      <c r="D433" s="312"/>
      <c r="E433" s="312"/>
      <c r="F433" s="312"/>
      <c r="G433" s="312"/>
      <c r="H433" s="312"/>
      <c r="I433" s="312"/>
      <c r="J433" s="312"/>
      <c r="K433" s="312"/>
      <c r="L433" s="312"/>
      <c r="M433" s="312"/>
      <c r="N433" s="312"/>
      <c r="O433" s="312"/>
      <c r="P433" s="312"/>
      <c r="Q433" s="312"/>
      <c r="R433" s="312"/>
      <c r="S433" s="312"/>
    </row>
    <row r="434" ht="12.75" spans="3:19">
      <c r="C434" s="312"/>
      <c r="D434" s="312"/>
      <c r="E434" s="312"/>
      <c r="F434" s="312"/>
      <c r="G434" s="312"/>
      <c r="H434" s="312"/>
      <c r="I434" s="312"/>
      <c r="J434" s="312"/>
      <c r="K434" s="312"/>
      <c r="L434" s="312"/>
      <c r="M434" s="312"/>
      <c r="N434" s="312"/>
      <c r="O434" s="312"/>
      <c r="P434" s="312"/>
      <c r="Q434" s="312"/>
      <c r="R434" s="312"/>
      <c r="S434" s="312"/>
    </row>
    <row r="435" ht="12.75" spans="3:19">
      <c r="C435" s="312"/>
      <c r="D435" s="312"/>
      <c r="E435" s="312"/>
      <c r="F435" s="312"/>
      <c r="G435" s="312"/>
      <c r="H435" s="312"/>
      <c r="I435" s="312"/>
      <c r="J435" s="312"/>
      <c r="K435" s="312"/>
      <c r="L435" s="312"/>
      <c r="M435" s="312"/>
      <c r="N435" s="312"/>
      <c r="O435" s="312"/>
      <c r="P435" s="312"/>
      <c r="Q435" s="312"/>
      <c r="R435" s="312"/>
      <c r="S435" s="312"/>
    </row>
    <row r="436" ht="12.75" spans="3:19">
      <c r="C436" s="312"/>
      <c r="D436" s="312"/>
      <c r="E436" s="312"/>
      <c r="F436" s="312"/>
      <c r="G436" s="312"/>
      <c r="H436" s="312"/>
      <c r="I436" s="312"/>
      <c r="J436" s="312"/>
      <c r="K436" s="312"/>
      <c r="L436" s="312"/>
      <c r="M436" s="312"/>
      <c r="N436" s="312"/>
      <c r="O436" s="312"/>
      <c r="P436" s="312"/>
      <c r="Q436" s="312"/>
      <c r="R436" s="312"/>
      <c r="S436" s="312"/>
    </row>
    <row r="437" ht="12.75" spans="3:19">
      <c r="C437" s="312"/>
      <c r="D437" s="312"/>
      <c r="E437" s="312"/>
      <c r="F437" s="312"/>
      <c r="G437" s="312"/>
      <c r="H437" s="312"/>
      <c r="I437" s="312"/>
      <c r="J437" s="312"/>
      <c r="K437" s="312"/>
      <c r="L437" s="312"/>
      <c r="M437" s="312"/>
      <c r="N437" s="312"/>
      <c r="O437" s="312"/>
      <c r="P437" s="312"/>
      <c r="Q437" s="312"/>
      <c r="R437" s="312"/>
      <c r="S437" s="312"/>
    </row>
    <row r="438" ht="12.75" spans="3:19">
      <c r="C438" s="312"/>
      <c r="D438" s="312"/>
      <c r="E438" s="312"/>
      <c r="F438" s="312"/>
      <c r="G438" s="312"/>
      <c r="H438" s="312"/>
      <c r="I438" s="312"/>
      <c r="J438" s="312"/>
      <c r="K438" s="312"/>
      <c r="L438" s="312"/>
      <c r="M438" s="312"/>
      <c r="N438" s="312"/>
      <c r="O438" s="312"/>
      <c r="P438" s="312"/>
      <c r="Q438" s="312"/>
      <c r="R438" s="312"/>
      <c r="S438" s="312"/>
    </row>
    <row r="439" ht="12.75" spans="3:19">
      <c r="C439" s="312"/>
      <c r="D439" s="312"/>
      <c r="E439" s="312"/>
      <c r="F439" s="312"/>
      <c r="G439" s="312"/>
      <c r="H439" s="312"/>
      <c r="I439" s="312"/>
      <c r="J439" s="312"/>
      <c r="K439" s="312"/>
      <c r="L439" s="312"/>
      <c r="M439" s="312"/>
      <c r="N439" s="312"/>
      <c r="O439" s="312"/>
      <c r="P439" s="312"/>
      <c r="Q439" s="312"/>
      <c r="R439" s="312"/>
      <c r="S439" s="312"/>
    </row>
    <row r="440" ht="12.75" spans="3:19">
      <c r="C440" s="312"/>
      <c r="D440" s="312"/>
      <c r="E440" s="312"/>
      <c r="F440" s="312"/>
      <c r="G440" s="312"/>
      <c r="H440" s="312"/>
      <c r="I440" s="312"/>
      <c r="J440" s="312"/>
      <c r="K440" s="312"/>
      <c r="L440" s="312"/>
      <c r="M440" s="312"/>
      <c r="N440" s="312"/>
      <c r="O440" s="312"/>
      <c r="P440" s="312"/>
      <c r="Q440" s="312"/>
      <c r="R440" s="312"/>
      <c r="S440" s="312"/>
    </row>
    <row r="441" ht="12.75" spans="3:19">
      <c r="C441" s="312"/>
      <c r="D441" s="312"/>
      <c r="E441" s="312"/>
      <c r="F441" s="312"/>
      <c r="G441" s="312"/>
      <c r="H441" s="312"/>
      <c r="I441" s="312"/>
      <c r="J441" s="312"/>
      <c r="K441" s="312"/>
      <c r="L441" s="312"/>
      <c r="M441" s="312"/>
      <c r="N441" s="312"/>
      <c r="O441" s="312"/>
      <c r="P441" s="312"/>
      <c r="Q441" s="312"/>
      <c r="R441" s="312"/>
      <c r="S441" s="312"/>
    </row>
    <row r="442" ht="12.75" spans="3:19">
      <c r="C442" s="312"/>
      <c r="D442" s="312"/>
      <c r="E442" s="312"/>
      <c r="F442" s="312"/>
      <c r="G442" s="312"/>
      <c r="H442" s="312"/>
      <c r="I442" s="312"/>
      <c r="J442" s="312"/>
      <c r="K442" s="312"/>
      <c r="L442" s="312"/>
      <c r="M442" s="312"/>
      <c r="N442" s="312"/>
      <c r="O442" s="312"/>
      <c r="P442" s="312"/>
      <c r="Q442" s="312"/>
      <c r="R442" s="312"/>
      <c r="S442" s="312"/>
    </row>
    <row r="443" ht="12.75" spans="3:19">
      <c r="C443" s="312"/>
      <c r="D443" s="312"/>
      <c r="E443" s="312"/>
      <c r="F443" s="312"/>
      <c r="G443" s="312"/>
      <c r="H443" s="312"/>
      <c r="I443" s="312"/>
      <c r="J443" s="312"/>
      <c r="K443" s="312"/>
      <c r="L443" s="312"/>
      <c r="M443" s="312"/>
      <c r="N443" s="312"/>
      <c r="O443" s="312"/>
      <c r="P443" s="312"/>
      <c r="Q443" s="312"/>
      <c r="R443" s="312"/>
      <c r="S443" s="312"/>
    </row>
    <row r="444" ht="12.75" spans="3:19">
      <c r="C444" s="312"/>
      <c r="D444" s="312"/>
      <c r="E444" s="312"/>
      <c r="F444" s="312"/>
      <c r="G444" s="312"/>
      <c r="H444" s="312"/>
      <c r="I444" s="312"/>
      <c r="J444" s="312"/>
      <c r="K444" s="312"/>
      <c r="L444" s="312"/>
      <c r="M444" s="312"/>
      <c r="N444" s="312"/>
      <c r="O444" s="312"/>
      <c r="P444" s="312"/>
      <c r="Q444" s="312"/>
      <c r="R444" s="312"/>
      <c r="S444" s="312"/>
    </row>
    <row r="445" ht="12.75" spans="3:19">
      <c r="C445" s="312"/>
      <c r="D445" s="312"/>
      <c r="E445" s="312"/>
      <c r="F445" s="312"/>
      <c r="G445" s="312"/>
      <c r="H445" s="312"/>
      <c r="I445" s="312"/>
      <c r="J445" s="312"/>
      <c r="K445" s="312"/>
      <c r="L445" s="312"/>
      <c r="M445" s="312"/>
      <c r="N445" s="312"/>
      <c r="O445" s="312"/>
      <c r="P445" s="312"/>
      <c r="Q445" s="312"/>
      <c r="R445" s="312"/>
      <c r="S445" s="312"/>
    </row>
    <row r="446" ht="12.75" spans="3:19">
      <c r="C446" s="312"/>
      <c r="D446" s="312"/>
      <c r="E446" s="312"/>
      <c r="F446" s="312"/>
      <c r="G446" s="312"/>
      <c r="H446" s="312"/>
      <c r="I446" s="312"/>
      <c r="J446" s="312"/>
      <c r="K446" s="312"/>
      <c r="L446" s="312"/>
      <c r="M446" s="312"/>
      <c r="N446" s="312"/>
      <c r="O446" s="312"/>
      <c r="P446" s="312"/>
      <c r="Q446" s="312"/>
      <c r="R446" s="312"/>
      <c r="S446" s="312"/>
    </row>
    <row r="447" ht="12.75" spans="3:19">
      <c r="C447" s="312"/>
      <c r="D447" s="312"/>
      <c r="E447" s="312"/>
      <c r="F447" s="312"/>
      <c r="G447" s="312"/>
      <c r="H447" s="312"/>
      <c r="I447" s="312"/>
      <c r="J447" s="312"/>
      <c r="K447" s="312"/>
      <c r="L447" s="312"/>
      <c r="M447" s="312"/>
      <c r="N447" s="312"/>
      <c r="O447" s="312"/>
      <c r="P447" s="312"/>
      <c r="Q447" s="312"/>
      <c r="R447" s="312"/>
      <c r="S447" s="312"/>
    </row>
    <row r="448" ht="12.75" spans="3:19">
      <c r="C448" s="312"/>
      <c r="D448" s="312"/>
      <c r="E448" s="312"/>
      <c r="F448" s="312"/>
      <c r="G448" s="312"/>
      <c r="H448" s="312"/>
      <c r="I448" s="312"/>
      <c r="J448" s="312"/>
      <c r="K448" s="312"/>
      <c r="L448" s="312"/>
      <c r="M448" s="312"/>
      <c r="N448" s="312"/>
      <c r="O448" s="312"/>
      <c r="P448" s="312"/>
      <c r="Q448" s="312"/>
      <c r="R448" s="312"/>
      <c r="S448" s="312"/>
    </row>
    <row r="449" ht="12.75" spans="3:19">
      <c r="C449" s="312"/>
      <c r="D449" s="312"/>
      <c r="E449" s="312"/>
      <c r="F449" s="312"/>
      <c r="G449" s="312"/>
      <c r="H449" s="312"/>
      <c r="I449" s="312"/>
      <c r="J449" s="312"/>
      <c r="K449" s="312"/>
      <c r="L449" s="312"/>
      <c r="M449" s="312"/>
      <c r="N449" s="312"/>
      <c r="O449" s="312"/>
      <c r="P449" s="312"/>
      <c r="Q449" s="312"/>
      <c r="R449" s="312"/>
      <c r="S449" s="312"/>
    </row>
    <row r="450" ht="12.75" spans="3:19">
      <c r="C450" s="312"/>
      <c r="D450" s="312"/>
      <c r="E450" s="312"/>
      <c r="F450" s="312"/>
      <c r="G450" s="312"/>
      <c r="H450" s="312"/>
      <c r="I450" s="312"/>
      <c r="J450" s="312"/>
      <c r="K450" s="312"/>
      <c r="L450" s="312"/>
      <c r="M450" s="312"/>
      <c r="N450" s="312"/>
      <c r="O450" s="312"/>
      <c r="P450" s="312"/>
      <c r="Q450" s="312"/>
      <c r="R450" s="312"/>
      <c r="S450" s="312"/>
    </row>
    <row r="451" ht="12.75" spans="3:19">
      <c r="C451" s="312"/>
      <c r="D451" s="312"/>
      <c r="E451" s="312"/>
      <c r="F451" s="312"/>
      <c r="G451" s="312"/>
      <c r="H451" s="312"/>
      <c r="I451" s="312"/>
      <c r="J451" s="312"/>
      <c r="K451" s="312"/>
      <c r="L451" s="312"/>
      <c r="M451" s="312"/>
      <c r="N451" s="312"/>
      <c r="O451" s="312"/>
      <c r="P451" s="312"/>
      <c r="Q451" s="312"/>
      <c r="R451" s="312"/>
      <c r="S451" s="312"/>
    </row>
    <row r="452" ht="12.75" spans="3:19">
      <c r="C452" s="312"/>
      <c r="D452" s="312"/>
      <c r="E452" s="312"/>
      <c r="F452" s="312"/>
      <c r="G452" s="312"/>
      <c r="H452" s="312"/>
      <c r="I452" s="312"/>
      <c r="J452" s="312"/>
      <c r="K452" s="312"/>
      <c r="L452" s="312"/>
      <c r="M452" s="312"/>
      <c r="N452" s="312"/>
      <c r="O452" s="312"/>
      <c r="P452" s="312"/>
      <c r="Q452" s="312"/>
      <c r="R452" s="312"/>
      <c r="S452" s="312"/>
    </row>
    <row r="453" ht="12.75" spans="3:19">
      <c r="C453" s="312"/>
      <c r="D453" s="312"/>
      <c r="E453" s="312"/>
      <c r="F453" s="312"/>
      <c r="G453" s="312"/>
      <c r="H453" s="312"/>
      <c r="I453" s="312"/>
      <c r="J453" s="312"/>
      <c r="K453" s="312"/>
      <c r="L453" s="312"/>
      <c r="M453" s="312"/>
      <c r="N453" s="312"/>
      <c r="O453" s="312"/>
      <c r="P453" s="312"/>
      <c r="Q453" s="312"/>
      <c r="R453" s="312"/>
      <c r="S453" s="312"/>
    </row>
    <row r="454" ht="12.75" spans="3:19">
      <c r="C454" s="312"/>
      <c r="D454" s="312"/>
      <c r="E454" s="312"/>
      <c r="F454" s="312"/>
      <c r="G454" s="312"/>
      <c r="H454" s="312"/>
      <c r="I454" s="312"/>
      <c r="J454" s="312"/>
      <c r="K454" s="312"/>
      <c r="L454" s="312"/>
      <c r="M454" s="312"/>
      <c r="N454" s="312"/>
      <c r="O454" s="312"/>
      <c r="P454" s="312"/>
      <c r="Q454" s="312"/>
      <c r="R454" s="312"/>
      <c r="S454" s="312"/>
    </row>
    <row r="455" ht="12.75" spans="3:19">
      <c r="C455" s="312"/>
      <c r="D455" s="312"/>
      <c r="E455" s="312"/>
      <c r="F455" s="312"/>
      <c r="G455" s="312"/>
      <c r="H455" s="312"/>
      <c r="I455" s="312"/>
      <c r="J455" s="312"/>
      <c r="K455" s="312"/>
      <c r="L455" s="312"/>
      <c r="M455" s="312"/>
      <c r="N455" s="312"/>
      <c r="O455" s="312"/>
      <c r="P455" s="312"/>
      <c r="Q455" s="312"/>
      <c r="R455" s="312"/>
      <c r="S455" s="312"/>
    </row>
    <row r="456" ht="12.75" spans="3:19">
      <c r="C456" s="312"/>
      <c r="D456" s="312"/>
      <c r="E456" s="312"/>
      <c r="F456" s="312"/>
      <c r="G456" s="312"/>
      <c r="H456" s="312"/>
      <c r="I456" s="312"/>
      <c r="J456" s="312"/>
      <c r="K456" s="312"/>
      <c r="L456" s="312"/>
      <c r="M456" s="312"/>
      <c r="N456" s="312"/>
      <c r="O456" s="312"/>
      <c r="P456" s="312"/>
      <c r="Q456" s="312"/>
      <c r="R456" s="312"/>
      <c r="S456" s="312"/>
    </row>
    <row r="457" ht="12.75" spans="3:19">
      <c r="C457" s="312"/>
      <c r="D457" s="312"/>
      <c r="E457" s="312"/>
      <c r="F457" s="312"/>
      <c r="G457" s="312"/>
      <c r="H457" s="312"/>
      <c r="I457" s="312"/>
      <c r="J457" s="312"/>
      <c r="K457" s="312"/>
      <c r="L457" s="312"/>
      <c r="M457" s="312"/>
      <c r="N457" s="312"/>
      <c r="O457" s="312"/>
      <c r="P457" s="312"/>
      <c r="Q457" s="312"/>
      <c r="R457" s="312"/>
      <c r="S457" s="312"/>
    </row>
    <row r="458" ht="12.75" spans="3:19">
      <c r="C458" s="312"/>
      <c r="D458" s="312"/>
      <c r="E458" s="312"/>
      <c r="F458" s="312"/>
      <c r="G458" s="312"/>
      <c r="H458" s="312"/>
      <c r="I458" s="312"/>
      <c r="J458" s="312"/>
      <c r="K458" s="312"/>
      <c r="L458" s="312"/>
      <c r="M458" s="312"/>
      <c r="N458" s="312"/>
      <c r="O458" s="312"/>
      <c r="P458" s="312"/>
      <c r="Q458" s="312"/>
      <c r="R458" s="312"/>
      <c r="S458" s="312"/>
    </row>
    <row r="459" ht="12.75" spans="3:19">
      <c r="C459" s="312"/>
      <c r="D459" s="312"/>
      <c r="E459" s="312"/>
      <c r="F459" s="312"/>
      <c r="G459" s="312"/>
      <c r="H459" s="312"/>
      <c r="I459" s="312"/>
      <c r="J459" s="312"/>
      <c r="K459" s="312"/>
      <c r="L459" s="312"/>
      <c r="M459" s="312"/>
      <c r="N459" s="312"/>
      <c r="O459" s="312"/>
      <c r="P459" s="312"/>
      <c r="Q459" s="312"/>
      <c r="R459" s="312"/>
      <c r="S459" s="312"/>
    </row>
    <row r="460" ht="12.75" spans="3:19">
      <c r="C460" s="312"/>
      <c r="D460" s="312"/>
      <c r="E460" s="312"/>
      <c r="F460" s="312"/>
      <c r="G460" s="312"/>
      <c r="H460" s="312"/>
      <c r="I460" s="312"/>
      <c r="J460" s="312"/>
      <c r="K460" s="312"/>
      <c r="L460" s="312"/>
      <c r="M460" s="312"/>
      <c r="N460" s="312"/>
      <c r="O460" s="312"/>
      <c r="P460" s="312"/>
      <c r="Q460" s="312"/>
      <c r="R460" s="312"/>
      <c r="S460" s="312"/>
    </row>
    <row r="461" ht="12.75" spans="3:19">
      <c r="C461" s="312"/>
      <c r="D461" s="312"/>
      <c r="E461" s="312"/>
      <c r="F461" s="312"/>
      <c r="G461" s="312"/>
      <c r="H461" s="312"/>
      <c r="I461" s="312"/>
      <c r="J461" s="312"/>
      <c r="K461" s="312"/>
      <c r="L461" s="312"/>
      <c r="M461" s="312"/>
      <c r="N461" s="312"/>
      <c r="O461" s="312"/>
      <c r="P461" s="312"/>
      <c r="Q461" s="312"/>
      <c r="R461" s="312"/>
      <c r="S461" s="312"/>
    </row>
    <row r="462" ht="12.75" spans="3:19">
      <c r="C462" s="312"/>
      <c r="D462" s="312"/>
      <c r="E462" s="312"/>
      <c r="F462" s="312"/>
      <c r="G462" s="312"/>
      <c r="H462" s="312"/>
      <c r="I462" s="312"/>
      <c r="J462" s="312"/>
      <c r="K462" s="312"/>
      <c r="L462" s="312"/>
      <c r="M462" s="312"/>
      <c r="N462" s="312"/>
      <c r="O462" s="312"/>
      <c r="P462" s="312"/>
      <c r="Q462" s="312"/>
      <c r="R462" s="312"/>
      <c r="S462" s="312"/>
    </row>
    <row r="463" ht="12.75" spans="3:19">
      <c r="C463" s="312"/>
      <c r="D463" s="312"/>
      <c r="E463" s="312"/>
      <c r="F463" s="312"/>
      <c r="G463" s="312"/>
      <c r="H463" s="312"/>
      <c r="I463" s="312"/>
      <c r="J463" s="312"/>
      <c r="K463" s="312"/>
      <c r="L463" s="312"/>
      <c r="M463" s="312"/>
      <c r="N463" s="312"/>
      <c r="O463" s="312"/>
      <c r="P463" s="312"/>
      <c r="Q463" s="312"/>
      <c r="R463" s="312"/>
      <c r="S463" s="312"/>
    </row>
    <row r="464" ht="12.75" spans="3:19">
      <c r="C464" s="312"/>
      <c r="D464" s="312"/>
      <c r="E464" s="312"/>
      <c r="F464" s="312"/>
      <c r="G464" s="312"/>
      <c r="H464" s="312"/>
      <c r="I464" s="312"/>
      <c r="J464" s="312"/>
      <c r="K464" s="312"/>
      <c r="L464" s="312"/>
      <c r="M464" s="312"/>
      <c r="N464" s="312"/>
      <c r="O464" s="312"/>
      <c r="P464" s="312"/>
      <c r="Q464" s="312"/>
      <c r="R464" s="312"/>
      <c r="S464" s="312"/>
    </row>
    <row r="465" ht="12.75" spans="3:19">
      <c r="C465" s="312"/>
      <c r="D465" s="312"/>
      <c r="E465" s="312"/>
      <c r="F465" s="312"/>
      <c r="G465" s="312"/>
      <c r="H465" s="312"/>
      <c r="I465" s="312"/>
      <c r="J465" s="312"/>
      <c r="K465" s="312"/>
      <c r="L465" s="312"/>
      <c r="M465" s="312"/>
      <c r="N465" s="312"/>
      <c r="O465" s="312"/>
      <c r="P465" s="312"/>
      <c r="Q465" s="312"/>
      <c r="R465" s="312"/>
      <c r="S465" s="312"/>
    </row>
    <row r="466" ht="12.75" spans="3:19">
      <c r="C466" s="312"/>
      <c r="D466" s="312"/>
      <c r="E466" s="312"/>
      <c r="F466" s="312"/>
      <c r="G466" s="312"/>
      <c r="H466" s="312"/>
      <c r="I466" s="312"/>
      <c r="J466" s="312"/>
      <c r="K466" s="312"/>
      <c r="L466" s="312"/>
      <c r="M466" s="312"/>
      <c r="N466" s="312"/>
      <c r="O466" s="312"/>
      <c r="P466" s="312"/>
      <c r="Q466" s="312"/>
      <c r="R466" s="312"/>
      <c r="S466" s="312"/>
    </row>
    <row r="467" ht="12.75" spans="3:19">
      <c r="C467" s="312"/>
      <c r="D467" s="312"/>
      <c r="E467" s="312"/>
      <c r="F467" s="312"/>
      <c r="G467" s="312"/>
      <c r="H467" s="312"/>
      <c r="I467" s="312"/>
      <c r="J467" s="312"/>
      <c r="K467" s="312"/>
      <c r="L467" s="312"/>
      <c r="M467" s="312"/>
      <c r="N467" s="312"/>
      <c r="O467" s="312"/>
      <c r="P467" s="312"/>
      <c r="Q467" s="312"/>
      <c r="R467" s="312"/>
      <c r="S467" s="312"/>
    </row>
    <row r="468" ht="12.75" spans="3:19">
      <c r="C468" s="312"/>
      <c r="D468" s="312"/>
      <c r="E468" s="312"/>
      <c r="F468" s="312"/>
      <c r="G468" s="312"/>
      <c r="H468" s="312"/>
      <c r="I468" s="312"/>
      <c r="J468" s="312"/>
      <c r="K468" s="312"/>
      <c r="L468" s="312"/>
      <c r="M468" s="312"/>
      <c r="N468" s="312"/>
      <c r="O468" s="312"/>
      <c r="P468" s="312"/>
      <c r="Q468" s="312"/>
      <c r="R468" s="312"/>
      <c r="S468" s="312"/>
    </row>
    <row r="469" ht="12.75" spans="3:19">
      <c r="C469" s="312"/>
      <c r="D469" s="312"/>
      <c r="E469" s="312"/>
      <c r="F469" s="312"/>
      <c r="G469" s="312"/>
      <c r="H469" s="312"/>
      <c r="I469" s="312"/>
      <c r="J469" s="312"/>
      <c r="K469" s="312"/>
      <c r="L469" s="312"/>
      <c r="M469" s="312"/>
      <c r="N469" s="312"/>
      <c r="O469" s="312"/>
      <c r="P469" s="312"/>
      <c r="Q469" s="312"/>
      <c r="R469" s="312"/>
      <c r="S469" s="312"/>
    </row>
    <row r="470" ht="12.75" spans="3:19">
      <c r="C470" s="312"/>
      <c r="D470" s="312"/>
      <c r="E470" s="312"/>
      <c r="F470" s="312"/>
      <c r="G470" s="312"/>
      <c r="H470" s="312"/>
      <c r="I470" s="312"/>
      <c r="J470" s="312"/>
      <c r="K470" s="312"/>
      <c r="L470" s="312"/>
      <c r="M470" s="312"/>
      <c r="N470" s="312"/>
      <c r="O470" s="312"/>
      <c r="P470" s="312"/>
      <c r="Q470" s="312"/>
      <c r="R470" s="312"/>
      <c r="S470" s="312"/>
    </row>
    <row r="471" ht="12.75" spans="3:19">
      <c r="C471" s="312"/>
      <c r="D471" s="312"/>
      <c r="E471" s="312"/>
      <c r="F471" s="312"/>
      <c r="G471" s="312"/>
      <c r="H471" s="312"/>
      <c r="I471" s="312"/>
      <c r="J471" s="312"/>
      <c r="K471" s="312"/>
      <c r="L471" s="312"/>
      <c r="M471" s="312"/>
      <c r="N471" s="312"/>
      <c r="O471" s="312"/>
      <c r="P471" s="312"/>
      <c r="Q471" s="312"/>
      <c r="R471" s="312"/>
      <c r="S471" s="312"/>
    </row>
    <row r="472" ht="12.75" spans="3:19">
      <c r="C472" s="312"/>
      <c r="D472" s="312"/>
      <c r="E472" s="312"/>
      <c r="F472" s="312"/>
      <c r="G472" s="312"/>
      <c r="H472" s="312"/>
      <c r="I472" s="312"/>
      <c r="J472" s="312"/>
      <c r="K472" s="312"/>
      <c r="L472" s="312"/>
      <c r="M472" s="312"/>
      <c r="N472" s="312"/>
      <c r="O472" s="312"/>
      <c r="P472" s="312"/>
      <c r="Q472" s="312"/>
      <c r="R472" s="312"/>
      <c r="S472" s="312"/>
    </row>
    <row r="473" ht="12.75" spans="3:19">
      <c r="C473" s="312"/>
      <c r="D473" s="312"/>
      <c r="E473" s="312"/>
      <c r="F473" s="312"/>
      <c r="G473" s="312"/>
      <c r="H473" s="312"/>
      <c r="I473" s="312"/>
      <c r="J473" s="312"/>
      <c r="K473" s="312"/>
      <c r="L473" s="312"/>
      <c r="M473" s="312"/>
      <c r="N473" s="312"/>
      <c r="O473" s="312"/>
      <c r="P473" s="312"/>
      <c r="Q473" s="312"/>
      <c r="R473" s="312"/>
      <c r="S473" s="312"/>
    </row>
    <row r="474" ht="12.75" spans="3:19">
      <c r="C474" s="312"/>
      <c r="D474" s="312"/>
      <c r="E474" s="312"/>
      <c r="F474" s="312"/>
      <c r="G474" s="312"/>
      <c r="H474" s="312"/>
      <c r="I474" s="312"/>
      <c r="J474" s="312"/>
      <c r="K474" s="312"/>
      <c r="L474" s="312"/>
      <c r="M474" s="312"/>
      <c r="N474" s="312"/>
      <c r="O474" s="312"/>
      <c r="P474" s="312"/>
      <c r="Q474" s="312"/>
      <c r="R474" s="312"/>
      <c r="S474" s="312"/>
    </row>
    <row r="475" ht="12.75" spans="3:19">
      <c r="C475" s="312"/>
      <c r="D475" s="312"/>
      <c r="E475" s="312"/>
      <c r="F475" s="312"/>
      <c r="G475" s="312"/>
      <c r="H475" s="312"/>
      <c r="I475" s="312"/>
      <c r="J475" s="312"/>
      <c r="K475" s="312"/>
      <c r="L475" s="312"/>
      <c r="M475" s="312"/>
      <c r="N475" s="312"/>
      <c r="O475" s="312"/>
      <c r="P475" s="312"/>
      <c r="Q475" s="312"/>
      <c r="R475" s="312"/>
      <c r="S475" s="312"/>
    </row>
    <row r="476" ht="12.75" spans="3:19">
      <c r="C476" s="312"/>
      <c r="D476" s="312"/>
      <c r="E476" s="312"/>
      <c r="F476" s="312"/>
      <c r="G476" s="312"/>
      <c r="H476" s="312"/>
      <c r="I476" s="312"/>
      <c r="J476" s="312"/>
      <c r="K476" s="312"/>
      <c r="L476" s="312"/>
      <c r="M476" s="312"/>
      <c r="N476" s="312"/>
      <c r="O476" s="312"/>
      <c r="P476" s="312"/>
      <c r="Q476" s="312"/>
      <c r="R476" s="312"/>
      <c r="S476" s="312"/>
    </row>
    <row r="477" ht="12.75" spans="3:19">
      <c r="C477" s="312"/>
      <c r="D477" s="312"/>
      <c r="E477" s="312"/>
      <c r="F477" s="312"/>
      <c r="G477" s="312"/>
      <c r="H477" s="312"/>
      <c r="I477" s="312"/>
      <c r="J477" s="312"/>
      <c r="K477" s="312"/>
      <c r="L477" s="312"/>
      <c r="M477" s="312"/>
      <c r="N477" s="312"/>
      <c r="O477" s="312"/>
      <c r="P477" s="312"/>
      <c r="Q477" s="312"/>
      <c r="R477" s="312"/>
      <c r="S477" s="312"/>
    </row>
    <row r="478" ht="12.75" spans="3:19">
      <c r="C478" s="312"/>
      <c r="D478" s="312"/>
      <c r="E478" s="312"/>
      <c r="F478" s="312"/>
      <c r="G478" s="312"/>
      <c r="H478" s="312"/>
      <c r="I478" s="312"/>
      <c r="J478" s="312"/>
      <c r="K478" s="312"/>
      <c r="L478" s="312"/>
      <c r="M478" s="312"/>
      <c r="N478" s="312"/>
      <c r="O478" s="312"/>
      <c r="P478" s="312"/>
      <c r="Q478" s="312"/>
      <c r="R478" s="312"/>
      <c r="S478" s="312"/>
    </row>
    <row r="479" ht="12.75" spans="3:19">
      <c r="C479" s="312"/>
      <c r="D479" s="312"/>
      <c r="E479" s="312"/>
      <c r="F479" s="312"/>
      <c r="G479" s="312"/>
      <c r="H479" s="312"/>
      <c r="I479" s="312"/>
      <c r="J479" s="312"/>
      <c r="K479" s="312"/>
      <c r="L479" s="312"/>
      <c r="M479" s="312"/>
      <c r="N479" s="312"/>
      <c r="O479" s="312"/>
      <c r="P479" s="312"/>
      <c r="Q479" s="312"/>
      <c r="R479" s="312"/>
      <c r="S479" s="312"/>
    </row>
    <row r="480" ht="12.75" spans="3:19">
      <c r="C480" s="312"/>
      <c r="D480" s="312"/>
      <c r="E480" s="312"/>
      <c r="F480" s="312"/>
      <c r="G480" s="312"/>
      <c r="H480" s="312"/>
      <c r="I480" s="312"/>
      <c r="J480" s="312"/>
      <c r="K480" s="312"/>
      <c r="L480" s="312"/>
      <c r="M480" s="312"/>
      <c r="N480" s="312"/>
      <c r="O480" s="312"/>
      <c r="P480" s="312"/>
      <c r="Q480" s="312"/>
      <c r="R480" s="312"/>
      <c r="S480" s="312"/>
    </row>
    <row r="481" ht="12.75" spans="3:19">
      <c r="C481" s="312"/>
      <c r="D481" s="312"/>
      <c r="E481" s="312"/>
      <c r="F481" s="312"/>
      <c r="G481" s="312"/>
      <c r="H481" s="312"/>
      <c r="I481" s="312"/>
      <c r="J481" s="312"/>
      <c r="K481" s="312"/>
      <c r="L481" s="312"/>
      <c r="M481" s="312"/>
      <c r="N481" s="312"/>
      <c r="O481" s="312"/>
      <c r="P481" s="312"/>
      <c r="Q481" s="312"/>
      <c r="R481" s="312"/>
      <c r="S481" s="312"/>
    </row>
    <row r="482" ht="12.75" spans="3:19">
      <c r="C482" s="312"/>
      <c r="D482" s="312"/>
      <c r="E482" s="312"/>
      <c r="F482" s="312"/>
      <c r="G482" s="312"/>
      <c r="H482" s="312"/>
      <c r="I482" s="312"/>
      <c r="J482" s="312"/>
      <c r="K482" s="312"/>
      <c r="L482" s="312"/>
      <c r="M482" s="312"/>
      <c r="N482" s="312"/>
      <c r="O482" s="312"/>
      <c r="P482" s="312"/>
      <c r="Q482" s="312"/>
      <c r="R482" s="312"/>
      <c r="S482" s="312"/>
    </row>
    <row r="483" ht="12.75" spans="3:19">
      <c r="C483" s="312"/>
      <c r="D483" s="312"/>
      <c r="E483" s="312"/>
      <c r="F483" s="312"/>
      <c r="G483" s="312"/>
      <c r="H483" s="312"/>
      <c r="I483" s="312"/>
      <c r="J483" s="312"/>
      <c r="K483" s="312"/>
      <c r="L483" s="312"/>
      <c r="M483" s="312"/>
      <c r="N483" s="312"/>
      <c r="O483" s="312"/>
      <c r="P483" s="312"/>
      <c r="Q483" s="312"/>
      <c r="R483" s="312"/>
      <c r="S483" s="312"/>
    </row>
    <row r="484" ht="12.75" spans="3:19">
      <c r="C484" s="312"/>
      <c r="D484" s="312"/>
      <c r="E484" s="312"/>
      <c r="F484" s="312"/>
      <c r="G484" s="312"/>
      <c r="H484" s="312"/>
      <c r="I484" s="312"/>
      <c r="J484" s="312"/>
      <c r="K484" s="312"/>
      <c r="L484" s="312"/>
      <c r="M484" s="312"/>
      <c r="N484" s="312"/>
      <c r="O484" s="312"/>
      <c r="P484" s="312"/>
      <c r="Q484" s="312"/>
      <c r="R484" s="312"/>
      <c r="S484" s="312"/>
    </row>
    <row r="485" ht="12.75" spans="3:19">
      <c r="C485" s="312"/>
      <c r="D485" s="312"/>
      <c r="E485" s="312"/>
      <c r="F485" s="312"/>
      <c r="G485" s="312"/>
      <c r="H485" s="312"/>
      <c r="I485" s="312"/>
      <c r="J485" s="312"/>
      <c r="K485" s="312"/>
      <c r="L485" s="312"/>
      <c r="M485" s="312"/>
      <c r="N485" s="312"/>
      <c r="O485" s="312"/>
      <c r="P485" s="312"/>
      <c r="Q485" s="312"/>
      <c r="R485" s="312"/>
      <c r="S485" s="312"/>
    </row>
    <row r="486" ht="12.75" spans="3:19">
      <c r="C486" s="312"/>
      <c r="D486" s="312"/>
      <c r="E486" s="312"/>
      <c r="F486" s="312"/>
      <c r="G486" s="312"/>
      <c r="H486" s="312"/>
      <c r="I486" s="312"/>
      <c r="J486" s="312"/>
      <c r="K486" s="312"/>
      <c r="L486" s="312"/>
      <c r="M486" s="312"/>
      <c r="N486" s="312"/>
      <c r="O486" s="312"/>
      <c r="P486" s="312"/>
      <c r="Q486" s="312"/>
      <c r="R486" s="312"/>
      <c r="S486" s="312"/>
    </row>
    <row r="487" ht="12.75" spans="3:19">
      <c r="C487" s="312"/>
      <c r="D487" s="312"/>
      <c r="E487" s="312"/>
      <c r="F487" s="312"/>
      <c r="G487" s="312"/>
      <c r="H487" s="312"/>
      <c r="I487" s="312"/>
      <c r="J487" s="312"/>
      <c r="K487" s="312"/>
      <c r="L487" s="312"/>
      <c r="M487" s="312"/>
      <c r="N487" s="312"/>
      <c r="O487" s="312"/>
      <c r="P487" s="312"/>
      <c r="Q487" s="312"/>
      <c r="R487" s="312"/>
      <c r="S487" s="312"/>
    </row>
    <row r="488" ht="12.75" spans="3:19">
      <c r="C488" s="312"/>
      <c r="D488" s="312"/>
      <c r="E488" s="312"/>
      <c r="F488" s="312"/>
      <c r="G488" s="312"/>
      <c r="H488" s="312"/>
      <c r="I488" s="312"/>
      <c r="J488" s="312"/>
      <c r="K488" s="312"/>
      <c r="L488" s="312"/>
      <c r="M488" s="312"/>
      <c r="N488" s="312"/>
      <c r="O488" s="312"/>
      <c r="P488" s="312"/>
      <c r="Q488" s="312"/>
      <c r="R488" s="312"/>
      <c r="S488" s="312"/>
    </row>
    <row r="489" ht="12.75" spans="3:19">
      <c r="C489" s="312"/>
      <c r="D489" s="312"/>
      <c r="E489" s="312"/>
      <c r="F489" s="312"/>
      <c r="G489" s="312"/>
      <c r="H489" s="312"/>
      <c r="I489" s="312"/>
      <c r="J489" s="312"/>
      <c r="K489" s="312"/>
      <c r="L489" s="312"/>
      <c r="M489" s="312"/>
      <c r="N489" s="312"/>
      <c r="O489" s="312"/>
      <c r="P489" s="312"/>
      <c r="Q489" s="312"/>
      <c r="R489" s="312"/>
      <c r="S489" s="312"/>
    </row>
    <row r="490" ht="12.75" spans="3:19">
      <c r="C490" s="312"/>
      <c r="D490" s="312"/>
      <c r="E490" s="312"/>
      <c r="F490" s="312"/>
      <c r="G490" s="312"/>
      <c r="H490" s="312"/>
      <c r="I490" s="312"/>
      <c r="J490" s="312"/>
      <c r="K490" s="312"/>
      <c r="L490" s="312"/>
      <c r="M490" s="312"/>
      <c r="N490" s="312"/>
      <c r="O490" s="312"/>
      <c r="P490" s="312"/>
      <c r="Q490" s="312"/>
      <c r="R490" s="312"/>
      <c r="S490" s="312"/>
    </row>
    <row r="491" ht="12.75" spans="3:19">
      <c r="C491" s="312"/>
      <c r="D491" s="312"/>
      <c r="E491" s="312"/>
      <c r="F491" s="312"/>
      <c r="G491" s="312"/>
      <c r="H491" s="312"/>
      <c r="I491" s="312"/>
      <c r="J491" s="312"/>
      <c r="K491" s="312"/>
      <c r="L491" s="312"/>
      <c r="M491" s="312"/>
      <c r="N491" s="312"/>
      <c r="O491" s="312"/>
      <c r="P491" s="312"/>
      <c r="Q491" s="312"/>
      <c r="R491" s="312"/>
      <c r="S491" s="312"/>
    </row>
    <row r="492" ht="12.75" spans="3:19">
      <c r="C492" s="312"/>
      <c r="D492" s="312"/>
      <c r="E492" s="312"/>
      <c r="F492" s="312"/>
      <c r="G492" s="312"/>
      <c r="H492" s="312"/>
      <c r="I492" s="312"/>
      <c r="J492" s="312"/>
      <c r="K492" s="312"/>
      <c r="L492" s="312"/>
      <c r="M492" s="312"/>
      <c r="N492" s="312"/>
      <c r="O492" s="312"/>
      <c r="P492" s="312"/>
      <c r="Q492" s="312"/>
      <c r="R492" s="312"/>
      <c r="S492" s="312"/>
    </row>
    <row r="493" ht="12.75" spans="3:19">
      <c r="C493" s="312"/>
      <c r="D493" s="312"/>
      <c r="E493" s="312"/>
      <c r="F493" s="312"/>
      <c r="G493" s="312"/>
      <c r="H493" s="312"/>
      <c r="I493" s="312"/>
      <c r="J493" s="312"/>
      <c r="K493" s="312"/>
      <c r="L493" s="312"/>
      <c r="M493" s="312"/>
      <c r="N493" s="312"/>
      <c r="O493" s="312"/>
      <c r="P493" s="312"/>
      <c r="Q493" s="312"/>
      <c r="R493" s="312"/>
      <c r="S493" s="312"/>
    </row>
    <row r="494" ht="12.75" spans="3:19">
      <c r="C494" s="312"/>
      <c r="D494" s="312"/>
      <c r="E494" s="312"/>
      <c r="F494" s="312"/>
      <c r="G494" s="312"/>
      <c r="H494" s="312"/>
      <c r="I494" s="312"/>
      <c r="J494" s="312"/>
      <c r="K494" s="312"/>
      <c r="L494" s="312"/>
      <c r="M494" s="312"/>
      <c r="N494" s="312"/>
      <c r="O494" s="312"/>
      <c r="P494" s="312"/>
      <c r="Q494" s="312"/>
      <c r="R494" s="312"/>
      <c r="S494" s="312"/>
    </row>
    <row r="495" ht="12.75" spans="3:19">
      <c r="C495" s="312"/>
      <c r="D495" s="312"/>
      <c r="E495" s="312"/>
      <c r="F495" s="312"/>
      <c r="G495" s="312"/>
      <c r="H495" s="312"/>
      <c r="I495" s="312"/>
      <c r="J495" s="312"/>
      <c r="K495" s="312"/>
      <c r="L495" s="312"/>
      <c r="M495" s="312"/>
      <c r="N495" s="312"/>
      <c r="O495" s="312"/>
      <c r="P495" s="312"/>
      <c r="Q495" s="312"/>
      <c r="R495" s="312"/>
      <c r="S495" s="312"/>
    </row>
    <row r="496" ht="12.75" spans="3:19">
      <c r="C496" s="312"/>
      <c r="D496" s="312"/>
      <c r="E496" s="312"/>
      <c r="F496" s="312"/>
      <c r="G496" s="312"/>
      <c r="H496" s="312"/>
      <c r="I496" s="312"/>
      <c r="J496" s="312"/>
      <c r="K496" s="312"/>
      <c r="L496" s="312"/>
      <c r="M496" s="312"/>
      <c r="N496" s="312"/>
      <c r="O496" s="312"/>
      <c r="P496" s="312"/>
      <c r="Q496" s="312"/>
      <c r="R496" s="312"/>
      <c r="S496" s="312"/>
    </row>
    <row r="497" ht="12.75" spans="3:19">
      <c r="C497" s="312"/>
      <c r="D497" s="312"/>
      <c r="E497" s="312"/>
      <c r="F497" s="312"/>
      <c r="G497" s="312"/>
      <c r="H497" s="312"/>
      <c r="I497" s="312"/>
      <c r="J497" s="312"/>
      <c r="K497" s="312"/>
      <c r="L497" s="312"/>
      <c r="M497" s="312"/>
      <c r="N497" s="312"/>
      <c r="O497" s="312"/>
      <c r="P497" s="312"/>
      <c r="Q497" s="312"/>
      <c r="R497" s="312"/>
      <c r="S497" s="312"/>
    </row>
    <row r="498" ht="12.75" spans="3:19">
      <c r="C498" s="312"/>
      <c r="D498" s="312"/>
      <c r="E498" s="312"/>
      <c r="F498" s="312"/>
      <c r="G498" s="312"/>
      <c r="H498" s="312"/>
      <c r="I498" s="312"/>
      <c r="J498" s="312"/>
      <c r="K498" s="312"/>
      <c r="L498" s="312"/>
      <c r="M498" s="312"/>
      <c r="N498" s="312"/>
      <c r="O498" s="312"/>
      <c r="P498" s="312"/>
      <c r="Q498" s="312"/>
      <c r="R498" s="312"/>
      <c r="S498" s="312"/>
    </row>
    <row r="499" ht="12.75" spans="3:19">
      <c r="C499" s="312"/>
      <c r="D499" s="312"/>
      <c r="E499" s="312"/>
      <c r="F499" s="312"/>
      <c r="G499" s="312"/>
      <c r="H499" s="312"/>
      <c r="I499" s="312"/>
      <c r="J499" s="312"/>
      <c r="K499" s="312"/>
      <c r="L499" s="312"/>
      <c r="M499" s="312"/>
      <c r="N499" s="312"/>
      <c r="O499" s="312"/>
      <c r="P499" s="312"/>
      <c r="Q499" s="312"/>
      <c r="R499" s="312"/>
      <c r="S499" s="312"/>
    </row>
    <row r="500" ht="12.75" spans="3:19">
      <c r="C500" s="312"/>
      <c r="D500" s="312"/>
      <c r="E500" s="312"/>
      <c r="F500" s="312"/>
      <c r="G500" s="312"/>
      <c r="H500" s="312"/>
      <c r="I500" s="312"/>
      <c r="J500" s="312"/>
      <c r="K500" s="312"/>
      <c r="L500" s="312"/>
      <c r="M500" s="312"/>
      <c r="N500" s="312"/>
      <c r="O500" s="312"/>
      <c r="P500" s="312"/>
      <c r="Q500" s="312"/>
      <c r="R500" s="312"/>
      <c r="S500" s="312"/>
    </row>
    <row r="501" ht="12.75" spans="3:19">
      <c r="C501" s="312"/>
      <c r="D501" s="312"/>
      <c r="E501" s="312"/>
      <c r="F501" s="312"/>
      <c r="G501" s="312"/>
      <c r="H501" s="312"/>
      <c r="I501" s="312"/>
      <c r="J501" s="312"/>
      <c r="K501" s="312"/>
      <c r="L501" s="312"/>
      <c r="M501" s="312"/>
      <c r="N501" s="312"/>
      <c r="O501" s="312"/>
      <c r="P501" s="312"/>
      <c r="Q501" s="312"/>
      <c r="R501" s="312"/>
      <c r="S501" s="312"/>
    </row>
    <row r="502" ht="12.75" spans="3:19">
      <c r="C502" s="312"/>
      <c r="D502" s="312"/>
      <c r="E502" s="312"/>
      <c r="F502" s="312"/>
      <c r="G502" s="312"/>
      <c r="H502" s="312"/>
      <c r="I502" s="312"/>
      <c r="J502" s="312"/>
      <c r="K502" s="312"/>
      <c r="L502" s="312"/>
      <c r="M502" s="312"/>
      <c r="N502" s="312"/>
      <c r="O502" s="312"/>
      <c r="P502" s="312"/>
      <c r="Q502" s="312"/>
      <c r="R502" s="312"/>
      <c r="S502" s="312"/>
    </row>
    <row r="503" ht="12.75" spans="3:19">
      <c r="C503" s="312"/>
      <c r="D503" s="312"/>
      <c r="E503" s="312"/>
      <c r="F503" s="312"/>
      <c r="G503" s="312"/>
      <c r="H503" s="312"/>
      <c r="I503" s="312"/>
      <c r="J503" s="312"/>
      <c r="K503" s="312"/>
      <c r="L503" s="312"/>
      <c r="M503" s="312"/>
      <c r="N503" s="312"/>
      <c r="O503" s="312"/>
      <c r="P503" s="312"/>
      <c r="Q503" s="312"/>
      <c r="R503" s="312"/>
      <c r="S503" s="312"/>
    </row>
    <row r="504" ht="12.75" spans="3:19">
      <c r="C504" s="312"/>
      <c r="D504" s="312"/>
      <c r="E504" s="312"/>
      <c r="F504" s="312"/>
      <c r="G504" s="312"/>
      <c r="H504" s="312"/>
      <c r="I504" s="312"/>
      <c r="J504" s="312"/>
      <c r="K504" s="312"/>
      <c r="L504" s="312"/>
      <c r="M504" s="312"/>
      <c r="N504" s="312"/>
      <c r="O504" s="312"/>
      <c r="P504" s="312"/>
      <c r="Q504" s="312"/>
      <c r="R504" s="312"/>
      <c r="S504" s="312"/>
    </row>
    <row r="505" ht="12.75" spans="3:19">
      <c r="C505" s="312"/>
      <c r="D505" s="312"/>
      <c r="E505" s="312"/>
      <c r="F505" s="312"/>
      <c r="G505" s="312"/>
      <c r="H505" s="312"/>
      <c r="I505" s="312"/>
      <c r="J505" s="312"/>
      <c r="K505" s="312"/>
      <c r="L505" s="312"/>
      <c r="M505" s="312"/>
      <c r="N505" s="312"/>
      <c r="O505" s="312"/>
      <c r="P505" s="312"/>
      <c r="Q505" s="312"/>
      <c r="R505" s="312"/>
      <c r="S505" s="312"/>
    </row>
    <row r="506" ht="12.75" spans="3:19">
      <c r="C506" s="312"/>
      <c r="D506" s="312"/>
      <c r="E506" s="312"/>
      <c r="F506" s="312"/>
      <c r="G506" s="312"/>
      <c r="H506" s="312"/>
      <c r="I506" s="312"/>
      <c r="J506" s="312"/>
      <c r="K506" s="312"/>
      <c r="L506" s="312"/>
      <c r="M506" s="312"/>
      <c r="N506" s="312"/>
      <c r="O506" s="312"/>
      <c r="P506" s="312"/>
      <c r="Q506" s="312"/>
      <c r="R506" s="312"/>
      <c r="S506" s="312"/>
    </row>
    <row r="507" ht="12.75" spans="3:19">
      <c r="C507" s="312"/>
      <c r="D507" s="312"/>
      <c r="E507" s="312"/>
      <c r="F507" s="312"/>
      <c r="G507" s="312"/>
      <c r="H507" s="312"/>
      <c r="I507" s="312"/>
      <c r="J507" s="312"/>
      <c r="K507" s="312"/>
      <c r="L507" s="312"/>
      <c r="M507" s="312"/>
      <c r="N507" s="312"/>
      <c r="O507" s="312"/>
      <c r="P507" s="312"/>
      <c r="Q507" s="312"/>
      <c r="R507" s="312"/>
      <c r="S507" s="312"/>
    </row>
    <row r="508" ht="12.75" spans="3:19">
      <c r="C508" s="312"/>
      <c r="D508" s="312"/>
      <c r="E508" s="312"/>
      <c r="F508" s="312"/>
      <c r="G508" s="312"/>
      <c r="H508" s="312"/>
      <c r="I508" s="312"/>
      <c r="J508" s="312"/>
      <c r="K508" s="312"/>
      <c r="L508" s="312"/>
      <c r="M508" s="312"/>
      <c r="N508" s="312"/>
      <c r="O508" s="312"/>
      <c r="P508" s="312"/>
      <c r="Q508" s="312"/>
      <c r="R508" s="312"/>
      <c r="S508" s="312"/>
    </row>
    <row r="509" ht="12.75" spans="3:19">
      <c r="C509" s="312"/>
      <c r="D509" s="312"/>
      <c r="E509" s="312"/>
      <c r="F509" s="312"/>
      <c r="G509" s="312"/>
      <c r="H509" s="312"/>
      <c r="I509" s="312"/>
      <c r="J509" s="312"/>
      <c r="K509" s="312"/>
      <c r="L509" s="312"/>
      <c r="M509" s="312"/>
      <c r="N509" s="312"/>
      <c r="O509" s="312"/>
      <c r="P509" s="312"/>
      <c r="Q509" s="312"/>
      <c r="R509" s="312"/>
      <c r="S509" s="312"/>
    </row>
    <row r="510" ht="12.75" spans="3:19">
      <c r="C510" s="312"/>
      <c r="D510" s="312"/>
      <c r="E510" s="312"/>
      <c r="F510" s="312"/>
      <c r="G510" s="312"/>
      <c r="H510" s="312"/>
      <c r="I510" s="312"/>
      <c r="J510" s="312"/>
      <c r="K510" s="312"/>
      <c r="L510" s="312"/>
      <c r="M510" s="312"/>
      <c r="N510" s="312"/>
      <c r="O510" s="312"/>
      <c r="P510" s="312"/>
      <c r="Q510" s="312"/>
      <c r="R510" s="312"/>
      <c r="S510" s="312"/>
    </row>
    <row r="511" ht="12.75" spans="3:19">
      <c r="C511" s="312"/>
      <c r="D511" s="312"/>
      <c r="E511" s="312"/>
      <c r="F511" s="312"/>
      <c r="G511" s="312"/>
      <c r="H511" s="312"/>
      <c r="I511" s="312"/>
      <c r="J511" s="312"/>
      <c r="K511" s="312"/>
      <c r="L511" s="312"/>
      <c r="M511" s="312"/>
      <c r="N511" s="312"/>
      <c r="O511" s="312"/>
      <c r="P511" s="312"/>
      <c r="Q511" s="312"/>
      <c r="R511" s="312"/>
      <c r="S511" s="312"/>
    </row>
    <row r="512" ht="12.75" spans="3:19">
      <c r="C512" s="312"/>
      <c r="D512" s="312"/>
      <c r="E512" s="312"/>
      <c r="F512" s="312"/>
      <c r="G512" s="312"/>
      <c r="H512" s="312"/>
      <c r="I512" s="312"/>
      <c r="J512" s="312"/>
      <c r="K512" s="312"/>
      <c r="L512" s="312"/>
      <c r="M512" s="312"/>
      <c r="N512" s="312"/>
      <c r="O512" s="312"/>
      <c r="P512" s="312"/>
      <c r="Q512" s="312"/>
      <c r="R512" s="312"/>
      <c r="S512" s="312"/>
    </row>
    <row r="513" ht="12.75" spans="3:19">
      <c r="C513" s="312"/>
      <c r="D513" s="312"/>
      <c r="E513" s="312"/>
      <c r="F513" s="312"/>
      <c r="G513" s="312"/>
      <c r="H513" s="312"/>
      <c r="I513" s="312"/>
      <c r="J513" s="312"/>
      <c r="K513" s="312"/>
      <c r="L513" s="312"/>
      <c r="M513" s="312"/>
      <c r="N513" s="312"/>
      <c r="O513" s="312"/>
      <c r="P513" s="312"/>
      <c r="Q513" s="312"/>
      <c r="R513" s="312"/>
      <c r="S513" s="312"/>
    </row>
    <row r="514" ht="12.75" spans="3:19">
      <c r="C514" s="312"/>
      <c r="D514" s="312"/>
      <c r="E514" s="312"/>
      <c r="F514" s="312"/>
      <c r="G514" s="312"/>
      <c r="H514" s="312"/>
      <c r="I514" s="312"/>
      <c r="J514" s="312"/>
      <c r="K514" s="312"/>
      <c r="L514" s="312"/>
      <c r="M514" s="312"/>
      <c r="N514" s="312"/>
      <c r="O514" s="312"/>
      <c r="P514" s="312"/>
      <c r="Q514" s="312"/>
      <c r="R514" s="312"/>
      <c r="S514" s="312"/>
    </row>
    <row r="515" ht="12.75" spans="3:19">
      <c r="C515" s="312"/>
      <c r="D515" s="312"/>
      <c r="E515" s="312"/>
      <c r="F515" s="312"/>
      <c r="G515" s="312"/>
      <c r="H515" s="312"/>
      <c r="I515" s="312"/>
      <c r="J515" s="312"/>
      <c r="K515" s="312"/>
      <c r="L515" s="312"/>
      <c r="M515" s="312"/>
      <c r="N515" s="312"/>
      <c r="O515" s="312"/>
      <c r="P515" s="312"/>
      <c r="Q515" s="312"/>
      <c r="R515" s="312"/>
      <c r="S515" s="312"/>
    </row>
    <row r="516" ht="12.75" spans="3:19">
      <c r="C516" s="312"/>
      <c r="D516" s="312"/>
      <c r="E516" s="312"/>
      <c r="F516" s="312"/>
      <c r="G516" s="312"/>
      <c r="H516" s="312"/>
      <c r="I516" s="312"/>
      <c r="J516" s="312"/>
      <c r="K516" s="312"/>
      <c r="L516" s="312"/>
      <c r="M516" s="312"/>
      <c r="N516" s="312"/>
      <c r="O516" s="312"/>
      <c r="P516" s="312"/>
      <c r="Q516" s="312"/>
      <c r="R516" s="312"/>
      <c r="S516" s="312"/>
    </row>
    <row r="517" ht="12.75" spans="3:19">
      <c r="C517" s="312"/>
      <c r="D517" s="312"/>
      <c r="E517" s="312"/>
      <c r="F517" s="312"/>
      <c r="G517" s="312"/>
      <c r="H517" s="312"/>
      <c r="I517" s="312"/>
      <c r="J517" s="312"/>
      <c r="K517" s="312"/>
      <c r="L517" s="312"/>
      <c r="M517" s="312"/>
      <c r="N517" s="312"/>
      <c r="O517" s="312"/>
      <c r="P517" s="312"/>
      <c r="Q517" s="312"/>
      <c r="R517" s="312"/>
      <c r="S517" s="312"/>
    </row>
    <row r="518" ht="12.75" spans="3:19">
      <c r="C518" s="312"/>
      <c r="D518" s="312"/>
      <c r="E518" s="312"/>
      <c r="F518" s="312"/>
      <c r="G518" s="312"/>
      <c r="H518" s="312"/>
      <c r="I518" s="312"/>
      <c r="J518" s="312"/>
      <c r="K518" s="312"/>
      <c r="L518" s="312"/>
      <c r="M518" s="312"/>
      <c r="N518" s="312"/>
      <c r="O518" s="312"/>
      <c r="P518" s="312"/>
      <c r="Q518" s="312"/>
      <c r="R518" s="312"/>
      <c r="S518" s="312"/>
    </row>
    <row r="519" ht="12.75" spans="3:19">
      <c r="C519" s="312"/>
      <c r="D519" s="312"/>
      <c r="E519" s="312"/>
      <c r="F519" s="312"/>
      <c r="G519" s="312"/>
      <c r="H519" s="312"/>
      <c r="I519" s="312"/>
      <c r="J519" s="312"/>
      <c r="K519" s="312"/>
      <c r="L519" s="312"/>
      <c r="M519" s="312"/>
      <c r="N519" s="312"/>
      <c r="O519" s="312"/>
      <c r="P519" s="312"/>
      <c r="Q519" s="312"/>
      <c r="R519" s="312"/>
      <c r="S519" s="312"/>
    </row>
    <row r="520" ht="12.75" spans="3:19">
      <c r="C520" s="312"/>
      <c r="D520" s="312"/>
      <c r="E520" s="312"/>
      <c r="F520" s="312"/>
      <c r="G520" s="312"/>
      <c r="H520" s="312"/>
      <c r="I520" s="312"/>
      <c r="J520" s="312"/>
      <c r="K520" s="312"/>
      <c r="L520" s="312"/>
      <c r="M520" s="312"/>
      <c r="N520" s="312"/>
      <c r="O520" s="312"/>
      <c r="P520" s="312"/>
      <c r="Q520" s="312"/>
      <c r="R520" s="312"/>
      <c r="S520" s="312"/>
    </row>
    <row r="521" ht="12.75" spans="3:19">
      <c r="C521" s="312"/>
      <c r="D521" s="312"/>
      <c r="E521" s="312"/>
      <c r="F521" s="312"/>
      <c r="G521" s="312"/>
      <c r="H521" s="312"/>
      <c r="I521" s="312"/>
      <c r="J521" s="312"/>
      <c r="K521" s="312"/>
      <c r="L521" s="312"/>
      <c r="M521" s="312"/>
      <c r="N521" s="312"/>
      <c r="O521" s="312"/>
      <c r="P521" s="312"/>
      <c r="Q521" s="312"/>
      <c r="R521" s="312"/>
      <c r="S521" s="312"/>
    </row>
    <row r="522" ht="12.75" spans="3:19">
      <c r="C522" s="312"/>
      <c r="D522" s="312"/>
      <c r="E522" s="312"/>
      <c r="F522" s="312"/>
      <c r="G522" s="312"/>
      <c r="H522" s="312"/>
      <c r="I522" s="312"/>
      <c r="J522" s="312"/>
      <c r="K522" s="312"/>
      <c r="L522" s="312"/>
      <c r="M522" s="312"/>
      <c r="N522" s="312"/>
      <c r="O522" s="312"/>
      <c r="P522" s="312"/>
      <c r="Q522" s="312"/>
      <c r="R522" s="312"/>
      <c r="S522" s="312"/>
    </row>
    <row r="523" ht="12.75" spans="3:19">
      <c r="C523" s="312"/>
      <c r="D523" s="312"/>
      <c r="E523" s="312"/>
      <c r="F523" s="312"/>
      <c r="G523" s="312"/>
      <c r="H523" s="312"/>
      <c r="I523" s="312"/>
      <c r="J523" s="312"/>
      <c r="K523" s="312"/>
      <c r="L523" s="312"/>
      <c r="M523" s="312"/>
      <c r="N523" s="312"/>
      <c r="O523" s="312"/>
      <c r="P523" s="312"/>
      <c r="Q523" s="312"/>
      <c r="R523" s="312"/>
      <c r="S523" s="312"/>
    </row>
    <row r="524" ht="12.75" spans="3:19">
      <c r="C524" s="312"/>
      <c r="D524" s="312"/>
      <c r="E524" s="312"/>
      <c r="F524" s="312"/>
      <c r="G524" s="312"/>
      <c r="H524" s="312"/>
      <c r="I524" s="312"/>
      <c r="J524" s="312"/>
      <c r="K524" s="312"/>
      <c r="L524" s="312"/>
      <c r="M524" s="312"/>
      <c r="N524" s="312"/>
      <c r="O524" s="312"/>
      <c r="P524" s="312"/>
      <c r="Q524" s="312"/>
      <c r="R524" s="312"/>
      <c r="S524" s="312"/>
    </row>
    <row r="525" ht="12.75" spans="3:19">
      <c r="C525" s="312"/>
      <c r="D525" s="312"/>
      <c r="E525" s="312"/>
      <c r="F525" s="312"/>
      <c r="G525" s="312"/>
      <c r="H525" s="312"/>
      <c r="I525" s="312"/>
      <c r="J525" s="312"/>
      <c r="K525" s="312"/>
      <c r="L525" s="312"/>
      <c r="M525" s="312"/>
      <c r="N525" s="312"/>
      <c r="O525" s="312"/>
      <c r="P525" s="312"/>
      <c r="Q525" s="312"/>
      <c r="R525" s="312"/>
      <c r="S525" s="312"/>
    </row>
    <row r="526" ht="12.75" spans="3:19">
      <c r="C526" s="312"/>
      <c r="D526" s="312"/>
      <c r="E526" s="312"/>
      <c r="F526" s="312"/>
      <c r="G526" s="312"/>
      <c r="H526" s="312"/>
      <c r="I526" s="312"/>
      <c r="J526" s="312"/>
      <c r="K526" s="312"/>
      <c r="L526" s="312"/>
      <c r="M526" s="312"/>
      <c r="N526" s="312"/>
      <c r="O526" s="312"/>
      <c r="P526" s="312"/>
      <c r="Q526" s="312"/>
      <c r="R526" s="312"/>
      <c r="S526" s="312"/>
    </row>
    <row r="527" ht="12.75" spans="3:19">
      <c r="C527" s="312"/>
      <c r="D527" s="312"/>
      <c r="E527" s="312"/>
      <c r="F527" s="312"/>
      <c r="G527" s="312"/>
      <c r="H527" s="312"/>
      <c r="I527" s="312"/>
      <c r="J527" s="312"/>
      <c r="K527" s="312"/>
      <c r="L527" s="312"/>
      <c r="M527" s="312"/>
      <c r="N527" s="312"/>
      <c r="O527" s="312"/>
      <c r="P527" s="312"/>
      <c r="Q527" s="312"/>
      <c r="R527" s="312"/>
      <c r="S527" s="312"/>
    </row>
    <row r="528" ht="12.75" spans="3:19">
      <c r="C528" s="312"/>
      <c r="D528" s="312"/>
      <c r="E528" s="312"/>
      <c r="F528" s="312"/>
      <c r="G528" s="312"/>
      <c r="H528" s="312"/>
      <c r="I528" s="312"/>
      <c r="J528" s="312"/>
      <c r="K528" s="312"/>
      <c r="L528" s="312"/>
      <c r="M528" s="312"/>
      <c r="N528" s="312"/>
      <c r="O528" s="312"/>
      <c r="P528" s="312"/>
      <c r="Q528" s="312"/>
      <c r="R528" s="312"/>
      <c r="S528" s="312"/>
    </row>
    <row r="529" ht="12.75" spans="3:19">
      <c r="C529" s="312"/>
      <c r="D529" s="312"/>
      <c r="E529" s="312"/>
      <c r="F529" s="312"/>
      <c r="G529" s="312"/>
      <c r="H529" s="312"/>
      <c r="I529" s="312"/>
      <c r="J529" s="312"/>
      <c r="K529" s="312"/>
      <c r="L529" s="312"/>
      <c r="M529" s="312"/>
      <c r="N529" s="312"/>
      <c r="O529" s="312"/>
      <c r="P529" s="312"/>
      <c r="Q529" s="312"/>
      <c r="R529" s="312"/>
      <c r="S529" s="312"/>
    </row>
    <row r="530" ht="12.75" spans="3:19">
      <c r="C530" s="312"/>
      <c r="D530" s="312"/>
      <c r="E530" s="312"/>
      <c r="F530" s="312"/>
      <c r="G530" s="312"/>
      <c r="H530" s="312"/>
      <c r="I530" s="312"/>
      <c r="J530" s="312"/>
      <c r="K530" s="312"/>
      <c r="L530" s="312"/>
      <c r="M530" s="312"/>
      <c r="N530" s="312"/>
      <c r="O530" s="312"/>
      <c r="P530" s="312"/>
      <c r="Q530" s="312"/>
      <c r="R530" s="312"/>
      <c r="S530" s="312"/>
    </row>
    <row r="531" ht="12.75" spans="3:19">
      <c r="C531" s="312"/>
      <c r="D531" s="312"/>
      <c r="E531" s="312"/>
      <c r="F531" s="312"/>
      <c r="G531" s="312"/>
      <c r="H531" s="312"/>
      <c r="I531" s="312"/>
      <c r="J531" s="312"/>
      <c r="K531" s="312"/>
      <c r="L531" s="312"/>
      <c r="M531" s="312"/>
      <c r="N531" s="312"/>
      <c r="O531" s="312"/>
      <c r="P531" s="312"/>
      <c r="Q531" s="312"/>
      <c r="R531" s="312"/>
      <c r="S531" s="312"/>
    </row>
    <row r="532" ht="12.75" spans="3:19">
      <c r="C532" s="312"/>
      <c r="D532" s="312"/>
      <c r="E532" s="312"/>
      <c r="F532" s="312"/>
      <c r="G532" s="312"/>
      <c r="H532" s="312"/>
      <c r="I532" s="312"/>
      <c r="J532" s="312"/>
      <c r="K532" s="312"/>
      <c r="L532" s="312"/>
      <c r="M532" s="312"/>
      <c r="N532" s="312"/>
      <c r="O532" s="312"/>
      <c r="P532" s="312"/>
      <c r="Q532" s="312"/>
      <c r="R532" s="312"/>
      <c r="S532" s="312"/>
    </row>
    <row r="533" ht="12.75" spans="3:19">
      <c r="C533" s="312"/>
      <c r="D533" s="312"/>
      <c r="E533" s="312"/>
      <c r="F533" s="312"/>
      <c r="G533" s="312"/>
      <c r="H533" s="312"/>
      <c r="I533" s="312"/>
      <c r="J533" s="312"/>
      <c r="K533" s="312"/>
      <c r="L533" s="312"/>
      <c r="M533" s="312"/>
      <c r="N533" s="312"/>
      <c r="O533" s="312"/>
      <c r="P533" s="312"/>
      <c r="Q533" s="312"/>
      <c r="R533" s="312"/>
      <c r="S533" s="312"/>
    </row>
    <row r="534" ht="12.75" spans="3:19">
      <c r="C534" s="312"/>
      <c r="D534" s="312"/>
      <c r="E534" s="312"/>
      <c r="F534" s="312"/>
      <c r="G534" s="312"/>
      <c r="H534" s="312"/>
      <c r="I534" s="312"/>
      <c r="J534" s="312"/>
      <c r="K534" s="312"/>
      <c r="L534" s="312"/>
      <c r="M534" s="312"/>
      <c r="N534" s="312"/>
      <c r="O534" s="312"/>
      <c r="P534" s="312"/>
      <c r="Q534" s="312"/>
      <c r="R534" s="312"/>
      <c r="S534" s="312"/>
    </row>
    <row r="535" ht="12.75" spans="3:19">
      <c r="C535" s="312"/>
      <c r="D535" s="312"/>
      <c r="E535" s="312"/>
      <c r="F535" s="312"/>
      <c r="G535" s="312"/>
      <c r="H535" s="312"/>
      <c r="I535" s="312"/>
      <c r="J535" s="312"/>
      <c r="K535" s="312"/>
      <c r="L535" s="312"/>
      <c r="M535" s="312"/>
      <c r="N535" s="312"/>
      <c r="O535" s="312"/>
      <c r="P535" s="312"/>
      <c r="Q535" s="312"/>
      <c r="R535" s="312"/>
      <c r="S535" s="312"/>
    </row>
    <row r="536" ht="12.75" spans="3:19">
      <c r="C536" s="312"/>
      <c r="D536" s="312"/>
      <c r="E536" s="312"/>
      <c r="F536" s="312"/>
      <c r="G536" s="312"/>
      <c r="H536" s="312"/>
      <c r="I536" s="312"/>
      <c r="J536" s="312"/>
      <c r="K536" s="312"/>
      <c r="L536" s="312"/>
      <c r="M536" s="312"/>
      <c r="N536" s="312"/>
      <c r="O536" s="312"/>
      <c r="P536" s="312"/>
      <c r="Q536" s="312"/>
      <c r="R536" s="312"/>
      <c r="S536" s="312"/>
    </row>
    <row r="537" ht="12.75" spans="3:19">
      <c r="C537" s="312"/>
      <c r="D537" s="312"/>
      <c r="E537" s="312"/>
      <c r="F537" s="312"/>
      <c r="G537" s="312"/>
      <c r="H537" s="312"/>
      <c r="I537" s="312"/>
      <c r="J537" s="312"/>
      <c r="K537" s="312"/>
      <c r="L537" s="312"/>
      <c r="M537" s="312"/>
      <c r="N537" s="312"/>
      <c r="O537" s="312"/>
      <c r="P537" s="312"/>
      <c r="Q537" s="312"/>
      <c r="R537" s="312"/>
      <c r="S537" s="312"/>
    </row>
    <row r="538" ht="12.75" spans="3:19">
      <c r="C538" s="312"/>
      <c r="D538" s="312"/>
      <c r="E538" s="312"/>
      <c r="F538" s="312"/>
      <c r="G538" s="312"/>
      <c r="H538" s="312"/>
      <c r="I538" s="312"/>
      <c r="J538" s="312"/>
      <c r="K538" s="312"/>
      <c r="L538" s="312"/>
      <c r="M538" s="312"/>
      <c r="N538" s="312"/>
      <c r="O538" s="312"/>
      <c r="P538" s="312"/>
      <c r="Q538" s="312"/>
      <c r="R538" s="312"/>
      <c r="S538" s="312"/>
    </row>
    <row r="539" ht="12.75" spans="3:19">
      <c r="C539" s="312"/>
      <c r="D539" s="312"/>
      <c r="E539" s="312"/>
      <c r="F539" s="312"/>
      <c r="G539" s="312"/>
      <c r="H539" s="312"/>
      <c r="I539" s="312"/>
      <c r="J539" s="312"/>
      <c r="K539" s="312"/>
      <c r="L539" s="312"/>
      <c r="M539" s="312"/>
      <c r="N539" s="312"/>
      <c r="O539" s="312"/>
      <c r="P539" s="312"/>
      <c r="Q539" s="312"/>
      <c r="R539" s="312"/>
      <c r="S539" s="312"/>
    </row>
    <row r="540" ht="12.75" spans="3:19">
      <c r="C540" s="312"/>
      <c r="D540" s="312"/>
      <c r="E540" s="312"/>
      <c r="F540" s="312"/>
      <c r="G540" s="312"/>
      <c r="H540" s="312"/>
      <c r="I540" s="312"/>
      <c r="J540" s="312"/>
      <c r="K540" s="312"/>
      <c r="L540" s="312"/>
      <c r="M540" s="312"/>
      <c r="N540" s="312"/>
      <c r="O540" s="312"/>
      <c r="P540" s="312"/>
      <c r="Q540" s="312"/>
      <c r="R540" s="312"/>
      <c r="S540" s="312"/>
    </row>
    <row r="541" ht="12.75" spans="3:19">
      <c r="C541" s="312"/>
      <c r="D541" s="312"/>
      <c r="E541" s="312"/>
      <c r="F541" s="312"/>
      <c r="G541" s="312"/>
      <c r="H541" s="312"/>
      <c r="I541" s="312"/>
      <c r="J541" s="312"/>
      <c r="K541" s="312"/>
      <c r="L541" s="312"/>
      <c r="M541" s="312"/>
      <c r="N541" s="312"/>
      <c r="O541" s="312"/>
      <c r="P541" s="312"/>
      <c r="Q541" s="312"/>
      <c r="R541" s="312"/>
      <c r="S541" s="312"/>
    </row>
    <row r="542" ht="12.75" spans="3:19">
      <c r="C542" s="312"/>
      <c r="D542" s="312"/>
      <c r="E542" s="312"/>
      <c r="F542" s="312"/>
      <c r="G542" s="312"/>
      <c r="H542" s="312"/>
      <c r="I542" s="312"/>
      <c r="J542" s="312"/>
      <c r="K542" s="312"/>
      <c r="L542" s="312"/>
      <c r="M542" s="312"/>
      <c r="N542" s="312"/>
      <c r="O542" s="312"/>
      <c r="P542" s="312"/>
      <c r="Q542" s="312"/>
      <c r="R542" s="312"/>
      <c r="S542" s="312"/>
    </row>
    <row r="543" ht="12.75" spans="3:19">
      <c r="C543" s="312"/>
      <c r="D543" s="312"/>
      <c r="E543" s="312"/>
      <c r="F543" s="312"/>
      <c r="G543" s="312"/>
      <c r="H543" s="312"/>
      <c r="I543" s="312"/>
      <c r="J543" s="312"/>
      <c r="K543" s="312"/>
      <c r="L543" s="312"/>
      <c r="M543" s="312"/>
      <c r="N543" s="312"/>
      <c r="O543" s="312"/>
      <c r="P543" s="312"/>
      <c r="Q543" s="312"/>
      <c r="R543" s="312"/>
      <c r="S543" s="312"/>
    </row>
    <row r="544" ht="12.75" spans="3:19">
      <c r="C544" s="312"/>
      <c r="D544" s="312"/>
      <c r="E544" s="312"/>
      <c r="F544" s="312"/>
      <c r="G544" s="312"/>
      <c r="H544" s="312"/>
      <c r="I544" s="312"/>
      <c r="J544" s="312"/>
      <c r="K544" s="312"/>
      <c r="L544" s="312"/>
      <c r="M544" s="312"/>
      <c r="N544" s="312"/>
      <c r="O544" s="312"/>
      <c r="P544" s="312"/>
      <c r="Q544" s="312"/>
      <c r="R544" s="312"/>
      <c r="S544" s="312"/>
    </row>
    <row r="545" ht="12.75" spans="3:19">
      <c r="C545" s="312"/>
      <c r="D545" s="312"/>
      <c r="E545" s="312"/>
      <c r="F545" s="312"/>
      <c r="G545" s="312"/>
      <c r="H545" s="312"/>
      <c r="I545" s="312"/>
      <c r="J545" s="312"/>
      <c r="K545" s="312"/>
      <c r="L545" s="312"/>
      <c r="M545" s="312"/>
      <c r="N545" s="312"/>
      <c r="O545" s="312"/>
      <c r="P545" s="312"/>
      <c r="Q545" s="312"/>
      <c r="R545" s="312"/>
      <c r="S545" s="312"/>
    </row>
    <row r="546" ht="12.75" spans="3:19">
      <c r="C546" s="312"/>
      <c r="D546" s="312"/>
      <c r="E546" s="312"/>
      <c r="F546" s="312"/>
      <c r="G546" s="312"/>
      <c r="H546" s="312"/>
      <c r="I546" s="312"/>
      <c r="J546" s="312"/>
      <c r="K546" s="312"/>
      <c r="L546" s="312"/>
      <c r="M546" s="312"/>
      <c r="N546" s="312"/>
      <c r="O546" s="312"/>
      <c r="P546" s="312"/>
      <c r="Q546" s="312"/>
      <c r="R546" s="312"/>
      <c r="S546" s="312"/>
    </row>
    <row r="547" ht="12.75" spans="3:19">
      <c r="C547" s="312"/>
      <c r="D547" s="312"/>
      <c r="E547" s="312"/>
      <c r="F547" s="312"/>
      <c r="G547" s="312"/>
      <c r="H547" s="312"/>
      <c r="I547" s="312"/>
      <c r="J547" s="312"/>
      <c r="K547" s="312"/>
      <c r="L547" s="312"/>
      <c r="M547" s="312"/>
      <c r="N547" s="312"/>
      <c r="O547" s="312"/>
      <c r="P547" s="312"/>
      <c r="Q547" s="312"/>
      <c r="R547" s="312"/>
      <c r="S547" s="312"/>
    </row>
    <row r="548" ht="12.75" spans="3:19">
      <c r="C548" s="312"/>
      <c r="D548" s="312"/>
      <c r="E548" s="312"/>
      <c r="F548" s="312"/>
      <c r="G548" s="312"/>
      <c r="H548" s="312"/>
      <c r="I548" s="312"/>
      <c r="J548" s="312"/>
      <c r="K548" s="312"/>
      <c r="L548" s="312"/>
      <c r="M548" s="312"/>
      <c r="N548" s="312"/>
      <c r="O548" s="312"/>
      <c r="P548" s="312"/>
      <c r="Q548" s="312"/>
      <c r="R548" s="312"/>
      <c r="S548" s="312"/>
    </row>
    <row r="549" ht="12.75" spans="3:19">
      <c r="C549" s="312"/>
      <c r="D549" s="312"/>
      <c r="E549" s="312"/>
      <c r="F549" s="312"/>
      <c r="G549" s="312"/>
      <c r="H549" s="312"/>
      <c r="I549" s="312"/>
      <c r="J549" s="312"/>
      <c r="K549" s="312"/>
      <c r="L549" s="312"/>
      <c r="M549" s="312"/>
      <c r="N549" s="312"/>
      <c r="O549" s="312"/>
      <c r="P549" s="312"/>
      <c r="Q549" s="312"/>
      <c r="R549" s="312"/>
      <c r="S549" s="312"/>
    </row>
    <row r="550" ht="12.75" spans="3:19">
      <c r="C550" s="312"/>
      <c r="D550" s="312"/>
      <c r="E550" s="312"/>
      <c r="F550" s="312"/>
      <c r="G550" s="312"/>
      <c r="H550" s="312"/>
      <c r="I550" s="312"/>
      <c r="J550" s="312"/>
      <c r="K550" s="312"/>
      <c r="L550" s="312"/>
      <c r="M550" s="312"/>
      <c r="N550" s="312"/>
      <c r="O550" s="312"/>
      <c r="P550" s="312"/>
      <c r="Q550" s="312"/>
      <c r="R550" s="312"/>
      <c r="S550" s="312"/>
    </row>
    <row r="551" ht="12.75" spans="3:19">
      <c r="C551" s="312"/>
      <c r="D551" s="312"/>
      <c r="E551" s="312"/>
      <c r="F551" s="312"/>
      <c r="G551" s="312"/>
      <c r="H551" s="312"/>
      <c r="I551" s="312"/>
      <c r="J551" s="312"/>
      <c r="K551" s="312"/>
      <c r="L551" s="312"/>
      <c r="M551" s="312"/>
      <c r="N551" s="312"/>
      <c r="O551" s="312"/>
      <c r="P551" s="312"/>
      <c r="Q551" s="312"/>
      <c r="R551" s="312"/>
      <c r="S551" s="312"/>
    </row>
    <row r="552" ht="12.75" spans="3:19">
      <c r="C552" s="312"/>
      <c r="D552" s="312"/>
      <c r="E552" s="312"/>
      <c r="F552" s="312"/>
      <c r="G552" s="312"/>
      <c r="H552" s="312"/>
      <c r="I552" s="312"/>
      <c r="J552" s="312"/>
      <c r="K552" s="312"/>
      <c r="L552" s="312"/>
      <c r="M552" s="312"/>
      <c r="N552" s="312"/>
      <c r="O552" s="312"/>
      <c r="P552" s="312"/>
      <c r="Q552" s="312"/>
      <c r="R552" s="312"/>
      <c r="S552" s="312"/>
    </row>
    <row r="553" ht="12.75" spans="3:19">
      <c r="C553" s="312"/>
      <c r="D553" s="312"/>
      <c r="E553" s="312"/>
      <c r="F553" s="312"/>
      <c r="G553" s="312"/>
      <c r="H553" s="312"/>
      <c r="I553" s="312"/>
      <c r="J553" s="312"/>
      <c r="K553" s="312"/>
      <c r="L553" s="312"/>
      <c r="M553" s="312"/>
      <c r="N553" s="312"/>
      <c r="O553" s="312"/>
      <c r="P553" s="312"/>
      <c r="Q553" s="312"/>
      <c r="R553" s="312"/>
      <c r="S553" s="312"/>
    </row>
    <row r="554" ht="12.75" spans="3:19">
      <c r="C554" s="312"/>
      <c r="D554" s="312"/>
      <c r="E554" s="312"/>
      <c r="F554" s="312"/>
      <c r="G554" s="312"/>
      <c r="H554" s="312"/>
      <c r="I554" s="312"/>
      <c r="J554" s="312"/>
      <c r="K554" s="312"/>
      <c r="L554" s="312"/>
      <c r="M554" s="312"/>
      <c r="N554" s="312"/>
      <c r="O554" s="312"/>
      <c r="P554" s="312"/>
      <c r="Q554" s="312"/>
      <c r="R554" s="312"/>
      <c r="S554" s="312"/>
    </row>
    <row r="555" ht="12.75" spans="3:19">
      <c r="C555" s="312"/>
      <c r="D555" s="312"/>
      <c r="E555" s="312"/>
      <c r="F555" s="312"/>
      <c r="G555" s="312"/>
      <c r="H555" s="312"/>
      <c r="I555" s="312"/>
      <c r="J555" s="312"/>
      <c r="K555" s="312"/>
      <c r="L555" s="312"/>
      <c r="M555" s="312"/>
      <c r="N555" s="312"/>
      <c r="O555" s="312"/>
      <c r="P555" s="312"/>
      <c r="Q555" s="312"/>
      <c r="R555" s="312"/>
      <c r="S555" s="312"/>
    </row>
    <row r="556" ht="12.75" spans="3:19">
      <c r="C556" s="312"/>
      <c r="D556" s="312"/>
      <c r="E556" s="312"/>
      <c r="F556" s="312"/>
      <c r="G556" s="312"/>
      <c r="H556" s="312"/>
      <c r="I556" s="312"/>
      <c r="J556" s="312"/>
      <c r="K556" s="312"/>
      <c r="L556" s="312"/>
      <c r="M556" s="312"/>
      <c r="N556" s="312"/>
      <c r="O556" s="312"/>
      <c r="P556" s="312"/>
      <c r="Q556" s="312"/>
      <c r="R556" s="312"/>
      <c r="S556" s="312"/>
    </row>
    <row r="557" ht="12.75" spans="3:19">
      <c r="C557" s="312"/>
      <c r="D557" s="312"/>
      <c r="E557" s="312"/>
      <c r="F557" s="312"/>
      <c r="G557" s="312"/>
      <c r="H557" s="312"/>
      <c r="I557" s="312"/>
      <c r="J557" s="312"/>
      <c r="K557" s="312"/>
      <c r="L557" s="312"/>
      <c r="M557" s="312"/>
      <c r="N557" s="312"/>
      <c r="O557" s="312"/>
      <c r="P557" s="312"/>
      <c r="Q557" s="312"/>
      <c r="R557" s="312"/>
      <c r="S557" s="312"/>
    </row>
    <row r="558" ht="12.75" spans="3:19">
      <c r="C558" s="312"/>
      <c r="D558" s="312"/>
      <c r="E558" s="312"/>
      <c r="F558" s="312"/>
      <c r="G558" s="312"/>
      <c r="H558" s="312"/>
      <c r="I558" s="312"/>
      <c r="J558" s="312"/>
      <c r="K558" s="312"/>
      <c r="L558" s="312"/>
      <c r="M558" s="312"/>
      <c r="N558" s="312"/>
      <c r="O558" s="312"/>
      <c r="P558" s="312"/>
      <c r="Q558" s="312"/>
      <c r="R558" s="312"/>
      <c r="S558" s="312"/>
    </row>
    <row r="559" ht="12.75" spans="3:19">
      <c r="C559" s="312"/>
      <c r="D559" s="312"/>
      <c r="E559" s="312"/>
      <c r="F559" s="312"/>
      <c r="G559" s="312"/>
      <c r="H559" s="312"/>
      <c r="I559" s="312"/>
      <c r="J559" s="312"/>
      <c r="K559" s="312"/>
      <c r="L559" s="312"/>
      <c r="M559" s="312"/>
      <c r="N559" s="312"/>
      <c r="O559" s="312"/>
      <c r="P559" s="312"/>
      <c r="Q559" s="312"/>
      <c r="R559" s="312"/>
      <c r="S559" s="312"/>
    </row>
    <row r="560" ht="12.75" spans="3:19">
      <c r="C560" s="312"/>
      <c r="D560" s="312"/>
      <c r="E560" s="312"/>
      <c r="F560" s="312"/>
      <c r="G560" s="312"/>
      <c r="H560" s="312"/>
      <c r="I560" s="312"/>
      <c r="J560" s="312"/>
      <c r="K560" s="312"/>
      <c r="L560" s="312"/>
      <c r="M560" s="312"/>
      <c r="N560" s="312"/>
      <c r="O560" s="312"/>
      <c r="P560" s="312"/>
      <c r="Q560" s="312"/>
      <c r="R560" s="312"/>
      <c r="S560" s="312"/>
    </row>
    <row r="561" ht="12.75" spans="3:19">
      <c r="C561" s="312"/>
      <c r="D561" s="312"/>
      <c r="E561" s="312"/>
      <c r="F561" s="312"/>
      <c r="G561" s="312"/>
      <c r="H561" s="312"/>
      <c r="I561" s="312"/>
      <c r="J561" s="312"/>
      <c r="K561" s="312"/>
      <c r="L561" s="312"/>
      <c r="M561" s="312"/>
      <c r="N561" s="312"/>
      <c r="O561" s="312"/>
      <c r="P561" s="312"/>
      <c r="Q561" s="312"/>
      <c r="R561" s="312"/>
      <c r="S561" s="312"/>
    </row>
    <row r="562" ht="12.75" spans="3:19">
      <c r="C562" s="312"/>
      <c r="D562" s="312"/>
      <c r="E562" s="312"/>
      <c r="F562" s="312"/>
      <c r="G562" s="312"/>
      <c r="H562" s="312"/>
      <c r="I562" s="312"/>
      <c r="J562" s="312"/>
      <c r="K562" s="312"/>
      <c r="L562" s="312"/>
      <c r="M562" s="312"/>
      <c r="N562" s="312"/>
      <c r="O562" s="312"/>
      <c r="P562" s="312"/>
      <c r="Q562" s="312"/>
      <c r="R562" s="312"/>
      <c r="S562" s="312"/>
    </row>
    <row r="563" ht="12.75" spans="3:19">
      <c r="C563" s="312"/>
      <c r="D563" s="312"/>
      <c r="E563" s="312"/>
      <c r="F563" s="312"/>
      <c r="G563" s="312"/>
      <c r="H563" s="312"/>
      <c r="I563" s="312"/>
      <c r="J563" s="312"/>
      <c r="K563" s="312"/>
      <c r="L563" s="312"/>
      <c r="M563" s="312"/>
      <c r="N563" s="312"/>
      <c r="O563" s="312"/>
      <c r="P563" s="312"/>
      <c r="Q563" s="312"/>
      <c r="R563" s="312"/>
      <c r="S563" s="312"/>
    </row>
    <row r="564" ht="12.75" spans="3:19">
      <c r="C564" s="312"/>
      <c r="D564" s="312"/>
      <c r="E564" s="312"/>
      <c r="F564" s="312"/>
      <c r="G564" s="312"/>
      <c r="H564" s="312"/>
      <c r="I564" s="312"/>
      <c r="J564" s="312"/>
      <c r="K564" s="312"/>
      <c r="L564" s="312"/>
      <c r="M564" s="312"/>
      <c r="N564" s="312"/>
      <c r="O564" s="312"/>
      <c r="P564" s="312"/>
      <c r="Q564" s="312"/>
      <c r="R564" s="312"/>
      <c r="S564" s="312"/>
    </row>
    <row r="565" ht="12.75" spans="3:19">
      <c r="C565" s="312"/>
      <c r="D565" s="312"/>
      <c r="E565" s="312"/>
      <c r="F565" s="312"/>
      <c r="G565" s="312"/>
      <c r="H565" s="312"/>
      <c r="I565" s="312"/>
      <c r="J565" s="312"/>
      <c r="K565" s="312"/>
      <c r="L565" s="312"/>
      <c r="M565" s="312"/>
      <c r="N565" s="312"/>
      <c r="O565" s="312"/>
      <c r="P565" s="312"/>
      <c r="Q565" s="312"/>
      <c r="R565" s="312"/>
      <c r="S565" s="312"/>
    </row>
    <row r="566" ht="12.75" spans="3:19">
      <c r="C566" s="312"/>
      <c r="D566" s="312"/>
      <c r="E566" s="312"/>
      <c r="F566" s="312"/>
      <c r="G566" s="312"/>
      <c r="H566" s="312"/>
      <c r="I566" s="312"/>
      <c r="J566" s="312"/>
      <c r="K566" s="312"/>
      <c r="L566" s="312"/>
      <c r="M566" s="312"/>
      <c r="N566" s="312"/>
      <c r="O566" s="312"/>
      <c r="P566" s="312"/>
      <c r="Q566" s="312"/>
      <c r="R566" s="312"/>
      <c r="S566" s="312"/>
    </row>
    <row r="567" ht="12.75" spans="3:19">
      <c r="C567" s="312"/>
      <c r="D567" s="312"/>
      <c r="E567" s="312"/>
      <c r="F567" s="312"/>
      <c r="G567" s="312"/>
      <c r="H567" s="312"/>
      <c r="I567" s="312"/>
      <c r="J567" s="312"/>
      <c r="K567" s="312"/>
      <c r="L567" s="312"/>
      <c r="M567" s="312"/>
      <c r="N567" s="312"/>
      <c r="O567" s="312"/>
      <c r="P567" s="312"/>
      <c r="Q567" s="312"/>
      <c r="R567" s="312"/>
      <c r="S567" s="312"/>
    </row>
    <row r="568" ht="12.75" spans="3:19">
      <c r="C568" s="312"/>
      <c r="D568" s="312"/>
      <c r="E568" s="312"/>
      <c r="F568" s="312"/>
      <c r="G568" s="312"/>
      <c r="H568" s="312"/>
      <c r="I568" s="312"/>
      <c r="J568" s="312"/>
      <c r="K568" s="312"/>
      <c r="L568" s="312"/>
      <c r="M568" s="312"/>
      <c r="N568" s="312"/>
      <c r="O568" s="312"/>
      <c r="P568" s="312"/>
      <c r="Q568" s="312"/>
      <c r="R568" s="312"/>
      <c r="S568" s="312"/>
    </row>
    <row r="569" ht="12.75" spans="3:19">
      <c r="C569" s="312"/>
      <c r="D569" s="312"/>
      <c r="E569" s="312"/>
      <c r="F569" s="312"/>
      <c r="G569" s="312"/>
      <c r="H569" s="312"/>
      <c r="I569" s="312"/>
      <c r="J569" s="312"/>
      <c r="K569" s="312"/>
      <c r="L569" s="312"/>
      <c r="M569" s="312"/>
      <c r="N569" s="312"/>
      <c r="O569" s="312"/>
      <c r="P569" s="312"/>
      <c r="Q569" s="312"/>
      <c r="R569" s="312"/>
      <c r="S569" s="312"/>
    </row>
    <row r="570" ht="12.75" spans="3:19">
      <c r="C570" s="312"/>
      <c r="D570" s="312"/>
      <c r="E570" s="312"/>
      <c r="F570" s="312"/>
      <c r="G570" s="312"/>
      <c r="H570" s="312"/>
      <c r="I570" s="312"/>
      <c r="J570" s="312"/>
      <c r="K570" s="312"/>
      <c r="L570" s="312"/>
      <c r="M570" s="312"/>
      <c r="N570" s="312"/>
      <c r="O570" s="312"/>
      <c r="P570" s="312"/>
      <c r="Q570" s="312"/>
      <c r="R570" s="312"/>
      <c r="S570" s="312"/>
    </row>
    <row r="571" ht="12.75" spans="3:19">
      <c r="C571" s="312"/>
      <c r="D571" s="312"/>
      <c r="E571" s="312"/>
      <c r="F571" s="312"/>
      <c r="G571" s="312"/>
      <c r="H571" s="312"/>
      <c r="I571" s="312"/>
      <c r="J571" s="312"/>
      <c r="K571" s="312"/>
      <c r="L571" s="312"/>
      <c r="M571" s="312"/>
      <c r="N571" s="312"/>
      <c r="O571" s="312"/>
      <c r="P571" s="312"/>
      <c r="Q571" s="312"/>
      <c r="R571" s="312"/>
      <c r="S571" s="312"/>
    </row>
    <row r="572" ht="12.75" spans="3:19">
      <c r="C572" s="312"/>
      <c r="D572" s="312"/>
      <c r="E572" s="312"/>
      <c r="F572" s="312"/>
      <c r="G572" s="312"/>
      <c r="H572" s="312"/>
      <c r="I572" s="312"/>
      <c r="J572" s="312"/>
      <c r="K572" s="312"/>
      <c r="L572" s="312"/>
      <c r="M572" s="312"/>
      <c r="N572" s="312"/>
      <c r="O572" s="312"/>
      <c r="P572" s="312"/>
      <c r="Q572" s="312"/>
      <c r="R572" s="312"/>
      <c r="S572" s="312"/>
    </row>
    <row r="573" ht="12.75" spans="3:19">
      <c r="C573" s="312"/>
      <c r="D573" s="312"/>
      <c r="E573" s="312"/>
      <c r="F573" s="312"/>
      <c r="G573" s="312"/>
      <c r="H573" s="312"/>
      <c r="I573" s="312"/>
      <c r="J573" s="312"/>
      <c r="K573" s="312"/>
      <c r="L573" s="312"/>
      <c r="M573" s="312"/>
      <c r="N573" s="312"/>
      <c r="O573" s="312"/>
      <c r="P573" s="312"/>
      <c r="Q573" s="312"/>
      <c r="R573" s="312"/>
      <c r="S573" s="312"/>
    </row>
    <row r="574" ht="12.75" spans="3:19">
      <c r="C574" s="312"/>
      <c r="D574" s="312"/>
      <c r="E574" s="312"/>
      <c r="F574" s="312"/>
      <c r="G574" s="312"/>
      <c r="H574" s="312"/>
      <c r="I574" s="312"/>
      <c r="J574" s="312"/>
      <c r="K574" s="312"/>
      <c r="L574" s="312"/>
      <c r="M574" s="312"/>
      <c r="N574" s="312"/>
      <c r="O574" s="312"/>
      <c r="P574" s="312"/>
      <c r="Q574" s="312"/>
      <c r="R574" s="312"/>
      <c r="S574" s="312"/>
    </row>
    <row r="575" ht="12.75" spans="3:19">
      <c r="C575" s="312"/>
      <c r="D575" s="312"/>
      <c r="E575" s="312"/>
      <c r="F575" s="312"/>
      <c r="G575" s="312"/>
      <c r="H575" s="312"/>
      <c r="I575" s="312"/>
      <c r="J575" s="312"/>
      <c r="K575" s="312"/>
      <c r="L575" s="312"/>
      <c r="M575" s="312"/>
      <c r="N575" s="312"/>
      <c r="O575" s="312"/>
      <c r="P575" s="312"/>
      <c r="Q575" s="312"/>
      <c r="R575" s="312"/>
      <c r="S575" s="312"/>
    </row>
    <row r="576" ht="12.75" spans="3:19">
      <c r="C576" s="312"/>
      <c r="D576" s="312"/>
      <c r="E576" s="312"/>
      <c r="F576" s="312"/>
      <c r="G576" s="312"/>
      <c r="H576" s="312"/>
      <c r="I576" s="312"/>
      <c r="J576" s="312"/>
      <c r="K576" s="312"/>
      <c r="L576" s="312"/>
      <c r="M576" s="312"/>
      <c r="N576" s="312"/>
      <c r="O576" s="312"/>
      <c r="P576" s="312"/>
      <c r="Q576" s="312"/>
      <c r="R576" s="312"/>
      <c r="S576" s="312"/>
    </row>
    <row r="577" ht="12.75" spans="3:19">
      <c r="C577" s="312"/>
      <c r="D577" s="312"/>
      <c r="E577" s="312"/>
      <c r="F577" s="312"/>
      <c r="G577" s="312"/>
      <c r="H577" s="312"/>
      <c r="I577" s="312"/>
      <c r="J577" s="312"/>
      <c r="K577" s="312"/>
      <c r="L577" s="312"/>
      <c r="M577" s="312"/>
      <c r="N577" s="312"/>
      <c r="O577" s="312"/>
      <c r="P577" s="312"/>
      <c r="Q577" s="312"/>
      <c r="R577" s="312"/>
      <c r="S577" s="312"/>
    </row>
    <row r="578" ht="12.75" spans="3:19">
      <c r="C578" s="312"/>
      <c r="D578" s="312"/>
      <c r="E578" s="312"/>
      <c r="F578" s="312"/>
      <c r="G578" s="312"/>
      <c r="H578" s="312"/>
      <c r="I578" s="312"/>
      <c r="J578" s="312"/>
      <c r="K578" s="312"/>
      <c r="L578" s="312"/>
      <c r="M578" s="312"/>
      <c r="N578" s="312"/>
      <c r="O578" s="312"/>
      <c r="P578" s="312"/>
      <c r="Q578" s="312"/>
      <c r="R578" s="312"/>
      <c r="S578" s="312"/>
    </row>
    <row r="579" ht="12.75" spans="3:19">
      <c r="C579" s="312"/>
      <c r="D579" s="312"/>
      <c r="E579" s="312"/>
      <c r="F579" s="312"/>
      <c r="G579" s="312"/>
      <c r="H579" s="312"/>
      <c r="I579" s="312"/>
      <c r="J579" s="312"/>
      <c r="K579" s="312"/>
      <c r="L579" s="312"/>
      <c r="M579" s="312"/>
      <c r="N579" s="312"/>
      <c r="O579" s="312"/>
      <c r="P579" s="312"/>
      <c r="Q579" s="312"/>
      <c r="R579" s="312"/>
      <c r="S579" s="312"/>
    </row>
    <row r="580" ht="12.75" spans="3:19">
      <c r="C580" s="312"/>
      <c r="D580" s="312"/>
      <c r="E580" s="312"/>
      <c r="F580" s="312"/>
      <c r="G580" s="312"/>
      <c r="H580" s="312"/>
      <c r="I580" s="312"/>
      <c r="J580" s="312"/>
      <c r="K580" s="312"/>
      <c r="L580" s="312"/>
      <c r="M580" s="312"/>
      <c r="N580" s="312"/>
      <c r="O580" s="312"/>
      <c r="P580" s="312"/>
      <c r="Q580" s="312"/>
      <c r="R580" s="312"/>
      <c r="S580" s="312"/>
    </row>
    <row r="581" ht="12.75" spans="3:19">
      <c r="C581" s="312"/>
      <c r="D581" s="312"/>
      <c r="E581" s="312"/>
      <c r="F581" s="312"/>
      <c r="G581" s="312"/>
      <c r="H581" s="312"/>
      <c r="I581" s="312"/>
      <c r="J581" s="312"/>
      <c r="K581" s="312"/>
      <c r="L581" s="312"/>
      <c r="M581" s="312"/>
      <c r="N581" s="312"/>
      <c r="O581" s="312"/>
      <c r="P581" s="312"/>
      <c r="Q581" s="312"/>
      <c r="R581" s="312"/>
      <c r="S581" s="312"/>
    </row>
    <row r="582" ht="12.75" spans="3:19">
      <c r="C582" s="312"/>
      <c r="D582" s="312"/>
      <c r="E582" s="312"/>
      <c r="F582" s="312"/>
      <c r="G582" s="312"/>
      <c r="H582" s="312"/>
      <c r="I582" s="312"/>
      <c r="J582" s="312"/>
      <c r="K582" s="312"/>
      <c r="L582" s="312"/>
      <c r="M582" s="312"/>
      <c r="N582" s="312"/>
      <c r="O582" s="312"/>
      <c r="P582" s="312"/>
      <c r="Q582" s="312"/>
      <c r="R582" s="312"/>
      <c r="S582" s="312"/>
    </row>
    <row r="583" ht="12.75" spans="3:19">
      <c r="C583" s="312"/>
      <c r="D583" s="312"/>
      <c r="E583" s="312"/>
      <c r="F583" s="312"/>
      <c r="G583" s="312"/>
      <c r="H583" s="312"/>
      <c r="I583" s="312"/>
      <c r="J583" s="312"/>
      <c r="K583" s="312"/>
      <c r="L583" s="312"/>
      <c r="M583" s="312"/>
      <c r="N583" s="312"/>
      <c r="O583" s="312"/>
      <c r="P583" s="312"/>
      <c r="Q583" s="312"/>
      <c r="R583" s="312"/>
      <c r="S583" s="312"/>
    </row>
    <row r="584" ht="12.75" spans="3:19">
      <c r="C584" s="312"/>
      <c r="D584" s="312"/>
      <c r="E584" s="312"/>
      <c r="F584" s="312"/>
      <c r="G584" s="312"/>
      <c r="H584" s="312"/>
      <c r="I584" s="312"/>
      <c r="J584" s="312"/>
      <c r="K584" s="312"/>
      <c r="L584" s="312"/>
      <c r="M584" s="312"/>
      <c r="N584" s="312"/>
      <c r="O584" s="312"/>
      <c r="P584" s="312"/>
      <c r="Q584" s="312"/>
      <c r="R584" s="312"/>
      <c r="S584" s="312"/>
    </row>
    <row r="585" ht="12.75" spans="3:19">
      <c r="C585" s="312"/>
      <c r="D585" s="312"/>
      <c r="E585" s="312"/>
      <c r="F585" s="312"/>
      <c r="G585" s="312"/>
      <c r="H585" s="312"/>
      <c r="I585" s="312"/>
      <c r="J585" s="312"/>
      <c r="K585" s="312"/>
      <c r="L585" s="312"/>
      <c r="M585" s="312"/>
      <c r="N585" s="312"/>
      <c r="O585" s="312"/>
      <c r="P585" s="312"/>
      <c r="Q585" s="312"/>
      <c r="R585" s="312"/>
      <c r="S585" s="312"/>
    </row>
    <row r="586" ht="12.75" spans="3:19">
      <c r="C586" s="312"/>
      <c r="D586" s="312"/>
      <c r="E586" s="312"/>
      <c r="F586" s="312"/>
      <c r="G586" s="312"/>
      <c r="H586" s="312"/>
      <c r="I586" s="312"/>
      <c r="J586" s="312"/>
      <c r="K586" s="312"/>
      <c r="L586" s="312"/>
      <c r="M586" s="312"/>
      <c r="N586" s="312"/>
      <c r="O586" s="312"/>
      <c r="P586" s="312"/>
      <c r="Q586" s="312"/>
      <c r="R586" s="312"/>
      <c r="S586" s="312"/>
    </row>
    <row r="587" ht="12.75" spans="3:19">
      <c r="C587" s="312"/>
      <c r="D587" s="312"/>
      <c r="E587" s="312"/>
      <c r="F587" s="312"/>
      <c r="G587" s="312"/>
      <c r="H587" s="312"/>
      <c r="I587" s="312"/>
      <c r="J587" s="312"/>
      <c r="K587" s="312"/>
      <c r="L587" s="312"/>
      <c r="M587" s="312"/>
      <c r="N587" s="312"/>
      <c r="O587" s="312"/>
      <c r="P587" s="312"/>
      <c r="Q587" s="312"/>
      <c r="R587" s="312"/>
      <c r="S587" s="312"/>
    </row>
    <row r="588" ht="12.75" spans="3:19">
      <c r="C588" s="312"/>
      <c r="D588" s="312"/>
      <c r="E588" s="312"/>
      <c r="F588" s="312"/>
      <c r="G588" s="312"/>
      <c r="H588" s="312"/>
      <c r="I588" s="312"/>
      <c r="J588" s="312"/>
      <c r="K588" s="312"/>
      <c r="L588" s="312"/>
      <c r="M588" s="312"/>
      <c r="N588" s="312"/>
      <c r="O588" s="312"/>
      <c r="P588" s="312"/>
      <c r="Q588" s="312"/>
      <c r="R588" s="312"/>
      <c r="S588" s="312"/>
    </row>
    <row r="589" ht="12.75" spans="3:19">
      <c r="C589" s="312"/>
      <c r="D589" s="312"/>
      <c r="E589" s="312"/>
      <c r="F589" s="312"/>
      <c r="G589" s="312"/>
      <c r="H589" s="312"/>
      <c r="I589" s="312"/>
      <c r="J589" s="312"/>
      <c r="K589" s="312"/>
      <c r="L589" s="312"/>
      <c r="M589" s="312"/>
      <c r="N589" s="312"/>
      <c r="O589" s="312"/>
      <c r="P589" s="312"/>
      <c r="Q589" s="312"/>
      <c r="R589" s="312"/>
      <c r="S589" s="312"/>
    </row>
    <row r="590" ht="12.75" spans="3:19">
      <c r="C590" s="312"/>
      <c r="D590" s="312"/>
      <c r="E590" s="312"/>
      <c r="F590" s="312"/>
      <c r="G590" s="312"/>
      <c r="H590" s="312"/>
      <c r="I590" s="312"/>
      <c r="J590" s="312"/>
      <c r="K590" s="312"/>
      <c r="L590" s="312"/>
      <c r="M590" s="312"/>
      <c r="N590" s="312"/>
      <c r="O590" s="312"/>
      <c r="P590" s="312"/>
      <c r="Q590" s="312"/>
      <c r="R590" s="312"/>
      <c r="S590" s="312"/>
    </row>
    <row r="591" ht="12.75" spans="3:19">
      <c r="C591" s="312"/>
      <c r="D591" s="312"/>
      <c r="E591" s="312"/>
      <c r="F591" s="312"/>
      <c r="G591" s="312"/>
      <c r="H591" s="312"/>
      <c r="I591" s="312"/>
      <c r="J591" s="312"/>
      <c r="K591" s="312"/>
      <c r="L591" s="312"/>
      <c r="M591" s="312"/>
      <c r="N591" s="312"/>
      <c r="O591" s="312"/>
      <c r="P591" s="312"/>
      <c r="Q591" s="312"/>
      <c r="R591" s="312"/>
      <c r="S591" s="312"/>
    </row>
    <row r="592" ht="12.75" spans="3:19">
      <c r="C592" s="312"/>
      <c r="D592" s="312"/>
      <c r="E592" s="312"/>
      <c r="F592" s="312"/>
      <c r="G592" s="312"/>
      <c r="H592" s="312"/>
      <c r="I592" s="312"/>
      <c r="J592" s="312"/>
      <c r="K592" s="312"/>
      <c r="L592" s="312"/>
      <c r="M592" s="312"/>
      <c r="N592" s="312"/>
      <c r="O592" s="312"/>
      <c r="P592" s="312"/>
      <c r="Q592" s="312"/>
      <c r="R592" s="312"/>
      <c r="S592" s="312"/>
    </row>
    <row r="593" ht="12.75" spans="3:19">
      <c r="C593" s="312"/>
      <c r="D593" s="312"/>
      <c r="E593" s="312"/>
      <c r="F593" s="312"/>
      <c r="G593" s="312"/>
      <c r="H593" s="312"/>
      <c r="I593" s="312"/>
      <c r="J593" s="312"/>
      <c r="K593" s="312"/>
      <c r="L593" s="312"/>
      <c r="M593" s="312"/>
      <c r="N593" s="312"/>
      <c r="O593" s="312"/>
      <c r="P593" s="312"/>
      <c r="Q593" s="312"/>
      <c r="R593" s="312"/>
      <c r="S593" s="312"/>
    </row>
    <row r="594" ht="12.75" spans="3:19">
      <c r="C594" s="312"/>
      <c r="D594" s="312"/>
      <c r="E594" s="312"/>
      <c r="F594" s="312"/>
      <c r="G594" s="312"/>
      <c r="H594" s="312"/>
      <c r="I594" s="312"/>
      <c r="J594" s="312"/>
      <c r="K594" s="312"/>
      <c r="L594" s="312"/>
      <c r="M594" s="312"/>
      <c r="N594" s="312"/>
      <c r="O594" s="312"/>
      <c r="P594" s="312"/>
      <c r="Q594" s="312"/>
      <c r="R594" s="312"/>
      <c r="S594" s="312"/>
    </row>
    <row r="595" ht="12.75" spans="3:19">
      <c r="C595" s="312"/>
      <c r="D595" s="312"/>
      <c r="E595" s="312"/>
      <c r="F595" s="312"/>
      <c r="G595" s="312"/>
      <c r="H595" s="312"/>
      <c r="I595" s="312"/>
      <c r="J595" s="312"/>
      <c r="K595" s="312"/>
      <c r="L595" s="312"/>
      <c r="M595" s="312"/>
      <c r="N595" s="312"/>
      <c r="O595" s="312"/>
      <c r="P595" s="312"/>
      <c r="Q595" s="312"/>
      <c r="R595" s="312"/>
      <c r="S595" s="312"/>
    </row>
    <row r="596" ht="12.75" spans="3:19">
      <c r="C596" s="312"/>
      <c r="D596" s="312"/>
      <c r="E596" s="312"/>
      <c r="F596" s="312"/>
      <c r="G596" s="312"/>
      <c r="H596" s="312"/>
      <c r="I596" s="312"/>
      <c r="J596" s="312"/>
      <c r="K596" s="312"/>
      <c r="L596" s="312"/>
      <c r="M596" s="312"/>
      <c r="N596" s="312"/>
      <c r="O596" s="312"/>
      <c r="P596" s="312"/>
      <c r="Q596" s="312"/>
      <c r="R596" s="312"/>
      <c r="S596" s="312"/>
    </row>
    <row r="597" ht="12.75" spans="3:19">
      <c r="C597" s="312"/>
      <c r="D597" s="312"/>
      <c r="E597" s="312"/>
      <c r="F597" s="312"/>
      <c r="G597" s="312"/>
      <c r="H597" s="312"/>
      <c r="I597" s="312"/>
      <c r="J597" s="312"/>
      <c r="K597" s="312"/>
      <c r="L597" s="312"/>
      <c r="M597" s="312"/>
      <c r="N597" s="312"/>
      <c r="O597" s="312"/>
      <c r="P597" s="312"/>
      <c r="Q597" s="312"/>
      <c r="R597" s="312"/>
      <c r="S597" s="312"/>
    </row>
    <row r="598" ht="12.75" spans="3:19">
      <c r="C598" s="312"/>
      <c r="D598" s="312"/>
      <c r="E598" s="312"/>
      <c r="F598" s="312"/>
      <c r="G598" s="312"/>
      <c r="H598" s="312"/>
      <c r="I598" s="312"/>
      <c r="J598" s="312"/>
      <c r="K598" s="312"/>
      <c r="L598" s="312"/>
      <c r="M598" s="312"/>
      <c r="N598" s="312"/>
      <c r="O598" s="312"/>
      <c r="P598" s="312"/>
      <c r="Q598" s="312"/>
      <c r="R598" s="312"/>
      <c r="S598" s="312"/>
    </row>
    <row r="599" ht="12.75" spans="3:19">
      <c r="C599" s="312"/>
      <c r="D599" s="312"/>
      <c r="E599" s="312"/>
      <c r="F599" s="312"/>
      <c r="G599" s="312"/>
      <c r="H599" s="312"/>
      <c r="I599" s="312"/>
      <c r="J599" s="312"/>
      <c r="K599" s="312"/>
      <c r="L599" s="312"/>
      <c r="M599" s="312"/>
      <c r="N599" s="312"/>
      <c r="O599" s="312"/>
      <c r="P599" s="312"/>
      <c r="Q599" s="312"/>
      <c r="R599" s="312"/>
      <c r="S599" s="312"/>
    </row>
    <row r="600" ht="12.75" spans="3:19">
      <c r="C600" s="312"/>
      <c r="D600" s="312"/>
      <c r="E600" s="312"/>
      <c r="F600" s="312"/>
      <c r="G600" s="312"/>
      <c r="H600" s="312"/>
      <c r="I600" s="312"/>
      <c r="J600" s="312"/>
      <c r="K600" s="312"/>
      <c r="L600" s="312"/>
      <c r="M600" s="312"/>
      <c r="N600" s="312"/>
      <c r="O600" s="312"/>
      <c r="P600" s="312"/>
      <c r="Q600" s="312"/>
      <c r="R600" s="312"/>
      <c r="S600" s="312"/>
    </row>
    <row r="601" ht="12.75" spans="3:19">
      <c r="C601" s="312"/>
      <c r="D601" s="312"/>
      <c r="E601" s="312"/>
      <c r="F601" s="312"/>
      <c r="G601" s="312"/>
      <c r="H601" s="312"/>
      <c r="I601" s="312"/>
      <c r="J601" s="312"/>
      <c r="K601" s="312"/>
      <c r="L601" s="312"/>
      <c r="M601" s="312"/>
      <c r="N601" s="312"/>
      <c r="O601" s="312"/>
      <c r="P601" s="312"/>
      <c r="Q601" s="312"/>
      <c r="R601" s="312"/>
      <c r="S601" s="312"/>
    </row>
    <row r="602" ht="12.75" spans="3:19">
      <c r="C602" s="312"/>
      <c r="D602" s="312"/>
      <c r="E602" s="312"/>
      <c r="F602" s="312"/>
      <c r="G602" s="312"/>
      <c r="H602" s="312"/>
      <c r="I602" s="312"/>
      <c r="J602" s="312"/>
      <c r="K602" s="312"/>
      <c r="L602" s="312"/>
      <c r="M602" s="312"/>
      <c r="N602" s="312"/>
      <c r="O602" s="312"/>
      <c r="P602" s="312"/>
      <c r="Q602" s="312"/>
      <c r="R602" s="312"/>
      <c r="S602" s="312"/>
    </row>
    <row r="603" ht="12.75" spans="3:19">
      <c r="C603" s="312"/>
      <c r="D603" s="312"/>
      <c r="E603" s="312"/>
      <c r="F603" s="312"/>
      <c r="G603" s="312"/>
      <c r="H603" s="312"/>
      <c r="I603" s="312"/>
      <c r="J603" s="312"/>
      <c r="K603" s="312"/>
      <c r="L603" s="312"/>
      <c r="M603" s="312"/>
      <c r="N603" s="312"/>
      <c r="O603" s="312"/>
      <c r="P603" s="312"/>
      <c r="Q603" s="312"/>
      <c r="R603" s="312"/>
      <c r="S603" s="312"/>
    </row>
    <row r="604" ht="12.75" spans="3:19">
      <c r="C604" s="312"/>
      <c r="D604" s="312"/>
      <c r="E604" s="312"/>
      <c r="F604" s="312"/>
      <c r="G604" s="312"/>
      <c r="H604" s="312"/>
      <c r="I604" s="312"/>
      <c r="J604" s="312"/>
      <c r="K604" s="312"/>
      <c r="L604" s="312"/>
      <c r="M604" s="312"/>
      <c r="N604" s="312"/>
      <c r="O604" s="312"/>
      <c r="P604" s="312"/>
      <c r="Q604" s="312"/>
      <c r="R604" s="312"/>
      <c r="S604" s="312"/>
    </row>
    <row r="605" ht="12.75" spans="3:19">
      <c r="C605" s="312"/>
      <c r="D605" s="312"/>
      <c r="E605" s="312"/>
      <c r="F605" s="312"/>
      <c r="G605" s="312"/>
      <c r="H605" s="312"/>
      <c r="I605" s="312"/>
      <c r="J605" s="312"/>
      <c r="K605" s="312"/>
      <c r="L605" s="312"/>
      <c r="M605" s="312"/>
      <c r="N605" s="312"/>
      <c r="O605" s="312"/>
      <c r="P605" s="312"/>
      <c r="Q605" s="312"/>
      <c r="R605" s="312"/>
      <c r="S605" s="312"/>
    </row>
    <row r="606" ht="12.75" spans="3:19">
      <c r="C606" s="312"/>
      <c r="D606" s="312"/>
      <c r="E606" s="312"/>
      <c r="F606" s="312"/>
      <c r="G606" s="312"/>
      <c r="H606" s="312"/>
      <c r="I606" s="312"/>
      <c r="J606" s="312"/>
      <c r="K606" s="312"/>
      <c r="L606" s="312"/>
      <c r="M606" s="312"/>
      <c r="N606" s="312"/>
      <c r="O606" s="312"/>
      <c r="P606" s="312"/>
      <c r="Q606" s="312"/>
      <c r="R606" s="312"/>
      <c r="S606" s="312"/>
    </row>
    <row r="607" ht="12.75" spans="3:19">
      <c r="C607" s="312"/>
      <c r="D607" s="312"/>
      <c r="E607" s="312"/>
      <c r="F607" s="312"/>
      <c r="G607" s="312"/>
      <c r="H607" s="312"/>
      <c r="I607" s="312"/>
      <c r="J607" s="312"/>
      <c r="K607" s="312"/>
      <c r="L607" s="312"/>
      <c r="M607" s="312"/>
      <c r="N607" s="312"/>
      <c r="O607" s="312"/>
      <c r="P607" s="312"/>
      <c r="Q607" s="312"/>
      <c r="R607" s="312"/>
      <c r="S607" s="312"/>
    </row>
    <row r="608" ht="12.75" spans="3:19">
      <c r="C608" s="312"/>
      <c r="D608" s="312"/>
      <c r="E608" s="312"/>
      <c r="F608" s="312"/>
      <c r="G608" s="312"/>
      <c r="H608" s="312"/>
      <c r="I608" s="312"/>
      <c r="J608" s="312"/>
      <c r="K608" s="312"/>
      <c r="L608" s="312"/>
      <c r="M608" s="312"/>
      <c r="N608" s="312"/>
      <c r="O608" s="312"/>
      <c r="P608" s="312"/>
      <c r="Q608" s="312"/>
      <c r="R608" s="312"/>
      <c r="S608" s="312"/>
    </row>
    <row r="609" ht="12.75" spans="3:19">
      <c r="C609" s="312"/>
      <c r="D609" s="312"/>
      <c r="E609" s="312"/>
      <c r="F609" s="312"/>
      <c r="G609" s="312"/>
      <c r="H609" s="312"/>
      <c r="I609" s="312"/>
      <c r="J609" s="312"/>
      <c r="K609" s="312"/>
      <c r="L609" s="312"/>
      <c r="M609" s="312"/>
      <c r="N609" s="312"/>
      <c r="O609" s="312"/>
      <c r="P609" s="312"/>
      <c r="Q609" s="312"/>
      <c r="R609" s="312"/>
      <c r="S609" s="312"/>
    </row>
    <row r="610" ht="12.75" spans="3:19">
      <c r="C610" s="312"/>
      <c r="D610" s="312"/>
      <c r="E610" s="312"/>
      <c r="F610" s="312"/>
      <c r="G610" s="312"/>
      <c r="H610" s="312"/>
      <c r="I610" s="312"/>
      <c r="J610" s="312"/>
      <c r="K610" s="312"/>
      <c r="L610" s="312"/>
      <c r="M610" s="312"/>
      <c r="N610" s="312"/>
      <c r="O610" s="312"/>
      <c r="P610" s="312"/>
      <c r="Q610" s="312"/>
      <c r="R610" s="312"/>
      <c r="S610" s="312"/>
    </row>
    <row r="611" ht="12.75" spans="3:19">
      <c r="C611" s="312"/>
      <c r="D611" s="312"/>
      <c r="E611" s="312"/>
      <c r="F611" s="312"/>
      <c r="G611" s="312"/>
      <c r="H611" s="312"/>
      <c r="I611" s="312"/>
      <c r="J611" s="312"/>
      <c r="K611" s="312"/>
      <c r="L611" s="312"/>
      <c r="M611" s="312"/>
      <c r="N611" s="312"/>
      <c r="O611" s="312"/>
      <c r="P611" s="312"/>
      <c r="Q611" s="312"/>
      <c r="R611" s="312"/>
      <c r="S611" s="312"/>
    </row>
    <row r="612" ht="12.75" spans="3:19">
      <c r="C612" s="312"/>
      <c r="D612" s="312"/>
      <c r="E612" s="312"/>
      <c r="F612" s="312"/>
      <c r="G612" s="312"/>
      <c r="H612" s="312"/>
      <c r="I612" s="312"/>
      <c r="J612" s="312"/>
      <c r="K612" s="312"/>
      <c r="L612" s="312"/>
      <c r="M612" s="312"/>
      <c r="N612" s="312"/>
      <c r="O612" s="312"/>
      <c r="P612" s="312"/>
      <c r="Q612" s="312"/>
      <c r="R612" s="312"/>
      <c r="S612" s="312"/>
    </row>
    <row r="613" ht="12.75" spans="3:19">
      <c r="C613" s="312"/>
      <c r="D613" s="312"/>
      <c r="E613" s="312"/>
      <c r="F613" s="312"/>
      <c r="G613" s="312"/>
      <c r="H613" s="312"/>
      <c r="I613" s="312"/>
      <c r="J613" s="312"/>
      <c r="K613" s="312"/>
      <c r="L613" s="312"/>
      <c r="M613" s="312"/>
      <c r="N613" s="312"/>
      <c r="O613" s="312"/>
      <c r="P613" s="312"/>
      <c r="Q613" s="312"/>
      <c r="R613" s="312"/>
      <c r="S613" s="312"/>
    </row>
    <row r="614" ht="12.75" spans="3:19">
      <c r="C614" s="312"/>
      <c r="D614" s="312"/>
      <c r="E614" s="312"/>
      <c r="F614" s="312"/>
      <c r="G614" s="312"/>
      <c r="H614" s="312"/>
      <c r="I614" s="312"/>
      <c r="J614" s="312"/>
      <c r="K614" s="312"/>
      <c r="L614" s="312"/>
      <c r="M614" s="312"/>
      <c r="N614" s="312"/>
      <c r="O614" s="312"/>
      <c r="P614" s="312"/>
      <c r="Q614" s="312"/>
      <c r="R614" s="312"/>
      <c r="S614" s="312"/>
    </row>
    <row r="615" ht="12.75" spans="3:19">
      <c r="C615" s="312"/>
      <c r="D615" s="312"/>
      <c r="E615" s="312"/>
      <c r="F615" s="312"/>
      <c r="G615" s="312"/>
      <c r="H615" s="312"/>
      <c r="I615" s="312"/>
      <c r="J615" s="312"/>
      <c r="K615" s="312"/>
      <c r="L615" s="312"/>
      <c r="M615" s="312"/>
      <c r="N615" s="312"/>
      <c r="O615" s="312"/>
      <c r="P615" s="312"/>
      <c r="Q615" s="312"/>
      <c r="R615" s="312"/>
      <c r="S615" s="312"/>
    </row>
    <row r="616" ht="12.75" spans="3:19">
      <c r="C616" s="312"/>
      <c r="D616" s="312"/>
      <c r="E616" s="312"/>
      <c r="F616" s="312"/>
      <c r="G616" s="312"/>
      <c r="H616" s="312"/>
      <c r="I616" s="312"/>
      <c r="J616" s="312"/>
      <c r="K616" s="312"/>
      <c r="L616" s="312"/>
      <c r="M616" s="312"/>
      <c r="N616" s="312"/>
      <c r="O616" s="312"/>
      <c r="P616" s="312"/>
      <c r="Q616" s="312"/>
      <c r="R616" s="312"/>
      <c r="S616" s="312"/>
    </row>
    <row r="617" ht="12.75" spans="3:19">
      <c r="C617" s="312"/>
      <c r="D617" s="312"/>
      <c r="E617" s="312"/>
      <c r="F617" s="312"/>
      <c r="G617" s="312"/>
      <c r="H617" s="312"/>
      <c r="I617" s="312"/>
      <c r="J617" s="312"/>
      <c r="K617" s="312"/>
      <c r="L617" s="312"/>
      <c r="M617" s="312"/>
      <c r="N617" s="312"/>
      <c r="O617" s="312"/>
      <c r="P617" s="312"/>
      <c r="Q617" s="312"/>
      <c r="R617" s="312"/>
      <c r="S617" s="312"/>
    </row>
    <row r="618" ht="12.75" spans="3:19">
      <c r="C618" s="312"/>
      <c r="D618" s="312"/>
      <c r="E618" s="312"/>
      <c r="F618" s="312"/>
      <c r="G618" s="312"/>
      <c r="H618" s="312"/>
      <c r="I618" s="312"/>
      <c r="J618" s="312"/>
      <c r="K618" s="312"/>
      <c r="L618" s="312"/>
      <c r="M618" s="312"/>
      <c r="N618" s="312"/>
      <c r="O618" s="312"/>
      <c r="P618" s="312"/>
      <c r="Q618" s="312"/>
      <c r="R618" s="312"/>
      <c r="S618" s="312"/>
    </row>
    <row r="619" ht="12.75" spans="3:19">
      <c r="C619" s="312"/>
      <c r="D619" s="312"/>
      <c r="E619" s="312"/>
      <c r="F619" s="312"/>
      <c r="G619" s="312"/>
      <c r="H619" s="312"/>
      <c r="I619" s="312"/>
      <c r="J619" s="312"/>
      <c r="K619" s="312"/>
      <c r="L619" s="312"/>
      <c r="M619" s="312"/>
      <c r="N619" s="312"/>
      <c r="O619" s="312"/>
      <c r="P619" s="312"/>
      <c r="Q619" s="312"/>
      <c r="R619" s="312"/>
      <c r="S619" s="312"/>
    </row>
    <row r="620" ht="12.75" spans="3:19">
      <c r="C620" s="312"/>
      <c r="D620" s="312"/>
      <c r="E620" s="312"/>
      <c r="F620" s="312"/>
      <c r="G620" s="312"/>
      <c r="H620" s="312"/>
      <c r="I620" s="312"/>
      <c r="J620" s="312"/>
      <c r="K620" s="312"/>
      <c r="L620" s="312"/>
      <c r="M620" s="312"/>
      <c r="N620" s="312"/>
      <c r="O620" s="312"/>
      <c r="P620" s="312"/>
      <c r="Q620" s="312"/>
      <c r="R620" s="312"/>
      <c r="S620" s="312"/>
    </row>
    <row r="621" ht="12.75" spans="3:19">
      <c r="C621" s="312"/>
      <c r="D621" s="312"/>
      <c r="E621" s="312"/>
      <c r="F621" s="312"/>
      <c r="G621" s="312"/>
      <c r="H621" s="312"/>
      <c r="I621" s="312"/>
      <c r="J621" s="312"/>
      <c r="K621" s="312"/>
      <c r="L621" s="312"/>
      <c r="M621" s="312"/>
      <c r="N621" s="312"/>
      <c r="O621" s="312"/>
      <c r="P621" s="312"/>
      <c r="Q621" s="312"/>
      <c r="R621" s="312"/>
      <c r="S621" s="312"/>
    </row>
    <row r="622" ht="12.75" spans="3:19">
      <c r="C622" s="312"/>
      <c r="D622" s="312"/>
      <c r="E622" s="312"/>
      <c r="F622" s="312"/>
      <c r="G622" s="312"/>
      <c r="H622" s="312"/>
      <c r="I622" s="312"/>
      <c r="J622" s="312"/>
      <c r="K622" s="312"/>
      <c r="L622" s="312"/>
      <c r="M622" s="312"/>
      <c r="N622" s="312"/>
      <c r="O622" s="312"/>
      <c r="P622" s="312"/>
      <c r="Q622" s="312"/>
      <c r="R622" s="312"/>
      <c r="S622" s="312"/>
    </row>
    <row r="623" ht="12.75" spans="3:19">
      <c r="C623" s="312"/>
      <c r="D623" s="312"/>
      <c r="E623" s="312"/>
      <c r="F623" s="312"/>
      <c r="G623" s="312"/>
      <c r="H623" s="312"/>
      <c r="I623" s="312"/>
      <c r="J623" s="312"/>
      <c r="K623" s="312"/>
      <c r="L623" s="312"/>
      <c r="M623" s="312"/>
      <c r="N623" s="312"/>
      <c r="O623" s="312"/>
      <c r="P623" s="312"/>
      <c r="Q623" s="312"/>
      <c r="R623" s="312"/>
      <c r="S623" s="312"/>
    </row>
    <row r="624" ht="12.75" spans="3:19">
      <c r="C624" s="312"/>
      <c r="D624" s="312"/>
      <c r="E624" s="312"/>
      <c r="F624" s="312"/>
      <c r="G624" s="312"/>
      <c r="H624" s="312"/>
      <c r="I624" s="312"/>
      <c r="J624" s="312"/>
      <c r="K624" s="312"/>
      <c r="L624" s="312"/>
      <c r="M624" s="312"/>
      <c r="N624" s="312"/>
      <c r="O624" s="312"/>
      <c r="P624" s="312"/>
      <c r="Q624" s="312"/>
      <c r="R624" s="312"/>
      <c r="S624" s="312"/>
    </row>
    <row r="625" ht="12.75" spans="3:19">
      <c r="C625" s="312"/>
      <c r="D625" s="312"/>
      <c r="E625" s="312"/>
      <c r="F625" s="312"/>
      <c r="G625" s="312"/>
      <c r="H625" s="312"/>
      <c r="I625" s="312"/>
      <c r="J625" s="312"/>
      <c r="K625" s="312"/>
      <c r="L625" s="312"/>
      <c r="M625" s="312"/>
      <c r="N625" s="312"/>
      <c r="O625" s="312"/>
      <c r="P625" s="312"/>
      <c r="Q625" s="312"/>
      <c r="R625" s="312"/>
      <c r="S625" s="312"/>
    </row>
    <row r="626" ht="12.75" spans="3:19">
      <c r="C626" s="312"/>
      <c r="D626" s="312"/>
      <c r="E626" s="312"/>
      <c r="F626" s="312"/>
      <c r="G626" s="312"/>
      <c r="H626" s="312"/>
      <c r="I626" s="312"/>
      <c r="J626" s="312"/>
      <c r="K626" s="312"/>
      <c r="L626" s="312"/>
      <c r="M626" s="312"/>
      <c r="N626" s="312"/>
      <c r="O626" s="312"/>
      <c r="P626" s="312"/>
      <c r="Q626" s="312"/>
      <c r="R626" s="312"/>
      <c r="S626" s="312"/>
    </row>
    <row r="627" ht="12.75" spans="3:19">
      <c r="C627" s="312"/>
      <c r="D627" s="312"/>
      <c r="E627" s="312"/>
      <c r="F627" s="312"/>
      <c r="G627" s="312"/>
      <c r="H627" s="312"/>
      <c r="I627" s="312"/>
      <c r="J627" s="312"/>
      <c r="K627" s="312"/>
      <c r="L627" s="312"/>
      <c r="M627" s="312"/>
      <c r="N627" s="312"/>
      <c r="O627" s="312"/>
      <c r="P627" s="312"/>
      <c r="Q627" s="312"/>
      <c r="R627" s="312"/>
      <c r="S627" s="312"/>
    </row>
    <row r="628" ht="12.75" spans="3:19">
      <c r="C628" s="312"/>
      <c r="D628" s="312"/>
      <c r="E628" s="312"/>
      <c r="F628" s="312"/>
      <c r="G628" s="312"/>
      <c r="H628" s="312"/>
      <c r="I628" s="312"/>
      <c r="J628" s="312"/>
      <c r="K628" s="312"/>
      <c r="L628" s="312"/>
      <c r="M628" s="312"/>
      <c r="N628" s="312"/>
      <c r="O628" s="312"/>
      <c r="P628" s="312"/>
      <c r="Q628" s="312"/>
      <c r="R628" s="312"/>
      <c r="S628" s="312"/>
    </row>
    <row r="629" ht="12.75" spans="3:19">
      <c r="C629" s="312"/>
      <c r="D629" s="312"/>
      <c r="E629" s="312"/>
      <c r="F629" s="312"/>
      <c r="G629" s="312"/>
      <c r="H629" s="312"/>
      <c r="I629" s="312"/>
      <c r="J629" s="312"/>
      <c r="K629" s="312"/>
      <c r="L629" s="312"/>
      <c r="M629" s="312"/>
      <c r="N629" s="312"/>
      <c r="O629" s="312"/>
      <c r="P629" s="312"/>
      <c r="Q629" s="312"/>
      <c r="R629" s="312"/>
      <c r="S629" s="312"/>
    </row>
    <row r="630" ht="12.75" spans="3:19">
      <c r="C630" s="312"/>
      <c r="D630" s="312"/>
      <c r="E630" s="312"/>
      <c r="F630" s="312"/>
      <c r="G630" s="312"/>
      <c r="H630" s="312"/>
      <c r="I630" s="312"/>
      <c r="J630" s="312"/>
      <c r="K630" s="312"/>
      <c r="L630" s="312"/>
      <c r="M630" s="312"/>
      <c r="N630" s="312"/>
      <c r="O630" s="312"/>
      <c r="P630" s="312"/>
      <c r="Q630" s="312"/>
      <c r="R630" s="312"/>
      <c r="S630" s="312"/>
    </row>
    <row r="631" ht="12.75" spans="3:19">
      <c r="C631" s="312"/>
      <c r="D631" s="312"/>
      <c r="E631" s="312"/>
      <c r="F631" s="312"/>
      <c r="G631" s="312"/>
      <c r="H631" s="312"/>
      <c r="I631" s="312"/>
      <c r="J631" s="312"/>
      <c r="K631" s="312"/>
      <c r="L631" s="312"/>
      <c r="M631" s="312"/>
      <c r="N631" s="312"/>
      <c r="O631" s="312"/>
      <c r="P631" s="312"/>
      <c r="Q631" s="312"/>
      <c r="R631" s="312"/>
      <c r="S631" s="312"/>
    </row>
    <row r="632" ht="12.75" spans="3:19">
      <c r="C632" s="312"/>
      <c r="D632" s="312"/>
      <c r="E632" s="312"/>
      <c r="F632" s="312"/>
      <c r="G632" s="312"/>
      <c r="H632" s="312"/>
      <c r="I632" s="312"/>
      <c r="J632" s="312"/>
      <c r="K632" s="312"/>
      <c r="L632" s="312"/>
      <c r="M632" s="312"/>
      <c r="N632" s="312"/>
      <c r="O632" s="312"/>
      <c r="P632" s="312"/>
      <c r="Q632" s="312"/>
      <c r="R632" s="312"/>
      <c r="S632" s="312"/>
    </row>
    <row r="633" ht="12.75" spans="3:19">
      <c r="C633" s="312"/>
      <c r="D633" s="312"/>
      <c r="E633" s="312"/>
      <c r="F633" s="312"/>
      <c r="G633" s="312"/>
      <c r="H633" s="312"/>
      <c r="I633" s="312"/>
      <c r="J633" s="312"/>
      <c r="K633" s="312"/>
      <c r="L633" s="312"/>
      <c r="M633" s="312"/>
      <c r="N633" s="312"/>
      <c r="O633" s="312"/>
      <c r="P633" s="312"/>
      <c r="Q633" s="312"/>
      <c r="R633" s="312"/>
      <c r="S633" s="312"/>
    </row>
    <row r="634" ht="12.75" spans="3:19">
      <c r="C634" s="312"/>
      <c r="D634" s="312"/>
      <c r="E634" s="312"/>
      <c r="F634" s="312"/>
      <c r="G634" s="312"/>
      <c r="H634" s="312"/>
      <c r="I634" s="312"/>
      <c r="J634" s="312"/>
      <c r="K634" s="312"/>
      <c r="L634" s="312"/>
      <c r="M634" s="312"/>
      <c r="N634" s="312"/>
      <c r="O634" s="312"/>
      <c r="P634" s="312"/>
      <c r="Q634" s="312"/>
      <c r="R634" s="312"/>
      <c r="S634" s="312"/>
    </row>
    <row r="635" ht="12.75" spans="3:19">
      <c r="C635" s="312"/>
      <c r="D635" s="312"/>
      <c r="E635" s="312"/>
      <c r="F635" s="312"/>
      <c r="G635" s="312"/>
      <c r="H635" s="312"/>
      <c r="I635" s="312"/>
      <c r="J635" s="312"/>
      <c r="K635" s="312"/>
      <c r="L635" s="312"/>
      <c r="M635" s="312"/>
      <c r="N635" s="312"/>
      <c r="O635" s="312"/>
      <c r="P635" s="312"/>
      <c r="Q635" s="312"/>
      <c r="R635" s="312"/>
      <c r="S635" s="312"/>
    </row>
    <row r="636" ht="12.75" spans="3:19">
      <c r="C636" s="312"/>
      <c r="D636" s="312"/>
      <c r="E636" s="312"/>
      <c r="F636" s="312"/>
      <c r="G636" s="312"/>
      <c r="H636" s="312"/>
      <c r="I636" s="312"/>
      <c r="J636" s="312"/>
      <c r="K636" s="312"/>
      <c r="L636" s="312"/>
      <c r="M636" s="312"/>
      <c r="N636" s="312"/>
      <c r="O636" s="312"/>
      <c r="P636" s="312"/>
      <c r="Q636" s="312"/>
      <c r="R636" s="312"/>
      <c r="S636" s="312"/>
    </row>
    <row r="637" ht="12.75" spans="3:19">
      <c r="C637" s="312"/>
      <c r="D637" s="312"/>
      <c r="E637" s="312"/>
      <c r="F637" s="312"/>
      <c r="G637" s="312"/>
      <c r="H637" s="312"/>
      <c r="I637" s="312"/>
      <c r="J637" s="312"/>
      <c r="K637" s="312"/>
      <c r="L637" s="312"/>
      <c r="M637" s="312"/>
      <c r="N637" s="312"/>
      <c r="O637" s="312"/>
      <c r="P637" s="312"/>
      <c r="Q637" s="312"/>
      <c r="R637" s="312"/>
      <c r="S637" s="312"/>
    </row>
    <row r="638" ht="12.75" spans="3:19">
      <c r="C638" s="312"/>
      <c r="D638" s="312"/>
      <c r="E638" s="312"/>
      <c r="F638" s="312"/>
      <c r="G638" s="312"/>
      <c r="H638" s="312"/>
      <c r="I638" s="312"/>
      <c r="J638" s="312"/>
      <c r="K638" s="312"/>
      <c r="L638" s="312"/>
      <c r="M638" s="312"/>
      <c r="N638" s="312"/>
      <c r="O638" s="312"/>
      <c r="P638" s="312"/>
      <c r="Q638" s="312"/>
      <c r="R638" s="312"/>
      <c r="S638" s="312"/>
    </row>
    <row r="639" ht="12.75" spans="3:19">
      <c r="C639" s="312"/>
      <c r="D639" s="312"/>
      <c r="E639" s="312"/>
      <c r="F639" s="312"/>
      <c r="G639" s="312"/>
      <c r="H639" s="312"/>
      <c r="I639" s="312"/>
      <c r="J639" s="312"/>
      <c r="K639" s="312"/>
      <c r="L639" s="312"/>
      <c r="M639" s="312"/>
      <c r="N639" s="312"/>
      <c r="O639" s="312"/>
      <c r="P639" s="312"/>
      <c r="Q639" s="312"/>
      <c r="R639" s="312"/>
      <c r="S639" s="312"/>
    </row>
    <row r="640" ht="12.75" spans="3:19">
      <c r="C640" s="312"/>
      <c r="D640" s="312"/>
      <c r="E640" s="312"/>
      <c r="F640" s="312"/>
      <c r="G640" s="312"/>
      <c r="H640" s="312"/>
      <c r="I640" s="312"/>
      <c r="J640" s="312"/>
      <c r="K640" s="312"/>
      <c r="L640" s="312"/>
      <c r="M640" s="312"/>
      <c r="N640" s="312"/>
      <c r="O640" s="312"/>
      <c r="P640" s="312"/>
      <c r="Q640" s="312"/>
      <c r="R640" s="312"/>
      <c r="S640" s="312"/>
    </row>
    <row r="641" ht="12.75" spans="3:19">
      <c r="C641" s="312"/>
      <c r="D641" s="312"/>
      <c r="E641" s="312"/>
      <c r="F641" s="312"/>
      <c r="G641" s="312"/>
      <c r="H641" s="312"/>
      <c r="I641" s="312"/>
      <c r="J641" s="312"/>
      <c r="K641" s="312"/>
      <c r="L641" s="312"/>
      <c r="M641" s="312"/>
      <c r="N641" s="312"/>
      <c r="O641" s="312"/>
      <c r="P641" s="312"/>
      <c r="Q641" s="312"/>
      <c r="R641" s="312"/>
      <c r="S641" s="312"/>
    </row>
    <row r="642" ht="12.75" spans="3:19">
      <c r="C642" s="312"/>
      <c r="D642" s="312"/>
      <c r="E642" s="312"/>
      <c r="F642" s="312"/>
      <c r="G642" s="312"/>
      <c r="H642" s="312"/>
      <c r="I642" s="312"/>
      <c r="J642" s="312"/>
      <c r="K642" s="312"/>
      <c r="L642" s="312"/>
      <c r="M642" s="312"/>
      <c r="N642" s="312"/>
      <c r="O642" s="312"/>
      <c r="P642" s="312"/>
      <c r="Q642" s="312"/>
      <c r="R642" s="312"/>
      <c r="S642" s="312"/>
    </row>
    <row r="643" ht="12.75" spans="3:19">
      <c r="C643" s="312"/>
      <c r="D643" s="312"/>
      <c r="E643" s="312"/>
      <c r="F643" s="312"/>
      <c r="G643" s="312"/>
      <c r="H643" s="312"/>
      <c r="I643" s="312"/>
      <c r="J643" s="312"/>
      <c r="K643" s="312"/>
      <c r="L643" s="312"/>
      <c r="M643" s="312"/>
      <c r="N643" s="312"/>
      <c r="O643" s="312"/>
      <c r="P643" s="312"/>
      <c r="Q643" s="312"/>
      <c r="R643" s="312"/>
      <c r="S643" s="312"/>
    </row>
    <row r="644" ht="12.75" spans="3:19">
      <c r="C644" s="312"/>
      <c r="D644" s="312"/>
      <c r="E644" s="312"/>
      <c r="F644" s="312"/>
      <c r="G644" s="312"/>
      <c r="H644" s="312"/>
      <c r="I644" s="312"/>
      <c r="J644" s="312"/>
      <c r="K644" s="312"/>
      <c r="L644" s="312"/>
      <c r="M644" s="312"/>
      <c r="N644" s="312"/>
      <c r="O644" s="312"/>
      <c r="P644" s="312"/>
      <c r="Q644" s="312"/>
      <c r="R644" s="312"/>
      <c r="S644" s="312"/>
    </row>
    <row r="645" ht="12.75" spans="3:19">
      <c r="C645" s="312"/>
      <c r="D645" s="312"/>
      <c r="E645" s="312"/>
      <c r="F645" s="312"/>
      <c r="G645" s="312"/>
      <c r="H645" s="312"/>
      <c r="I645" s="312"/>
      <c r="J645" s="312"/>
      <c r="K645" s="312"/>
      <c r="L645" s="312"/>
      <c r="M645" s="312"/>
      <c r="N645" s="312"/>
      <c r="O645" s="312"/>
      <c r="P645" s="312"/>
      <c r="Q645" s="312"/>
      <c r="R645" s="312"/>
      <c r="S645" s="312"/>
    </row>
    <row r="646" ht="12.75" spans="3:19">
      <c r="C646" s="312"/>
      <c r="D646" s="312"/>
      <c r="E646" s="312"/>
      <c r="F646" s="312"/>
      <c r="G646" s="312"/>
      <c r="H646" s="312"/>
      <c r="I646" s="312"/>
      <c r="J646" s="312"/>
      <c r="K646" s="312"/>
      <c r="L646" s="312"/>
      <c r="M646" s="312"/>
      <c r="N646" s="312"/>
      <c r="O646" s="312"/>
      <c r="P646" s="312"/>
      <c r="Q646" s="312"/>
      <c r="R646" s="312"/>
      <c r="S646" s="312"/>
    </row>
    <row r="647" ht="12.75" spans="3:19">
      <c r="C647" s="312"/>
      <c r="D647" s="312"/>
      <c r="E647" s="312"/>
      <c r="F647" s="312"/>
      <c r="G647" s="312"/>
      <c r="H647" s="312"/>
      <c r="I647" s="312"/>
      <c r="J647" s="312"/>
      <c r="K647" s="312"/>
      <c r="L647" s="312"/>
      <c r="M647" s="312"/>
      <c r="N647" s="312"/>
      <c r="O647" s="312"/>
      <c r="P647" s="312"/>
      <c r="Q647" s="312"/>
      <c r="R647" s="312"/>
      <c r="S647" s="312"/>
    </row>
    <row r="648" ht="12.75" spans="3:19">
      <c r="C648" s="312"/>
      <c r="D648" s="312"/>
      <c r="E648" s="312"/>
      <c r="F648" s="312"/>
      <c r="G648" s="312"/>
      <c r="H648" s="312"/>
      <c r="I648" s="312"/>
      <c r="J648" s="312"/>
      <c r="K648" s="312"/>
      <c r="L648" s="312"/>
      <c r="M648" s="312"/>
      <c r="N648" s="312"/>
      <c r="O648" s="312"/>
      <c r="P648" s="312"/>
      <c r="Q648" s="312"/>
      <c r="R648" s="312"/>
      <c r="S648" s="312"/>
    </row>
    <row r="649" ht="12.75" spans="3:19">
      <c r="C649" s="312"/>
      <c r="D649" s="312"/>
      <c r="E649" s="312"/>
      <c r="F649" s="312"/>
      <c r="G649" s="312"/>
      <c r="H649" s="312"/>
      <c r="I649" s="312"/>
      <c r="J649" s="312"/>
      <c r="K649" s="312"/>
      <c r="L649" s="312"/>
      <c r="M649" s="312"/>
      <c r="N649" s="312"/>
      <c r="O649" s="312"/>
      <c r="P649" s="312"/>
      <c r="Q649" s="312"/>
      <c r="R649" s="312"/>
      <c r="S649" s="312"/>
    </row>
    <row r="650" ht="12.75" spans="3:19">
      <c r="C650" s="312"/>
      <c r="D650" s="312"/>
      <c r="E650" s="312"/>
      <c r="F650" s="312"/>
      <c r="G650" s="312"/>
      <c r="H650" s="312"/>
      <c r="I650" s="312"/>
      <c r="J650" s="312"/>
      <c r="K650" s="312"/>
      <c r="L650" s="312"/>
      <c r="M650" s="312"/>
      <c r="N650" s="312"/>
      <c r="O650" s="312"/>
      <c r="P650" s="312"/>
      <c r="Q650" s="312"/>
      <c r="R650" s="312"/>
      <c r="S650" s="312"/>
    </row>
    <row r="651" ht="12.75" spans="3:19">
      <c r="C651" s="312"/>
      <c r="D651" s="312"/>
      <c r="E651" s="312"/>
      <c r="F651" s="312"/>
      <c r="G651" s="312"/>
      <c r="H651" s="312"/>
      <c r="I651" s="312"/>
      <c r="J651" s="312"/>
      <c r="K651" s="312"/>
      <c r="L651" s="312"/>
      <c r="M651" s="312"/>
      <c r="N651" s="312"/>
      <c r="O651" s="312"/>
      <c r="P651" s="312"/>
      <c r="Q651" s="312"/>
      <c r="R651" s="312"/>
      <c r="S651" s="312"/>
    </row>
    <row r="652" ht="12.75" spans="3:19">
      <c r="C652" s="312"/>
      <c r="D652" s="312"/>
      <c r="E652" s="312"/>
      <c r="F652" s="312"/>
      <c r="G652" s="312"/>
      <c r="H652" s="312"/>
      <c r="I652" s="312"/>
      <c r="J652" s="312"/>
      <c r="K652" s="312"/>
      <c r="L652" s="312"/>
      <c r="M652" s="312"/>
      <c r="N652" s="312"/>
      <c r="O652" s="312"/>
      <c r="P652" s="312"/>
      <c r="Q652" s="312"/>
      <c r="R652" s="312"/>
      <c r="S652" s="312"/>
    </row>
    <row r="653" ht="12.75" spans="3:19">
      <c r="C653" s="312"/>
      <c r="D653" s="312"/>
      <c r="E653" s="312"/>
      <c r="F653" s="312"/>
      <c r="G653" s="312"/>
      <c r="H653" s="312"/>
      <c r="I653" s="312"/>
      <c r="J653" s="312"/>
      <c r="K653" s="312"/>
      <c r="L653" s="312"/>
      <c r="M653" s="312"/>
      <c r="N653" s="312"/>
      <c r="O653" s="312"/>
      <c r="P653" s="312"/>
      <c r="Q653" s="312"/>
      <c r="R653" s="312"/>
      <c r="S653" s="312"/>
    </row>
    <row r="654" ht="12.75" spans="3:19">
      <c r="C654" s="312"/>
      <c r="D654" s="312"/>
      <c r="E654" s="312"/>
      <c r="F654" s="312"/>
      <c r="G654" s="312"/>
      <c r="H654" s="312"/>
      <c r="I654" s="312"/>
      <c r="J654" s="312"/>
      <c r="K654" s="312"/>
      <c r="L654" s="312"/>
      <c r="M654" s="312"/>
      <c r="N654" s="312"/>
      <c r="O654" s="312"/>
      <c r="P654" s="312"/>
      <c r="Q654" s="312"/>
      <c r="R654" s="312"/>
      <c r="S654" s="312"/>
    </row>
    <row r="655" ht="12.75" spans="3:19">
      <c r="C655" s="312"/>
      <c r="D655" s="312"/>
      <c r="E655" s="312"/>
      <c r="F655" s="312"/>
      <c r="G655" s="312"/>
      <c r="H655" s="312"/>
      <c r="I655" s="312"/>
      <c r="J655" s="312"/>
      <c r="K655" s="312"/>
      <c r="L655" s="312"/>
      <c r="M655" s="312"/>
      <c r="N655" s="312"/>
      <c r="O655" s="312"/>
      <c r="P655" s="312"/>
      <c r="Q655" s="312"/>
      <c r="R655" s="312"/>
      <c r="S655" s="312"/>
    </row>
    <row r="656" ht="12.75" spans="3:19">
      <c r="C656" s="312"/>
      <c r="D656" s="312"/>
      <c r="E656" s="312"/>
      <c r="F656" s="312"/>
      <c r="G656" s="312"/>
      <c r="H656" s="312"/>
      <c r="I656" s="312"/>
      <c r="J656" s="312"/>
      <c r="K656" s="312"/>
      <c r="L656" s="312"/>
      <c r="M656" s="312"/>
      <c r="N656" s="312"/>
      <c r="O656" s="312"/>
      <c r="P656" s="312"/>
      <c r="Q656" s="312"/>
      <c r="R656" s="312"/>
      <c r="S656" s="312"/>
    </row>
    <row r="657" ht="12.75" spans="3:19">
      <c r="C657" s="312"/>
      <c r="D657" s="312"/>
      <c r="E657" s="312"/>
      <c r="F657" s="312"/>
      <c r="G657" s="312"/>
      <c r="H657" s="312"/>
      <c r="I657" s="312"/>
      <c r="J657" s="312"/>
      <c r="K657" s="312"/>
      <c r="L657" s="312"/>
      <c r="M657" s="312"/>
      <c r="N657" s="312"/>
      <c r="O657" s="312"/>
      <c r="P657" s="312"/>
      <c r="Q657" s="312"/>
      <c r="R657" s="312"/>
      <c r="S657" s="312"/>
    </row>
    <row r="658" ht="12.75" spans="3:19">
      <c r="C658" s="312"/>
      <c r="D658" s="312"/>
      <c r="E658" s="312"/>
      <c r="F658" s="312"/>
      <c r="G658" s="312"/>
      <c r="H658" s="312"/>
      <c r="I658" s="312"/>
      <c r="J658" s="312"/>
      <c r="K658" s="312"/>
      <c r="L658" s="312"/>
      <c r="M658" s="312"/>
      <c r="N658" s="312"/>
      <c r="O658" s="312"/>
      <c r="P658" s="312"/>
      <c r="Q658" s="312"/>
      <c r="R658" s="312"/>
      <c r="S658" s="312"/>
    </row>
    <row r="659" ht="12.75" spans="3:19">
      <c r="C659" s="312"/>
      <c r="D659" s="312"/>
      <c r="E659" s="312"/>
      <c r="F659" s="312"/>
      <c r="G659" s="312"/>
      <c r="H659" s="312"/>
      <c r="I659" s="312"/>
      <c r="J659" s="312"/>
      <c r="K659" s="312"/>
      <c r="L659" s="312"/>
      <c r="M659" s="312"/>
      <c r="N659" s="312"/>
      <c r="O659" s="312"/>
      <c r="P659" s="312"/>
      <c r="Q659" s="312"/>
      <c r="R659" s="312"/>
      <c r="S659" s="312"/>
    </row>
    <row r="660" ht="12.75" spans="3:19">
      <c r="C660" s="312"/>
      <c r="D660" s="312"/>
      <c r="E660" s="312"/>
      <c r="F660" s="312"/>
      <c r="G660" s="312"/>
      <c r="H660" s="312"/>
      <c r="I660" s="312"/>
      <c r="J660" s="312"/>
      <c r="K660" s="312"/>
      <c r="L660" s="312"/>
      <c r="M660" s="312"/>
      <c r="N660" s="312"/>
      <c r="O660" s="312"/>
      <c r="P660" s="312"/>
      <c r="Q660" s="312"/>
      <c r="R660" s="312"/>
      <c r="S660" s="312"/>
    </row>
    <row r="661" ht="12.75" spans="3:19">
      <c r="C661" s="312"/>
      <c r="D661" s="312"/>
      <c r="E661" s="312"/>
      <c r="F661" s="312"/>
      <c r="G661" s="312"/>
      <c r="H661" s="312"/>
      <c r="I661" s="312"/>
      <c r="J661" s="312"/>
      <c r="K661" s="312"/>
      <c r="L661" s="312"/>
      <c r="M661" s="312"/>
      <c r="N661" s="312"/>
      <c r="O661" s="312"/>
      <c r="P661" s="312"/>
      <c r="Q661" s="312"/>
      <c r="R661" s="312"/>
      <c r="S661" s="312"/>
    </row>
    <row r="662" ht="12.75" spans="3:19">
      <c r="C662" s="312"/>
      <c r="D662" s="312"/>
      <c r="E662" s="312"/>
      <c r="F662" s="312"/>
      <c r="G662" s="312"/>
      <c r="H662" s="312"/>
      <c r="I662" s="312"/>
      <c r="J662" s="312"/>
      <c r="K662" s="312"/>
      <c r="L662" s="312"/>
      <c r="M662" s="312"/>
      <c r="N662" s="312"/>
      <c r="O662" s="312"/>
      <c r="P662" s="312"/>
      <c r="Q662" s="312"/>
      <c r="R662" s="312"/>
      <c r="S662" s="312"/>
    </row>
    <row r="663" ht="12.75" spans="3:19">
      <c r="C663" s="312"/>
      <c r="D663" s="312"/>
      <c r="E663" s="312"/>
      <c r="F663" s="312"/>
      <c r="G663" s="312"/>
      <c r="H663" s="312"/>
      <c r="I663" s="312"/>
      <c r="J663" s="312"/>
      <c r="K663" s="312"/>
      <c r="L663" s="312"/>
      <c r="M663" s="312"/>
      <c r="N663" s="312"/>
      <c r="O663" s="312"/>
      <c r="P663" s="312"/>
      <c r="Q663" s="312"/>
      <c r="R663" s="312"/>
      <c r="S663" s="312"/>
    </row>
    <row r="664" ht="12.75" spans="3:19">
      <c r="C664" s="312"/>
      <c r="D664" s="312"/>
      <c r="E664" s="312"/>
      <c r="F664" s="312"/>
      <c r="G664" s="312"/>
      <c r="H664" s="312"/>
      <c r="I664" s="312"/>
      <c r="J664" s="312"/>
      <c r="K664" s="312"/>
      <c r="L664" s="312"/>
      <c r="M664" s="312"/>
      <c r="N664" s="312"/>
      <c r="O664" s="312"/>
      <c r="P664" s="312"/>
      <c r="Q664" s="312"/>
      <c r="R664" s="312"/>
      <c r="S664" s="312"/>
    </row>
    <row r="665" ht="12.75" spans="3:19">
      <c r="C665" s="312"/>
      <c r="D665" s="312"/>
      <c r="E665" s="312"/>
      <c r="F665" s="312"/>
      <c r="G665" s="312"/>
      <c r="H665" s="312"/>
      <c r="I665" s="312"/>
      <c r="J665" s="312"/>
      <c r="K665" s="312"/>
      <c r="L665" s="312"/>
      <c r="M665" s="312"/>
      <c r="N665" s="312"/>
      <c r="O665" s="312"/>
      <c r="P665" s="312"/>
      <c r="Q665" s="312"/>
      <c r="R665" s="312"/>
      <c r="S665" s="312"/>
    </row>
    <row r="666" ht="12.75" spans="3:19">
      <c r="C666" s="312"/>
      <c r="D666" s="312"/>
      <c r="E666" s="312"/>
      <c r="F666" s="312"/>
      <c r="G666" s="312"/>
      <c r="H666" s="312"/>
      <c r="I666" s="312"/>
      <c r="J666" s="312"/>
      <c r="K666" s="312"/>
      <c r="L666" s="312"/>
      <c r="M666" s="312"/>
      <c r="N666" s="312"/>
      <c r="O666" s="312"/>
      <c r="P666" s="312"/>
      <c r="Q666" s="312"/>
      <c r="R666" s="312"/>
      <c r="S666" s="312"/>
    </row>
    <row r="667" ht="12.75" spans="3:19">
      <c r="C667" s="312"/>
      <c r="D667" s="312"/>
      <c r="E667" s="312"/>
      <c r="F667" s="312"/>
      <c r="G667" s="312"/>
      <c r="H667" s="312"/>
      <c r="I667" s="312"/>
      <c r="J667" s="312"/>
      <c r="K667" s="312"/>
      <c r="L667" s="312"/>
      <c r="M667" s="312"/>
      <c r="N667" s="312"/>
      <c r="O667" s="312"/>
      <c r="P667" s="312"/>
      <c r="Q667" s="312"/>
      <c r="R667" s="312"/>
      <c r="S667" s="312"/>
    </row>
    <row r="668" ht="12.75" spans="3:19">
      <c r="C668" s="312"/>
      <c r="D668" s="312"/>
      <c r="E668" s="312"/>
      <c r="F668" s="312"/>
      <c r="G668" s="312"/>
      <c r="H668" s="312"/>
      <c r="I668" s="312"/>
      <c r="J668" s="312"/>
      <c r="K668" s="312"/>
      <c r="L668" s="312"/>
      <c r="M668" s="312"/>
      <c r="N668" s="312"/>
      <c r="O668" s="312"/>
      <c r="P668" s="312"/>
      <c r="Q668" s="312"/>
      <c r="R668" s="312"/>
      <c r="S668" s="312"/>
    </row>
    <row r="669" ht="12.75" spans="3:19">
      <c r="C669" s="312"/>
      <c r="D669" s="312"/>
      <c r="E669" s="312"/>
      <c r="F669" s="312"/>
      <c r="G669" s="312"/>
      <c r="H669" s="312"/>
      <c r="I669" s="312"/>
      <c r="J669" s="312"/>
      <c r="K669" s="312"/>
      <c r="L669" s="312"/>
      <c r="M669" s="312"/>
      <c r="N669" s="312"/>
      <c r="O669" s="312"/>
      <c r="P669" s="312"/>
      <c r="Q669" s="312"/>
      <c r="R669" s="312"/>
      <c r="S669" s="312"/>
    </row>
    <row r="670" ht="12.75" spans="3:19">
      <c r="C670" s="312"/>
      <c r="D670" s="312"/>
      <c r="E670" s="312"/>
      <c r="F670" s="312"/>
      <c r="G670" s="312"/>
      <c r="H670" s="312"/>
      <c r="I670" s="312"/>
      <c r="J670" s="312"/>
      <c r="K670" s="312"/>
      <c r="L670" s="312"/>
      <c r="M670" s="312"/>
      <c r="N670" s="312"/>
      <c r="O670" s="312"/>
      <c r="P670" s="312"/>
      <c r="Q670" s="312"/>
      <c r="R670" s="312"/>
      <c r="S670" s="312"/>
    </row>
    <row r="671" ht="12.75" spans="3:19">
      <c r="C671" s="312"/>
      <c r="D671" s="312"/>
      <c r="E671" s="312"/>
      <c r="F671" s="312"/>
      <c r="G671" s="312"/>
      <c r="H671" s="312"/>
      <c r="I671" s="312"/>
      <c r="J671" s="312"/>
      <c r="K671" s="312"/>
      <c r="L671" s="312"/>
      <c r="M671" s="312"/>
      <c r="N671" s="312"/>
      <c r="O671" s="312"/>
      <c r="P671" s="312"/>
      <c r="Q671" s="312"/>
      <c r="R671" s="312"/>
      <c r="S671" s="312"/>
    </row>
    <row r="672" ht="12.75" spans="3:19">
      <c r="C672" s="312"/>
      <c r="D672" s="312"/>
      <c r="E672" s="312"/>
      <c r="F672" s="312"/>
      <c r="G672" s="312"/>
      <c r="H672" s="312"/>
      <c r="I672" s="312"/>
      <c r="J672" s="312"/>
      <c r="K672" s="312"/>
      <c r="L672" s="312"/>
      <c r="M672" s="312"/>
      <c r="N672" s="312"/>
      <c r="O672" s="312"/>
      <c r="P672" s="312"/>
      <c r="Q672" s="312"/>
      <c r="R672" s="312"/>
      <c r="S672" s="312"/>
    </row>
    <row r="673" ht="12.75" spans="3:19">
      <c r="C673" s="312"/>
      <c r="D673" s="312"/>
      <c r="E673" s="312"/>
      <c r="F673" s="312"/>
      <c r="G673" s="312"/>
      <c r="H673" s="312"/>
      <c r="I673" s="312"/>
      <c r="J673" s="312"/>
      <c r="K673" s="312"/>
      <c r="L673" s="312"/>
      <c r="M673" s="312"/>
      <c r="N673" s="312"/>
      <c r="O673" s="312"/>
      <c r="P673" s="312"/>
      <c r="Q673" s="312"/>
      <c r="R673" s="312"/>
      <c r="S673" s="312"/>
    </row>
    <row r="674" ht="12.75" spans="3:19">
      <c r="C674" s="312"/>
      <c r="D674" s="312"/>
      <c r="E674" s="312"/>
      <c r="F674" s="312"/>
      <c r="G674" s="312"/>
      <c r="H674" s="312"/>
      <c r="I674" s="312"/>
      <c r="J674" s="312"/>
      <c r="K674" s="312"/>
      <c r="L674" s="312"/>
      <c r="M674" s="312"/>
      <c r="N674" s="312"/>
      <c r="O674" s="312"/>
      <c r="P674" s="312"/>
      <c r="Q674" s="312"/>
      <c r="R674" s="312"/>
      <c r="S674" s="312"/>
    </row>
    <row r="675" ht="12.75" spans="3:19">
      <c r="C675" s="312"/>
      <c r="D675" s="312"/>
      <c r="E675" s="312"/>
      <c r="F675" s="312"/>
      <c r="G675" s="312"/>
      <c r="H675" s="312"/>
      <c r="I675" s="312"/>
      <c r="J675" s="312"/>
      <c r="K675" s="312"/>
      <c r="L675" s="312"/>
      <c r="M675" s="312"/>
      <c r="N675" s="312"/>
      <c r="O675" s="312"/>
      <c r="P675" s="312"/>
      <c r="Q675" s="312"/>
      <c r="R675" s="312"/>
      <c r="S675" s="312"/>
    </row>
    <row r="676" ht="12.75" spans="3:19">
      <c r="C676" s="312"/>
      <c r="D676" s="312"/>
      <c r="E676" s="312"/>
      <c r="F676" s="312"/>
      <c r="G676" s="312"/>
      <c r="H676" s="312"/>
      <c r="I676" s="312"/>
      <c r="J676" s="312"/>
      <c r="K676" s="312"/>
      <c r="L676" s="312"/>
      <c r="M676" s="312"/>
      <c r="N676" s="312"/>
      <c r="O676" s="312"/>
      <c r="P676" s="312"/>
      <c r="Q676" s="312"/>
      <c r="R676" s="312"/>
      <c r="S676" s="312"/>
    </row>
    <row r="677" ht="12.75" spans="3:19">
      <c r="C677" s="312"/>
      <c r="D677" s="312"/>
      <c r="E677" s="312"/>
      <c r="F677" s="312"/>
      <c r="G677" s="312"/>
      <c r="H677" s="312"/>
      <c r="I677" s="312"/>
      <c r="J677" s="312"/>
      <c r="K677" s="312"/>
      <c r="L677" s="312"/>
      <c r="M677" s="312"/>
      <c r="N677" s="312"/>
      <c r="O677" s="312"/>
      <c r="P677" s="312"/>
      <c r="Q677" s="312"/>
      <c r="R677" s="312"/>
      <c r="S677" s="312"/>
    </row>
    <row r="678" ht="12.75" spans="3:19">
      <c r="C678" s="312"/>
      <c r="D678" s="312"/>
      <c r="E678" s="312"/>
      <c r="F678" s="312"/>
      <c r="G678" s="312"/>
      <c r="H678" s="312"/>
      <c r="I678" s="312"/>
      <c r="J678" s="312"/>
      <c r="K678" s="312"/>
      <c r="L678" s="312"/>
      <c r="M678" s="312"/>
      <c r="N678" s="312"/>
      <c r="O678" s="312"/>
      <c r="P678" s="312"/>
      <c r="Q678" s="312"/>
      <c r="R678" s="312"/>
      <c r="S678" s="312"/>
    </row>
    <row r="679" ht="12.75" spans="3:19">
      <c r="C679" s="312"/>
      <c r="D679" s="312"/>
      <c r="E679" s="312"/>
      <c r="F679" s="312"/>
      <c r="G679" s="312"/>
      <c r="H679" s="312"/>
      <c r="I679" s="312"/>
      <c r="J679" s="312"/>
      <c r="K679" s="312"/>
      <c r="L679" s="312"/>
      <c r="M679" s="312"/>
      <c r="N679" s="312"/>
      <c r="O679" s="312"/>
      <c r="P679" s="312"/>
      <c r="Q679" s="312"/>
      <c r="R679" s="312"/>
      <c r="S679" s="312"/>
    </row>
    <row r="680" ht="12.75" spans="3:19">
      <c r="C680" s="312"/>
      <c r="D680" s="312"/>
      <c r="E680" s="312"/>
      <c r="F680" s="312"/>
      <c r="G680" s="312"/>
      <c r="H680" s="312"/>
      <c r="I680" s="312"/>
      <c r="J680" s="312"/>
      <c r="K680" s="312"/>
      <c r="L680" s="312"/>
      <c r="M680" s="312"/>
      <c r="N680" s="312"/>
      <c r="O680" s="312"/>
      <c r="P680" s="312"/>
      <c r="Q680" s="312"/>
      <c r="R680" s="312"/>
      <c r="S680" s="312"/>
    </row>
    <row r="681" ht="12.75" spans="3:19">
      <c r="C681" s="312"/>
      <c r="D681" s="312"/>
      <c r="E681" s="312"/>
      <c r="F681" s="312"/>
      <c r="G681" s="312"/>
      <c r="H681" s="312"/>
      <c r="I681" s="312"/>
      <c r="J681" s="312"/>
      <c r="K681" s="312"/>
      <c r="L681" s="312"/>
      <c r="M681" s="312"/>
      <c r="N681" s="312"/>
      <c r="O681" s="312"/>
      <c r="P681" s="312"/>
      <c r="Q681" s="312"/>
      <c r="R681" s="312"/>
      <c r="S681" s="312"/>
    </row>
    <row r="682" ht="12.75" spans="3:19">
      <c r="C682" s="312"/>
      <c r="D682" s="312"/>
      <c r="E682" s="312"/>
      <c r="F682" s="312"/>
      <c r="G682" s="312"/>
      <c r="H682" s="312"/>
      <c r="I682" s="312"/>
      <c r="J682" s="312"/>
      <c r="K682" s="312"/>
      <c r="L682" s="312"/>
      <c r="M682" s="312"/>
      <c r="N682" s="312"/>
      <c r="O682" s="312"/>
      <c r="P682" s="312"/>
      <c r="Q682" s="312"/>
      <c r="R682" s="312"/>
      <c r="S682" s="312"/>
    </row>
    <row r="683" ht="12.75" spans="3:19">
      <c r="C683" s="312"/>
      <c r="D683" s="312"/>
      <c r="E683" s="312"/>
      <c r="F683" s="312"/>
      <c r="G683" s="312"/>
      <c r="H683" s="312"/>
      <c r="I683" s="312"/>
      <c r="J683" s="312"/>
      <c r="K683" s="312"/>
      <c r="L683" s="312"/>
      <c r="M683" s="312"/>
      <c r="N683" s="312"/>
      <c r="O683" s="312"/>
      <c r="P683" s="312"/>
      <c r="Q683" s="312"/>
      <c r="R683" s="312"/>
      <c r="S683" s="312"/>
    </row>
    <row r="684" ht="12.75" spans="3:19">
      <c r="C684" s="312"/>
      <c r="D684" s="312"/>
      <c r="E684" s="312"/>
      <c r="F684" s="312"/>
      <c r="G684" s="312"/>
      <c r="H684" s="312"/>
      <c r="I684" s="312"/>
      <c r="J684" s="312"/>
      <c r="K684" s="312"/>
      <c r="L684" s="312"/>
      <c r="M684" s="312"/>
      <c r="N684" s="312"/>
      <c r="O684" s="312"/>
      <c r="P684" s="312"/>
      <c r="Q684" s="312"/>
      <c r="R684" s="312"/>
      <c r="S684" s="312"/>
    </row>
    <row r="685" ht="12.75" spans="3:19">
      <c r="C685" s="312"/>
      <c r="D685" s="312"/>
      <c r="E685" s="312"/>
      <c r="F685" s="312"/>
      <c r="G685" s="312"/>
      <c r="H685" s="312"/>
      <c r="I685" s="312"/>
      <c r="J685" s="312"/>
      <c r="K685" s="312"/>
      <c r="L685" s="312"/>
      <c r="M685" s="312"/>
      <c r="N685" s="312"/>
      <c r="O685" s="312"/>
      <c r="P685" s="312"/>
      <c r="Q685" s="312"/>
      <c r="R685" s="312"/>
      <c r="S685" s="312"/>
    </row>
    <row r="686" ht="12.75" spans="3:19">
      <c r="C686" s="312"/>
      <c r="D686" s="312"/>
      <c r="E686" s="312"/>
      <c r="F686" s="312"/>
      <c r="G686" s="312"/>
      <c r="H686" s="312"/>
      <c r="I686" s="312"/>
      <c r="J686" s="312"/>
      <c r="K686" s="312"/>
      <c r="L686" s="312"/>
      <c r="M686" s="312"/>
      <c r="N686" s="312"/>
      <c r="O686" s="312"/>
      <c r="P686" s="312"/>
      <c r="Q686" s="312"/>
      <c r="R686" s="312"/>
      <c r="S686" s="312"/>
    </row>
    <row r="687" ht="12.75" spans="3:19">
      <c r="C687" s="312"/>
      <c r="D687" s="312"/>
      <c r="E687" s="312"/>
      <c r="F687" s="312"/>
      <c r="G687" s="312"/>
      <c r="H687" s="312"/>
      <c r="I687" s="312"/>
      <c r="J687" s="312"/>
      <c r="K687" s="312"/>
      <c r="L687" s="312"/>
      <c r="M687" s="312"/>
      <c r="N687" s="312"/>
      <c r="O687" s="312"/>
      <c r="P687" s="312"/>
      <c r="Q687" s="312"/>
      <c r="R687" s="312"/>
      <c r="S687" s="312"/>
    </row>
    <row r="688" ht="12.75" spans="3:19">
      <c r="C688" s="312"/>
      <c r="D688" s="312"/>
      <c r="E688" s="312"/>
      <c r="F688" s="312"/>
      <c r="G688" s="312"/>
      <c r="H688" s="312"/>
      <c r="I688" s="312"/>
      <c r="J688" s="312"/>
      <c r="K688" s="312"/>
      <c r="L688" s="312"/>
      <c r="M688" s="312"/>
      <c r="N688" s="312"/>
      <c r="O688" s="312"/>
      <c r="P688" s="312"/>
      <c r="Q688" s="312"/>
      <c r="R688" s="312"/>
      <c r="S688" s="312"/>
    </row>
    <row r="689" ht="12.75" spans="3:19">
      <c r="C689" s="312"/>
      <c r="D689" s="312"/>
      <c r="E689" s="312"/>
      <c r="F689" s="312"/>
      <c r="G689" s="312"/>
      <c r="H689" s="312"/>
      <c r="I689" s="312"/>
      <c r="J689" s="312"/>
      <c r="K689" s="312"/>
      <c r="L689" s="312"/>
      <c r="M689" s="312"/>
      <c r="N689" s="312"/>
      <c r="O689" s="312"/>
      <c r="P689" s="312"/>
      <c r="Q689" s="312"/>
      <c r="R689" s="312"/>
      <c r="S689" s="312"/>
    </row>
    <row r="690" ht="12.75" spans="3:19">
      <c r="C690" s="312"/>
      <c r="D690" s="312"/>
      <c r="E690" s="312"/>
      <c r="F690" s="312"/>
      <c r="G690" s="312"/>
      <c r="H690" s="312"/>
      <c r="I690" s="312"/>
      <c r="J690" s="312"/>
      <c r="K690" s="312"/>
      <c r="L690" s="312"/>
      <c r="M690" s="312"/>
      <c r="N690" s="312"/>
      <c r="O690" s="312"/>
      <c r="P690" s="312"/>
      <c r="Q690" s="312"/>
      <c r="R690" s="312"/>
      <c r="S690" s="312"/>
    </row>
    <row r="691" ht="12.75" spans="3:19">
      <c r="C691" s="312"/>
      <c r="D691" s="312"/>
      <c r="E691" s="312"/>
      <c r="F691" s="312"/>
      <c r="G691" s="312"/>
      <c r="H691" s="312"/>
      <c r="I691" s="312"/>
      <c r="J691" s="312"/>
      <c r="K691" s="312"/>
      <c r="L691" s="312"/>
      <c r="M691" s="312"/>
      <c r="N691" s="312"/>
      <c r="O691" s="312"/>
      <c r="P691" s="312"/>
      <c r="Q691" s="312"/>
      <c r="R691" s="312"/>
      <c r="S691" s="312"/>
    </row>
    <row r="692" ht="12.75" spans="3:19">
      <c r="C692" s="312"/>
      <c r="D692" s="312"/>
      <c r="E692" s="312"/>
      <c r="F692" s="312"/>
      <c r="G692" s="312"/>
      <c r="H692" s="312"/>
      <c r="I692" s="312"/>
      <c r="J692" s="312"/>
      <c r="K692" s="312"/>
      <c r="L692" s="312"/>
      <c r="M692" s="312"/>
      <c r="N692" s="312"/>
      <c r="O692" s="312"/>
      <c r="P692" s="312"/>
      <c r="Q692" s="312"/>
      <c r="R692" s="312"/>
      <c r="S692" s="312"/>
    </row>
    <row r="693" ht="12.75" spans="3:19">
      <c r="C693" s="312"/>
      <c r="D693" s="312"/>
      <c r="E693" s="312"/>
      <c r="F693" s="312"/>
      <c r="G693" s="312"/>
      <c r="H693" s="312"/>
      <c r="I693" s="312"/>
      <c r="J693" s="312"/>
      <c r="K693" s="312"/>
      <c r="L693" s="312"/>
      <c r="M693" s="312"/>
      <c r="N693" s="312"/>
      <c r="O693" s="312"/>
      <c r="P693" s="312"/>
      <c r="Q693" s="312"/>
      <c r="R693" s="312"/>
      <c r="S693" s="312"/>
    </row>
    <row r="694" ht="12.75" spans="3:19">
      <c r="C694" s="312"/>
      <c r="D694" s="312"/>
      <c r="E694" s="312"/>
      <c r="F694" s="312"/>
      <c r="G694" s="312"/>
      <c r="H694" s="312"/>
      <c r="I694" s="312"/>
      <c r="J694" s="312"/>
      <c r="K694" s="312"/>
      <c r="L694" s="312"/>
      <c r="M694" s="312"/>
      <c r="N694" s="312"/>
      <c r="O694" s="312"/>
      <c r="P694" s="312"/>
      <c r="Q694" s="312"/>
      <c r="R694" s="312"/>
      <c r="S694" s="312"/>
    </row>
    <row r="695" ht="12.75" spans="3:19">
      <c r="C695" s="312"/>
      <c r="D695" s="312"/>
      <c r="E695" s="312"/>
      <c r="F695" s="312"/>
      <c r="G695" s="312"/>
      <c r="H695" s="312"/>
      <c r="I695" s="312"/>
      <c r="J695" s="312"/>
      <c r="K695" s="312"/>
      <c r="L695" s="312"/>
      <c r="M695" s="312"/>
      <c r="N695" s="312"/>
      <c r="O695" s="312"/>
      <c r="P695" s="312"/>
      <c r="Q695" s="312"/>
      <c r="R695" s="312"/>
      <c r="S695" s="312"/>
    </row>
    <row r="696" ht="12.75" spans="3:19">
      <c r="C696" s="312"/>
      <c r="D696" s="312"/>
      <c r="E696" s="312"/>
      <c r="F696" s="312"/>
      <c r="G696" s="312"/>
      <c r="H696" s="312"/>
      <c r="I696" s="312"/>
      <c r="J696" s="312"/>
      <c r="K696" s="312"/>
      <c r="L696" s="312"/>
      <c r="M696" s="312"/>
      <c r="N696" s="312"/>
      <c r="O696" s="312"/>
      <c r="P696" s="312"/>
      <c r="Q696" s="312"/>
      <c r="R696" s="312"/>
      <c r="S696" s="312"/>
    </row>
    <row r="697" ht="12.75" spans="3:19">
      <c r="C697" s="312"/>
      <c r="D697" s="312"/>
      <c r="E697" s="312"/>
      <c r="F697" s="312"/>
      <c r="G697" s="312"/>
      <c r="H697" s="312"/>
      <c r="I697" s="312"/>
      <c r="J697" s="312"/>
      <c r="K697" s="312"/>
      <c r="L697" s="312"/>
      <c r="M697" s="312"/>
      <c r="N697" s="312"/>
      <c r="O697" s="312"/>
      <c r="P697" s="312"/>
      <c r="Q697" s="312"/>
      <c r="R697" s="312"/>
      <c r="S697" s="312"/>
    </row>
    <row r="698" ht="12.75" spans="3:19">
      <c r="C698" s="312"/>
      <c r="D698" s="312"/>
      <c r="E698" s="312"/>
      <c r="F698" s="312"/>
      <c r="G698" s="312"/>
      <c r="H698" s="312"/>
      <c r="I698" s="312"/>
      <c r="J698" s="312"/>
      <c r="K698" s="312"/>
      <c r="L698" s="312"/>
      <c r="M698" s="312"/>
      <c r="N698" s="312"/>
      <c r="O698" s="312"/>
      <c r="P698" s="312"/>
      <c r="Q698" s="312"/>
      <c r="R698" s="312"/>
      <c r="S698" s="312"/>
    </row>
    <row r="699" ht="12.75" spans="3:19">
      <c r="C699" s="312"/>
      <c r="D699" s="312"/>
      <c r="E699" s="312"/>
      <c r="F699" s="312"/>
      <c r="G699" s="312"/>
      <c r="H699" s="312"/>
      <c r="I699" s="312"/>
      <c r="J699" s="312"/>
      <c r="K699" s="312"/>
      <c r="L699" s="312"/>
      <c r="M699" s="312"/>
      <c r="N699" s="312"/>
      <c r="O699" s="312"/>
      <c r="P699" s="312"/>
      <c r="Q699" s="312"/>
      <c r="R699" s="312"/>
      <c r="S699" s="312"/>
    </row>
    <row r="700" ht="12.75" spans="3:19">
      <c r="C700" s="312"/>
      <c r="D700" s="312"/>
      <c r="E700" s="312"/>
      <c r="F700" s="312"/>
      <c r="G700" s="312"/>
      <c r="H700" s="312"/>
      <c r="I700" s="312"/>
      <c r="J700" s="312"/>
      <c r="K700" s="312"/>
      <c r="L700" s="312"/>
      <c r="M700" s="312"/>
      <c r="N700" s="312"/>
      <c r="O700" s="312"/>
      <c r="P700" s="312"/>
      <c r="Q700" s="312"/>
      <c r="R700" s="312"/>
      <c r="S700" s="312"/>
    </row>
    <row r="701" ht="12.75" spans="3:19">
      <c r="C701" s="312"/>
      <c r="D701" s="312"/>
      <c r="E701" s="312"/>
      <c r="F701" s="312"/>
      <c r="G701" s="312"/>
      <c r="H701" s="312"/>
      <c r="I701" s="312"/>
      <c r="J701" s="312"/>
      <c r="K701" s="312"/>
      <c r="L701" s="312"/>
      <c r="M701" s="312"/>
      <c r="N701" s="312"/>
      <c r="O701" s="312"/>
      <c r="P701" s="312"/>
      <c r="Q701" s="312"/>
      <c r="R701" s="312"/>
      <c r="S701" s="312"/>
    </row>
    <row r="702" ht="12.75" spans="3:19">
      <c r="C702" s="312"/>
      <c r="D702" s="312"/>
      <c r="E702" s="312"/>
      <c r="F702" s="312"/>
      <c r="G702" s="312"/>
      <c r="H702" s="312"/>
      <c r="I702" s="312"/>
      <c r="J702" s="312"/>
      <c r="K702" s="312"/>
      <c r="L702" s="312"/>
      <c r="M702" s="312"/>
      <c r="N702" s="312"/>
      <c r="O702" s="312"/>
      <c r="P702" s="312"/>
      <c r="Q702" s="312"/>
      <c r="R702" s="312"/>
      <c r="S702" s="312"/>
    </row>
    <row r="703" ht="12.75" spans="3:19">
      <c r="C703" s="312"/>
      <c r="D703" s="312"/>
      <c r="E703" s="312"/>
      <c r="F703" s="312"/>
      <c r="G703" s="312"/>
      <c r="H703" s="312"/>
      <c r="I703" s="312"/>
      <c r="J703" s="312"/>
      <c r="K703" s="312"/>
      <c r="L703" s="312"/>
      <c r="M703" s="312"/>
      <c r="N703" s="312"/>
      <c r="O703" s="312"/>
      <c r="P703" s="312"/>
      <c r="Q703" s="312"/>
      <c r="R703" s="312"/>
      <c r="S703" s="312"/>
    </row>
    <row r="704" ht="12.75" spans="3:19">
      <c r="C704" s="312"/>
      <c r="D704" s="312"/>
      <c r="E704" s="312"/>
      <c r="F704" s="312"/>
      <c r="G704" s="312"/>
      <c r="H704" s="312"/>
      <c r="I704" s="312"/>
      <c r="J704" s="312"/>
      <c r="K704" s="312"/>
      <c r="L704" s="312"/>
      <c r="M704" s="312"/>
      <c r="N704" s="312"/>
      <c r="O704" s="312"/>
      <c r="P704" s="312"/>
      <c r="Q704" s="312"/>
      <c r="R704" s="312"/>
      <c r="S704" s="312"/>
    </row>
    <row r="705" ht="12.75" spans="3:19">
      <c r="C705" s="312"/>
      <c r="D705" s="312"/>
      <c r="E705" s="312"/>
      <c r="F705" s="312"/>
      <c r="G705" s="312"/>
      <c r="H705" s="312"/>
      <c r="I705" s="312"/>
      <c r="J705" s="312"/>
      <c r="K705" s="312"/>
      <c r="L705" s="312"/>
      <c r="M705" s="312"/>
      <c r="N705" s="312"/>
      <c r="O705" s="312"/>
      <c r="P705" s="312"/>
      <c r="Q705" s="312"/>
      <c r="R705" s="312"/>
      <c r="S705" s="312"/>
    </row>
    <row r="706" ht="12.75" spans="3:19">
      <c r="C706" s="312"/>
      <c r="D706" s="312"/>
      <c r="E706" s="312"/>
      <c r="F706" s="312"/>
      <c r="G706" s="312"/>
      <c r="H706" s="312"/>
      <c r="I706" s="312"/>
      <c r="J706" s="312"/>
      <c r="K706" s="312"/>
      <c r="L706" s="312"/>
      <c r="M706" s="312"/>
      <c r="N706" s="312"/>
      <c r="O706" s="312"/>
      <c r="P706" s="312"/>
      <c r="Q706" s="312"/>
      <c r="R706" s="312"/>
      <c r="S706" s="312"/>
    </row>
    <row r="707" ht="12.75" spans="3:19">
      <c r="C707" s="312"/>
      <c r="D707" s="312"/>
      <c r="E707" s="312"/>
      <c r="F707" s="312"/>
      <c r="G707" s="312"/>
      <c r="H707" s="312"/>
      <c r="I707" s="312"/>
      <c r="J707" s="312"/>
      <c r="K707" s="312"/>
      <c r="L707" s="312"/>
      <c r="M707" s="312"/>
      <c r="N707" s="312"/>
      <c r="O707" s="312"/>
      <c r="P707" s="312"/>
      <c r="Q707" s="312"/>
      <c r="R707" s="312"/>
      <c r="S707" s="312"/>
    </row>
    <row r="708" ht="12.75" spans="3:19">
      <c r="C708" s="312"/>
      <c r="D708" s="312"/>
      <c r="E708" s="312"/>
      <c r="F708" s="312"/>
      <c r="G708" s="312"/>
      <c r="H708" s="312"/>
      <c r="I708" s="312"/>
      <c r="J708" s="312"/>
      <c r="K708" s="312"/>
      <c r="L708" s="312"/>
      <c r="M708" s="312"/>
      <c r="N708" s="312"/>
      <c r="O708" s="312"/>
      <c r="P708" s="312"/>
      <c r="Q708" s="312"/>
      <c r="R708" s="312"/>
      <c r="S708" s="312"/>
    </row>
    <row r="709" ht="12.75" spans="3:19">
      <c r="C709" s="312"/>
      <c r="D709" s="312"/>
      <c r="E709" s="312"/>
      <c r="F709" s="312"/>
      <c r="G709" s="312"/>
      <c r="H709" s="312"/>
      <c r="I709" s="312"/>
      <c r="J709" s="312"/>
      <c r="K709" s="312"/>
      <c r="L709" s="312"/>
      <c r="M709" s="312"/>
      <c r="N709" s="312"/>
      <c r="O709" s="312"/>
      <c r="P709" s="312"/>
      <c r="Q709" s="312"/>
      <c r="R709" s="312"/>
      <c r="S709" s="312"/>
    </row>
    <row r="710" ht="12.75" spans="3:19">
      <c r="C710" s="312"/>
      <c r="D710" s="312"/>
      <c r="E710" s="312"/>
      <c r="F710" s="312"/>
      <c r="G710" s="312"/>
      <c r="H710" s="312"/>
      <c r="I710" s="312"/>
      <c r="J710" s="312"/>
      <c r="K710" s="312"/>
      <c r="L710" s="312"/>
      <c r="M710" s="312"/>
      <c r="N710" s="312"/>
      <c r="O710" s="312"/>
      <c r="P710" s="312"/>
      <c r="Q710" s="312"/>
      <c r="R710" s="312"/>
      <c r="S710" s="312"/>
    </row>
    <row r="711" ht="12.75" spans="3:19">
      <c r="C711" s="312"/>
      <c r="D711" s="312"/>
      <c r="E711" s="312"/>
      <c r="F711" s="312"/>
      <c r="G711" s="312"/>
      <c r="H711" s="312"/>
      <c r="I711" s="312"/>
      <c r="J711" s="312"/>
      <c r="K711" s="312"/>
      <c r="L711" s="312"/>
      <c r="M711" s="312"/>
      <c r="N711" s="312"/>
      <c r="O711" s="312"/>
      <c r="P711" s="312"/>
      <c r="Q711" s="312"/>
      <c r="R711" s="312"/>
      <c r="S711" s="312"/>
    </row>
    <row r="712" ht="12.75" spans="3:19">
      <c r="C712" s="312"/>
      <c r="D712" s="312"/>
      <c r="E712" s="312"/>
      <c r="F712" s="312"/>
      <c r="G712" s="312"/>
      <c r="H712" s="312"/>
      <c r="I712" s="312"/>
      <c r="J712" s="312"/>
      <c r="K712" s="312"/>
      <c r="L712" s="312"/>
      <c r="M712" s="312"/>
      <c r="N712" s="312"/>
      <c r="O712" s="312"/>
      <c r="P712" s="312"/>
      <c r="Q712" s="312"/>
      <c r="R712" s="312"/>
      <c r="S712" s="312"/>
    </row>
    <row r="713" ht="12.75" spans="3:19">
      <c r="C713" s="312"/>
      <c r="D713" s="312"/>
      <c r="E713" s="312"/>
      <c r="F713" s="312"/>
      <c r="G713" s="312"/>
      <c r="H713" s="312"/>
      <c r="I713" s="312"/>
      <c r="J713" s="312"/>
      <c r="K713" s="312"/>
      <c r="L713" s="312"/>
      <c r="M713" s="312"/>
      <c r="N713" s="312"/>
      <c r="O713" s="312"/>
      <c r="P713" s="312"/>
      <c r="Q713" s="312"/>
      <c r="R713" s="312"/>
      <c r="S713" s="312"/>
    </row>
    <row r="714" ht="12.75" spans="3:19">
      <c r="C714" s="312"/>
      <c r="D714" s="312"/>
      <c r="E714" s="312"/>
      <c r="F714" s="312"/>
      <c r="G714" s="312"/>
      <c r="H714" s="312"/>
      <c r="I714" s="312"/>
      <c r="J714" s="312"/>
      <c r="K714" s="312"/>
      <c r="L714" s="312"/>
      <c r="M714" s="312"/>
      <c r="N714" s="312"/>
      <c r="O714" s="312"/>
      <c r="P714" s="312"/>
      <c r="Q714" s="312"/>
      <c r="R714" s="312"/>
      <c r="S714" s="312"/>
    </row>
    <row r="715" ht="12.75" spans="3:19">
      <c r="C715" s="312"/>
      <c r="D715" s="312"/>
      <c r="E715" s="312"/>
      <c r="F715" s="312"/>
      <c r="G715" s="312"/>
      <c r="H715" s="312"/>
      <c r="I715" s="312"/>
      <c r="J715" s="312"/>
      <c r="K715" s="312"/>
      <c r="L715" s="312"/>
      <c r="M715" s="312"/>
      <c r="N715" s="312"/>
      <c r="O715" s="312"/>
      <c r="P715" s="312"/>
      <c r="Q715" s="312"/>
      <c r="R715" s="312"/>
      <c r="S715" s="312"/>
    </row>
    <row r="716" ht="12.75" spans="3:19">
      <c r="C716" s="312"/>
      <c r="D716" s="312"/>
      <c r="E716" s="312"/>
      <c r="F716" s="312"/>
      <c r="G716" s="312"/>
      <c r="H716" s="312"/>
      <c r="I716" s="312"/>
      <c r="J716" s="312"/>
      <c r="K716" s="312"/>
      <c r="L716" s="312"/>
      <c r="M716" s="312"/>
      <c r="N716" s="312"/>
      <c r="O716" s="312"/>
      <c r="P716" s="312"/>
      <c r="Q716" s="312"/>
      <c r="R716" s="312"/>
      <c r="S716" s="312"/>
    </row>
    <row r="717" ht="12.75" spans="3:19">
      <c r="C717" s="312"/>
      <c r="D717" s="312"/>
      <c r="E717" s="312"/>
      <c r="F717" s="312"/>
      <c r="G717" s="312"/>
      <c r="H717" s="312"/>
      <c r="I717" s="312"/>
      <c r="J717" s="312"/>
      <c r="K717" s="312"/>
      <c r="L717" s="312"/>
      <c r="M717" s="312"/>
      <c r="N717" s="312"/>
      <c r="O717" s="312"/>
      <c r="P717" s="312"/>
      <c r="Q717" s="312"/>
      <c r="R717" s="312"/>
      <c r="S717" s="312"/>
    </row>
    <row r="718" ht="12.75" spans="3:19">
      <c r="C718" s="312"/>
      <c r="D718" s="312"/>
      <c r="E718" s="312"/>
      <c r="F718" s="312"/>
      <c r="G718" s="312"/>
      <c r="H718" s="312"/>
      <c r="I718" s="312"/>
      <c r="J718" s="312"/>
      <c r="K718" s="312"/>
      <c r="L718" s="312"/>
      <c r="M718" s="312"/>
      <c r="N718" s="312"/>
      <c r="O718" s="312"/>
      <c r="P718" s="312"/>
      <c r="Q718" s="312"/>
      <c r="R718" s="312"/>
      <c r="S718" s="312"/>
    </row>
    <row r="719" ht="12.75" spans="3:19">
      <c r="C719" s="312"/>
      <c r="D719" s="312"/>
      <c r="E719" s="312"/>
      <c r="F719" s="312"/>
      <c r="G719" s="312"/>
      <c r="H719" s="312"/>
      <c r="I719" s="312"/>
      <c r="J719" s="312"/>
      <c r="K719" s="312"/>
      <c r="L719" s="312"/>
      <c r="M719" s="312"/>
      <c r="N719" s="312"/>
      <c r="O719" s="312"/>
      <c r="P719" s="312"/>
      <c r="Q719" s="312"/>
      <c r="R719" s="312"/>
      <c r="S719" s="312"/>
    </row>
    <row r="720" ht="12.75" spans="3:19">
      <c r="C720" s="312"/>
      <c r="D720" s="312"/>
      <c r="E720" s="312"/>
      <c r="F720" s="312"/>
      <c r="G720" s="312"/>
      <c r="H720" s="312"/>
      <c r="I720" s="312"/>
      <c r="J720" s="312"/>
      <c r="K720" s="312"/>
      <c r="L720" s="312"/>
      <c r="M720" s="312"/>
      <c r="N720" s="312"/>
      <c r="O720" s="312"/>
      <c r="P720" s="312"/>
      <c r="Q720" s="312"/>
      <c r="R720" s="312"/>
      <c r="S720" s="312"/>
    </row>
    <row r="721" ht="12.75" spans="3:19">
      <c r="C721" s="312"/>
      <c r="D721" s="312"/>
      <c r="E721" s="312"/>
      <c r="F721" s="312"/>
      <c r="G721" s="312"/>
      <c r="H721" s="312"/>
      <c r="I721" s="312"/>
      <c r="J721" s="312"/>
      <c r="K721" s="312"/>
      <c r="L721" s="312"/>
      <c r="M721" s="312"/>
      <c r="N721" s="312"/>
      <c r="O721" s="312"/>
      <c r="P721" s="312"/>
      <c r="Q721" s="312"/>
      <c r="R721" s="312"/>
      <c r="S721" s="312"/>
    </row>
    <row r="722" ht="12.75" spans="3:19">
      <c r="C722" s="312"/>
      <c r="D722" s="312"/>
      <c r="E722" s="312"/>
      <c r="F722" s="312"/>
      <c r="G722" s="312"/>
      <c r="H722" s="312"/>
      <c r="I722" s="312"/>
      <c r="J722" s="312"/>
      <c r="K722" s="312"/>
      <c r="L722" s="312"/>
      <c r="M722" s="312"/>
      <c r="N722" s="312"/>
      <c r="O722" s="312"/>
      <c r="P722" s="312"/>
      <c r="Q722" s="312"/>
      <c r="R722" s="312"/>
      <c r="S722" s="312"/>
    </row>
    <row r="723" ht="12.75" spans="3:19">
      <c r="C723" s="312"/>
      <c r="D723" s="312"/>
      <c r="E723" s="312"/>
      <c r="F723" s="312"/>
      <c r="G723" s="312"/>
      <c r="H723" s="312"/>
      <c r="I723" s="312"/>
      <c r="J723" s="312"/>
      <c r="K723" s="312"/>
      <c r="L723" s="312"/>
      <c r="M723" s="312"/>
      <c r="N723" s="312"/>
      <c r="O723" s="312"/>
      <c r="P723" s="312"/>
      <c r="Q723" s="312"/>
      <c r="R723" s="312"/>
      <c r="S723" s="312"/>
    </row>
    <row r="724" ht="12.75" spans="3:19">
      <c r="C724" s="312"/>
      <c r="D724" s="312"/>
      <c r="E724" s="312"/>
      <c r="F724" s="312"/>
      <c r="G724" s="312"/>
      <c r="H724" s="312"/>
      <c r="I724" s="312"/>
      <c r="J724" s="312"/>
      <c r="K724" s="312"/>
      <c r="L724" s="312"/>
      <c r="M724" s="312"/>
      <c r="N724" s="312"/>
      <c r="O724" s="312"/>
      <c r="P724" s="312"/>
      <c r="Q724" s="312"/>
      <c r="R724" s="312"/>
      <c r="S724" s="312"/>
    </row>
    <row r="725" ht="12.75" spans="3:19">
      <c r="C725" s="312"/>
      <c r="D725" s="312"/>
      <c r="E725" s="312"/>
      <c r="F725" s="312"/>
      <c r="G725" s="312"/>
      <c r="H725" s="312"/>
      <c r="I725" s="312"/>
      <c r="J725" s="312"/>
      <c r="K725" s="312"/>
      <c r="L725" s="312"/>
      <c r="M725" s="312"/>
      <c r="N725" s="312"/>
      <c r="O725" s="312"/>
      <c r="P725" s="312"/>
      <c r="Q725" s="312"/>
      <c r="R725" s="312"/>
      <c r="S725" s="312"/>
    </row>
    <row r="726" ht="12.75" spans="3:19">
      <c r="C726" s="312"/>
      <c r="D726" s="312"/>
      <c r="E726" s="312"/>
      <c r="F726" s="312"/>
      <c r="G726" s="312"/>
      <c r="H726" s="312"/>
      <c r="I726" s="312"/>
      <c r="J726" s="312"/>
      <c r="K726" s="312"/>
      <c r="L726" s="312"/>
      <c r="M726" s="312"/>
      <c r="N726" s="312"/>
      <c r="O726" s="312"/>
      <c r="P726" s="312"/>
      <c r="Q726" s="312"/>
      <c r="R726" s="312"/>
      <c r="S726" s="312"/>
    </row>
    <row r="727" ht="12.75" spans="3:19">
      <c r="C727" s="312"/>
      <c r="D727" s="312"/>
      <c r="E727" s="312"/>
      <c r="F727" s="312"/>
      <c r="G727" s="312"/>
      <c r="H727" s="312"/>
      <c r="I727" s="312"/>
      <c r="J727" s="312"/>
      <c r="K727" s="312"/>
      <c r="L727" s="312"/>
      <c r="M727" s="312"/>
      <c r="N727" s="312"/>
      <c r="O727" s="312"/>
      <c r="P727" s="312"/>
      <c r="Q727" s="312"/>
      <c r="R727" s="312"/>
      <c r="S727" s="312"/>
    </row>
    <row r="728" ht="12.75" spans="3:19">
      <c r="C728" s="312"/>
      <c r="D728" s="312"/>
      <c r="E728" s="312"/>
      <c r="F728" s="312"/>
      <c r="G728" s="312"/>
      <c r="H728" s="312"/>
      <c r="I728" s="312"/>
      <c r="J728" s="312"/>
      <c r="K728" s="312"/>
      <c r="L728" s="312"/>
      <c r="M728" s="312"/>
      <c r="N728" s="312"/>
      <c r="O728" s="312"/>
      <c r="P728" s="312"/>
      <c r="Q728" s="312"/>
      <c r="R728" s="312"/>
      <c r="S728" s="312"/>
    </row>
    <row r="729" ht="12.75" spans="3:19">
      <c r="C729" s="312"/>
      <c r="D729" s="312"/>
      <c r="E729" s="312"/>
      <c r="F729" s="312"/>
      <c r="G729" s="312"/>
      <c r="H729" s="312"/>
      <c r="I729" s="312"/>
      <c r="J729" s="312"/>
      <c r="K729" s="312"/>
      <c r="L729" s="312"/>
      <c r="M729" s="312"/>
      <c r="N729" s="312"/>
      <c r="O729" s="312"/>
      <c r="P729" s="312"/>
      <c r="Q729" s="312"/>
      <c r="R729" s="312"/>
      <c r="S729" s="312"/>
    </row>
    <row r="730" ht="12.75" spans="3:19">
      <c r="C730" s="312"/>
      <c r="D730" s="312"/>
      <c r="E730" s="312"/>
      <c r="F730" s="312"/>
      <c r="G730" s="312"/>
      <c r="H730" s="312"/>
      <c r="I730" s="312"/>
      <c r="J730" s="312"/>
      <c r="K730" s="312"/>
      <c r="L730" s="312"/>
      <c r="M730" s="312"/>
      <c r="N730" s="312"/>
      <c r="O730" s="312"/>
      <c r="P730" s="312"/>
      <c r="Q730" s="312"/>
      <c r="R730" s="312"/>
      <c r="S730" s="312"/>
    </row>
    <row r="731" ht="12.75" spans="3:19">
      <c r="C731" s="312"/>
      <c r="D731" s="312"/>
      <c r="E731" s="312"/>
      <c r="F731" s="312"/>
      <c r="G731" s="312"/>
      <c r="H731" s="312"/>
      <c r="I731" s="312"/>
      <c r="J731" s="312"/>
      <c r="K731" s="312"/>
      <c r="L731" s="312"/>
      <c r="M731" s="312"/>
      <c r="N731" s="312"/>
      <c r="O731" s="312"/>
      <c r="P731" s="312"/>
      <c r="Q731" s="312"/>
      <c r="R731" s="312"/>
      <c r="S731" s="312"/>
    </row>
    <row r="732" ht="12.75" spans="3:19">
      <c r="C732" s="312"/>
      <c r="D732" s="312"/>
      <c r="E732" s="312"/>
      <c r="F732" s="312"/>
      <c r="G732" s="312"/>
      <c r="H732" s="312"/>
      <c r="I732" s="312"/>
      <c r="J732" s="312"/>
      <c r="K732" s="312"/>
      <c r="L732" s="312"/>
      <c r="M732" s="312"/>
      <c r="N732" s="312"/>
      <c r="O732" s="312"/>
      <c r="P732" s="312"/>
      <c r="Q732" s="312"/>
      <c r="R732" s="312"/>
      <c r="S732" s="312"/>
    </row>
    <row r="733" ht="12.75" spans="3:19">
      <c r="C733" s="312"/>
      <c r="D733" s="312"/>
      <c r="E733" s="312"/>
      <c r="F733" s="312"/>
      <c r="G733" s="312"/>
      <c r="H733" s="312"/>
      <c r="I733" s="312"/>
      <c r="J733" s="312"/>
      <c r="K733" s="312"/>
      <c r="L733" s="312"/>
      <c r="M733" s="312"/>
      <c r="N733" s="312"/>
      <c r="O733" s="312"/>
      <c r="P733" s="312"/>
      <c r="Q733" s="312"/>
      <c r="R733" s="312"/>
      <c r="S733" s="312"/>
    </row>
    <row r="734" ht="12.75" spans="3:19">
      <c r="C734" s="312"/>
      <c r="D734" s="312"/>
      <c r="E734" s="312"/>
      <c r="F734" s="312"/>
      <c r="G734" s="312"/>
      <c r="H734" s="312"/>
      <c r="I734" s="312"/>
      <c r="J734" s="312"/>
      <c r="K734" s="312"/>
      <c r="L734" s="312"/>
      <c r="M734" s="312"/>
      <c r="N734" s="312"/>
      <c r="O734" s="312"/>
      <c r="P734" s="312"/>
      <c r="Q734" s="312"/>
      <c r="R734" s="312"/>
      <c r="S734" s="312"/>
    </row>
    <row r="735" ht="12.75" spans="3:19">
      <c r="C735" s="312"/>
      <c r="D735" s="312"/>
      <c r="E735" s="312"/>
      <c r="F735" s="312"/>
      <c r="G735" s="312"/>
      <c r="H735" s="312"/>
      <c r="I735" s="312"/>
      <c r="J735" s="312"/>
      <c r="K735" s="312"/>
      <c r="L735" s="312"/>
      <c r="M735" s="312"/>
      <c r="N735" s="312"/>
      <c r="O735" s="312"/>
      <c r="P735" s="312"/>
      <c r="Q735" s="312"/>
      <c r="R735" s="312"/>
      <c r="S735" s="312"/>
    </row>
    <row r="736" ht="12.75" spans="3:19">
      <c r="C736" s="312"/>
      <c r="D736" s="312"/>
      <c r="E736" s="312"/>
      <c r="F736" s="312"/>
      <c r="G736" s="312"/>
      <c r="H736" s="312"/>
      <c r="I736" s="312"/>
      <c r="J736" s="312"/>
      <c r="K736" s="312"/>
      <c r="L736" s="312"/>
      <c r="M736" s="312"/>
      <c r="N736" s="312"/>
      <c r="O736" s="312"/>
      <c r="P736" s="312"/>
      <c r="Q736" s="312"/>
      <c r="R736" s="312"/>
      <c r="S736" s="312"/>
    </row>
    <row r="737" ht="12.75" spans="3:19">
      <c r="C737" s="312"/>
      <c r="D737" s="312"/>
      <c r="E737" s="312"/>
      <c r="F737" s="312"/>
      <c r="G737" s="312"/>
      <c r="H737" s="312"/>
      <c r="I737" s="312"/>
      <c r="J737" s="312"/>
      <c r="K737" s="312"/>
      <c r="L737" s="312"/>
      <c r="M737" s="312"/>
      <c r="N737" s="312"/>
      <c r="O737" s="312"/>
      <c r="P737" s="312"/>
      <c r="Q737" s="312"/>
      <c r="R737" s="312"/>
      <c r="S737" s="312"/>
    </row>
    <row r="738" ht="12.75" spans="3:19">
      <c r="C738" s="312"/>
      <c r="D738" s="312"/>
      <c r="E738" s="312"/>
      <c r="F738" s="312"/>
      <c r="G738" s="312"/>
      <c r="H738" s="312"/>
      <c r="I738" s="312"/>
      <c r="J738" s="312"/>
      <c r="K738" s="312"/>
      <c r="L738" s="312"/>
      <c r="M738" s="312"/>
      <c r="N738" s="312"/>
      <c r="O738" s="312"/>
      <c r="P738" s="312"/>
      <c r="Q738" s="312"/>
      <c r="R738" s="312"/>
      <c r="S738" s="312"/>
    </row>
    <row r="739" ht="12.75" spans="3:19">
      <c r="C739" s="312"/>
      <c r="D739" s="312"/>
      <c r="E739" s="312"/>
      <c r="F739" s="312"/>
      <c r="G739" s="312"/>
      <c r="H739" s="312"/>
      <c r="I739" s="312"/>
      <c r="J739" s="312"/>
      <c r="K739" s="312"/>
      <c r="L739" s="312"/>
      <c r="M739" s="312"/>
      <c r="N739" s="312"/>
      <c r="O739" s="312"/>
      <c r="P739" s="312"/>
      <c r="Q739" s="312"/>
      <c r="R739" s="312"/>
      <c r="S739" s="312"/>
    </row>
    <row r="740" ht="12.75" spans="3:19">
      <c r="C740" s="312"/>
      <c r="D740" s="312"/>
      <c r="E740" s="312"/>
      <c r="F740" s="312"/>
      <c r="G740" s="312"/>
      <c r="H740" s="312"/>
      <c r="I740" s="312"/>
      <c r="J740" s="312"/>
      <c r="K740" s="312"/>
      <c r="L740" s="312"/>
      <c r="M740" s="312"/>
      <c r="N740" s="312"/>
      <c r="O740" s="312"/>
      <c r="P740" s="312"/>
      <c r="Q740" s="312"/>
      <c r="R740" s="312"/>
      <c r="S740" s="312"/>
    </row>
    <row r="741" ht="12.75" spans="3:19">
      <c r="C741" s="312"/>
      <c r="D741" s="312"/>
      <c r="E741" s="312"/>
      <c r="F741" s="312"/>
      <c r="G741" s="312"/>
      <c r="H741" s="312"/>
      <c r="I741" s="312"/>
      <c r="J741" s="312"/>
      <c r="K741" s="312"/>
      <c r="L741" s="312"/>
      <c r="M741" s="312"/>
      <c r="N741" s="312"/>
      <c r="O741" s="312"/>
      <c r="P741" s="312"/>
      <c r="Q741" s="312"/>
      <c r="R741" s="312"/>
      <c r="S741" s="312"/>
    </row>
    <row r="742" ht="12.75" spans="3:19">
      <c r="C742" s="312"/>
      <c r="D742" s="312"/>
      <c r="E742" s="312"/>
      <c r="F742" s="312"/>
      <c r="G742" s="312"/>
      <c r="H742" s="312"/>
      <c r="I742" s="312"/>
      <c r="J742" s="312"/>
      <c r="K742" s="312"/>
      <c r="L742" s="312"/>
      <c r="M742" s="312"/>
      <c r="N742" s="312"/>
      <c r="O742" s="312"/>
      <c r="P742" s="312"/>
      <c r="Q742" s="312"/>
      <c r="R742" s="312"/>
      <c r="S742" s="312"/>
    </row>
    <row r="743" ht="12.75" spans="3:19">
      <c r="C743" s="312"/>
      <c r="D743" s="312"/>
      <c r="E743" s="312"/>
      <c r="F743" s="312"/>
      <c r="G743" s="312"/>
      <c r="H743" s="312"/>
      <c r="I743" s="312"/>
      <c r="J743" s="312"/>
      <c r="K743" s="312"/>
      <c r="L743" s="312"/>
      <c r="M743" s="312"/>
      <c r="N743" s="312"/>
      <c r="O743" s="312"/>
      <c r="P743" s="312"/>
      <c r="Q743" s="312"/>
      <c r="R743" s="312"/>
      <c r="S743" s="312"/>
    </row>
    <row r="744" ht="12.75" spans="3:19">
      <c r="C744" s="312"/>
      <c r="D744" s="312"/>
      <c r="E744" s="312"/>
      <c r="F744" s="312"/>
      <c r="G744" s="312"/>
      <c r="H744" s="312"/>
      <c r="I744" s="312"/>
      <c r="J744" s="312"/>
      <c r="K744" s="312"/>
      <c r="L744" s="312"/>
      <c r="M744" s="312"/>
      <c r="N744" s="312"/>
      <c r="O744" s="312"/>
      <c r="P744" s="312"/>
      <c r="Q744" s="312"/>
      <c r="R744" s="312"/>
      <c r="S744" s="312"/>
    </row>
    <row r="745" ht="12.75" spans="3:19">
      <c r="C745" s="312"/>
      <c r="D745" s="312"/>
      <c r="E745" s="312"/>
      <c r="F745" s="312"/>
      <c r="G745" s="312"/>
      <c r="H745" s="312"/>
      <c r="I745" s="312"/>
      <c r="J745" s="312"/>
      <c r="K745" s="312"/>
      <c r="L745" s="312"/>
      <c r="M745" s="312"/>
      <c r="N745" s="312"/>
      <c r="O745" s="312"/>
      <c r="P745" s="312"/>
      <c r="Q745" s="312"/>
      <c r="R745" s="312"/>
      <c r="S745" s="312"/>
    </row>
    <row r="746" ht="12.75" spans="3:19">
      <c r="C746" s="312"/>
      <c r="D746" s="312"/>
      <c r="E746" s="312"/>
      <c r="F746" s="312"/>
      <c r="G746" s="312"/>
      <c r="H746" s="312"/>
      <c r="I746" s="312"/>
      <c r="J746" s="312"/>
      <c r="K746" s="312"/>
      <c r="L746" s="312"/>
      <c r="M746" s="312"/>
      <c r="N746" s="312"/>
      <c r="O746" s="312"/>
      <c r="P746" s="312"/>
      <c r="Q746" s="312"/>
      <c r="R746" s="312"/>
      <c r="S746" s="312"/>
    </row>
    <row r="747" ht="12.75" spans="3:19">
      <c r="C747" s="312"/>
      <c r="D747" s="312"/>
      <c r="E747" s="312"/>
      <c r="F747" s="312"/>
      <c r="G747" s="312"/>
      <c r="H747" s="312"/>
      <c r="I747" s="312"/>
      <c r="J747" s="312"/>
      <c r="K747" s="312"/>
      <c r="L747" s="312"/>
      <c r="M747" s="312"/>
      <c r="N747" s="312"/>
      <c r="O747" s="312"/>
      <c r="P747" s="312"/>
      <c r="Q747" s="312"/>
      <c r="R747" s="312"/>
      <c r="S747" s="312"/>
    </row>
    <row r="748" ht="12.75" spans="3:19">
      <c r="C748" s="312"/>
      <c r="D748" s="312"/>
      <c r="E748" s="312"/>
      <c r="F748" s="312"/>
      <c r="G748" s="312"/>
      <c r="H748" s="312"/>
      <c r="I748" s="312"/>
      <c r="J748" s="312"/>
      <c r="K748" s="312"/>
      <c r="L748" s="312"/>
      <c r="M748" s="312"/>
      <c r="N748" s="312"/>
      <c r="O748" s="312"/>
      <c r="P748" s="312"/>
      <c r="Q748" s="312"/>
      <c r="R748" s="312"/>
      <c r="S748" s="312"/>
    </row>
    <row r="749" ht="12.75" spans="3:19">
      <c r="C749" s="312"/>
      <c r="D749" s="312"/>
      <c r="E749" s="312"/>
      <c r="F749" s="312"/>
      <c r="G749" s="312"/>
      <c r="H749" s="312"/>
      <c r="I749" s="312"/>
      <c r="J749" s="312"/>
      <c r="K749" s="312"/>
      <c r="L749" s="312"/>
      <c r="M749" s="312"/>
      <c r="N749" s="312"/>
      <c r="O749" s="312"/>
      <c r="P749" s="312"/>
      <c r="Q749" s="312"/>
      <c r="R749" s="312"/>
      <c r="S749" s="312"/>
    </row>
    <row r="750" ht="12.75" spans="3:19">
      <c r="C750" s="312"/>
      <c r="D750" s="312"/>
      <c r="E750" s="312"/>
      <c r="F750" s="312"/>
      <c r="G750" s="312"/>
      <c r="H750" s="312"/>
      <c r="I750" s="312"/>
      <c r="J750" s="312"/>
      <c r="K750" s="312"/>
      <c r="L750" s="312"/>
      <c r="M750" s="312"/>
      <c r="N750" s="312"/>
      <c r="O750" s="312"/>
      <c r="P750" s="312"/>
      <c r="Q750" s="312"/>
      <c r="R750" s="312"/>
      <c r="S750" s="312"/>
    </row>
    <row r="751" ht="12.75" spans="3:19">
      <c r="C751" s="312"/>
      <c r="D751" s="312"/>
      <c r="E751" s="312"/>
      <c r="F751" s="312"/>
      <c r="G751" s="312"/>
      <c r="H751" s="312"/>
      <c r="I751" s="312"/>
      <c r="J751" s="312"/>
      <c r="K751" s="312"/>
      <c r="L751" s="312"/>
      <c r="M751" s="312"/>
      <c r="N751" s="312"/>
      <c r="O751" s="312"/>
      <c r="P751" s="312"/>
      <c r="Q751" s="312"/>
      <c r="R751" s="312"/>
      <c r="S751" s="312"/>
    </row>
    <row r="752" ht="12.75" spans="3:19">
      <c r="C752" s="312"/>
      <c r="D752" s="312"/>
      <c r="E752" s="312"/>
      <c r="F752" s="312"/>
      <c r="G752" s="312"/>
      <c r="H752" s="312"/>
      <c r="I752" s="312"/>
      <c r="J752" s="312"/>
      <c r="K752" s="312"/>
      <c r="L752" s="312"/>
      <c r="M752" s="312"/>
      <c r="N752" s="312"/>
      <c r="O752" s="312"/>
      <c r="P752" s="312"/>
      <c r="Q752" s="312"/>
      <c r="R752" s="312"/>
      <c r="S752" s="312"/>
    </row>
    <row r="753" ht="12.75" spans="3:19">
      <c r="C753" s="312"/>
      <c r="D753" s="312"/>
      <c r="E753" s="312"/>
      <c r="F753" s="312"/>
      <c r="G753" s="312"/>
      <c r="H753" s="312"/>
      <c r="I753" s="312"/>
      <c r="J753" s="312"/>
      <c r="K753" s="312"/>
      <c r="L753" s="312"/>
      <c r="M753" s="312"/>
      <c r="N753" s="312"/>
      <c r="O753" s="312"/>
      <c r="P753" s="312"/>
      <c r="Q753" s="312"/>
      <c r="R753" s="312"/>
      <c r="S753" s="312"/>
    </row>
    <row r="754" ht="12.75" spans="3:19">
      <c r="C754" s="312"/>
      <c r="D754" s="312"/>
      <c r="E754" s="312"/>
      <c r="F754" s="312"/>
      <c r="G754" s="312"/>
      <c r="H754" s="312"/>
      <c r="I754" s="312"/>
      <c r="J754" s="312"/>
      <c r="K754" s="312"/>
      <c r="L754" s="312"/>
      <c r="M754" s="312"/>
      <c r="N754" s="312"/>
      <c r="O754" s="312"/>
      <c r="P754" s="312"/>
      <c r="Q754" s="312"/>
      <c r="R754" s="312"/>
      <c r="S754" s="312"/>
    </row>
    <row r="755" ht="12.75" spans="3:19">
      <c r="C755" s="312"/>
      <c r="D755" s="312"/>
      <c r="E755" s="312"/>
      <c r="F755" s="312"/>
      <c r="G755" s="312"/>
      <c r="H755" s="312"/>
      <c r="I755" s="312"/>
      <c r="J755" s="312"/>
      <c r="K755" s="312"/>
      <c r="L755" s="312"/>
      <c r="M755" s="312"/>
      <c r="N755" s="312"/>
      <c r="O755" s="312"/>
      <c r="P755" s="312"/>
      <c r="Q755" s="312"/>
      <c r="R755" s="312"/>
      <c r="S755" s="312"/>
    </row>
    <row r="756" ht="12.75" spans="3:19">
      <c r="C756" s="312"/>
      <c r="D756" s="312"/>
      <c r="E756" s="312"/>
      <c r="F756" s="312"/>
      <c r="G756" s="312"/>
      <c r="H756" s="312"/>
      <c r="I756" s="312"/>
      <c r="J756" s="312"/>
      <c r="K756" s="312"/>
      <c r="L756" s="312"/>
      <c r="M756" s="312"/>
      <c r="N756" s="312"/>
      <c r="O756" s="312"/>
      <c r="P756" s="312"/>
      <c r="Q756" s="312"/>
      <c r="R756" s="312"/>
      <c r="S756" s="312"/>
    </row>
    <row r="757" ht="12.75" spans="3:19">
      <c r="C757" s="312"/>
      <c r="D757" s="312"/>
      <c r="E757" s="312"/>
      <c r="F757" s="312"/>
      <c r="G757" s="312"/>
      <c r="H757" s="312"/>
      <c r="I757" s="312"/>
      <c r="J757" s="312"/>
      <c r="K757" s="312"/>
      <c r="L757" s="312"/>
      <c r="M757" s="312"/>
      <c r="N757" s="312"/>
      <c r="O757" s="312"/>
      <c r="P757" s="312"/>
      <c r="Q757" s="312"/>
      <c r="R757" s="312"/>
      <c r="S757" s="312"/>
    </row>
    <row r="758" ht="12.75" spans="3:19">
      <c r="C758" s="312"/>
      <c r="D758" s="312"/>
      <c r="E758" s="312"/>
      <c r="F758" s="312"/>
      <c r="G758" s="312"/>
      <c r="H758" s="312"/>
      <c r="I758" s="312"/>
      <c r="J758" s="312"/>
      <c r="K758" s="312"/>
      <c r="L758" s="312"/>
      <c r="M758" s="312"/>
      <c r="N758" s="312"/>
      <c r="O758" s="312"/>
      <c r="P758" s="312"/>
      <c r="Q758" s="312"/>
      <c r="R758" s="312"/>
      <c r="S758" s="312"/>
    </row>
    <row r="759" ht="12.75" spans="3:19">
      <c r="C759" s="312"/>
      <c r="D759" s="312"/>
      <c r="E759" s="312"/>
      <c r="F759" s="312"/>
      <c r="G759" s="312"/>
      <c r="H759" s="312"/>
      <c r="I759" s="312"/>
      <c r="J759" s="312"/>
      <c r="K759" s="312"/>
      <c r="L759" s="312"/>
      <c r="M759" s="312"/>
      <c r="N759" s="312"/>
      <c r="O759" s="312"/>
      <c r="P759" s="312"/>
      <c r="Q759" s="312"/>
      <c r="R759" s="312"/>
      <c r="S759" s="312"/>
    </row>
    <row r="760" ht="12.75" spans="3:19">
      <c r="C760" s="312"/>
      <c r="D760" s="312"/>
      <c r="E760" s="312"/>
      <c r="F760" s="312"/>
      <c r="G760" s="312"/>
      <c r="H760" s="312"/>
      <c r="I760" s="312"/>
      <c r="J760" s="312"/>
      <c r="K760" s="312"/>
      <c r="L760" s="312"/>
      <c r="M760" s="312"/>
      <c r="N760" s="312"/>
      <c r="O760" s="312"/>
      <c r="P760" s="312"/>
      <c r="Q760" s="312"/>
      <c r="R760" s="312"/>
      <c r="S760" s="312"/>
    </row>
    <row r="761" ht="12.75" spans="3:19">
      <c r="C761" s="312"/>
      <c r="D761" s="312"/>
      <c r="E761" s="312"/>
      <c r="F761" s="312"/>
      <c r="G761" s="312"/>
      <c r="H761" s="312"/>
      <c r="I761" s="312"/>
      <c r="J761" s="312"/>
      <c r="K761" s="312"/>
      <c r="L761" s="312"/>
      <c r="M761" s="312"/>
      <c r="N761" s="312"/>
      <c r="O761" s="312"/>
      <c r="P761" s="312"/>
      <c r="Q761" s="312"/>
      <c r="R761" s="312"/>
      <c r="S761" s="312"/>
    </row>
    <row r="762" ht="12.75" spans="3:19">
      <c r="C762" s="312"/>
      <c r="D762" s="312"/>
      <c r="E762" s="312"/>
      <c r="F762" s="312"/>
      <c r="G762" s="312"/>
      <c r="H762" s="312"/>
      <c r="I762" s="312"/>
      <c r="J762" s="312"/>
      <c r="K762" s="312"/>
      <c r="L762" s="312"/>
      <c r="M762" s="312"/>
      <c r="N762" s="312"/>
      <c r="O762" s="312"/>
      <c r="P762" s="312"/>
      <c r="Q762" s="312"/>
      <c r="R762" s="312"/>
      <c r="S762" s="312"/>
    </row>
    <row r="763" ht="12.75" spans="3:19">
      <c r="C763" s="312"/>
      <c r="D763" s="312"/>
      <c r="E763" s="312"/>
      <c r="F763" s="312"/>
      <c r="G763" s="312"/>
      <c r="H763" s="312"/>
      <c r="I763" s="312"/>
      <c r="J763" s="312"/>
      <c r="K763" s="312"/>
      <c r="L763" s="312"/>
      <c r="M763" s="312"/>
      <c r="N763" s="312"/>
      <c r="O763" s="312"/>
      <c r="P763" s="312"/>
      <c r="Q763" s="312"/>
      <c r="R763" s="312"/>
      <c r="S763" s="312"/>
    </row>
    <row r="764" ht="12.75" spans="3:19">
      <c r="C764" s="312"/>
      <c r="D764" s="312"/>
      <c r="E764" s="312"/>
      <c r="F764" s="312"/>
      <c r="G764" s="312"/>
      <c r="H764" s="312"/>
      <c r="I764" s="312"/>
      <c r="J764" s="312"/>
      <c r="K764" s="312"/>
      <c r="L764" s="312"/>
      <c r="M764" s="312"/>
      <c r="N764" s="312"/>
      <c r="O764" s="312"/>
      <c r="P764" s="312"/>
      <c r="Q764" s="312"/>
      <c r="R764" s="312"/>
      <c r="S764" s="312"/>
    </row>
    <row r="765" ht="12.75" spans="3:19">
      <c r="C765" s="312"/>
      <c r="D765" s="312"/>
      <c r="E765" s="312"/>
      <c r="F765" s="312"/>
      <c r="G765" s="312"/>
      <c r="H765" s="312"/>
      <c r="I765" s="312"/>
      <c r="J765" s="312"/>
      <c r="K765" s="312"/>
      <c r="L765" s="312"/>
      <c r="M765" s="312"/>
      <c r="N765" s="312"/>
      <c r="O765" s="312"/>
      <c r="P765" s="312"/>
      <c r="Q765" s="312"/>
      <c r="R765" s="312"/>
      <c r="S765" s="312"/>
    </row>
    <row r="766" ht="12.75" spans="3:19">
      <c r="C766" s="312"/>
      <c r="D766" s="312"/>
      <c r="E766" s="312"/>
      <c r="F766" s="312"/>
      <c r="G766" s="312"/>
      <c r="H766" s="312"/>
      <c r="I766" s="312"/>
      <c r="J766" s="312"/>
      <c r="K766" s="312"/>
      <c r="L766" s="312"/>
      <c r="M766" s="312"/>
      <c r="N766" s="312"/>
      <c r="O766" s="312"/>
      <c r="P766" s="312"/>
      <c r="Q766" s="312"/>
      <c r="R766" s="312"/>
      <c r="S766" s="312"/>
    </row>
    <row r="767" ht="12.75" spans="3:19">
      <c r="C767" s="312"/>
      <c r="D767" s="312"/>
      <c r="E767" s="312"/>
      <c r="F767" s="312"/>
      <c r="G767" s="312"/>
      <c r="H767" s="312"/>
      <c r="I767" s="312"/>
      <c r="J767" s="312"/>
      <c r="K767" s="312"/>
      <c r="L767" s="312"/>
      <c r="M767" s="312"/>
      <c r="N767" s="312"/>
      <c r="O767" s="312"/>
      <c r="P767" s="312"/>
      <c r="Q767" s="312"/>
      <c r="R767" s="312"/>
      <c r="S767" s="312"/>
    </row>
    <row r="768" ht="12.75" spans="3:19">
      <c r="C768" s="312"/>
      <c r="D768" s="312"/>
      <c r="E768" s="312"/>
      <c r="F768" s="312"/>
      <c r="G768" s="312"/>
      <c r="H768" s="312"/>
      <c r="I768" s="312"/>
      <c r="J768" s="312"/>
      <c r="K768" s="312"/>
      <c r="L768" s="312"/>
      <c r="M768" s="312"/>
      <c r="N768" s="312"/>
      <c r="O768" s="312"/>
      <c r="P768" s="312"/>
      <c r="Q768" s="312"/>
      <c r="R768" s="312"/>
      <c r="S768" s="312"/>
    </row>
    <row r="769" ht="12.75" spans="3:19">
      <c r="C769" s="312"/>
      <c r="D769" s="312"/>
      <c r="E769" s="312"/>
      <c r="F769" s="312"/>
      <c r="G769" s="312"/>
      <c r="H769" s="312"/>
      <c r="I769" s="312"/>
      <c r="J769" s="312"/>
      <c r="K769" s="312"/>
      <c r="L769" s="312"/>
      <c r="M769" s="312"/>
      <c r="N769" s="312"/>
      <c r="O769" s="312"/>
      <c r="P769" s="312"/>
      <c r="Q769" s="312"/>
      <c r="R769" s="312"/>
      <c r="S769" s="312"/>
    </row>
    <row r="770" ht="12.75" spans="3:19">
      <c r="C770" s="312"/>
      <c r="D770" s="312"/>
      <c r="E770" s="312"/>
      <c r="F770" s="312"/>
      <c r="G770" s="312"/>
      <c r="H770" s="312"/>
      <c r="I770" s="312"/>
      <c r="J770" s="312"/>
      <c r="K770" s="312"/>
      <c r="L770" s="312"/>
      <c r="M770" s="312"/>
      <c r="N770" s="312"/>
      <c r="O770" s="312"/>
      <c r="P770" s="312"/>
      <c r="Q770" s="312"/>
      <c r="R770" s="312"/>
      <c r="S770" s="312"/>
    </row>
    <row r="771" ht="12.75" spans="3:19">
      <c r="C771" s="312"/>
      <c r="D771" s="312"/>
      <c r="E771" s="312"/>
      <c r="F771" s="312"/>
      <c r="G771" s="312"/>
      <c r="H771" s="312"/>
      <c r="I771" s="312"/>
      <c r="J771" s="312"/>
      <c r="K771" s="312"/>
      <c r="L771" s="312"/>
      <c r="M771" s="312"/>
      <c r="N771" s="312"/>
      <c r="O771" s="312"/>
      <c r="P771" s="312"/>
      <c r="Q771" s="312"/>
      <c r="R771" s="312"/>
      <c r="S771" s="312"/>
    </row>
    <row r="772" ht="12.75" spans="3:19">
      <c r="C772" s="312"/>
      <c r="D772" s="312"/>
      <c r="E772" s="312"/>
      <c r="F772" s="312"/>
      <c r="G772" s="312"/>
      <c r="H772" s="312"/>
      <c r="I772" s="312"/>
      <c r="J772" s="312"/>
      <c r="K772" s="312"/>
      <c r="L772" s="312"/>
      <c r="M772" s="312"/>
      <c r="N772" s="312"/>
      <c r="O772" s="312"/>
      <c r="P772" s="312"/>
      <c r="Q772" s="312"/>
      <c r="R772" s="312"/>
      <c r="S772" s="312"/>
    </row>
    <row r="773" ht="12.75" spans="3:19">
      <c r="C773" s="312"/>
      <c r="D773" s="312"/>
      <c r="E773" s="312"/>
      <c r="F773" s="312"/>
      <c r="G773" s="312"/>
      <c r="H773" s="312"/>
      <c r="I773" s="312"/>
      <c r="J773" s="312"/>
      <c r="K773" s="312"/>
      <c r="L773" s="312"/>
      <c r="M773" s="312"/>
      <c r="N773" s="312"/>
      <c r="O773" s="312"/>
      <c r="P773" s="312"/>
      <c r="Q773" s="312"/>
      <c r="R773" s="312"/>
      <c r="S773" s="312"/>
    </row>
    <row r="774" ht="12.75" spans="3:19">
      <c r="C774" s="312"/>
      <c r="D774" s="312"/>
      <c r="E774" s="312"/>
      <c r="F774" s="312"/>
      <c r="G774" s="312"/>
      <c r="H774" s="312"/>
      <c r="I774" s="312"/>
      <c r="J774" s="312"/>
      <c r="K774" s="312"/>
      <c r="L774" s="312"/>
      <c r="M774" s="312"/>
      <c r="N774" s="312"/>
      <c r="O774" s="312"/>
      <c r="P774" s="312"/>
      <c r="Q774" s="312"/>
      <c r="R774" s="312"/>
      <c r="S774" s="312"/>
    </row>
    <row r="775" ht="12.75" spans="3:19">
      <c r="C775" s="312"/>
      <c r="D775" s="312"/>
      <c r="E775" s="312"/>
      <c r="F775" s="312"/>
      <c r="G775" s="312"/>
      <c r="H775" s="312"/>
      <c r="I775" s="312"/>
      <c r="J775" s="312"/>
      <c r="K775" s="312"/>
      <c r="L775" s="312"/>
      <c r="M775" s="312"/>
      <c r="N775" s="312"/>
      <c r="O775" s="312"/>
      <c r="P775" s="312"/>
      <c r="Q775" s="312"/>
      <c r="R775" s="312"/>
      <c r="S775" s="312"/>
    </row>
    <row r="776" ht="12.75" spans="3:19">
      <c r="C776" s="312"/>
      <c r="D776" s="312"/>
      <c r="E776" s="312"/>
      <c r="F776" s="312"/>
      <c r="G776" s="312"/>
      <c r="H776" s="312"/>
      <c r="I776" s="312"/>
      <c r="J776" s="312"/>
      <c r="K776" s="312"/>
      <c r="L776" s="312"/>
      <c r="M776" s="312"/>
      <c r="N776" s="312"/>
      <c r="O776" s="312"/>
      <c r="P776" s="312"/>
      <c r="Q776" s="312"/>
      <c r="R776" s="312"/>
      <c r="S776" s="312"/>
    </row>
    <row r="777" ht="12.75" spans="3:19">
      <c r="C777" s="312"/>
      <c r="D777" s="312"/>
      <c r="E777" s="312"/>
      <c r="F777" s="312"/>
      <c r="G777" s="312"/>
      <c r="H777" s="312"/>
      <c r="I777" s="312"/>
      <c r="J777" s="312"/>
      <c r="K777" s="312"/>
      <c r="L777" s="312"/>
      <c r="M777" s="312"/>
      <c r="N777" s="312"/>
      <c r="O777" s="312"/>
      <c r="P777" s="312"/>
      <c r="Q777" s="312"/>
      <c r="R777" s="312"/>
      <c r="S777" s="312"/>
    </row>
    <row r="778" ht="12.75" spans="3:19">
      <c r="C778" s="312"/>
      <c r="D778" s="312"/>
      <c r="E778" s="312"/>
      <c r="F778" s="312"/>
      <c r="G778" s="312"/>
      <c r="H778" s="312"/>
      <c r="I778" s="312"/>
      <c r="J778" s="312"/>
      <c r="K778" s="312"/>
      <c r="L778" s="312"/>
      <c r="M778" s="312"/>
      <c r="N778" s="312"/>
      <c r="O778" s="312"/>
      <c r="P778" s="312"/>
      <c r="Q778" s="312"/>
      <c r="R778" s="312"/>
      <c r="S778" s="312"/>
    </row>
    <row r="779" ht="12.75" spans="3:19">
      <c r="C779" s="312"/>
      <c r="D779" s="312"/>
      <c r="E779" s="312"/>
      <c r="F779" s="312"/>
      <c r="G779" s="312"/>
      <c r="H779" s="312"/>
      <c r="I779" s="312"/>
      <c r="J779" s="312"/>
      <c r="K779" s="312"/>
      <c r="L779" s="312"/>
      <c r="M779" s="312"/>
      <c r="N779" s="312"/>
      <c r="O779" s="312"/>
      <c r="P779" s="312"/>
      <c r="Q779" s="312"/>
      <c r="R779" s="312"/>
      <c r="S779" s="312"/>
    </row>
    <row r="780" ht="12.75" spans="3:19">
      <c r="C780" s="312"/>
      <c r="D780" s="312"/>
      <c r="E780" s="312"/>
      <c r="F780" s="312"/>
      <c r="G780" s="312"/>
      <c r="H780" s="312"/>
      <c r="I780" s="312"/>
      <c r="J780" s="312"/>
      <c r="K780" s="312"/>
      <c r="L780" s="312"/>
      <c r="M780" s="312"/>
      <c r="N780" s="312"/>
      <c r="O780" s="312"/>
      <c r="P780" s="312"/>
      <c r="Q780" s="312"/>
      <c r="R780" s="312"/>
      <c r="S780" s="312"/>
    </row>
    <row r="781" ht="12.75" spans="3:19">
      <c r="C781" s="312"/>
      <c r="D781" s="312"/>
      <c r="E781" s="312"/>
      <c r="F781" s="312"/>
      <c r="G781" s="312"/>
      <c r="H781" s="312"/>
      <c r="I781" s="312"/>
      <c r="J781" s="312"/>
      <c r="K781" s="312"/>
      <c r="L781" s="312"/>
      <c r="M781" s="312"/>
      <c r="N781" s="312"/>
      <c r="O781" s="312"/>
      <c r="P781" s="312"/>
      <c r="Q781" s="312"/>
      <c r="R781" s="312"/>
      <c r="S781" s="312"/>
    </row>
    <row r="782" ht="12.75" spans="3:19">
      <c r="C782" s="312"/>
      <c r="D782" s="312"/>
      <c r="E782" s="312"/>
      <c r="F782" s="312"/>
      <c r="G782" s="312"/>
      <c r="H782" s="312"/>
      <c r="I782" s="312"/>
      <c r="J782" s="312"/>
      <c r="K782" s="312"/>
      <c r="L782" s="312"/>
      <c r="M782" s="312"/>
      <c r="N782" s="312"/>
      <c r="O782" s="312"/>
      <c r="P782" s="312"/>
      <c r="Q782" s="312"/>
      <c r="R782" s="312"/>
      <c r="S782" s="312"/>
    </row>
    <row r="783" ht="12.75" spans="3:19">
      <c r="C783" s="312"/>
      <c r="D783" s="312"/>
      <c r="E783" s="312"/>
      <c r="F783" s="312"/>
      <c r="G783" s="312"/>
      <c r="H783" s="312"/>
      <c r="I783" s="312"/>
      <c r="J783" s="312"/>
      <c r="K783" s="312"/>
      <c r="L783" s="312"/>
      <c r="M783" s="312"/>
      <c r="N783" s="312"/>
      <c r="O783" s="312"/>
      <c r="P783" s="312"/>
      <c r="Q783" s="312"/>
      <c r="R783" s="312"/>
      <c r="S783" s="312"/>
    </row>
    <row r="784" ht="12.75" spans="3:19">
      <c r="C784" s="312"/>
      <c r="D784" s="312"/>
      <c r="E784" s="312"/>
      <c r="F784" s="312"/>
      <c r="G784" s="312"/>
      <c r="H784" s="312"/>
      <c r="I784" s="312"/>
      <c r="J784" s="312"/>
      <c r="K784" s="312"/>
      <c r="L784" s="312"/>
      <c r="M784" s="312"/>
      <c r="N784" s="312"/>
      <c r="O784" s="312"/>
      <c r="P784" s="312"/>
      <c r="Q784" s="312"/>
      <c r="R784" s="312"/>
      <c r="S784" s="312"/>
    </row>
    <row r="785" ht="12.75" spans="3:19">
      <c r="C785" s="312"/>
      <c r="D785" s="312"/>
      <c r="E785" s="312"/>
      <c r="F785" s="312"/>
      <c r="G785" s="312"/>
      <c r="H785" s="312"/>
      <c r="I785" s="312"/>
      <c r="J785" s="312"/>
      <c r="K785" s="312"/>
      <c r="L785" s="312"/>
      <c r="M785" s="312"/>
      <c r="N785" s="312"/>
      <c r="O785" s="312"/>
      <c r="P785" s="312"/>
      <c r="Q785" s="312"/>
      <c r="R785" s="312"/>
      <c r="S785" s="312"/>
    </row>
    <row r="786" ht="12.75" spans="3:19">
      <c r="C786" s="312"/>
      <c r="D786" s="312"/>
      <c r="E786" s="312"/>
      <c r="F786" s="312"/>
      <c r="G786" s="312"/>
      <c r="H786" s="312"/>
      <c r="I786" s="312"/>
      <c r="J786" s="312"/>
      <c r="K786" s="312"/>
      <c r="L786" s="312"/>
      <c r="M786" s="312"/>
      <c r="N786" s="312"/>
      <c r="O786" s="312"/>
      <c r="P786" s="312"/>
      <c r="Q786" s="312"/>
      <c r="R786" s="312"/>
      <c r="S786" s="312"/>
    </row>
    <row r="787" ht="12.75" spans="3:19">
      <c r="C787" s="312"/>
      <c r="D787" s="312"/>
      <c r="E787" s="312"/>
      <c r="F787" s="312"/>
      <c r="G787" s="312"/>
      <c r="H787" s="312"/>
      <c r="I787" s="312"/>
      <c r="J787" s="312"/>
      <c r="K787" s="312"/>
      <c r="L787" s="312"/>
      <c r="M787" s="312"/>
      <c r="N787" s="312"/>
      <c r="O787" s="312"/>
      <c r="P787" s="312"/>
      <c r="Q787" s="312"/>
      <c r="R787" s="312"/>
      <c r="S787" s="312"/>
    </row>
    <row r="788" ht="12.75" spans="3:19">
      <c r="C788" s="312"/>
      <c r="D788" s="312"/>
      <c r="E788" s="312"/>
      <c r="F788" s="312"/>
      <c r="G788" s="312"/>
      <c r="H788" s="312"/>
      <c r="I788" s="312"/>
      <c r="J788" s="312"/>
      <c r="K788" s="312"/>
      <c r="L788" s="312"/>
      <c r="M788" s="312"/>
      <c r="N788" s="312"/>
      <c r="O788" s="312"/>
      <c r="P788" s="312"/>
      <c r="Q788" s="312"/>
      <c r="R788" s="312"/>
      <c r="S788" s="312"/>
    </row>
    <row r="789" ht="12.75" spans="3:19">
      <c r="C789" s="312"/>
      <c r="D789" s="312"/>
      <c r="E789" s="312"/>
      <c r="F789" s="312"/>
      <c r="G789" s="312"/>
      <c r="H789" s="312"/>
      <c r="I789" s="312"/>
      <c r="J789" s="312"/>
      <c r="K789" s="312"/>
      <c r="L789" s="312"/>
      <c r="M789" s="312"/>
      <c r="N789" s="312"/>
      <c r="O789" s="312"/>
      <c r="P789" s="312"/>
      <c r="Q789" s="312"/>
      <c r="R789" s="312"/>
      <c r="S789" s="312"/>
    </row>
    <row r="790" ht="12.75" spans="3:19">
      <c r="C790" s="312"/>
      <c r="D790" s="312"/>
      <c r="E790" s="312"/>
      <c r="F790" s="312"/>
      <c r="G790" s="312"/>
      <c r="H790" s="312"/>
      <c r="I790" s="312"/>
      <c r="J790" s="312"/>
      <c r="K790" s="312"/>
      <c r="L790" s="312"/>
      <c r="M790" s="312"/>
      <c r="N790" s="312"/>
      <c r="O790" s="312"/>
      <c r="P790" s="312"/>
      <c r="Q790" s="312"/>
      <c r="R790" s="312"/>
      <c r="S790" s="312"/>
    </row>
    <row r="791" ht="12.75" spans="3:19">
      <c r="C791" s="312"/>
      <c r="D791" s="312"/>
      <c r="E791" s="312"/>
      <c r="F791" s="312"/>
      <c r="G791" s="312"/>
      <c r="H791" s="312"/>
      <c r="I791" s="312"/>
      <c r="J791" s="312"/>
      <c r="K791" s="312"/>
      <c r="L791" s="312"/>
      <c r="M791" s="312"/>
      <c r="N791" s="312"/>
      <c r="O791" s="312"/>
      <c r="P791" s="312"/>
      <c r="Q791" s="312"/>
      <c r="R791" s="312"/>
      <c r="S791" s="312"/>
    </row>
    <row r="792" ht="12.75" spans="3:19">
      <c r="C792" s="312"/>
      <c r="D792" s="312"/>
      <c r="E792" s="312"/>
      <c r="F792" s="312"/>
      <c r="G792" s="312"/>
      <c r="H792" s="312"/>
      <c r="I792" s="312"/>
      <c r="J792" s="312"/>
      <c r="K792" s="312"/>
      <c r="L792" s="312"/>
      <c r="M792" s="312"/>
      <c r="N792" s="312"/>
      <c r="O792" s="312"/>
      <c r="P792" s="312"/>
      <c r="Q792" s="312"/>
      <c r="R792" s="312"/>
      <c r="S792" s="312"/>
    </row>
    <row r="793" ht="12.75" spans="3:19">
      <c r="C793" s="312"/>
      <c r="D793" s="312"/>
      <c r="E793" s="312"/>
      <c r="F793" s="312"/>
      <c r="G793" s="312"/>
      <c r="H793" s="312"/>
      <c r="I793" s="312"/>
      <c r="J793" s="312"/>
      <c r="K793" s="312"/>
      <c r="L793" s="312"/>
      <c r="M793" s="312"/>
      <c r="N793" s="312"/>
      <c r="O793" s="312"/>
      <c r="P793" s="312"/>
      <c r="Q793" s="312"/>
      <c r="R793" s="312"/>
      <c r="S793" s="312"/>
    </row>
    <row r="794" ht="12.75" spans="3:19">
      <c r="C794" s="312"/>
      <c r="D794" s="312"/>
      <c r="E794" s="312"/>
      <c r="F794" s="312"/>
      <c r="G794" s="312"/>
      <c r="H794" s="312"/>
      <c r="I794" s="312"/>
      <c r="J794" s="312"/>
      <c r="K794" s="312"/>
      <c r="L794" s="312"/>
      <c r="M794" s="312"/>
      <c r="N794" s="312"/>
      <c r="O794" s="312"/>
      <c r="P794" s="312"/>
      <c r="Q794" s="312"/>
      <c r="R794" s="312"/>
      <c r="S794" s="312"/>
    </row>
    <row r="795" ht="12.75" spans="3:19">
      <c r="C795" s="312"/>
      <c r="D795" s="312"/>
      <c r="E795" s="312"/>
      <c r="F795" s="312"/>
      <c r="G795" s="312"/>
      <c r="H795" s="312"/>
      <c r="I795" s="312"/>
      <c r="J795" s="312"/>
      <c r="K795" s="312"/>
      <c r="L795" s="312"/>
      <c r="M795" s="312"/>
      <c r="N795" s="312"/>
      <c r="O795" s="312"/>
      <c r="P795" s="312"/>
      <c r="Q795" s="312"/>
      <c r="R795" s="312"/>
      <c r="S795" s="312"/>
    </row>
    <row r="796" ht="12.75" spans="3:19">
      <c r="C796" s="312"/>
      <c r="D796" s="312"/>
      <c r="E796" s="312"/>
      <c r="F796" s="312"/>
      <c r="G796" s="312"/>
      <c r="H796" s="312"/>
      <c r="I796" s="312"/>
      <c r="J796" s="312"/>
      <c r="K796" s="312"/>
      <c r="L796" s="312"/>
      <c r="M796" s="312"/>
      <c r="N796" s="312"/>
      <c r="O796" s="312"/>
      <c r="P796" s="312"/>
      <c r="Q796" s="312"/>
      <c r="R796" s="312"/>
      <c r="S796" s="312"/>
    </row>
    <row r="797" ht="12.75" spans="3:19">
      <c r="C797" s="312"/>
      <c r="D797" s="312"/>
      <c r="E797" s="312"/>
      <c r="F797" s="312"/>
      <c r="G797" s="312"/>
      <c r="H797" s="312"/>
      <c r="I797" s="312"/>
      <c r="J797" s="312"/>
      <c r="K797" s="312"/>
      <c r="L797" s="312"/>
      <c r="M797" s="312"/>
      <c r="N797" s="312"/>
      <c r="O797" s="312"/>
      <c r="P797" s="312"/>
      <c r="Q797" s="312"/>
      <c r="R797" s="312"/>
      <c r="S797" s="312"/>
    </row>
    <row r="798" ht="12.75" spans="3:19">
      <c r="C798" s="312"/>
      <c r="D798" s="312"/>
      <c r="E798" s="312"/>
      <c r="F798" s="312"/>
      <c r="G798" s="312"/>
      <c r="H798" s="312"/>
      <c r="I798" s="312"/>
      <c r="J798" s="312"/>
      <c r="K798" s="312"/>
      <c r="L798" s="312"/>
      <c r="M798" s="312"/>
      <c r="N798" s="312"/>
      <c r="O798" s="312"/>
      <c r="P798" s="312"/>
      <c r="Q798" s="312"/>
      <c r="R798" s="312"/>
      <c r="S798" s="312"/>
    </row>
    <row r="799" ht="12.75" spans="3:19">
      <c r="C799" s="312"/>
      <c r="D799" s="312"/>
      <c r="E799" s="312"/>
      <c r="F799" s="312"/>
      <c r="G799" s="312"/>
      <c r="H799" s="312"/>
      <c r="I799" s="312"/>
      <c r="J799" s="312"/>
      <c r="K799" s="312"/>
      <c r="L799" s="312"/>
      <c r="M799" s="312"/>
      <c r="N799" s="312"/>
      <c r="O799" s="312"/>
      <c r="P799" s="312"/>
      <c r="Q799" s="312"/>
      <c r="R799" s="312"/>
      <c r="S799" s="312"/>
    </row>
    <row r="800" ht="12.75" spans="3:19">
      <c r="C800" s="312"/>
      <c r="D800" s="312"/>
      <c r="E800" s="312"/>
      <c r="F800" s="312"/>
      <c r="G800" s="312"/>
      <c r="H800" s="312"/>
      <c r="I800" s="312"/>
      <c r="J800" s="312"/>
      <c r="K800" s="312"/>
      <c r="L800" s="312"/>
      <c r="M800" s="312"/>
      <c r="N800" s="312"/>
      <c r="O800" s="312"/>
      <c r="P800" s="312"/>
      <c r="Q800" s="312"/>
      <c r="R800" s="312"/>
      <c r="S800" s="312"/>
    </row>
    <row r="801" ht="12.75" spans="3:19">
      <c r="C801" s="312"/>
      <c r="D801" s="312"/>
      <c r="E801" s="312"/>
      <c r="F801" s="312"/>
      <c r="G801" s="312"/>
      <c r="H801" s="312"/>
      <c r="I801" s="312"/>
      <c r="J801" s="312"/>
      <c r="K801" s="312"/>
      <c r="L801" s="312"/>
      <c r="M801" s="312"/>
      <c r="N801" s="312"/>
      <c r="O801" s="312"/>
      <c r="P801" s="312"/>
      <c r="Q801" s="312"/>
      <c r="R801" s="312"/>
      <c r="S801" s="312"/>
    </row>
    <row r="802" ht="12.75" spans="3:19">
      <c r="C802" s="312"/>
      <c r="D802" s="312"/>
      <c r="E802" s="312"/>
      <c r="F802" s="312"/>
      <c r="G802" s="312"/>
      <c r="H802" s="312"/>
      <c r="I802" s="312"/>
      <c r="J802" s="312"/>
      <c r="K802" s="312"/>
      <c r="L802" s="312"/>
      <c r="M802" s="312"/>
      <c r="N802" s="312"/>
      <c r="O802" s="312"/>
      <c r="P802" s="312"/>
      <c r="Q802" s="312"/>
      <c r="R802" s="312"/>
      <c r="S802" s="312"/>
    </row>
    <row r="803" ht="12.75" spans="3:19">
      <c r="C803" s="312"/>
      <c r="D803" s="312"/>
      <c r="E803" s="312"/>
      <c r="F803" s="312"/>
      <c r="G803" s="312"/>
      <c r="H803" s="312"/>
      <c r="I803" s="312"/>
      <c r="J803" s="312"/>
      <c r="K803" s="312"/>
      <c r="L803" s="312"/>
      <c r="M803" s="312"/>
      <c r="N803" s="312"/>
      <c r="O803" s="312"/>
      <c r="P803" s="312"/>
      <c r="Q803" s="312"/>
      <c r="R803" s="312"/>
      <c r="S803" s="312"/>
    </row>
    <row r="804" ht="12.75" spans="3:19">
      <c r="C804" s="312"/>
      <c r="D804" s="312"/>
      <c r="E804" s="312"/>
      <c r="F804" s="312"/>
      <c r="G804" s="312"/>
      <c r="H804" s="312"/>
      <c r="I804" s="312"/>
      <c r="J804" s="312"/>
      <c r="K804" s="312"/>
      <c r="L804" s="312"/>
      <c r="M804" s="312"/>
      <c r="N804" s="312"/>
      <c r="O804" s="312"/>
      <c r="P804" s="312"/>
      <c r="Q804" s="312"/>
      <c r="R804" s="312"/>
      <c r="S804" s="312"/>
    </row>
    <row r="805" ht="12.75" spans="3:19">
      <c r="C805" s="312"/>
      <c r="D805" s="312"/>
      <c r="E805" s="312"/>
      <c r="F805" s="312"/>
      <c r="G805" s="312"/>
      <c r="H805" s="312"/>
      <c r="I805" s="312"/>
      <c r="J805" s="312"/>
      <c r="K805" s="312"/>
      <c r="L805" s="312"/>
      <c r="M805" s="312"/>
      <c r="N805" s="312"/>
      <c r="O805" s="312"/>
      <c r="P805" s="312"/>
      <c r="Q805" s="312"/>
      <c r="R805" s="312"/>
      <c r="S805" s="312"/>
    </row>
    <row r="806" ht="12.75" spans="3:19">
      <c r="C806" s="312"/>
      <c r="D806" s="312"/>
      <c r="E806" s="312"/>
      <c r="F806" s="312"/>
      <c r="G806" s="312"/>
      <c r="H806" s="312"/>
      <c r="I806" s="312"/>
      <c r="J806" s="312"/>
      <c r="K806" s="312"/>
      <c r="L806" s="312"/>
      <c r="M806" s="312"/>
      <c r="N806" s="312"/>
      <c r="O806" s="312"/>
      <c r="P806" s="312"/>
      <c r="Q806" s="312"/>
      <c r="R806" s="312"/>
      <c r="S806" s="312"/>
    </row>
    <row r="807" ht="12.75" spans="3:19">
      <c r="C807" s="312"/>
      <c r="D807" s="312"/>
      <c r="E807" s="312"/>
      <c r="F807" s="312"/>
      <c r="G807" s="312"/>
      <c r="H807" s="312"/>
      <c r="I807" s="312"/>
      <c r="J807" s="312"/>
      <c r="K807" s="312"/>
      <c r="L807" s="312"/>
      <c r="M807" s="312"/>
      <c r="N807" s="312"/>
      <c r="O807" s="312"/>
      <c r="P807" s="312"/>
      <c r="Q807" s="312"/>
      <c r="R807" s="312"/>
      <c r="S807" s="312"/>
    </row>
    <row r="808" ht="12.75" spans="3:19">
      <c r="C808" s="312"/>
      <c r="D808" s="312"/>
      <c r="E808" s="312"/>
      <c r="F808" s="312"/>
      <c r="G808" s="312"/>
      <c r="H808" s="312"/>
      <c r="I808" s="312"/>
      <c r="J808" s="312"/>
      <c r="K808" s="312"/>
      <c r="L808" s="312"/>
      <c r="M808" s="312"/>
      <c r="N808" s="312"/>
      <c r="O808" s="312"/>
      <c r="P808" s="312"/>
      <c r="Q808" s="312"/>
      <c r="R808" s="312"/>
      <c r="S808" s="312"/>
    </row>
    <row r="809" ht="12.75" spans="3:19">
      <c r="C809" s="312"/>
      <c r="D809" s="312"/>
      <c r="E809" s="312"/>
      <c r="F809" s="312"/>
      <c r="G809" s="312"/>
      <c r="H809" s="312"/>
      <c r="I809" s="312"/>
      <c r="J809" s="312"/>
      <c r="K809" s="312"/>
      <c r="L809" s="312"/>
      <c r="M809" s="312"/>
      <c r="N809" s="312"/>
      <c r="O809" s="312"/>
      <c r="P809" s="312"/>
      <c r="Q809" s="312"/>
      <c r="R809" s="312"/>
      <c r="S809" s="312"/>
    </row>
    <row r="810" ht="12.75" spans="3:19">
      <c r="C810" s="312"/>
      <c r="D810" s="312"/>
      <c r="E810" s="312"/>
      <c r="F810" s="312"/>
      <c r="G810" s="312"/>
      <c r="H810" s="312"/>
      <c r="I810" s="312"/>
      <c r="J810" s="312"/>
      <c r="K810" s="312"/>
      <c r="L810" s="312"/>
      <c r="M810" s="312"/>
      <c r="N810" s="312"/>
      <c r="O810" s="312"/>
      <c r="P810" s="312"/>
      <c r="Q810" s="312"/>
      <c r="R810" s="312"/>
      <c r="S810" s="312"/>
    </row>
    <row r="811" ht="12.75" spans="3:19">
      <c r="C811" s="312"/>
      <c r="D811" s="312"/>
      <c r="E811" s="312"/>
      <c r="F811" s="312"/>
      <c r="G811" s="312"/>
      <c r="H811" s="312"/>
      <c r="I811" s="312"/>
      <c r="J811" s="312"/>
      <c r="K811" s="312"/>
      <c r="L811" s="312"/>
      <c r="M811" s="312"/>
      <c r="N811" s="312"/>
      <c r="O811" s="312"/>
      <c r="P811" s="312"/>
      <c r="Q811" s="312"/>
      <c r="R811" s="312"/>
      <c r="S811" s="312"/>
    </row>
    <row r="812" ht="12.75" spans="3:19">
      <c r="C812" s="312"/>
      <c r="D812" s="312"/>
      <c r="E812" s="312"/>
      <c r="F812" s="312"/>
      <c r="G812" s="312"/>
      <c r="H812" s="312"/>
      <c r="I812" s="312"/>
      <c r="J812" s="312"/>
      <c r="K812" s="312"/>
      <c r="L812" s="312"/>
      <c r="M812" s="312"/>
      <c r="N812" s="312"/>
      <c r="O812" s="312"/>
      <c r="P812" s="312"/>
      <c r="Q812" s="312"/>
      <c r="R812" s="312"/>
      <c r="S812" s="312"/>
    </row>
    <row r="813" ht="12.75" spans="3:19">
      <c r="C813" s="312"/>
      <c r="D813" s="312"/>
      <c r="E813" s="312"/>
      <c r="F813" s="312"/>
      <c r="G813" s="312"/>
      <c r="H813" s="312"/>
      <c r="I813" s="312"/>
      <c r="J813" s="312"/>
      <c r="K813" s="312"/>
      <c r="L813" s="312"/>
      <c r="M813" s="312"/>
      <c r="N813" s="312"/>
      <c r="O813" s="312"/>
      <c r="P813" s="312"/>
      <c r="Q813" s="312"/>
      <c r="R813" s="312"/>
      <c r="S813" s="312"/>
    </row>
    <row r="814" ht="12.75" spans="3:19">
      <c r="C814" s="312"/>
      <c r="D814" s="312"/>
      <c r="E814" s="312"/>
      <c r="F814" s="312"/>
      <c r="G814" s="312"/>
      <c r="H814" s="312"/>
      <c r="I814" s="312"/>
      <c r="J814" s="312"/>
      <c r="K814" s="312"/>
      <c r="L814" s="312"/>
      <c r="M814" s="312"/>
      <c r="N814" s="312"/>
      <c r="O814" s="312"/>
      <c r="P814" s="312"/>
      <c r="Q814" s="312"/>
      <c r="R814" s="312"/>
      <c r="S814" s="312"/>
    </row>
    <row r="815" ht="12.75" spans="3:19">
      <c r="C815" s="312"/>
      <c r="D815" s="312"/>
      <c r="E815" s="312"/>
      <c r="F815" s="312"/>
      <c r="G815" s="312"/>
      <c r="H815" s="312"/>
      <c r="I815" s="312"/>
      <c r="J815" s="312"/>
      <c r="K815" s="312"/>
      <c r="L815" s="312"/>
      <c r="M815" s="312"/>
      <c r="N815" s="312"/>
      <c r="O815" s="312"/>
      <c r="P815" s="312"/>
      <c r="Q815" s="312"/>
      <c r="R815" s="312"/>
      <c r="S815" s="312"/>
    </row>
    <row r="816" ht="12.75" spans="3:19">
      <c r="C816" s="312"/>
      <c r="D816" s="312"/>
      <c r="E816" s="312"/>
      <c r="F816" s="312"/>
      <c r="G816" s="312"/>
      <c r="H816" s="312"/>
      <c r="I816" s="312"/>
      <c r="J816" s="312"/>
      <c r="K816" s="312"/>
      <c r="L816" s="312"/>
      <c r="M816" s="312"/>
      <c r="N816" s="312"/>
      <c r="O816" s="312"/>
      <c r="P816" s="312"/>
      <c r="Q816" s="312"/>
      <c r="R816" s="312"/>
      <c r="S816" s="312"/>
    </row>
    <row r="817" ht="12.75" spans="3:19">
      <c r="C817" s="312"/>
      <c r="D817" s="312"/>
      <c r="E817" s="312"/>
      <c r="F817" s="312"/>
      <c r="G817" s="312"/>
      <c r="H817" s="312"/>
      <c r="I817" s="312"/>
      <c r="J817" s="312"/>
      <c r="K817" s="312"/>
      <c r="L817" s="312"/>
      <c r="M817" s="312"/>
      <c r="N817" s="312"/>
      <c r="O817" s="312"/>
      <c r="P817" s="312"/>
      <c r="Q817" s="312"/>
      <c r="R817" s="312"/>
      <c r="S817" s="312"/>
    </row>
    <row r="818" ht="12.75" spans="3:19">
      <c r="C818" s="312"/>
      <c r="D818" s="312"/>
      <c r="E818" s="312"/>
      <c r="F818" s="312"/>
      <c r="G818" s="312"/>
      <c r="H818" s="312"/>
      <c r="I818" s="312"/>
      <c r="J818" s="312"/>
      <c r="K818" s="312"/>
      <c r="L818" s="312"/>
      <c r="M818" s="312"/>
      <c r="N818" s="312"/>
      <c r="O818" s="312"/>
      <c r="P818" s="312"/>
      <c r="Q818" s="312"/>
      <c r="R818" s="312"/>
      <c r="S818" s="312"/>
    </row>
    <row r="819" ht="12.75" spans="3:19">
      <c r="C819" s="312"/>
      <c r="D819" s="312"/>
      <c r="E819" s="312"/>
      <c r="F819" s="312"/>
      <c r="G819" s="312"/>
      <c r="H819" s="312"/>
      <c r="I819" s="312"/>
      <c r="J819" s="312"/>
      <c r="K819" s="312"/>
      <c r="L819" s="312"/>
      <c r="M819" s="312"/>
      <c r="N819" s="312"/>
      <c r="O819" s="312"/>
      <c r="P819" s="312"/>
      <c r="Q819" s="312"/>
      <c r="R819" s="312"/>
      <c r="S819" s="312"/>
    </row>
    <row r="820" ht="12.75" spans="3:19">
      <c r="C820" s="312"/>
      <c r="D820" s="312"/>
      <c r="E820" s="312"/>
      <c r="F820" s="312"/>
      <c r="G820" s="312"/>
      <c r="H820" s="312"/>
      <c r="I820" s="312"/>
      <c r="J820" s="312"/>
      <c r="K820" s="312"/>
      <c r="L820" s="312"/>
      <c r="M820" s="312"/>
      <c r="N820" s="312"/>
      <c r="O820" s="312"/>
      <c r="P820" s="312"/>
      <c r="Q820" s="312"/>
      <c r="R820" s="312"/>
      <c r="S820" s="312"/>
    </row>
    <row r="821" ht="12.75" spans="3:19">
      <c r="C821" s="312"/>
      <c r="D821" s="312"/>
      <c r="E821" s="312"/>
      <c r="F821" s="312"/>
      <c r="G821" s="312"/>
      <c r="H821" s="312"/>
      <c r="I821" s="312"/>
      <c r="J821" s="312"/>
      <c r="K821" s="312"/>
      <c r="L821" s="312"/>
      <c r="M821" s="312"/>
      <c r="N821" s="312"/>
      <c r="O821" s="312"/>
      <c r="P821" s="312"/>
      <c r="Q821" s="312"/>
      <c r="R821" s="312"/>
      <c r="S821" s="312"/>
    </row>
    <row r="822" ht="12.75" spans="3:19">
      <c r="C822" s="312"/>
      <c r="D822" s="312"/>
      <c r="E822" s="312"/>
      <c r="F822" s="312"/>
      <c r="G822" s="312"/>
      <c r="H822" s="312"/>
      <c r="I822" s="312"/>
      <c r="J822" s="312"/>
      <c r="K822" s="312"/>
      <c r="L822" s="312"/>
      <c r="M822" s="312"/>
      <c r="N822" s="312"/>
      <c r="O822" s="312"/>
      <c r="P822" s="312"/>
      <c r="Q822" s="312"/>
      <c r="R822" s="312"/>
      <c r="S822" s="312"/>
    </row>
    <row r="823" ht="12.75" spans="3:19">
      <c r="C823" s="312"/>
      <c r="D823" s="312"/>
      <c r="E823" s="312"/>
      <c r="F823" s="312"/>
      <c r="G823" s="312"/>
      <c r="H823" s="312"/>
      <c r="I823" s="312"/>
      <c r="J823" s="312"/>
      <c r="K823" s="312"/>
      <c r="L823" s="312"/>
      <c r="M823" s="312"/>
      <c r="N823" s="312"/>
      <c r="O823" s="312"/>
      <c r="P823" s="312"/>
      <c r="Q823" s="312"/>
      <c r="R823" s="312"/>
      <c r="S823" s="312"/>
    </row>
    <row r="824" ht="12.75" spans="3:19">
      <c r="C824" s="312"/>
      <c r="D824" s="312"/>
      <c r="E824" s="312"/>
      <c r="F824" s="312"/>
      <c r="G824" s="312"/>
      <c r="H824" s="312"/>
      <c r="I824" s="312"/>
      <c r="J824" s="312"/>
      <c r="K824" s="312"/>
      <c r="L824" s="312"/>
      <c r="M824" s="312"/>
      <c r="N824" s="312"/>
      <c r="O824" s="312"/>
      <c r="P824" s="312"/>
      <c r="Q824" s="312"/>
      <c r="R824" s="312"/>
      <c r="S824" s="312"/>
    </row>
    <row r="825" ht="12.75" spans="3:19">
      <c r="C825" s="312"/>
      <c r="D825" s="312"/>
      <c r="E825" s="312"/>
      <c r="F825" s="312"/>
      <c r="G825" s="312"/>
      <c r="H825" s="312"/>
      <c r="I825" s="312"/>
      <c r="J825" s="312"/>
      <c r="K825" s="312"/>
      <c r="L825" s="312"/>
      <c r="M825" s="312"/>
      <c r="N825" s="312"/>
      <c r="O825" s="312"/>
      <c r="P825" s="312"/>
      <c r="Q825" s="312"/>
      <c r="R825" s="312"/>
      <c r="S825" s="312"/>
    </row>
    <row r="826" ht="12.75" spans="3:19">
      <c r="C826" s="312"/>
      <c r="D826" s="312"/>
      <c r="E826" s="312"/>
      <c r="F826" s="312"/>
      <c r="G826" s="312"/>
      <c r="H826" s="312"/>
      <c r="I826" s="312"/>
      <c r="J826" s="312"/>
      <c r="K826" s="312"/>
      <c r="L826" s="312"/>
      <c r="M826" s="312"/>
      <c r="N826" s="312"/>
      <c r="O826" s="312"/>
      <c r="P826" s="312"/>
      <c r="Q826" s="312"/>
      <c r="R826" s="312"/>
      <c r="S826" s="312"/>
    </row>
    <row r="827" ht="12.75" spans="3:19">
      <c r="C827" s="312"/>
      <c r="D827" s="312"/>
      <c r="E827" s="312"/>
      <c r="F827" s="312"/>
      <c r="G827" s="312"/>
      <c r="H827" s="312"/>
      <c r="I827" s="312"/>
      <c r="J827" s="312"/>
      <c r="K827" s="312"/>
      <c r="L827" s="312"/>
      <c r="M827" s="312"/>
      <c r="N827" s="312"/>
      <c r="O827" s="312"/>
      <c r="P827" s="312"/>
      <c r="Q827" s="312"/>
      <c r="R827" s="312"/>
      <c r="S827" s="312"/>
    </row>
    <row r="828" ht="12.75" spans="3:19">
      <c r="C828" s="312"/>
      <c r="D828" s="312"/>
      <c r="E828" s="312"/>
      <c r="F828" s="312"/>
      <c r="G828" s="312"/>
      <c r="H828" s="312"/>
      <c r="I828" s="312"/>
      <c r="J828" s="312"/>
      <c r="K828" s="312"/>
      <c r="L828" s="312"/>
      <c r="M828" s="312"/>
      <c r="N828" s="312"/>
      <c r="O828" s="312"/>
      <c r="P828" s="312"/>
      <c r="Q828" s="312"/>
      <c r="R828" s="312"/>
      <c r="S828" s="312"/>
    </row>
    <row r="829" ht="12.75" spans="3:19">
      <c r="C829" s="312"/>
      <c r="D829" s="312"/>
      <c r="E829" s="312"/>
      <c r="F829" s="312"/>
      <c r="G829" s="312"/>
      <c r="H829" s="312"/>
      <c r="I829" s="312"/>
      <c r="J829" s="312"/>
      <c r="K829" s="312"/>
      <c r="L829" s="312"/>
      <c r="M829" s="312"/>
      <c r="N829" s="312"/>
      <c r="O829" s="312"/>
      <c r="P829" s="312"/>
      <c r="Q829" s="312"/>
      <c r="R829" s="312"/>
      <c r="S829" s="312"/>
    </row>
    <row r="830" ht="12.75" spans="3:19">
      <c r="C830" s="312"/>
      <c r="D830" s="312"/>
      <c r="E830" s="312"/>
      <c r="F830" s="312"/>
      <c r="G830" s="312"/>
      <c r="H830" s="312"/>
      <c r="I830" s="312"/>
      <c r="J830" s="312"/>
      <c r="K830" s="312"/>
      <c r="L830" s="312"/>
      <c r="M830" s="312"/>
      <c r="N830" s="312"/>
      <c r="O830" s="312"/>
      <c r="P830" s="312"/>
      <c r="Q830" s="312"/>
      <c r="R830" s="312"/>
      <c r="S830" s="312"/>
    </row>
    <row r="831" ht="12.75" spans="3:19">
      <c r="C831" s="312"/>
      <c r="D831" s="312"/>
      <c r="E831" s="312"/>
      <c r="F831" s="312"/>
      <c r="G831" s="312"/>
      <c r="H831" s="312"/>
      <c r="I831" s="312"/>
      <c r="J831" s="312"/>
      <c r="K831" s="312"/>
      <c r="L831" s="312"/>
      <c r="M831" s="312"/>
      <c r="N831" s="312"/>
      <c r="O831" s="312"/>
      <c r="P831" s="312"/>
      <c r="Q831" s="312"/>
      <c r="R831" s="312"/>
      <c r="S831" s="312"/>
    </row>
    <row r="832" ht="12.75" spans="3:19">
      <c r="C832" s="312"/>
      <c r="D832" s="312"/>
      <c r="E832" s="312"/>
      <c r="F832" s="312"/>
      <c r="G832" s="312"/>
      <c r="H832" s="312"/>
      <c r="I832" s="312"/>
      <c r="J832" s="312"/>
      <c r="K832" s="312"/>
      <c r="L832" s="312"/>
      <c r="M832" s="312"/>
      <c r="N832" s="312"/>
      <c r="O832" s="312"/>
      <c r="P832" s="312"/>
      <c r="Q832" s="312"/>
      <c r="R832" s="312"/>
      <c r="S832" s="312"/>
    </row>
    <row r="833" ht="12.75" spans="3:19">
      <c r="C833" s="312"/>
      <c r="D833" s="312"/>
      <c r="E833" s="312"/>
      <c r="F833" s="312"/>
      <c r="G833" s="312"/>
      <c r="H833" s="312"/>
      <c r="I833" s="312"/>
      <c r="J833" s="312"/>
      <c r="K833" s="312"/>
      <c r="L833" s="312"/>
      <c r="M833" s="312"/>
      <c r="N833" s="312"/>
      <c r="O833" s="312"/>
      <c r="P833" s="312"/>
      <c r="Q833" s="312"/>
      <c r="R833" s="312"/>
      <c r="S833" s="312"/>
    </row>
    <row r="834" ht="12.75" spans="3:19">
      <c r="C834" s="312"/>
      <c r="D834" s="312"/>
      <c r="E834" s="312"/>
      <c r="F834" s="312"/>
      <c r="G834" s="312"/>
      <c r="H834" s="312"/>
      <c r="I834" s="312"/>
      <c r="J834" s="312"/>
      <c r="K834" s="312"/>
      <c r="L834" s="312"/>
      <c r="M834" s="312"/>
      <c r="N834" s="312"/>
      <c r="O834" s="312"/>
      <c r="P834" s="312"/>
      <c r="Q834" s="312"/>
      <c r="R834" s="312"/>
      <c r="S834" s="312"/>
    </row>
    <row r="835" ht="12.75" spans="3:19">
      <c r="C835" s="312"/>
      <c r="D835" s="312"/>
      <c r="E835" s="312"/>
      <c r="F835" s="312"/>
      <c r="G835" s="312"/>
      <c r="H835" s="312"/>
      <c r="I835" s="312"/>
      <c r="J835" s="312"/>
      <c r="K835" s="312"/>
      <c r="L835" s="312"/>
      <c r="M835" s="312"/>
      <c r="N835" s="312"/>
      <c r="O835" s="312"/>
      <c r="P835" s="312"/>
      <c r="Q835" s="312"/>
      <c r="R835" s="312"/>
      <c r="S835" s="312"/>
    </row>
    <row r="836" ht="12.75" spans="3:19">
      <c r="C836" s="312"/>
      <c r="D836" s="312"/>
      <c r="E836" s="312"/>
      <c r="F836" s="312"/>
      <c r="G836" s="312"/>
      <c r="H836" s="312"/>
      <c r="I836" s="312"/>
      <c r="J836" s="312"/>
      <c r="K836" s="312"/>
      <c r="L836" s="312"/>
      <c r="M836" s="312"/>
      <c r="N836" s="312"/>
      <c r="O836" s="312"/>
      <c r="P836" s="312"/>
      <c r="Q836" s="312"/>
      <c r="R836" s="312"/>
      <c r="S836" s="312"/>
    </row>
    <row r="837" ht="12.75" spans="3:19">
      <c r="C837" s="312"/>
      <c r="D837" s="312"/>
      <c r="E837" s="312"/>
      <c r="F837" s="312"/>
      <c r="G837" s="312"/>
      <c r="H837" s="312"/>
      <c r="I837" s="312"/>
      <c r="J837" s="312"/>
      <c r="K837" s="312"/>
      <c r="L837" s="312"/>
      <c r="M837" s="312"/>
      <c r="N837" s="312"/>
      <c r="O837" s="312"/>
      <c r="P837" s="312"/>
      <c r="Q837" s="312"/>
      <c r="R837" s="312"/>
      <c r="S837" s="312"/>
    </row>
    <row r="838" ht="12.75" spans="3:19">
      <c r="C838" s="312"/>
      <c r="D838" s="312"/>
      <c r="E838" s="312"/>
      <c r="F838" s="312"/>
      <c r="G838" s="312"/>
      <c r="H838" s="312"/>
      <c r="I838" s="312"/>
      <c r="J838" s="312"/>
      <c r="K838" s="312"/>
      <c r="L838" s="312"/>
      <c r="M838" s="312"/>
      <c r="N838" s="312"/>
      <c r="O838" s="312"/>
      <c r="P838" s="312"/>
      <c r="Q838" s="312"/>
      <c r="R838" s="312"/>
      <c r="S838" s="312"/>
    </row>
    <row r="839" ht="12.75" spans="3:19">
      <c r="C839" s="312"/>
      <c r="D839" s="312"/>
      <c r="E839" s="312"/>
      <c r="F839" s="312"/>
      <c r="G839" s="312"/>
      <c r="H839" s="312"/>
      <c r="I839" s="312"/>
      <c r="J839" s="312"/>
      <c r="K839" s="312"/>
      <c r="L839" s="312"/>
      <c r="M839" s="312"/>
      <c r="N839" s="312"/>
      <c r="O839" s="312"/>
      <c r="P839" s="312"/>
      <c r="Q839" s="312"/>
      <c r="R839" s="312"/>
      <c r="S839" s="312"/>
    </row>
    <row r="840" ht="12.75" spans="3:19">
      <c r="C840" s="312"/>
      <c r="D840" s="312"/>
      <c r="E840" s="312"/>
      <c r="F840" s="312"/>
      <c r="G840" s="312"/>
      <c r="H840" s="312"/>
      <c r="I840" s="312"/>
      <c r="J840" s="312"/>
      <c r="K840" s="312"/>
      <c r="L840" s="312"/>
      <c r="M840" s="312"/>
      <c r="N840" s="312"/>
      <c r="O840" s="312"/>
      <c r="P840" s="312"/>
      <c r="Q840" s="312"/>
      <c r="R840" s="312"/>
      <c r="S840" s="312"/>
    </row>
    <row r="841" ht="12.75" spans="3:19">
      <c r="C841" s="312"/>
      <c r="D841" s="312"/>
      <c r="E841" s="312"/>
      <c r="F841" s="312"/>
      <c r="G841" s="312"/>
      <c r="H841" s="312"/>
      <c r="I841" s="312"/>
      <c r="J841" s="312"/>
      <c r="K841" s="312"/>
      <c r="L841" s="312"/>
      <c r="M841" s="312"/>
      <c r="N841" s="312"/>
      <c r="O841" s="312"/>
      <c r="P841" s="312"/>
      <c r="Q841" s="312"/>
      <c r="R841" s="312"/>
      <c r="S841" s="312"/>
    </row>
    <row r="842" ht="12.75" spans="3:19">
      <c r="C842" s="312"/>
      <c r="D842" s="312"/>
      <c r="E842" s="312"/>
      <c r="F842" s="312"/>
      <c r="G842" s="312"/>
      <c r="H842" s="312"/>
      <c r="I842" s="312"/>
      <c r="J842" s="312"/>
      <c r="K842" s="312"/>
      <c r="L842" s="312"/>
      <c r="M842" s="312"/>
      <c r="N842" s="312"/>
      <c r="O842" s="312"/>
      <c r="P842" s="312"/>
      <c r="Q842" s="312"/>
      <c r="R842" s="312"/>
      <c r="S842" s="312"/>
    </row>
    <row r="843" ht="12.75" spans="3:19">
      <c r="C843" s="312"/>
      <c r="D843" s="312"/>
      <c r="E843" s="312"/>
      <c r="F843" s="312"/>
      <c r="G843" s="312"/>
      <c r="H843" s="312"/>
      <c r="I843" s="312"/>
      <c r="J843" s="312"/>
      <c r="K843" s="312"/>
      <c r="L843" s="312"/>
      <c r="M843" s="312"/>
      <c r="N843" s="312"/>
      <c r="O843" s="312"/>
      <c r="P843" s="312"/>
      <c r="Q843" s="312"/>
      <c r="R843" s="312"/>
      <c r="S843" s="312"/>
    </row>
    <row r="844" ht="12.75" spans="3:19">
      <c r="C844" s="312"/>
      <c r="D844" s="312"/>
      <c r="E844" s="312"/>
      <c r="F844" s="312"/>
      <c r="G844" s="312"/>
      <c r="H844" s="312"/>
      <c r="I844" s="312"/>
      <c r="J844" s="312"/>
      <c r="K844" s="312"/>
      <c r="L844" s="312"/>
      <c r="M844" s="312"/>
      <c r="N844" s="312"/>
      <c r="O844" s="312"/>
      <c r="P844" s="312"/>
      <c r="Q844" s="312"/>
      <c r="R844" s="312"/>
      <c r="S844" s="312"/>
    </row>
    <row r="845" ht="12.75" spans="3:19">
      <c r="C845" s="312"/>
      <c r="D845" s="312"/>
      <c r="E845" s="312"/>
      <c r="F845" s="312"/>
      <c r="G845" s="312"/>
      <c r="H845" s="312"/>
      <c r="I845" s="312"/>
      <c r="J845" s="312"/>
      <c r="K845" s="312"/>
      <c r="L845" s="312"/>
      <c r="M845" s="312"/>
      <c r="N845" s="312"/>
      <c r="O845" s="312"/>
      <c r="P845" s="312"/>
      <c r="Q845" s="312"/>
      <c r="R845" s="312"/>
      <c r="S845" s="312"/>
    </row>
    <row r="846" ht="12.75" spans="3:19">
      <c r="C846" s="312"/>
      <c r="D846" s="312"/>
      <c r="E846" s="312"/>
      <c r="F846" s="312"/>
      <c r="G846" s="312"/>
      <c r="H846" s="312"/>
      <c r="I846" s="312"/>
      <c r="J846" s="312"/>
      <c r="K846" s="312"/>
      <c r="L846" s="312"/>
      <c r="M846" s="312"/>
      <c r="N846" s="312"/>
      <c r="O846" s="312"/>
      <c r="P846" s="312"/>
      <c r="Q846" s="312"/>
      <c r="R846" s="312"/>
      <c r="S846" s="312"/>
    </row>
    <row r="847" ht="12.75" spans="3:19">
      <c r="C847" s="312"/>
      <c r="D847" s="312"/>
      <c r="E847" s="312"/>
      <c r="F847" s="312"/>
      <c r="G847" s="312"/>
      <c r="H847" s="312"/>
      <c r="I847" s="312"/>
      <c r="J847" s="312"/>
      <c r="K847" s="312"/>
      <c r="L847" s="312"/>
      <c r="M847" s="312"/>
      <c r="N847" s="312"/>
      <c r="O847" s="312"/>
      <c r="P847" s="312"/>
      <c r="Q847" s="312"/>
      <c r="R847" s="312"/>
      <c r="S847" s="312"/>
    </row>
    <row r="848" ht="12.75" spans="3:19">
      <c r="C848" s="312"/>
      <c r="D848" s="312"/>
      <c r="E848" s="312"/>
      <c r="F848" s="312"/>
      <c r="G848" s="312"/>
      <c r="H848" s="312"/>
      <c r="I848" s="312"/>
      <c r="J848" s="312"/>
      <c r="K848" s="312"/>
      <c r="L848" s="312"/>
      <c r="M848" s="312"/>
      <c r="N848" s="312"/>
      <c r="O848" s="312"/>
      <c r="P848" s="312"/>
      <c r="Q848" s="312"/>
      <c r="R848" s="312"/>
      <c r="S848" s="312"/>
    </row>
    <row r="849" ht="12.75" spans="3:19">
      <c r="C849" s="312"/>
      <c r="D849" s="312"/>
      <c r="E849" s="312"/>
      <c r="F849" s="312"/>
      <c r="G849" s="312"/>
      <c r="H849" s="312"/>
      <c r="I849" s="312"/>
      <c r="J849" s="312"/>
      <c r="K849" s="312"/>
      <c r="L849" s="312"/>
      <c r="M849" s="312"/>
      <c r="N849" s="312"/>
      <c r="O849" s="312"/>
      <c r="P849" s="312"/>
      <c r="Q849" s="312"/>
      <c r="R849" s="312"/>
      <c r="S849" s="312"/>
    </row>
    <row r="850" ht="12.75" spans="3:19">
      <c r="C850" s="312"/>
      <c r="D850" s="312"/>
      <c r="E850" s="312"/>
      <c r="F850" s="312"/>
      <c r="G850" s="312"/>
      <c r="H850" s="312"/>
      <c r="I850" s="312"/>
      <c r="J850" s="312"/>
      <c r="K850" s="312"/>
      <c r="L850" s="312"/>
      <c r="M850" s="312"/>
      <c r="N850" s="312"/>
      <c r="O850" s="312"/>
      <c r="P850" s="312"/>
      <c r="Q850" s="312"/>
      <c r="R850" s="312"/>
      <c r="S850" s="312"/>
    </row>
    <row r="851" ht="12.75" spans="3:19">
      <c r="C851" s="312"/>
      <c r="D851" s="312"/>
      <c r="E851" s="312"/>
      <c r="F851" s="312"/>
      <c r="G851" s="312"/>
      <c r="H851" s="312"/>
      <c r="I851" s="312"/>
      <c r="J851" s="312"/>
      <c r="K851" s="312"/>
      <c r="L851" s="312"/>
      <c r="M851" s="312"/>
      <c r="N851" s="312"/>
      <c r="O851" s="312"/>
      <c r="P851" s="312"/>
      <c r="Q851" s="312"/>
      <c r="R851" s="312"/>
      <c r="S851" s="312"/>
    </row>
    <row r="852" ht="12.75" spans="3:19">
      <c r="C852" s="312"/>
      <c r="D852" s="312"/>
      <c r="E852" s="312"/>
      <c r="F852" s="312"/>
      <c r="G852" s="312"/>
      <c r="H852" s="312"/>
      <c r="I852" s="312"/>
      <c r="J852" s="312"/>
      <c r="K852" s="312"/>
      <c r="L852" s="312"/>
      <c r="M852" s="312"/>
      <c r="N852" s="312"/>
      <c r="O852" s="312"/>
      <c r="P852" s="312"/>
      <c r="Q852" s="312"/>
      <c r="R852" s="312"/>
      <c r="S852" s="312"/>
    </row>
    <row r="853" ht="12.75" spans="3:19">
      <c r="C853" s="312"/>
      <c r="D853" s="312"/>
      <c r="E853" s="312"/>
      <c r="F853" s="312"/>
      <c r="G853" s="312"/>
      <c r="H853" s="312"/>
      <c r="I853" s="312"/>
      <c r="J853" s="312"/>
      <c r="K853" s="312"/>
      <c r="L853" s="312"/>
      <c r="M853" s="312"/>
      <c r="N853" s="312"/>
      <c r="O853" s="312"/>
      <c r="P853" s="312"/>
      <c r="Q853" s="312"/>
      <c r="R853" s="312"/>
      <c r="S853" s="312"/>
    </row>
    <row r="854" ht="12.75" spans="3:19">
      <c r="C854" s="312"/>
      <c r="D854" s="312"/>
      <c r="E854" s="312"/>
      <c r="F854" s="312"/>
      <c r="G854" s="312"/>
      <c r="H854" s="312"/>
      <c r="I854" s="312"/>
      <c r="J854" s="312"/>
      <c r="K854" s="312"/>
      <c r="L854" s="312"/>
      <c r="M854" s="312"/>
      <c r="N854" s="312"/>
      <c r="O854" s="312"/>
      <c r="P854" s="312"/>
      <c r="Q854" s="312"/>
      <c r="R854" s="312"/>
      <c r="S854" s="312"/>
    </row>
    <row r="855" ht="12.75" spans="3:19">
      <c r="C855" s="312"/>
      <c r="D855" s="312"/>
      <c r="E855" s="312"/>
      <c r="F855" s="312"/>
      <c r="G855" s="312"/>
      <c r="H855" s="312"/>
      <c r="I855" s="312"/>
      <c r="J855" s="312"/>
      <c r="K855" s="312"/>
      <c r="L855" s="312"/>
      <c r="M855" s="312"/>
      <c r="N855" s="312"/>
      <c r="O855" s="312"/>
      <c r="P855" s="312"/>
      <c r="Q855" s="312"/>
      <c r="R855" s="312"/>
      <c r="S855" s="312"/>
    </row>
    <row r="856" ht="12.75" spans="3:19">
      <c r="C856" s="312"/>
      <c r="D856" s="312"/>
      <c r="E856" s="312"/>
      <c r="F856" s="312"/>
      <c r="G856" s="312"/>
      <c r="H856" s="312"/>
      <c r="I856" s="312"/>
      <c r="J856" s="312"/>
      <c r="K856" s="312"/>
      <c r="L856" s="312"/>
      <c r="M856" s="312"/>
      <c r="N856" s="312"/>
      <c r="O856" s="312"/>
      <c r="P856" s="312"/>
      <c r="Q856" s="312"/>
      <c r="R856" s="312"/>
      <c r="S856" s="312"/>
    </row>
    <row r="857" ht="12.75" spans="3:19">
      <c r="C857" s="312"/>
      <c r="D857" s="312"/>
      <c r="E857" s="312"/>
      <c r="F857" s="312"/>
      <c r="G857" s="312"/>
      <c r="H857" s="312"/>
      <c r="I857" s="312"/>
      <c r="J857" s="312"/>
      <c r="K857" s="312"/>
      <c r="L857" s="312"/>
      <c r="M857" s="312"/>
      <c r="N857" s="312"/>
      <c r="O857" s="312"/>
      <c r="P857" s="312"/>
      <c r="Q857" s="312"/>
      <c r="R857" s="312"/>
      <c r="S857" s="312"/>
    </row>
    <row r="858" ht="12.75" spans="3:19">
      <c r="C858" s="312"/>
      <c r="D858" s="312"/>
      <c r="E858" s="312"/>
      <c r="F858" s="312"/>
      <c r="G858" s="312"/>
      <c r="H858" s="312"/>
      <c r="I858" s="312"/>
      <c r="J858" s="312"/>
      <c r="K858" s="312"/>
      <c r="L858" s="312"/>
      <c r="M858" s="312"/>
      <c r="N858" s="312"/>
      <c r="O858" s="312"/>
      <c r="P858" s="312"/>
      <c r="Q858" s="312"/>
      <c r="R858" s="312"/>
      <c r="S858" s="312"/>
    </row>
    <row r="859" ht="12.75" spans="3:19">
      <c r="C859" s="312"/>
      <c r="D859" s="312"/>
      <c r="E859" s="312"/>
      <c r="F859" s="312"/>
      <c r="G859" s="312"/>
      <c r="H859" s="312"/>
      <c r="I859" s="312"/>
      <c r="J859" s="312"/>
      <c r="K859" s="312"/>
      <c r="L859" s="312"/>
      <c r="M859" s="312"/>
      <c r="N859" s="312"/>
      <c r="O859" s="312"/>
      <c r="P859" s="312"/>
      <c r="Q859" s="312"/>
      <c r="R859" s="312"/>
      <c r="S859" s="312"/>
    </row>
    <row r="860" ht="12.75" spans="3:19">
      <c r="C860" s="312"/>
      <c r="D860" s="312"/>
      <c r="E860" s="312"/>
      <c r="F860" s="312"/>
      <c r="G860" s="312"/>
      <c r="H860" s="312"/>
      <c r="I860" s="312"/>
      <c r="J860" s="312"/>
      <c r="K860" s="312"/>
      <c r="L860" s="312"/>
      <c r="M860" s="312"/>
      <c r="N860" s="312"/>
      <c r="O860" s="312"/>
      <c r="P860" s="312"/>
      <c r="Q860" s="312"/>
      <c r="R860" s="312"/>
      <c r="S860" s="312"/>
    </row>
    <row r="861" ht="12.75" spans="3:19">
      <c r="C861" s="312"/>
      <c r="D861" s="312"/>
      <c r="E861" s="312"/>
      <c r="F861" s="312"/>
      <c r="G861" s="312"/>
      <c r="H861" s="312"/>
      <c r="I861" s="312"/>
      <c r="J861" s="312"/>
      <c r="K861" s="312"/>
      <c r="L861" s="312"/>
      <c r="M861" s="312"/>
      <c r="N861" s="312"/>
      <c r="O861" s="312"/>
      <c r="P861" s="312"/>
      <c r="Q861" s="312"/>
      <c r="R861" s="312"/>
      <c r="S861" s="312"/>
    </row>
    <row r="862" ht="12.75" spans="3:19">
      <c r="C862" s="312"/>
      <c r="D862" s="312"/>
      <c r="E862" s="312"/>
      <c r="F862" s="312"/>
      <c r="G862" s="312"/>
      <c r="H862" s="312"/>
      <c r="I862" s="312"/>
      <c r="J862" s="312"/>
      <c r="K862" s="312"/>
      <c r="L862" s="312"/>
      <c r="M862" s="312"/>
      <c r="N862" s="312"/>
      <c r="O862" s="312"/>
      <c r="P862" s="312"/>
      <c r="Q862" s="312"/>
      <c r="R862" s="312"/>
      <c r="S862" s="312"/>
    </row>
    <row r="863" ht="12.75" spans="3:19">
      <c r="C863" s="312"/>
      <c r="D863" s="312"/>
      <c r="E863" s="312"/>
      <c r="F863" s="312"/>
      <c r="G863" s="312"/>
      <c r="H863" s="312"/>
      <c r="I863" s="312"/>
      <c r="J863" s="312"/>
      <c r="K863" s="312"/>
      <c r="L863" s="312"/>
      <c r="M863" s="312"/>
      <c r="N863" s="312"/>
      <c r="O863" s="312"/>
      <c r="P863" s="312"/>
      <c r="Q863" s="312"/>
      <c r="R863" s="312"/>
      <c r="S863" s="312"/>
    </row>
    <row r="864" ht="12.75" spans="3:19">
      <c r="C864" s="312"/>
      <c r="D864" s="312"/>
      <c r="E864" s="312"/>
      <c r="F864" s="312"/>
      <c r="G864" s="312"/>
      <c r="H864" s="312"/>
      <c r="I864" s="312"/>
      <c r="J864" s="312"/>
      <c r="K864" s="312"/>
      <c r="L864" s="312"/>
      <c r="M864" s="312"/>
      <c r="N864" s="312"/>
      <c r="O864" s="312"/>
      <c r="P864" s="312"/>
      <c r="Q864" s="312"/>
      <c r="R864" s="312"/>
      <c r="S864" s="312"/>
    </row>
    <row r="865" ht="12.75" spans="3:19">
      <c r="C865" s="312"/>
      <c r="D865" s="312"/>
      <c r="E865" s="312"/>
      <c r="F865" s="312"/>
      <c r="G865" s="312"/>
      <c r="H865" s="312"/>
      <c r="I865" s="312"/>
      <c r="J865" s="312"/>
      <c r="K865" s="312"/>
      <c r="L865" s="312"/>
      <c r="M865" s="312"/>
      <c r="N865" s="312"/>
      <c r="O865" s="312"/>
      <c r="P865" s="312"/>
      <c r="Q865" s="312"/>
      <c r="R865" s="312"/>
      <c r="S865" s="312"/>
    </row>
    <row r="866" ht="12.75" spans="3:19">
      <c r="C866" s="312"/>
      <c r="D866" s="312"/>
      <c r="E866" s="312"/>
      <c r="F866" s="312"/>
      <c r="G866" s="312"/>
      <c r="H866" s="312"/>
      <c r="I866" s="312"/>
      <c r="J866" s="312"/>
      <c r="K866" s="312"/>
      <c r="L866" s="312"/>
      <c r="M866" s="312"/>
      <c r="N866" s="312"/>
      <c r="O866" s="312"/>
      <c r="P866" s="312"/>
      <c r="Q866" s="312"/>
      <c r="R866" s="312"/>
      <c r="S866" s="312"/>
    </row>
    <row r="867" ht="12.75" spans="3:19">
      <c r="C867" s="312"/>
      <c r="D867" s="312"/>
      <c r="E867" s="312"/>
      <c r="F867" s="312"/>
      <c r="G867" s="312"/>
      <c r="H867" s="312"/>
      <c r="I867" s="312"/>
      <c r="J867" s="312"/>
      <c r="K867" s="312"/>
      <c r="L867" s="312"/>
      <c r="M867" s="312"/>
      <c r="N867" s="312"/>
      <c r="O867" s="312"/>
      <c r="P867" s="312"/>
      <c r="Q867" s="312"/>
      <c r="R867" s="312"/>
      <c r="S867" s="312"/>
    </row>
    <row r="868" ht="12.75" spans="3:19">
      <c r="C868" s="312"/>
      <c r="D868" s="312"/>
      <c r="E868" s="312"/>
      <c r="F868" s="312"/>
      <c r="G868" s="312"/>
      <c r="H868" s="312"/>
      <c r="I868" s="312"/>
      <c r="J868" s="312"/>
      <c r="K868" s="312"/>
      <c r="L868" s="312"/>
      <c r="M868" s="312"/>
      <c r="N868" s="312"/>
      <c r="O868" s="312"/>
      <c r="P868" s="312"/>
      <c r="Q868" s="312"/>
      <c r="R868" s="312"/>
      <c r="S868" s="312"/>
    </row>
    <row r="869" ht="12.75" spans="3:19">
      <c r="C869" s="312"/>
      <c r="D869" s="312"/>
      <c r="E869" s="312"/>
      <c r="F869" s="312"/>
      <c r="G869" s="312"/>
      <c r="H869" s="312"/>
      <c r="I869" s="312"/>
      <c r="J869" s="312"/>
      <c r="K869" s="312"/>
      <c r="L869" s="312"/>
      <c r="M869" s="312"/>
      <c r="N869" s="312"/>
      <c r="O869" s="312"/>
      <c r="P869" s="312"/>
      <c r="Q869" s="312"/>
      <c r="R869" s="312"/>
      <c r="S869" s="312"/>
    </row>
    <row r="870" ht="12.75" spans="3:19">
      <c r="C870" s="312"/>
      <c r="D870" s="312"/>
      <c r="E870" s="312"/>
      <c r="F870" s="312"/>
      <c r="G870" s="312"/>
      <c r="H870" s="312"/>
      <c r="I870" s="312"/>
      <c r="J870" s="312"/>
      <c r="K870" s="312"/>
      <c r="L870" s="312"/>
      <c r="M870" s="312"/>
      <c r="N870" s="312"/>
      <c r="O870" s="312"/>
      <c r="P870" s="312"/>
      <c r="Q870" s="312"/>
      <c r="R870" s="312"/>
      <c r="S870" s="312"/>
    </row>
    <row r="871" ht="12.75" spans="3:19">
      <c r="C871" s="312"/>
      <c r="D871" s="312"/>
      <c r="E871" s="312"/>
      <c r="F871" s="312"/>
      <c r="G871" s="312"/>
      <c r="H871" s="312"/>
      <c r="I871" s="312"/>
      <c r="J871" s="312"/>
      <c r="K871" s="312"/>
      <c r="L871" s="312"/>
      <c r="M871" s="312"/>
      <c r="N871" s="312"/>
      <c r="O871" s="312"/>
      <c r="P871" s="312"/>
      <c r="Q871" s="312"/>
      <c r="R871" s="312"/>
      <c r="S871" s="312"/>
    </row>
    <row r="872" ht="12.75" spans="3:19">
      <c r="C872" s="312"/>
      <c r="D872" s="312"/>
      <c r="E872" s="312"/>
      <c r="F872" s="312"/>
      <c r="G872" s="312"/>
      <c r="H872" s="312"/>
      <c r="I872" s="312"/>
      <c r="J872" s="312"/>
      <c r="K872" s="312"/>
      <c r="L872" s="312"/>
      <c r="M872" s="312"/>
      <c r="N872" s="312"/>
      <c r="O872" s="312"/>
      <c r="P872" s="312"/>
      <c r="Q872" s="312"/>
      <c r="R872" s="312"/>
      <c r="S872" s="312"/>
    </row>
    <row r="873" ht="12.75" spans="3:19">
      <c r="C873" s="312"/>
      <c r="D873" s="312"/>
      <c r="E873" s="312"/>
      <c r="F873" s="312"/>
      <c r="G873" s="312"/>
      <c r="H873" s="312"/>
      <c r="I873" s="312"/>
      <c r="J873" s="312"/>
      <c r="K873" s="312"/>
      <c r="L873" s="312"/>
      <c r="M873" s="312"/>
      <c r="N873" s="312"/>
      <c r="O873" s="312"/>
      <c r="P873" s="312"/>
      <c r="Q873" s="312"/>
      <c r="R873" s="312"/>
      <c r="S873" s="312"/>
    </row>
    <row r="874" ht="12.75" spans="3:19">
      <c r="C874" s="312"/>
      <c r="D874" s="312"/>
      <c r="E874" s="312"/>
      <c r="F874" s="312"/>
      <c r="G874" s="312"/>
      <c r="H874" s="312"/>
      <c r="I874" s="312"/>
      <c r="J874" s="312"/>
      <c r="K874" s="312"/>
      <c r="L874" s="312"/>
      <c r="M874" s="312"/>
      <c r="N874" s="312"/>
      <c r="O874" s="312"/>
      <c r="P874" s="312"/>
      <c r="Q874" s="312"/>
      <c r="R874" s="312"/>
      <c r="S874" s="312"/>
    </row>
    <row r="875" ht="12.75" spans="3:19">
      <c r="C875" s="312"/>
      <c r="D875" s="312"/>
      <c r="E875" s="312"/>
      <c r="F875" s="312"/>
      <c r="G875" s="312"/>
      <c r="H875" s="312"/>
      <c r="I875" s="312"/>
      <c r="J875" s="312"/>
      <c r="K875" s="312"/>
      <c r="L875" s="312"/>
      <c r="M875" s="312"/>
      <c r="N875" s="312"/>
      <c r="O875" s="312"/>
      <c r="P875" s="312"/>
      <c r="Q875" s="312"/>
      <c r="R875" s="312"/>
      <c r="S875" s="312"/>
    </row>
    <row r="876" ht="12.75" spans="3:19">
      <c r="C876" s="312"/>
      <c r="D876" s="312"/>
      <c r="E876" s="312"/>
      <c r="F876" s="312"/>
      <c r="G876" s="312"/>
      <c r="H876" s="312"/>
      <c r="I876" s="312"/>
      <c r="J876" s="312"/>
      <c r="K876" s="312"/>
      <c r="L876" s="312"/>
      <c r="M876" s="312"/>
      <c r="N876" s="312"/>
      <c r="O876" s="312"/>
      <c r="P876" s="312"/>
      <c r="Q876" s="312"/>
      <c r="R876" s="312"/>
      <c r="S876" s="312"/>
    </row>
    <row r="877" ht="12.75" spans="3:19">
      <c r="C877" s="312"/>
      <c r="D877" s="312"/>
      <c r="E877" s="312"/>
      <c r="F877" s="312"/>
      <c r="G877" s="312"/>
      <c r="H877" s="312"/>
      <c r="I877" s="312"/>
      <c r="J877" s="312"/>
      <c r="K877" s="312"/>
      <c r="L877" s="312"/>
      <c r="M877" s="312"/>
      <c r="N877" s="312"/>
      <c r="O877" s="312"/>
      <c r="P877" s="312"/>
      <c r="Q877" s="312"/>
      <c r="R877" s="312"/>
      <c r="S877" s="312"/>
    </row>
    <row r="878" ht="12.75" spans="3:19">
      <c r="C878" s="312"/>
      <c r="D878" s="312"/>
      <c r="E878" s="312"/>
      <c r="F878" s="312"/>
      <c r="G878" s="312"/>
      <c r="H878" s="312"/>
      <c r="I878" s="312"/>
      <c r="J878" s="312"/>
      <c r="K878" s="312"/>
      <c r="L878" s="312"/>
      <c r="M878" s="312"/>
      <c r="N878" s="312"/>
      <c r="O878" s="312"/>
      <c r="P878" s="312"/>
      <c r="Q878" s="312"/>
      <c r="R878" s="312"/>
      <c r="S878" s="312"/>
    </row>
    <row r="879" ht="12.75" spans="3:19">
      <c r="C879" s="312"/>
      <c r="D879" s="312"/>
      <c r="E879" s="312"/>
      <c r="F879" s="312"/>
      <c r="G879" s="312"/>
      <c r="H879" s="312"/>
      <c r="I879" s="312"/>
      <c r="J879" s="312"/>
      <c r="K879" s="312"/>
      <c r="L879" s="312"/>
      <c r="M879" s="312"/>
      <c r="N879" s="312"/>
      <c r="O879" s="312"/>
      <c r="P879" s="312"/>
      <c r="Q879" s="312"/>
      <c r="R879" s="312"/>
      <c r="S879" s="312"/>
    </row>
    <row r="880" ht="12.75" spans="3:19">
      <c r="C880" s="312"/>
      <c r="D880" s="312"/>
      <c r="E880" s="312"/>
      <c r="F880" s="312"/>
      <c r="G880" s="312"/>
      <c r="H880" s="312"/>
      <c r="I880" s="312"/>
      <c r="J880" s="312"/>
      <c r="K880" s="312"/>
      <c r="L880" s="312"/>
      <c r="M880" s="312"/>
      <c r="N880" s="312"/>
      <c r="O880" s="312"/>
      <c r="P880" s="312"/>
      <c r="Q880" s="312"/>
      <c r="R880" s="312"/>
      <c r="S880" s="312"/>
    </row>
    <row r="881" ht="12.75" spans="3:19">
      <c r="C881" s="312"/>
      <c r="D881" s="312"/>
      <c r="E881" s="312"/>
      <c r="F881" s="312"/>
      <c r="G881" s="312"/>
      <c r="H881" s="312"/>
      <c r="I881" s="312"/>
      <c r="J881" s="312"/>
      <c r="K881" s="312"/>
      <c r="L881" s="312"/>
      <c r="M881" s="312"/>
      <c r="N881" s="312"/>
      <c r="O881" s="312"/>
      <c r="P881" s="312"/>
      <c r="Q881" s="312"/>
      <c r="R881" s="312"/>
      <c r="S881" s="312"/>
    </row>
    <row r="882" ht="12.75" spans="3:19">
      <c r="C882" s="312"/>
      <c r="D882" s="312"/>
      <c r="E882" s="312"/>
      <c r="F882" s="312"/>
      <c r="G882" s="312"/>
      <c r="H882" s="312"/>
      <c r="I882" s="312"/>
      <c r="J882" s="312"/>
      <c r="K882" s="312"/>
      <c r="L882" s="312"/>
      <c r="M882" s="312"/>
      <c r="N882" s="312"/>
      <c r="O882" s="312"/>
      <c r="P882" s="312"/>
      <c r="Q882" s="312"/>
      <c r="R882" s="312"/>
      <c r="S882" s="312"/>
    </row>
    <row r="883" ht="12.75" spans="3:19">
      <c r="C883" s="312"/>
      <c r="D883" s="312"/>
      <c r="E883" s="312"/>
      <c r="F883" s="312"/>
      <c r="G883" s="312"/>
      <c r="H883" s="312"/>
      <c r="I883" s="312"/>
      <c r="J883" s="312"/>
      <c r="K883" s="312"/>
      <c r="L883" s="312"/>
      <c r="M883" s="312"/>
      <c r="N883" s="312"/>
      <c r="O883" s="312"/>
      <c r="P883" s="312"/>
      <c r="Q883" s="312"/>
      <c r="R883" s="312"/>
      <c r="S883" s="312"/>
    </row>
    <row r="884" ht="12.75" spans="3:19">
      <c r="C884" s="312"/>
      <c r="D884" s="312"/>
      <c r="E884" s="312"/>
      <c r="F884" s="312"/>
      <c r="G884" s="312"/>
      <c r="H884" s="312"/>
      <c r="I884" s="312"/>
      <c r="J884" s="312"/>
      <c r="K884" s="312"/>
      <c r="L884" s="312"/>
      <c r="M884" s="312"/>
      <c r="N884" s="312"/>
      <c r="O884" s="312"/>
      <c r="P884" s="312"/>
      <c r="Q884" s="312"/>
      <c r="R884" s="312"/>
      <c r="S884" s="312"/>
    </row>
    <row r="885" ht="12.75" spans="3:19">
      <c r="C885" s="312"/>
      <c r="D885" s="312"/>
      <c r="E885" s="312"/>
      <c r="F885" s="312"/>
      <c r="G885" s="312"/>
      <c r="H885" s="312"/>
      <c r="I885" s="312"/>
      <c r="J885" s="312"/>
      <c r="K885" s="312"/>
      <c r="L885" s="312"/>
      <c r="M885" s="312"/>
      <c r="N885" s="312"/>
      <c r="O885" s="312"/>
      <c r="P885" s="312"/>
      <c r="Q885" s="312"/>
      <c r="R885" s="312"/>
      <c r="S885" s="312"/>
    </row>
    <row r="886" ht="12.75" spans="3:19">
      <c r="C886" s="312"/>
      <c r="D886" s="312"/>
      <c r="E886" s="312"/>
      <c r="F886" s="312"/>
      <c r="G886" s="312"/>
      <c r="H886" s="312"/>
      <c r="I886" s="312"/>
      <c r="J886" s="312"/>
      <c r="K886" s="312"/>
      <c r="L886" s="312"/>
      <c r="M886" s="312"/>
      <c r="N886" s="312"/>
      <c r="O886" s="312"/>
      <c r="P886" s="312"/>
      <c r="Q886" s="312"/>
      <c r="R886" s="312"/>
      <c r="S886" s="312"/>
    </row>
    <row r="887" ht="12.75" spans="3:19">
      <c r="C887" s="312"/>
      <c r="D887" s="312"/>
      <c r="E887" s="312"/>
      <c r="F887" s="312"/>
      <c r="G887" s="312"/>
      <c r="H887" s="312"/>
      <c r="I887" s="312"/>
      <c r="J887" s="312"/>
      <c r="K887" s="312"/>
      <c r="L887" s="312"/>
      <c r="M887" s="312"/>
      <c r="N887" s="312"/>
      <c r="O887" s="312"/>
      <c r="P887" s="312"/>
      <c r="Q887" s="312"/>
      <c r="R887" s="312"/>
      <c r="S887" s="312"/>
    </row>
    <row r="888" ht="12.75" spans="3:19">
      <c r="C888" s="312"/>
      <c r="D888" s="312"/>
      <c r="E888" s="312"/>
      <c r="F888" s="312"/>
      <c r="G888" s="312"/>
      <c r="H888" s="312"/>
      <c r="I888" s="312"/>
      <c r="J888" s="312"/>
      <c r="K888" s="312"/>
      <c r="L888" s="312"/>
      <c r="M888" s="312"/>
      <c r="N888" s="312"/>
      <c r="O888" s="312"/>
      <c r="P888" s="312"/>
      <c r="Q888" s="312"/>
      <c r="R888" s="312"/>
      <c r="S888" s="312"/>
    </row>
    <row r="889" ht="12.75" spans="3:19">
      <c r="C889" s="312"/>
      <c r="D889" s="312"/>
      <c r="E889" s="312"/>
      <c r="F889" s="312"/>
      <c r="G889" s="312"/>
      <c r="H889" s="312"/>
      <c r="I889" s="312"/>
      <c r="J889" s="312"/>
      <c r="K889" s="312"/>
      <c r="L889" s="312"/>
      <c r="M889" s="312"/>
      <c r="N889" s="312"/>
      <c r="O889" s="312"/>
      <c r="P889" s="312"/>
      <c r="Q889" s="312"/>
      <c r="R889" s="312"/>
      <c r="S889" s="312"/>
    </row>
    <row r="890" ht="12.75" spans="3:19">
      <c r="C890" s="312"/>
      <c r="D890" s="312"/>
      <c r="E890" s="312"/>
      <c r="F890" s="312"/>
      <c r="G890" s="312"/>
      <c r="H890" s="312"/>
      <c r="I890" s="312"/>
      <c r="J890" s="312"/>
      <c r="K890" s="312"/>
      <c r="L890" s="312"/>
      <c r="M890" s="312"/>
      <c r="N890" s="312"/>
      <c r="O890" s="312"/>
      <c r="P890" s="312"/>
      <c r="Q890" s="312"/>
      <c r="R890" s="312"/>
      <c r="S890" s="312"/>
    </row>
    <row r="891" ht="12.75" spans="3:19">
      <c r="C891" s="312"/>
      <c r="D891" s="312"/>
      <c r="E891" s="312"/>
      <c r="F891" s="312"/>
      <c r="G891" s="312"/>
      <c r="H891" s="312"/>
      <c r="I891" s="312"/>
      <c r="J891" s="312"/>
      <c r="K891" s="312"/>
      <c r="L891" s="312"/>
      <c r="M891" s="312"/>
      <c r="N891" s="312"/>
      <c r="O891" s="312"/>
      <c r="P891" s="312"/>
      <c r="Q891" s="312"/>
      <c r="R891" s="312"/>
      <c r="S891" s="312"/>
    </row>
    <row r="892" ht="12.75" spans="3:19">
      <c r="C892" s="312"/>
      <c r="D892" s="312"/>
      <c r="E892" s="312"/>
      <c r="F892" s="312"/>
      <c r="G892" s="312"/>
      <c r="H892" s="312"/>
      <c r="I892" s="312"/>
      <c r="J892" s="312"/>
      <c r="K892" s="312"/>
      <c r="L892" s="312"/>
      <c r="M892" s="312"/>
      <c r="N892" s="312"/>
      <c r="O892" s="312"/>
      <c r="P892" s="312"/>
      <c r="Q892" s="312"/>
      <c r="R892" s="312"/>
      <c r="S892" s="312"/>
    </row>
    <row r="893" ht="12.75" spans="3:19">
      <c r="C893" s="312"/>
      <c r="D893" s="312"/>
      <c r="E893" s="312"/>
      <c r="F893" s="312"/>
      <c r="G893" s="312"/>
      <c r="H893" s="312"/>
      <c r="I893" s="312"/>
      <c r="J893" s="312"/>
      <c r="K893" s="312"/>
      <c r="L893" s="312"/>
      <c r="M893" s="312"/>
      <c r="N893" s="312"/>
      <c r="O893" s="312"/>
      <c r="P893" s="312"/>
      <c r="Q893" s="312"/>
      <c r="R893" s="312"/>
      <c r="S893" s="312"/>
    </row>
    <row r="894" ht="12.75" spans="3:19">
      <c r="C894" s="312"/>
      <c r="D894" s="312"/>
      <c r="E894" s="312"/>
      <c r="F894" s="312"/>
      <c r="G894" s="312"/>
      <c r="H894" s="312"/>
      <c r="I894" s="312"/>
      <c r="J894" s="312"/>
      <c r="K894" s="312"/>
      <c r="L894" s="312"/>
      <c r="M894" s="312"/>
      <c r="N894" s="312"/>
      <c r="O894" s="312"/>
      <c r="P894" s="312"/>
      <c r="Q894" s="312"/>
      <c r="R894" s="312"/>
      <c r="S894" s="312"/>
    </row>
    <row r="895" ht="12.75" spans="3:19">
      <c r="C895" s="312"/>
      <c r="D895" s="312"/>
      <c r="E895" s="312"/>
      <c r="F895" s="312"/>
      <c r="G895" s="312"/>
      <c r="H895" s="312"/>
      <c r="I895" s="312"/>
      <c r="J895" s="312"/>
      <c r="K895" s="312"/>
      <c r="L895" s="312"/>
      <c r="M895" s="312"/>
      <c r="N895" s="312"/>
      <c r="O895" s="312"/>
      <c r="P895" s="312"/>
      <c r="Q895" s="312"/>
      <c r="R895" s="312"/>
      <c r="S895" s="312"/>
    </row>
    <row r="896" ht="12.75" spans="3:19">
      <c r="C896" s="312"/>
      <c r="D896" s="312"/>
      <c r="E896" s="312"/>
      <c r="F896" s="312"/>
      <c r="G896" s="312"/>
      <c r="H896" s="312"/>
      <c r="I896" s="312"/>
      <c r="J896" s="312"/>
      <c r="K896" s="312"/>
      <c r="L896" s="312"/>
      <c r="M896" s="312"/>
      <c r="N896" s="312"/>
      <c r="O896" s="312"/>
      <c r="P896" s="312"/>
      <c r="Q896" s="312"/>
      <c r="R896" s="312"/>
      <c r="S896" s="312"/>
    </row>
    <row r="897" ht="12.75" spans="3:19">
      <c r="C897" s="312"/>
      <c r="D897" s="312"/>
      <c r="E897" s="312"/>
      <c r="F897" s="312"/>
      <c r="G897" s="312"/>
      <c r="H897" s="312"/>
      <c r="I897" s="312"/>
      <c r="J897" s="312"/>
      <c r="K897" s="312"/>
      <c r="L897" s="312"/>
      <c r="M897" s="312"/>
      <c r="N897" s="312"/>
      <c r="O897" s="312"/>
      <c r="P897" s="312"/>
      <c r="Q897" s="312"/>
      <c r="R897" s="312"/>
      <c r="S897" s="312"/>
    </row>
    <row r="898" ht="12.75" spans="3:19">
      <c r="C898" s="312"/>
      <c r="D898" s="312"/>
      <c r="E898" s="312"/>
      <c r="F898" s="312"/>
      <c r="G898" s="312"/>
      <c r="H898" s="312"/>
      <c r="I898" s="312"/>
      <c r="J898" s="312"/>
      <c r="K898" s="312"/>
      <c r="L898" s="312"/>
      <c r="M898" s="312"/>
      <c r="N898" s="312"/>
      <c r="O898" s="312"/>
      <c r="P898" s="312"/>
      <c r="Q898" s="312"/>
      <c r="R898" s="312"/>
      <c r="S898" s="312"/>
    </row>
    <row r="899" ht="12.75" spans="3:19">
      <c r="C899" s="312"/>
      <c r="D899" s="312"/>
      <c r="E899" s="312"/>
      <c r="F899" s="312"/>
      <c r="G899" s="312"/>
      <c r="H899" s="312"/>
      <c r="I899" s="312"/>
      <c r="J899" s="312"/>
      <c r="K899" s="312"/>
      <c r="L899" s="312"/>
      <c r="M899" s="312"/>
      <c r="N899" s="312"/>
      <c r="O899" s="312"/>
      <c r="P899" s="312"/>
      <c r="Q899" s="312"/>
      <c r="R899" s="312"/>
      <c r="S899" s="312"/>
    </row>
    <row r="900" ht="12.75" spans="3:19">
      <c r="C900" s="312"/>
      <c r="D900" s="312"/>
      <c r="E900" s="312"/>
      <c r="F900" s="312"/>
      <c r="G900" s="312"/>
      <c r="H900" s="312"/>
      <c r="I900" s="312"/>
      <c r="J900" s="312"/>
      <c r="K900" s="312"/>
      <c r="L900" s="312"/>
      <c r="M900" s="312"/>
      <c r="N900" s="312"/>
      <c r="O900" s="312"/>
      <c r="P900" s="312"/>
      <c r="Q900" s="312"/>
      <c r="R900" s="312"/>
      <c r="S900" s="312"/>
    </row>
    <row r="901" ht="12.75" spans="3:19">
      <c r="C901" s="312"/>
      <c r="D901" s="312"/>
      <c r="E901" s="312"/>
      <c r="F901" s="312"/>
      <c r="G901" s="312"/>
      <c r="H901" s="312"/>
      <c r="I901" s="312"/>
      <c r="J901" s="312"/>
      <c r="K901" s="312"/>
      <c r="L901" s="312"/>
      <c r="M901" s="312"/>
      <c r="N901" s="312"/>
      <c r="O901" s="312"/>
      <c r="P901" s="312"/>
      <c r="Q901" s="312"/>
      <c r="R901" s="312"/>
      <c r="S901" s="312"/>
    </row>
    <row r="902" ht="12.75" spans="3:19">
      <c r="C902" s="312"/>
      <c r="D902" s="312"/>
      <c r="E902" s="312"/>
      <c r="F902" s="312"/>
      <c r="G902" s="312"/>
      <c r="H902" s="312"/>
      <c r="I902" s="312"/>
      <c r="J902" s="312"/>
      <c r="K902" s="312"/>
      <c r="L902" s="312"/>
      <c r="M902" s="312"/>
      <c r="N902" s="312"/>
      <c r="O902" s="312"/>
      <c r="P902" s="312"/>
      <c r="Q902" s="312"/>
      <c r="R902" s="312"/>
      <c r="S902" s="312"/>
    </row>
    <row r="903" ht="12.75" spans="3:19">
      <c r="C903" s="312"/>
      <c r="D903" s="312"/>
      <c r="E903" s="312"/>
      <c r="F903" s="312"/>
      <c r="G903" s="312"/>
      <c r="H903" s="312"/>
      <c r="I903" s="312"/>
      <c r="J903" s="312"/>
      <c r="K903" s="312"/>
      <c r="L903" s="312"/>
      <c r="M903" s="312"/>
      <c r="N903" s="312"/>
      <c r="O903" s="312"/>
      <c r="P903" s="312"/>
      <c r="Q903" s="312"/>
      <c r="R903" s="312"/>
      <c r="S903" s="312"/>
    </row>
    <row r="904" ht="12.75" spans="3:19">
      <c r="C904" s="312"/>
      <c r="D904" s="312"/>
      <c r="E904" s="312"/>
      <c r="F904" s="312"/>
      <c r="G904" s="312"/>
      <c r="H904" s="312"/>
      <c r="I904" s="312"/>
      <c r="J904" s="312"/>
      <c r="K904" s="312"/>
      <c r="L904" s="312"/>
      <c r="M904" s="312"/>
      <c r="N904" s="312"/>
      <c r="O904" s="312"/>
      <c r="P904" s="312"/>
      <c r="Q904" s="312"/>
      <c r="R904" s="312"/>
      <c r="S904" s="312"/>
    </row>
    <row r="905" ht="12.75" spans="3:19">
      <c r="C905" s="312"/>
      <c r="D905" s="312"/>
      <c r="E905" s="312"/>
      <c r="F905" s="312"/>
      <c r="G905" s="312"/>
      <c r="H905" s="312"/>
      <c r="I905" s="312"/>
      <c r="J905" s="312"/>
      <c r="K905" s="312"/>
      <c r="L905" s="312"/>
      <c r="M905" s="312"/>
      <c r="N905" s="312"/>
      <c r="O905" s="312"/>
      <c r="P905" s="312"/>
      <c r="Q905" s="312"/>
      <c r="R905" s="312"/>
      <c r="S905" s="312"/>
    </row>
    <row r="906" ht="12.75" spans="3:19">
      <c r="C906" s="312"/>
      <c r="D906" s="312"/>
      <c r="E906" s="312"/>
      <c r="F906" s="312"/>
      <c r="G906" s="312"/>
      <c r="H906" s="312"/>
      <c r="I906" s="312"/>
      <c r="J906" s="312"/>
      <c r="K906" s="312"/>
      <c r="L906" s="312"/>
      <c r="M906" s="312"/>
      <c r="N906" s="312"/>
      <c r="O906" s="312"/>
      <c r="P906" s="312"/>
      <c r="Q906" s="312"/>
      <c r="R906" s="312"/>
      <c r="S906" s="312"/>
    </row>
    <row r="907" ht="12.75" spans="3:19">
      <c r="C907" s="312"/>
      <c r="D907" s="312"/>
      <c r="E907" s="312"/>
      <c r="F907" s="312"/>
      <c r="G907" s="312"/>
      <c r="H907" s="312"/>
      <c r="I907" s="312"/>
      <c r="J907" s="312"/>
      <c r="K907" s="312"/>
      <c r="L907" s="312"/>
      <c r="M907" s="312"/>
      <c r="N907" s="312"/>
      <c r="O907" s="312"/>
      <c r="P907" s="312"/>
      <c r="Q907" s="312"/>
      <c r="R907" s="312"/>
      <c r="S907" s="312"/>
    </row>
    <row r="908" ht="12.75" spans="3:19">
      <c r="C908" s="312"/>
      <c r="D908" s="312"/>
      <c r="E908" s="312"/>
      <c r="F908" s="312"/>
      <c r="G908" s="312"/>
      <c r="H908" s="312"/>
      <c r="I908" s="312"/>
      <c r="J908" s="312"/>
      <c r="K908" s="312"/>
      <c r="L908" s="312"/>
      <c r="M908" s="312"/>
      <c r="N908" s="312"/>
      <c r="O908" s="312"/>
      <c r="P908" s="312"/>
      <c r="Q908" s="312"/>
      <c r="R908" s="312"/>
      <c r="S908" s="312"/>
    </row>
    <row r="909" ht="12.75" spans="3:19">
      <c r="C909" s="312"/>
      <c r="D909" s="312"/>
      <c r="E909" s="312"/>
      <c r="F909" s="312"/>
      <c r="G909" s="312"/>
      <c r="H909" s="312"/>
      <c r="I909" s="312"/>
      <c r="J909" s="312"/>
      <c r="K909" s="312"/>
      <c r="L909" s="312"/>
      <c r="M909" s="312"/>
      <c r="N909" s="312"/>
      <c r="O909" s="312"/>
      <c r="P909" s="312"/>
      <c r="Q909" s="312"/>
      <c r="R909" s="312"/>
      <c r="S909" s="312"/>
    </row>
    <row r="910" ht="12.75" spans="3:19">
      <c r="C910" s="312"/>
      <c r="D910" s="312"/>
      <c r="E910" s="312"/>
      <c r="F910" s="312"/>
      <c r="G910" s="312"/>
      <c r="H910" s="312"/>
      <c r="I910" s="312"/>
      <c r="J910" s="312"/>
      <c r="K910" s="312"/>
      <c r="L910" s="312"/>
      <c r="M910" s="312"/>
      <c r="N910" s="312"/>
      <c r="O910" s="312"/>
      <c r="P910" s="312"/>
      <c r="Q910" s="312"/>
      <c r="R910" s="312"/>
      <c r="S910" s="312"/>
    </row>
    <row r="911" ht="12.75" spans="3:19">
      <c r="C911" s="312"/>
      <c r="D911" s="312"/>
      <c r="E911" s="312"/>
      <c r="F911" s="312"/>
      <c r="G911" s="312"/>
      <c r="H911" s="312"/>
      <c r="I911" s="312"/>
      <c r="J911" s="312"/>
      <c r="K911" s="312"/>
      <c r="L911" s="312"/>
      <c r="M911" s="312"/>
      <c r="N911" s="312"/>
      <c r="O911" s="312"/>
      <c r="P911" s="312"/>
      <c r="Q911" s="312"/>
      <c r="R911" s="312"/>
      <c r="S911" s="312"/>
    </row>
    <row r="912" ht="12.75" spans="3:19">
      <c r="C912" s="312"/>
      <c r="D912" s="312"/>
      <c r="E912" s="312"/>
      <c r="F912" s="312"/>
      <c r="G912" s="312"/>
      <c r="H912" s="312"/>
      <c r="I912" s="312"/>
      <c r="J912" s="312"/>
      <c r="K912" s="312"/>
      <c r="L912" s="312"/>
      <c r="M912" s="312"/>
      <c r="N912" s="312"/>
      <c r="O912" s="312"/>
      <c r="P912" s="312"/>
      <c r="Q912" s="312"/>
      <c r="R912" s="312"/>
      <c r="S912" s="312"/>
    </row>
    <row r="913" ht="12.75" spans="3:19">
      <c r="C913" s="312"/>
      <c r="D913" s="312"/>
      <c r="E913" s="312"/>
      <c r="F913" s="312"/>
      <c r="G913" s="312"/>
      <c r="H913" s="312"/>
      <c r="I913" s="312"/>
      <c r="J913" s="312"/>
      <c r="K913" s="312"/>
      <c r="L913" s="312"/>
      <c r="M913" s="312"/>
      <c r="N913" s="312"/>
      <c r="O913" s="312"/>
      <c r="P913" s="312"/>
      <c r="Q913" s="312"/>
      <c r="R913" s="312"/>
      <c r="S913" s="312"/>
    </row>
    <row r="914" ht="12.75" spans="3:19">
      <c r="C914" s="312"/>
      <c r="D914" s="312"/>
      <c r="E914" s="312"/>
      <c r="F914" s="312"/>
      <c r="G914" s="312"/>
      <c r="H914" s="312"/>
      <c r="I914" s="312"/>
      <c r="J914" s="312"/>
      <c r="K914" s="312"/>
      <c r="L914" s="312"/>
      <c r="M914" s="312"/>
      <c r="N914" s="312"/>
      <c r="O914" s="312"/>
      <c r="P914" s="312"/>
      <c r="Q914" s="312"/>
      <c r="R914" s="312"/>
      <c r="S914" s="312"/>
    </row>
    <row r="915" ht="12.75" spans="3:19">
      <c r="C915" s="312"/>
      <c r="D915" s="312"/>
      <c r="E915" s="312"/>
      <c r="F915" s="312"/>
      <c r="G915" s="312"/>
      <c r="H915" s="312"/>
      <c r="I915" s="312"/>
      <c r="J915" s="312"/>
      <c r="K915" s="312"/>
      <c r="L915" s="312"/>
      <c r="M915" s="312"/>
      <c r="N915" s="312"/>
      <c r="O915" s="312"/>
      <c r="P915" s="312"/>
      <c r="Q915" s="312"/>
      <c r="R915" s="312"/>
      <c r="S915" s="312"/>
    </row>
    <row r="916" ht="12.75" spans="3:19">
      <c r="C916" s="312"/>
      <c r="D916" s="312"/>
      <c r="E916" s="312"/>
      <c r="F916" s="312"/>
      <c r="G916" s="312"/>
      <c r="H916" s="312"/>
      <c r="I916" s="312"/>
      <c r="J916" s="312"/>
      <c r="K916" s="312"/>
      <c r="L916" s="312"/>
      <c r="M916" s="312"/>
      <c r="N916" s="312"/>
      <c r="O916" s="312"/>
      <c r="P916" s="312"/>
      <c r="Q916" s="312"/>
      <c r="R916" s="312"/>
      <c r="S916" s="312"/>
    </row>
    <row r="917" ht="12.75" spans="3:19">
      <c r="C917" s="312"/>
      <c r="D917" s="312"/>
      <c r="E917" s="312"/>
      <c r="F917" s="312"/>
      <c r="G917" s="312"/>
      <c r="H917" s="312"/>
      <c r="I917" s="312"/>
      <c r="J917" s="312"/>
      <c r="K917" s="312"/>
      <c r="L917" s="312"/>
      <c r="M917" s="312"/>
      <c r="N917" s="312"/>
      <c r="O917" s="312"/>
      <c r="P917" s="312"/>
      <c r="Q917" s="312"/>
      <c r="R917" s="312"/>
      <c r="S917" s="312"/>
    </row>
    <row r="918" ht="12.75" spans="3:19">
      <c r="C918" s="312"/>
      <c r="D918" s="312"/>
      <c r="E918" s="312"/>
      <c r="F918" s="312"/>
      <c r="G918" s="312"/>
      <c r="H918" s="312"/>
      <c r="I918" s="312"/>
      <c r="J918" s="312"/>
      <c r="K918" s="312"/>
      <c r="L918" s="312"/>
      <c r="M918" s="312"/>
      <c r="N918" s="312"/>
      <c r="O918" s="312"/>
      <c r="P918" s="312"/>
      <c r="Q918" s="312"/>
      <c r="R918" s="312"/>
      <c r="S918" s="312"/>
    </row>
    <row r="919" ht="12.75" spans="3:19">
      <c r="C919" s="312"/>
      <c r="D919" s="312"/>
      <c r="E919" s="312"/>
      <c r="F919" s="312"/>
      <c r="G919" s="312"/>
      <c r="H919" s="312"/>
      <c r="I919" s="312"/>
      <c r="J919" s="312"/>
      <c r="K919" s="312"/>
      <c r="L919" s="312"/>
      <c r="M919" s="312"/>
      <c r="N919" s="312"/>
      <c r="O919" s="312"/>
      <c r="P919" s="312"/>
      <c r="Q919" s="312"/>
      <c r="R919" s="312"/>
      <c r="S919" s="312"/>
    </row>
    <row r="920" ht="12.75" spans="3:19">
      <c r="C920" s="312"/>
      <c r="D920" s="312"/>
      <c r="E920" s="312"/>
      <c r="F920" s="312"/>
      <c r="G920" s="312"/>
      <c r="H920" s="312"/>
      <c r="I920" s="312"/>
      <c r="J920" s="312"/>
      <c r="K920" s="312"/>
      <c r="L920" s="312"/>
      <c r="M920" s="312"/>
      <c r="N920" s="312"/>
      <c r="O920" s="312"/>
      <c r="P920" s="312"/>
      <c r="Q920" s="312"/>
      <c r="R920" s="312"/>
      <c r="S920" s="312"/>
    </row>
    <row r="921" ht="12.75" spans="3:19">
      <c r="C921" s="312"/>
      <c r="D921" s="312"/>
      <c r="E921" s="312"/>
      <c r="F921" s="312"/>
      <c r="G921" s="312"/>
      <c r="H921" s="312"/>
      <c r="I921" s="312"/>
      <c r="J921" s="312"/>
      <c r="K921" s="312"/>
      <c r="L921" s="312"/>
      <c r="M921" s="312"/>
      <c r="N921" s="312"/>
      <c r="O921" s="312"/>
      <c r="P921" s="312"/>
      <c r="Q921" s="312"/>
      <c r="R921" s="312"/>
      <c r="S921" s="312"/>
    </row>
    <row r="922" ht="12.75" spans="3:19">
      <c r="C922" s="312"/>
      <c r="D922" s="312"/>
      <c r="E922" s="312"/>
      <c r="F922" s="312"/>
      <c r="G922" s="312"/>
      <c r="H922" s="312"/>
      <c r="I922" s="312"/>
      <c r="J922" s="312"/>
      <c r="K922" s="312"/>
      <c r="L922" s="312"/>
      <c r="M922" s="312"/>
      <c r="N922" s="312"/>
      <c r="O922" s="312"/>
      <c r="P922" s="312"/>
      <c r="Q922" s="312"/>
      <c r="R922" s="312"/>
      <c r="S922" s="312"/>
    </row>
    <row r="923" ht="12.75" spans="3:19">
      <c r="C923" s="312"/>
      <c r="D923" s="312"/>
      <c r="E923" s="312"/>
      <c r="F923" s="312"/>
      <c r="G923" s="312"/>
      <c r="H923" s="312"/>
      <c r="I923" s="312"/>
      <c r="J923" s="312"/>
      <c r="K923" s="312"/>
      <c r="L923" s="312"/>
      <c r="M923" s="312"/>
      <c r="N923" s="312"/>
      <c r="O923" s="312"/>
      <c r="P923" s="312"/>
      <c r="Q923" s="312"/>
      <c r="R923" s="312"/>
      <c r="S923" s="312"/>
    </row>
    <row r="924" ht="12.75" spans="3:19">
      <c r="C924" s="312"/>
      <c r="D924" s="312"/>
      <c r="E924" s="312"/>
      <c r="F924" s="312"/>
      <c r="G924" s="312"/>
      <c r="H924" s="312"/>
      <c r="I924" s="312"/>
      <c r="J924" s="312"/>
      <c r="K924" s="312"/>
      <c r="L924" s="312"/>
      <c r="M924" s="312"/>
      <c r="N924" s="312"/>
      <c r="O924" s="312"/>
      <c r="P924" s="312"/>
      <c r="Q924" s="312"/>
      <c r="R924" s="312"/>
      <c r="S924" s="312"/>
    </row>
    <row r="925" ht="12.75" spans="3:19">
      <c r="C925" s="312"/>
      <c r="D925" s="312"/>
      <c r="E925" s="312"/>
      <c r="F925" s="312"/>
      <c r="G925" s="312"/>
      <c r="H925" s="312"/>
      <c r="I925" s="312"/>
      <c r="J925" s="312"/>
      <c r="K925" s="312"/>
      <c r="L925" s="312"/>
      <c r="M925" s="312"/>
      <c r="N925" s="312"/>
      <c r="O925" s="312"/>
      <c r="P925" s="312"/>
      <c r="Q925" s="312"/>
      <c r="R925" s="312"/>
      <c r="S925" s="312"/>
    </row>
    <row r="926" ht="12.75" spans="3:19">
      <c r="C926" s="312"/>
      <c r="D926" s="312"/>
      <c r="E926" s="312"/>
      <c r="F926" s="312"/>
      <c r="G926" s="312"/>
      <c r="H926" s="312"/>
      <c r="I926" s="312"/>
      <c r="J926" s="312"/>
      <c r="K926" s="312"/>
      <c r="L926" s="312"/>
      <c r="M926" s="312"/>
      <c r="N926" s="312"/>
      <c r="O926" s="312"/>
      <c r="P926" s="312"/>
      <c r="Q926" s="312"/>
      <c r="R926" s="312"/>
      <c r="S926" s="312"/>
    </row>
    <row r="927" ht="12.75" spans="3:19">
      <c r="C927" s="312"/>
      <c r="D927" s="312"/>
      <c r="E927" s="312"/>
      <c r="F927" s="312"/>
      <c r="G927" s="312"/>
      <c r="H927" s="312"/>
      <c r="I927" s="312"/>
      <c r="J927" s="312"/>
      <c r="K927" s="312"/>
      <c r="L927" s="312"/>
      <c r="M927" s="312"/>
      <c r="N927" s="312"/>
      <c r="O927" s="312"/>
      <c r="P927" s="312"/>
      <c r="Q927" s="312"/>
      <c r="R927" s="312"/>
      <c r="S927" s="312"/>
    </row>
    <row r="928" ht="12.75" spans="3:19">
      <c r="C928" s="312"/>
      <c r="D928" s="312"/>
      <c r="E928" s="312"/>
      <c r="F928" s="312"/>
      <c r="G928" s="312"/>
      <c r="H928" s="312"/>
      <c r="I928" s="312"/>
      <c r="J928" s="312"/>
      <c r="K928" s="312"/>
      <c r="L928" s="312"/>
      <c r="M928" s="312"/>
      <c r="N928" s="312"/>
      <c r="O928" s="312"/>
      <c r="P928" s="312"/>
      <c r="Q928" s="312"/>
      <c r="R928" s="312"/>
      <c r="S928" s="312"/>
    </row>
    <row r="929" ht="12.75" spans="3:19">
      <c r="C929" s="312"/>
      <c r="D929" s="312"/>
      <c r="E929" s="312"/>
      <c r="F929" s="312"/>
      <c r="G929" s="312"/>
      <c r="H929" s="312"/>
      <c r="I929" s="312"/>
      <c r="J929" s="312"/>
      <c r="K929" s="312"/>
      <c r="L929" s="312"/>
      <c r="M929" s="312"/>
      <c r="N929" s="312"/>
      <c r="O929" s="312"/>
      <c r="P929" s="312"/>
      <c r="Q929" s="312"/>
      <c r="R929" s="312"/>
      <c r="S929" s="312"/>
    </row>
    <row r="930" ht="12.75" spans="3:19">
      <c r="C930" s="312"/>
      <c r="D930" s="312"/>
      <c r="E930" s="312"/>
      <c r="F930" s="312"/>
      <c r="G930" s="312"/>
      <c r="H930" s="312"/>
      <c r="I930" s="312"/>
      <c r="J930" s="312"/>
      <c r="K930" s="312"/>
      <c r="L930" s="312"/>
      <c r="M930" s="312"/>
      <c r="N930" s="312"/>
      <c r="O930" s="312"/>
      <c r="P930" s="312"/>
      <c r="Q930" s="312"/>
      <c r="R930" s="312"/>
      <c r="S930" s="312"/>
    </row>
    <row r="931" ht="12.75" spans="3:19">
      <c r="C931" s="312"/>
      <c r="D931" s="312"/>
      <c r="E931" s="312"/>
      <c r="F931" s="312"/>
      <c r="G931" s="312"/>
      <c r="H931" s="312"/>
      <c r="I931" s="312"/>
      <c r="J931" s="312"/>
      <c r="K931" s="312"/>
      <c r="L931" s="312"/>
      <c r="M931" s="312"/>
      <c r="N931" s="312"/>
      <c r="O931" s="312"/>
      <c r="P931" s="312"/>
      <c r="Q931" s="312"/>
      <c r="R931" s="312"/>
      <c r="S931" s="312"/>
    </row>
    <row r="932" ht="12.75" spans="3:19">
      <c r="C932" s="312"/>
      <c r="D932" s="312"/>
      <c r="E932" s="312"/>
      <c r="F932" s="312"/>
      <c r="G932" s="312"/>
      <c r="H932" s="312"/>
      <c r="I932" s="312"/>
      <c r="J932" s="312"/>
      <c r="K932" s="312"/>
      <c r="L932" s="312"/>
      <c r="M932" s="312"/>
      <c r="N932" s="312"/>
      <c r="O932" s="312"/>
      <c r="P932" s="312"/>
      <c r="Q932" s="312"/>
      <c r="R932" s="312"/>
      <c r="S932" s="312"/>
    </row>
    <row r="933" ht="12.75" spans="3:19">
      <c r="C933" s="312"/>
      <c r="D933" s="312"/>
      <c r="E933" s="312"/>
      <c r="F933" s="312"/>
      <c r="G933" s="312"/>
      <c r="H933" s="312"/>
      <c r="I933" s="312"/>
      <c r="J933" s="312"/>
      <c r="K933" s="312"/>
      <c r="L933" s="312"/>
      <c r="M933" s="312"/>
      <c r="N933" s="312"/>
      <c r="O933" s="312"/>
      <c r="P933" s="312"/>
      <c r="Q933" s="312"/>
      <c r="R933" s="312"/>
      <c r="S933" s="312"/>
    </row>
    <row r="934" ht="12.75" spans="3:19">
      <c r="C934" s="312"/>
      <c r="D934" s="312"/>
      <c r="E934" s="312"/>
      <c r="F934" s="312"/>
      <c r="G934" s="312"/>
      <c r="H934" s="312"/>
      <c r="I934" s="312"/>
      <c r="J934" s="312"/>
      <c r="K934" s="312"/>
      <c r="L934" s="312"/>
      <c r="M934" s="312"/>
      <c r="N934" s="312"/>
      <c r="O934" s="312"/>
      <c r="P934" s="312"/>
      <c r="Q934" s="312"/>
      <c r="R934" s="312"/>
      <c r="S934" s="312"/>
    </row>
    <row r="935" ht="12.75" spans="3:19">
      <c r="C935" s="312"/>
      <c r="D935" s="312"/>
      <c r="E935" s="312"/>
      <c r="F935" s="312"/>
      <c r="G935" s="312"/>
      <c r="H935" s="312"/>
      <c r="I935" s="312"/>
      <c r="J935" s="312"/>
      <c r="K935" s="312"/>
      <c r="L935" s="312"/>
      <c r="M935" s="312"/>
      <c r="N935" s="312"/>
      <c r="O935" s="312"/>
      <c r="P935" s="312"/>
      <c r="Q935" s="312"/>
      <c r="R935" s="312"/>
      <c r="S935" s="312"/>
    </row>
    <row r="936" ht="12.75" spans="3:19">
      <c r="C936" s="312"/>
      <c r="D936" s="312"/>
      <c r="E936" s="312"/>
      <c r="F936" s="312"/>
      <c r="G936" s="312"/>
      <c r="H936" s="312"/>
      <c r="I936" s="312"/>
      <c r="J936" s="312"/>
      <c r="K936" s="312"/>
      <c r="L936" s="312"/>
      <c r="M936" s="312"/>
      <c r="N936" s="312"/>
      <c r="O936" s="312"/>
      <c r="P936" s="312"/>
      <c r="Q936" s="312"/>
      <c r="R936" s="312"/>
      <c r="S936" s="312"/>
    </row>
    <row r="937" ht="12.75" spans="3:19">
      <c r="C937" s="312"/>
      <c r="D937" s="312"/>
      <c r="E937" s="312"/>
      <c r="F937" s="312"/>
      <c r="G937" s="312"/>
      <c r="H937" s="312"/>
      <c r="I937" s="312"/>
      <c r="J937" s="312"/>
      <c r="K937" s="312"/>
      <c r="L937" s="312"/>
      <c r="M937" s="312"/>
      <c r="N937" s="312"/>
      <c r="O937" s="312"/>
      <c r="P937" s="312"/>
      <c r="Q937" s="312"/>
      <c r="R937" s="312"/>
      <c r="S937" s="312"/>
    </row>
    <row r="938" ht="12.75" spans="3:19">
      <c r="C938" s="312"/>
      <c r="D938" s="312"/>
      <c r="E938" s="312"/>
      <c r="F938" s="312"/>
      <c r="G938" s="312"/>
      <c r="H938" s="312"/>
      <c r="I938" s="312"/>
      <c r="J938" s="312"/>
      <c r="K938" s="312"/>
      <c r="L938" s="312"/>
      <c r="M938" s="312"/>
      <c r="N938" s="312"/>
      <c r="O938" s="312"/>
      <c r="P938" s="312"/>
      <c r="Q938" s="312"/>
      <c r="R938" s="312"/>
      <c r="S938" s="312"/>
    </row>
    <row r="939" ht="12.75" spans="3:19">
      <c r="C939" s="312"/>
      <c r="D939" s="312"/>
      <c r="E939" s="312"/>
      <c r="F939" s="312"/>
      <c r="G939" s="312"/>
      <c r="H939" s="312"/>
      <c r="I939" s="312"/>
      <c r="J939" s="312"/>
      <c r="K939" s="312"/>
      <c r="L939" s="312"/>
      <c r="M939" s="312"/>
      <c r="N939" s="312"/>
      <c r="O939" s="312"/>
      <c r="P939" s="312"/>
      <c r="Q939" s="312"/>
      <c r="R939" s="312"/>
      <c r="S939" s="312"/>
    </row>
    <row r="940" ht="12.75" spans="3:19">
      <c r="C940" s="312"/>
      <c r="D940" s="312"/>
      <c r="E940" s="312"/>
      <c r="F940" s="312"/>
      <c r="G940" s="312"/>
      <c r="H940" s="312"/>
      <c r="I940" s="312"/>
      <c r="J940" s="312"/>
      <c r="K940" s="312"/>
      <c r="L940" s="312"/>
      <c r="M940" s="312"/>
      <c r="N940" s="312"/>
      <c r="O940" s="312"/>
      <c r="P940" s="312"/>
      <c r="Q940" s="312"/>
      <c r="R940" s="312"/>
      <c r="S940" s="312"/>
    </row>
    <row r="941" ht="12.75" spans="3:19">
      <c r="C941" s="312"/>
      <c r="D941" s="312"/>
      <c r="E941" s="312"/>
      <c r="F941" s="312"/>
      <c r="G941" s="312"/>
      <c r="H941" s="312"/>
      <c r="I941" s="312"/>
      <c r="J941" s="312"/>
      <c r="K941" s="312"/>
      <c r="L941" s="312"/>
      <c r="M941" s="312"/>
      <c r="N941" s="312"/>
      <c r="O941" s="312"/>
      <c r="P941" s="312"/>
      <c r="Q941" s="312"/>
      <c r="R941" s="312"/>
      <c r="S941" s="312"/>
    </row>
    <row r="942" ht="12.75" spans="3:19">
      <c r="C942" s="312"/>
      <c r="D942" s="312"/>
      <c r="E942" s="312"/>
      <c r="F942" s="312"/>
      <c r="G942" s="312"/>
      <c r="H942" s="312"/>
      <c r="I942" s="312"/>
      <c r="J942" s="312"/>
      <c r="K942" s="312"/>
      <c r="L942" s="312"/>
      <c r="M942" s="312"/>
      <c r="N942" s="312"/>
      <c r="O942" s="312"/>
      <c r="P942" s="312"/>
      <c r="Q942" s="312"/>
      <c r="R942" s="312"/>
      <c r="S942" s="312"/>
    </row>
    <row r="943" ht="12.75" spans="3:19">
      <c r="C943" s="312"/>
      <c r="D943" s="312"/>
      <c r="E943" s="312"/>
      <c r="F943" s="312"/>
      <c r="G943" s="312"/>
      <c r="H943" s="312"/>
      <c r="I943" s="312"/>
      <c r="J943" s="312"/>
      <c r="K943" s="312"/>
      <c r="L943" s="312"/>
      <c r="M943" s="312"/>
      <c r="N943" s="312"/>
      <c r="O943" s="312"/>
      <c r="P943" s="312"/>
      <c r="Q943" s="312"/>
      <c r="R943" s="312"/>
      <c r="S943" s="312"/>
    </row>
    <row r="944" ht="12.75" spans="3:19">
      <c r="C944" s="312"/>
      <c r="D944" s="312"/>
      <c r="E944" s="312"/>
      <c r="F944" s="312"/>
      <c r="G944" s="312"/>
      <c r="H944" s="312"/>
      <c r="I944" s="312"/>
      <c r="J944" s="312"/>
      <c r="K944" s="312"/>
      <c r="L944" s="312"/>
      <c r="M944" s="312"/>
      <c r="N944" s="312"/>
      <c r="O944" s="312"/>
      <c r="P944" s="312"/>
      <c r="Q944" s="312"/>
      <c r="R944" s="312"/>
      <c r="S944" s="312"/>
    </row>
    <row r="945" ht="12.75" spans="3:19">
      <c r="C945" s="312"/>
      <c r="D945" s="312"/>
      <c r="E945" s="312"/>
      <c r="F945" s="312"/>
      <c r="G945" s="312"/>
      <c r="H945" s="312"/>
      <c r="I945" s="312"/>
      <c r="J945" s="312"/>
      <c r="K945" s="312"/>
      <c r="L945" s="312"/>
      <c r="M945" s="312"/>
      <c r="N945" s="312"/>
      <c r="O945" s="312"/>
      <c r="P945" s="312"/>
      <c r="Q945" s="312"/>
      <c r="R945" s="312"/>
      <c r="S945" s="312"/>
    </row>
    <row r="946" ht="12.75" spans="3:19">
      <c r="C946" s="312"/>
      <c r="D946" s="312"/>
      <c r="E946" s="312"/>
      <c r="F946" s="312"/>
      <c r="G946" s="312"/>
      <c r="H946" s="312"/>
      <c r="I946" s="312"/>
      <c r="J946" s="312"/>
      <c r="K946" s="312"/>
      <c r="L946" s="312"/>
      <c r="M946" s="312"/>
      <c r="N946" s="312"/>
      <c r="O946" s="312"/>
      <c r="P946" s="312"/>
      <c r="Q946" s="312"/>
      <c r="R946" s="312"/>
      <c r="S946" s="312"/>
    </row>
    <row r="947" ht="12.75" spans="3:19">
      <c r="C947" s="312"/>
      <c r="D947" s="312"/>
      <c r="E947" s="312"/>
      <c r="F947" s="312"/>
      <c r="G947" s="312"/>
      <c r="H947" s="312"/>
      <c r="I947" s="312"/>
      <c r="J947" s="312"/>
      <c r="K947" s="312"/>
      <c r="L947" s="312"/>
      <c r="M947" s="312"/>
      <c r="N947" s="312"/>
      <c r="O947" s="312"/>
      <c r="P947" s="312"/>
      <c r="Q947" s="312"/>
      <c r="R947" s="312"/>
      <c r="S947" s="312"/>
    </row>
    <row r="948" ht="12.75" spans="3:19">
      <c r="C948" s="312"/>
      <c r="D948" s="312"/>
      <c r="E948" s="312"/>
      <c r="F948" s="312"/>
      <c r="G948" s="312"/>
      <c r="H948" s="312"/>
      <c r="I948" s="312"/>
      <c r="J948" s="312"/>
      <c r="K948" s="312"/>
      <c r="L948" s="312"/>
      <c r="M948" s="312"/>
      <c r="N948" s="312"/>
      <c r="O948" s="312"/>
      <c r="P948" s="312"/>
      <c r="Q948" s="312"/>
      <c r="R948" s="312"/>
      <c r="S948" s="312"/>
    </row>
    <row r="949" ht="12.75" spans="3:19">
      <c r="C949" s="312"/>
      <c r="D949" s="312"/>
      <c r="E949" s="312"/>
      <c r="F949" s="312"/>
      <c r="G949" s="312"/>
      <c r="H949" s="312"/>
      <c r="I949" s="312"/>
      <c r="J949" s="312"/>
      <c r="K949" s="312"/>
      <c r="L949" s="312"/>
      <c r="M949" s="312"/>
      <c r="N949" s="312"/>
      <c r="O949" s="312"/>
      <c r="P949" s="312"/>
      <c r="Q949" s="312"/>
      <c r="R949" s="312"/>
      <c r="S949" s="312"/>
    </row>
    <row r="950" ht="12.75" spans="3:19">
      <c r="C950" s="312"/>
      <c r="D950" s="312"/>
      <c r="E950" s="312"/>
      <c r="F950" s="312"/>
      <c r="G950" s="312"/>
      <c r="H950" s="312"/>
      <c r="I950" s="312"/>
      <c r="J950" s="312"/>
      <c r="K950" s="312"/>
      <c r="L950" s="312"/>
      <c r="M950" s="312"/>
      <c r="N950" s="312"/>
      <c r="O950" s="312"/>
      <c r="P950" s="312"/>
      <c r="Q950" s="312"/>
      <c r="R950" s="312"/>
      <c r="S950" s="312"/>
    </row>
    <row r="951" ht="12.75" spans="3:19">
      <c r="C951" s="312"/>
      <c r="D951" s="312"/>
      <c r="E951" s="312"/>
      <c r="F951" s="312"/>
      <c r="G951" s="312"/>
      <c r="H951" s="312"/>
      <c r="I951" s="312"/>
      <c r="J951" s="312"/>
      <c r="K951" s="312"/>
      <c r="L951" s="312"/>
      <c r="M951" s="312"/>
      <c r="N951" s="312"/>
      <c r="O951" s="312"/>
      <c r="P951" s="312"/>
      <c r="Q951" s="312"/>
      <c r="R951" s="312"/>
      <c r="S951" s="312"/>
    </row>
    <row r="952" ht="12.75" spans="3:19">
      <c r="C952" s="312"/>
      <c r="D952" s="312"/>
      <c r="E952" s="312"/>
      <c r="F952" s="312"/>
      <c r="G952" s="312"/>
      <c r="H952" s="312"/>
      <c r="I952" s="312"/>
      <c r="J952" s="312"/>
      <c r="K952" s="312"/>
      <c r="L952" s="312"/>
      <c r="M952" s="312"/>
      <c r="N952" s="312"/>
      <c r="O952" s="312"/>
      <c r="P952" s="312"/>
      <c r="Q952" s="312"/>
      <c r="R952" s="312"/>
      <c r="S952" s="312"/>
    </row>
    <row r="953" ht="12.75" spans="3:19">
      <c r="C953" s="312"/>
      <c r="D953" s="312"/>
      <c r="E953" s="312"/>
      <c r="F953" s="312"/>
      <c r="G953" s="312"/>
      <c r="H953" s="312"/>
      <c r="I953" s="312"/>
      <c r="J953" s="312"/>
      <c r="K953" s="312"/>
      <c r="L953" s="312"/>
      <c r="M953" s="312"/>
      <c r="N953" s="312"/>
      <c r="O953" s="312"/>
      <c r="P953" s="312"/>
      <c r="Q953" s="312"/>
      <c r="R953" s="312"/>
      <c r="S953" s="312"/>
    </row>
    <row r="954" ht="12.75" spans="3:19">
      <c r="C954" s="312"/>
      <c r="D954" s="312"/>
      <c r="E954" s="312"/>
      <c r="F954" s="312"/>
      <c r="G954" s="312"/>
      <c r="H954" s="312"/>
      <c r="I954" s="312"/>
      <c r="J954" s="312"/>
      <c r="K954" s="312"/>
      <c r="L954" s="312"/>
      <c r="M954" s="312"/>
      <c r="N954" s="312"/>
      <c r="O954" s="312"/>
      <c r="P954" s="312"/>
      <c r="Q954" s="312"/>
      <c r="R954" s="312"/>
      <c r="S954" s="312"/>
    </row>
    <row r="955" ht="12.75" spans="3:19">
      <c r="C955" s="312"/>
      <c r="D955" s="312"/>
      <c r="E955" s="312"/>
      <c r="F955" s="312"/>
      <c r="G955" s="312"/>
      <c r="H955" s="312"/>
      <c r="I955" s="312"/>
      <c r="J955" s="312"/>
      <c r="K955" s="312"/>
      <c r="L955" s="312"/>
      <c r="M955" s="312"/>
      <c r="N955" s="312"/>
      <c r="O955" s="312"/>
      <c r="P955" s="312"/>
      <c r="Q955" s="312"/>
      <c r="R955" s="312"/>
      <c r="S955" s="312"/>
    </row>
    <row r="956" ht="12.75" spans="3:19">
      <c r="C956" s="312"/>
      <c r="D956" s="312"/>
      <c r="E956" s="312"/>
      <c r="F956" s="312"/>
      <c r="G956" s="312"/>
      <c r="H956" s="312"/>
      <c r="I956" s="312"/>
      <c r="J956" s="312"/>
      <c r="K956" s="312"/>
      <c r="L956" s="312"/>
      <c r="M956" s="312"/>
      <c r="N956" s="312"/>
      <c r="O956" s="312"/>
      <c r="P956" s="312"/>
      <c r="Q956" s="312"/>
      <c r="R956" s="312"/>
      <c r="S956" s="312"/>
    </row>
    <row r="957" ht="12.75" spans="3:19">
      <c r="C957" s="312"/>
      <c r="D957" s="312"/>
      <c r="E957" s="312"/>
      <c r="F957" s="312"/>
      <c r="G957" s="312"/>
      <c r="H957" s="312"/>
      <c r="I957" s="312"/>
      <c r="J957" s="312"/>
      <c r="K957" s="312"/>
      <c r="L957" s="312"/>
      <c r="M957" s="312"/>
      <c r="N957" s="312"/>
      <c r="O957" s="312"/>
      <c r="P957" s="312"/>
      <c r="Q957" s="312"/>
      <c r="R957" s="312"/>
      <c r="S957" s="312"/>
    </row>
    <row r="958" ht="12.75" spans="3:19">
      <c r="C958" s="312"/>
      <c r="D958" s="312"/>
      <c r="E958" s="312"/>
      <c r="F958" s="312"/>
      <c r="G958" s="312"/>
      <c r="H958" s="312"/>
      <c r="I958" s="312"/>
      <c r="J958" s="312"/>
      <c r="K958" s="312"/>
      <c r="L958" s="312"/>
      <c r="M958" s="312"/>
      <c r="N958" s="312"/>
      <c r="O958" s="312"/>
      <c r="P958" s="312"/>
      <c r="Q958" s="312"/>
      <c r="R958" s="312"/>
      <c r="S958" s="312"/>
    </row>
    <row r="959" ht="12.75" spans="3:19">
      <c r="C959" s="312"/>
      <c r="D959" s="312"/>
      <c r="E959" s="312"/>
      <c r="F959" s="312"/>
      <c r="G959" s="312"/>
      <c r="H959" s="312"/>
      <c r="I959" s="312"/>
      <c r="J959" s="312"/>
      <c r="K959" s="312"/>
      <c r="L959" s="312"/>
      <c r="M959" s="312"/>
      <c r="N959" s="312"/>
      <c r="O959" s="312"/>
      <c r="P959" s="312"/>
      <c r="Q959" s="312"/>
      <c r="R959" s="312"/>
      <c r="S959" s="312"/>
    </row>
    <row r="960" ht="12.75" spans="3:19">
      <c r="C960" s="312"/>
      <c r="D960" s="312"/>
      <c r="E960" s="312"/>
      <c r="F960" s="312"/>
      <c r="G960" s="312"/>
      <c r="H960" s="312"/>
      <c r="I960" s="312"/>
      <c r="J960" s="312"/>
      <c r="K960" s="312"/>
      <c r="L960" s="312"/>
      <c r="M960" s="312"/>
      <c r="N960" s="312"/>
      <c r="O960" s="312"/>
      <c r="P960" s="312"/>
      <c r="Q960" s="312"/>
      <c r="R960" s="312"/>
      <c r="S960" s="312"/>
    </row>
    <row r="961" ht="12.75" spans="3:19">
      <c r="C961" s="312"/>
      <c r="D961" s="312"/>
      <c r="E961" s="312"/>
      <c r="F961" s="312"/>
      <c r="G961" s="312"/>
      <c r="H961" s="312"/>
      <c r="I961" s="312"/>
      <c r="J961" s="312"/>
      <c r="K961" s="312"/>
      <c r="L961" s="312"/>
      <c r="M961" s="312"/>
      <c r="N961" s="312"/>
      <c r="O961" s="312"/>
      <c r="P961" s="312"/>
      <c r="Q961" s="312"/>
      <c r="R961" s="312"/>
      <c r="S961" s="312"/>
    </row>
    <row r="962" ht="12.75" spans="3:19">
      <c r="C962" s="312"/>
      <c r="D962" s="312"/>
      <c r="E962" s="312"/>
      <c r="F962" s="312"/>
      <c r="G962" s="312"/>
      <c r="H962" s="312"/>
      <c r="I962" s="312"/>
      <c r="J962" s="312"/>
      <c r="K962" s="312"/>
      <c r="L962" s="312"/>
      <c r="M962" s="312"/>
      <c r="N962" s="312"/>
      <c r="O962" s="312"/>
      <c r="P962" s="312"/>
      <c r="Q962" s="312"/>
      <c r="R962" s="312"/>
      <c r="S962" s="312"/>
    </row>
    <row r="963" ht="12.75" spans="3:19">
      <c r="C963" s="312"/>
      <c r="D963" s="312"/>
      <c r="E963" s="312"/>
      <c r="F963" s="312"/>
      <c r="G963" s="312"/>
      <c r="H963" s="312"/>
      <c r="I963" s="312"/>
      <c r="J963" s="312"/>
      <c r="K963" s="312"/>
      <c r="L963" s="312"/>
      <c r="M963" s="312"/>
      <c r="N963" s="312"/>
      <c r="O963" s="312"/>
      <c r="P963" s="312"/>
      <c r="Q963" s="312"/>
      <c r="R963" s="312"/>
      <c r="S963" s="312"/>
    </row>
    <row r="964" ht="12.75" spans="3:19">
      <c r="C964" s="312"/>
      <c r="D964" s="312"/>
      <c r="E964" s="312"/>
      <c r="F964" s="312"/>
      <c r="G964" s="312"/>
      <c r="H964" s="312"/>
      <c r="I964" s="312"/>
      <c r="J964" s="312"/>
      <c r="K964" s="312"/>
      <c r="L964" s="312"/>
      <c r="M964" s="312"/>
      <c r="N964" s="312"/>
      <c r="O964" s="312"/>
      <c r="P964" s="312"/>
      <c r="Q964" s="312"/>
      <c r="R964" s="312"/>
      <c r="S964" s="312"/>
    </row>
    <row r="965" ht="12.75" spans="3:19">
      <c r="C965" s="312"/>
      <c r="D965" s="312"/>
      <c r="E965" s="312"/>
      <c r="F965" s="312"/>
      <c r="G965" s="312"/>
      <c r="H965" s="312"/>
      <c r="I965" s="312"/>
      <c r="J965" s="312"/>
      <c r="K965" s="312"/>
      <c r="L965" s="312"/>
      <c r="M965" s="312"/>
      <c r="N965" s="312"/>
      <c r="O965" s="312"/>
      <c r="P965" s="312"/>
      <c r="Q965" s="312"/>
      <c r="R965" s="312"/>
      <c r="S965" s="312"/>
    </row>
    <row r="966" ht="12.75" spans="3:19">
      <c r="C966" s="312"/>
      <c r="D966" s="312"/>
      <c r="E966" s="312"/>
      <c r="F966" s="312"/>
      <c r="G966" s="312"/>
      <c r="H966" s="312"/>
      <c r="I966" s="312"/>
      <c r="J966" s="312"/>
      <c r="K966" s="312"/>
      <c r="L966" s="312"/>
      <c r="M966" s="312"/>
      <c r="N966" s="312"/>
      <c r="O966" s="312"/>
      <c r="P966" s="312"/>
      <c r="Q966" s="312"/>
      <c r="R966" s="312"/>
      <c r="S966" s="312"/>
    </row>
    <row r="967" ht="12.75" spans="3:19">
      <c r="C967" s="312"/>
      <c r="D967" s="312"/>
      <c r="E967" s="312"/>
      <c r="F967" s="312"/>
      <c r="G967" s="312"/>
      <c r="H967" s="312"/>
      <c r="I967" s="312"/>
      <c r="J967" s="312"/>
      <c r="K967" s="312"/>
      <c r="L967" s="312"/>
      <c r="M967" s="312"/>
      <c r="N967" s="312"/>
      <c r="O967" s="312"/>
      <c r="P967" s="312"/>
      <c r="Q967" s="312"/>
      <c r="R967" s="312"/>
      <c r="S967" s="312"/>
    </row>
    <row r="968" ht="12.75" spans="3:19">
      <c r="C968" s="312"/>
      <c r="D968" s="312"/>
      <c r="E968" s="312"/>
      <c r="F968" s="312"/>
      <c r="G968" s="312"/>
      <c r="H968" s="312"/>
      <c r="I968" s="312"/>
      <c r="J968" s="312"/>
      <c r="K968" s="312"/>
      <c r="L968" s="312"/>
      <c r="M968" s="312"/>
      <c r="N968" s="312"/>
      <c r="O968" s="312"/>
      <c r="P968" s="312"/>
      <c r="Q968" s="312"/>
      <c r="R968" s="312"/>
      <c r="S968" s="312"/>
    </row>
    <row r="969" ht="12.75" spans="3:19">
      <c r="C969" s="312"/>
      <c r="D969" s="312"/>
      <c r="E969" s="312"/>
      <c r="F969" s="312"/>
      <c r="G969" s="312"/>
      <c r="H969" s="312"/>
      <c r="I969" s="312"/>
      <c r="J969" s="312"/>
      <c r="K969" s="312"/>
      <c r="L969" s="312"/>
      <c r="M969" s="312"/>
      <c r="N969" s="312"/>
      <c r="O969" s="312"/>
      <c r="P969" s="312"/>
      <c r="Q969" s="312"/>
      <c r="R969" s="312"/>
      <c r="S969" s="312"/>
    </row>
    <row r="970" ht="12.75" spans="3:19">
      <c r="C970" s="312"/>
      <c r="D970" s="312"/>
      <c r="E970" s="312"/>
      <c r="F970" s="312"/>
      <c r="G970" s="312"/>
      <c r="H970" s="312"/>
      <c r="I970" s="312"/>
      <c r="J970" s="312"/>
      <c r="K970" s="312"/>
      <c r="L970" s="312"/>
      <c r="M970" s="312"/>
      <c r="N970" s="312"/>
      <c r="O970" s="312"/>
      <c r="P970" s="312"/>
      <c r="Q970" s="312"/>
      <c r="R970" s="312"/>
      <c r="S970" s="312"/>
    </row>
    <row r="971" ht="12.75" spans="3:19">
      <c r="C971" s="312"/>
      <c r="D971" s="312"/>
      <c r="E971" s="312"/>
      <c r="F971" s="312"/>
      <c r="G971" s="312"/>
      <c r="H971" s="312"/>
      <c r="I971" s="312"/>
      <c r="J971" s="312"/>
      <c r="K971" s="312"/>
      <c r="L971" s="312"/>
      <c r="M971" s="312"/>
      <c r="N971" s="312"/>
      <c r="O971" s="312"/>
      <c r="P971" s="312"/>
      <c r="Q971" s="312"/>
      <c r="R971" s="312"/>
      <c r="S971" s="312"/>
    </row>
    <row r="972" ht="12.75" spans="3:19">
      <c r="C972" s="312"/>
      <c r="D972" s="312"/>
      <c r="E972" s="312"/>
      <c r="F972" s="312"/>
      <c r="G972" s="312"/>
      <c r="H972" s="312"/>
      <c r="I972" s="312"/>
      <c r="J972" s="312"/>
      <c r="K972" s="312"/>
      <c r="L972" s="312"/>
      <c r="M972" s="312"/>
      <c r="N972" s="312"/>
      <c r="O972" s="312"/>
      <c r="P972" s="312"/>
      <c r="Q972" s="312"/>
      <c r="R972" s="312"/>
      <c r="S972" s="312"/>
    </row>
    <row r="973" ht="12.75" spans="3:19">
      <c r="C973" s="312"/>
      <c r="D973" s="312"/>
      <c r="E973" s="312"/>
      <c r="F973" s="312"/>
      <c r="G973" s="312"/>
      <c r="H973" s="312"/>
      <c r="I973" s="312"/>
      <c r="J973" s="312"/>
      <c r="K973" s="312"/>
      <c r="L973" s="312"/>
      <c r="M973" s="312"/>
      <c r="N973" s="312"/>
      <c r="O973" s="312"/>
      <c r="P973" s="312"/>
      <c r="Q973" s="312"/>
      <c r="R973" s="312"/>
      <c r="S973" s="312"/>
    </row>
    <row r="974" ht="12.75" spans="3:19">
      <c r="C974" s="312"/>
      <c r="D974" s="312"/>
      <c r="E974" s="312"/>
      <c r="F974" s="312"/>
      <c r="G974" s="312"/>
      <c r="H974" s="312"/>
      <c r="I974" s="312"/>
      <c r="J974" s="312"/>
      <c r="K974" s="312"/>
      <c r="L974" s="312"/>
      <c r="M974" s="312"/>
      <c r="N974" s="312"/>
      <c r="O974" s="312"/>
      <c r="P974" s="312"/>
      <c r="Q974" s="312"/>
      <c r="R974" s="312"/>
      <c r="S974" s="312"/>
    </row>
    <row r="975" ht="12.75" spans="3:19">
      <c r="C975" s="312"/>
      <c r="D975" s="312"/>
      <c r="E975" s="312"/>
      <c r="F975" s="312"/>
      <c r="G975" s="312"/>
      <c r="H975" s="312"/>
      <c r="I975" s="312"/>
      <c r="J975" s="312"/>
      <c r="K975" s="312"/>
      <c r="L975" s="312"/>
      <c r="M975" s="312"/>
      <c r="N975" s="312"/>
      <c r="O975" s="312"/>
      <c r="P975" s="312"/>
      <c r="Q975" s="312"/>
      <c r="R975" s="312"/>
      <c r="S975" s="312"/>
    </row>
    <row r="976" ht="12.75" spans="3:19">
      <c r="C976" s="312"/>
      <c r="D976" s="312"/>
      <c r="E976" s="312"/>
      <c r="F976" s="312"/>
      <c r="G976" s="312"/>
      <c r="H976" s="312"/>
      <c r="I976" s="312"/>
      <c r="J976" s="312"/>
      <c r="K976" s="312"/>
      <c r="L976" s="312"/>
      <c r="M976" s="312"/>
      <c r="N976" s="312"/>
      <c r="O976" s="312"/>
      <c r="P976" s="312"/>
      <c r="Q976" s="312"/>
      <c r="R976" s="312"/>
      <c r="S976" s="312"/>
    </row>
    <row r="977" ht="12.75" spans="3:19">
      <c r="C977" s="312"/>
      <c r="D977" s="312"/>
      <c r="E977" s="312"/>
      <c r="F977" s="312"/>
      <c r="G977" s="312"/>
      <c r="H977" s="312"/>
      <c r="I977" s="312"/>
      <c r="J977" s="312"/>
      <c r="K977" s="312"/>
      <c r="L977" s="312"/>
      <c r="M977" s="312"/>
      <c r="N977" s="312"/>
      <c r="O977" s="312"/>
      <c r="P977" s="312"/>
      <c r="Q977" s="312"/>
      <c r="R977" s="312"/>
      <c r="S977" s="312"/>
    </row>
    <row r="978" ht="12.75" spans="3:19">
      <c r="C978" s="312"/>
      <c r="D978" s="312"/>
      <c r="E978" s="312"/>
      <c r="F978" s="312"/>
      <c r="G978" s="312"/>
      <c r="H978" s="312"/>
      <c r="I978" s="312"/>
      <c r="J978" s="312"/>
      <c r="K978" s="312"/>
      <c r="L978" s="312"/>
      <c r="M978" s="312"/>
      <c r="N978" s="312"/>
      <c r="O978" s="312"/>
      <c r="P978" s="312"/>
      <c r="Q978" s="312"/>
      <c r="R978" s="312"/>
      <c r="S978" s="312"/>
    </row>
    <row r="979" ht="12.75" spans="3:19">
      <c r="C979" s="312"/>
      <c r="D979" s="312"/>
      <c r="E979" s="312"/>
      <c r="F979" s="312"/>
      <c r="G979" s="312"/>
      <c r="H979" s="312"/>
      <c r="I979" s="312"/>
      <c r="J979" s="312"/>
      <c r="K979" s="312"/>
      <c r="L979" s="312"/>
      <c r="M979" s="312"/>
      <c r="N979" s="312"/>
      <c r="O979" s="312"/>
      <c r="P979" s="312"/>
      <c r="Q979" s="312"/>
      <c r="R979" s="312"/>
      <c r="S979" s="312"/>
    </row>
    <row r="980" ht="12.75" spans="3:19">
      <c r="C980" s="312"/>
      <c r="D980" s="312"/>
      <c r="E980" s="312"/>
      <c r="F980" s="312"/>
      <c r="G980" s="312"/>
      <c r="H980" s="312"/>
      <c r="I980" s="312"/>
      <c r="J980" s="312"/>
      <c r="K980" s="312"/>
      <c r="L980" s="312"/>
      <c r="M980" s="312"/>
      <c r="N980" s="312"/>
      <c r="O980" s="312"/>
      <c r="P980" s="312"/>
      <c r="Q980" s="312"/>
      <c r="R980" s="312"/>
      <c r="S980" s="312"/>
    </row>
    <row r="981" ht="12.75" spans="3:19">
      <c r="C981" s="312"/>
      <c r="D981" s="312"/>
      <c r="E981" s="312"/>
      <c r="F981" s="312"/>
      <c r="G981" s="312"/>
      <c r="H981" s="312"/>
      <c r="I981" s="312"/>
      <c r="J981" s="312"/>
      <c r="K981" s="312"/>
      <c r="L981" s="312"/>
      <c r="M981" s="312"/>
      <c r="N981" s="312"/>
      <c r="O981" s="312"/>
      <c r="P981" s="312"/>
      <c r="Q981" s="312"/>
      <c r="R981" s="312"/>
      <c r="S981" s="312"/>
    </row>
    <row r="982" ht="12.75" spans="3:19">
      <c r="C982" s="312"/>
      <c r="D982" s="312"/>
      <c r="E982" s="312"/>
      <c r="F982" s="312"/>
      <c r="G982" s="312"/>
      <c r="H982" s="312"/>
      <c r="I982" s="312"/>
      <c r="J982" s="312"/>
      <c r="K982" s="312"/>
      <c r="L982" s="312"/>
      <c r="M982" s="312"/>
      <c r="N982" s="312"/>
      <c r="O982" s="312"/>
      <c r="P982" s="312"/>
      <c r="Q982" s="312"/>
      <c r="R982" s="312"/>
      <c r="S982" s="312"/>
    </row>
    <row r="983" ht="12.75" spans="3:19">
      <c r="C983" s="312"/>
      <c r="D983" s="312"/>
      <c r="E983" s="312"/>
      <c r="F983" s="312"/>
      <c r="G983" s="312"/>
      <c r="H983" s="312"/>
      <c r="I983" s="312"/>
      <c r="J983" s="312"/>
      <c r="K983" s="312"/>
      <c r="L983" s="312"/>
      <c r="M983" s="312"/>
      <c r="N983" s="312"/>
      <c r="O983" s="312"/>
      <c r="P983" s="312"/>
      <c r="Q983" s="312"/>
      <c r="R983" s="312"/>
      <c r="S983" s="312"/>
    </row>
    <row r="984" ht="12.75" spans="3:19">
      <c r="C984" s="312"/>
      <c r="D984" s="312"/>
      <c r="E984" s="312"/>
      <c r="F984" s="312"/>
      <c r="G984" s="312"/>
      <c r="H984" s="312"/>
      <c r="I984" s="312"/>
      <c r="J984" s="312"/>
      <c r="K984" s="312"/>
      <c r="L984" s="312"/>
      <c r="M984" s="312"/>
      <c r="N984" s="312"/>
      <c r="O984" s="312"/>
      <c r="P984" s="312"/>
      <c r="Q984" s="312"/>
      <c r="R984" s="312"/>
      <c r="S984" s="312"/>
    </row>
    <row r="985" ht="12.75" spans="3:19">
      <c r="C985" s="312"/>
      <c r="D985" s="312"/>
      <c r="E985" s="312"/>
      <c r="F985" s="312"/>
      <c r="G985" s="312"/>
      <c r="H985" s="312"/>
      <c r="I985" s="312"/>
      <c r="J985" s="312"/>
      <c r="K985" s="312"/>
      <c r="L985" s="312"/>
      <c r="M985" s="312"/>
      <c r="N985" s="312"/>
      <c r="O985" s="312"/>
      <c r="P985" s="312"/>
      <c r="Q985" s="312"/>
      <c r="R985" s="312"/>
      <c r="S985" s="312"/>
    </row>
    <row r="986" ht="12.75" spans="3:19">
      <c r="C986" s="312"/>
      <c r="D986" s="312"/>
      <c r="E986" s="312"/>
      <c r="F986" s="312"/>
      <c r="G986" s="312"/>
      <c r="H986" s="312"/>
      <c r="I986" s="312"/>
      <c r="J986" s="312"/>
      <c r="K986" s="312"/>
      <c r="L986" s="312"/>
      <c r="M986" s="312"/>
      <c r="N986" s="312"/>
      <c r="O986" s="312"/>
      <c r="P986" s="312"/>
      <c r="Q986" s="312"/>
      <c r="R986" s="312"/>
      <c r="S986" s="312"/>
    </row>
    <row r="987" ht="12.75" spans="3:19">
      <c r="C987" s="312"/>
      <c r="D987" s="312"/>
      <c r="E987" s="312"/>
      <c r="F987" s="312"/>
      <c r="G987" s="312"/>
      <c r="H987" s="312"/>
      <c r="I987" s="312"/>
      <c r="J987" s="312"/>
      <c r="K987" s="312"/>
      <c r="L987" s="312"/>
      <c r="M987" s="312"/>
      <c r="N987" s="312"/>
      <c r="O987" s="312"/>
      <c r="P987" s="312"/>
      <c r="Q987" s="312"/>
      <c r="R987" s="312"/>
      <c r="S987" s="312"/>
    </row>
    <row r="988" ht="12.75" spans="3:19">
      <c r="C988" s="312"/>
      <c r="D988" s="312"/>
      <c r="E988" s="312"/>
      <c r="F988" s="312"/>
      <c r="G988" s="312"/>
      <c r="H988" s="312"/>
      <c r="I988" s="312"/>
      <c r="J988" s="312"/>
      <c r="K988" s="312"/>
      <c r="L988" s="312"/>
      <c r="M988" s="312"/>
      <c r="N988" s="312"/>
      <c r="O988" s="312"/>
      <c r="P988" s="312"/>
      <c r="Q988" s="312"/>
      <c r="R988" s="312"/>
      <c r="S988" s="312"/>
    </row>
    <row r="989" ht="12.75" spans="3:19">
      <c r="C989" s="312"/>
      <c r="D989" s="312"/>
      <c r="E989" s="312"/>
      <c r="F989" s="312"/>
      <c r="G989" s="312"/>
      <c r="H989" s="312"/>
      <c r="I989" s="312"/>
      <c r="J989" s="312"/>
      <c r="K989" s="312"/>
      <c r="L989" s="312"/>
      <c r="M989" s="312"/>
      <c r="N989" s="312"/>
      <c r="O989" s="312"/>
      <c r="P989" s="312"/>
      <c r="Q989" s="312"/>
      <c r="R989" s="312"/>
      <c r="S989" s="312"/>
    </row>
    <row r="990" ht="12.75" spans="3:19">
      <c r="C990" s="312"/>
      <c r="D990" s="312"/>
      <c r="E990" s="312"/>
      <c r="F990" s="312"/>
      <c r="G990" s="312"/>
      <c r="H990" s="312"/>
      <c r="I990" s="312"/>
      <c r="J990" s="312"/>
      <c r="K990" s="312"/>
      <c r="L990" s="312"/>
      <c r="M990" s="312"/>
      <c r="N990" s="312"/>
      <c r="O990" s="312"/>
      <c r="P990" s="312"/>
      <c r="Q990" s="312"/>
      <c r="R990" s="312"/>
      <c r="S990" s="312"/>
    </row>
    <row r="991" ht="12.75" spans="3:19">
      <c r="C991" s="312"/>
      <c r="D991" s="312"/>
      <c r="E991" s="312"/>
      <c r="F991" s="312"/>
      <c r="G991" s="312"/>
      <c r="H991" s="312"/>
      <c r="I991" s="312"/>
      <c r="J991" s="312"/>
      <c r="K991" s="312"/>
      <c r="L991" s="312"/>
      <c r="M991" s="312"/>
      <c r="N991" s="312"/>
      <c r="O991" s="312"/>
      <c r="P991" s="312"/>
      <c r="Q991" s="312"/>
      <c r="R991" s="312"/>
      <c r="S991" s="312"/>
    </row>
    <row r="992" ht="12.75" spans="3:19">
      <c r="C992" s="312"/>
      <c r="D992" s="312"/>
      <c r="E992" s="312"/>
      <c r="F992" s="312"/>
      <c r="G992" s="312"/>
      <c r="H992" s="312"/>
      <c r="I992" s="312"/>
      <c r="J992" s="312"/>
      <c r="K992" s="312"/>
      <c r="L992" s="312"/>
      <c r="M992" s="312"/>
      <c r="N992" s="312"/>
      <c r="O992" s="312"/>
      <c r="P992" s="312"/>
      <c r="Q992" s="312"/>
      <c r="R992" s="312"/>
      <c r="S992" s="312"/>
    </row>
    <row r="993" ht="12.75" spans="3:19">
      <c r="C993" s="312"/>
      <c r="D993" s="312"/>
      <c r="E993" s="312"/>
      <c r="F993" s="312"/>
      <c r="G993" s="312"/>
      <c r="H993" s="312"/>
      <c r="I993" s="312"/>
      <c r="J993" s="312"/>
      <c r="K993" s="312"/>
      <c r="L993" s="312"/>
      <c r="M993" s="312"/>
      <c r="N993" s="312"/>
      <c r="O993" s="312"/>
      <c r="P993" s="312"/>
      <c r="Q993" s="312"/>
      <c r="R993" s="312"/>
      <c r="S993" s="312"/>
    </row>
    <row r="994" ht="12.75" spans="3:19">
      <c r="C994" s="312"/>
      <c r="D994" s="312"/>
      <c r="E994" s="312"/>
      <c r="F994" s="312"/>
      <c r="G994" s="312"/>
      <c r="H994" s="312"/>
      <c r="I994" s="312"/>
      <c r="J994" s="312"/>
      <c r="K994" s="312"/>
      <c r="L994" s="312"/>
      <c r="M994" s="312"/>
      <c r="N994" s="312"/>
      <c r="O994" s="312"/>
      <c r="P994" s="312"/>
      <c r="Q994" s="312"/>
      <c r="R994" s="312"/>
      <c r="S994" s="312"/>
    </row>
    <row r="995" ht="12.75" spans="3:19">
      <c r="C995" s="312"/>
      <c r="D995" s="312"/>
      <c r="E995" s="312"/>
      <c r="F995" s="312"/>
      <c r="G995" s="312"/>
      <c r="H995" s="312"/>
      <c r="I995" s="312"/>
      <c r="J995" s="312"/>
      <c r="K995" s="312"/>
      <c r="L995" s="312"/>
      <c r="M995" s="312"/>
      <c r="N995" s="312"/>
      <c r="O995" s="312"/>
      <c r="P995" s="312"/>
      <c r="Q995" s="312"/>
      <c r="R995" s="312"/>
      <c r="S995" s="312"/>
    </row>
    <row r="996" ht="12.75" spans="3:19">
      <c r="C996" s="312"/>
      <c r="D996" s="312"/>
      <c r="E996" s="312"/>
      <c r="F996" s="312"/>
      <c r="G996" s="312"/>
      <c r="H996" s="312"/>
      <c r="I996" s="312"/>
      <c r="J996" s="312"/>
      <c r="K996" s="312"/>
      <c r="L996" s="312"/>
      <c r="M996" s="312"/>
      <c r="N996" s="312"/>
      <c r="O996" s="312"/>
      <c r="P996" s="312"/>
      <c r="Q996" s="312"/>
      <c r="R996" s="312"/>
      <c r="S996" s="312"/>
    </row>
    <row r="997" ht="12.75" spans="3:19">
      <c r="C997" s="312"/>
      <c r="D997" s="312"/>
      <c r="E997" s="312"/>
      <c r="F997" s="312"/>
      <c r="G997" s="312"/>
      <c r="H997" s="312"/>
      <c r="I997" s="312"/>
      <c r="J997" s="312"/>
      <c r="K997" s="312"/>
      <c r="L997" s="312"/>
      <c r="M997" s="312"/>
      <c r="N997" s="312"/>
      <c r="O997" s="312"/>
      <c r="P997" s="312"/>
      <c r="Q997" s="312"/>
      <c r="R997" s="312"/>
      <c r="S997" s="312"/>
    </row>
    <row r="998" ht="12.75" spans="3:19">
      <c r="C998" s="312"/>
      <c r="D998" s="312"/>
      <c r="E998" s="312"/>
      <c r="F998" s="312"/>
      <c r="G998" s="312"/>
      <c r="H998" s="312"/>
      <c r="I998" s="312"/>
      <c r="J998" s="312"/>
      <c r="K998" s="312"/>
      <c r="L998" s="312"/>
      <c r="M998" s="312"/>
      <c r="N998" s="312"/>
      <c r="O998" s="312"/>
      <c r="P998" s="312"/>
      <c r="Q998" s="312"/>
      <c r="R998" s="312"/>
      <c r="S998" s="312"/>
    </row>
    <row r="999" ht="12.75" spans="3:19">
      <c r="C999" s="312"/>
      <c r="D999" s="312"/>
      <c r="E999" s="312"/>
      <c r="F999" s="312"/>
      <c r="G999" s="312"/>
      <c r="H999" s="312"/>
      <c r="I999" s="312"/>
      <c r="J999" s="312"/>
      <c r="K999" s="312"/>
      <c r="L999" s="312"/>
      <c r="M999" s="312"/>
      <c r="N999" s="312"/>
      <c r="O999" s="312"/>
      <c r="P999" s="312"/>
      <c r="Q999" s="312"/>
      <c r="R999" s="312"/>
      <c r="S999" s="312"/>
    </row>
    <row r="1000" ht="12.75" spans="3:19">
      <c r="C1000" s="312"/>
      <c r="D1000" s="312"/>
      <c r="E1000" s="312"/>
      <c r="F1000" s="312"/>
      <c r="G1000" s="312"/>
      <c r="H1000" s="312"/>
      <c r="I1000" s="312"/>
      <c r="J1000" s="312"/>
      <c r="K1000" s="312"/>
      <c r="L1000" s="312"/>
      <c r="M1000" s="312"/>
      <c r="N1000" s="312"/>
      <c r="O1000" s="312"/>
      <c r="P1000" s="312"/>
      <c r="Q1000" s="312"/>
      <c r="R1000" s="312"/>
      <c r="S1000" s="312"/>
    </row>
    <row r="1001" ht="12.75" spans="3:19">
      <c r="C1001" s="312"/>
      <c r="D1001" s="312"/>
      <c r="E1001" s="312"/>
      <c r="F1001" s="312"/>
      <c r="G1001" s="312"/>
      <c r="H1001" s="312"/>
      <c r="I1001" s="312"/>
      <c r="J1001" s="312"/>
      <c r="K1001" s="312"/>
      <c r="L1001" s="312"/>
      <c r="M1001" s="312"/>
      <c r="N1001" s="312"/>
      <c r="O1001" s="312"/>
      <c r="P1001" s="312"/>
      <c r="Q1001" s="312"/>
      <c r="R1001" s="312"/>
      <c r="S1001" s="312"/>
    </row>
    <row r="1002" ht="12.75" spans="3:19">
      <c r="C1002" s="312"/>
      <c r="D1002" s="312"/>
      <c r="E1002" s="312"/>
      <c r="F1002" s="312"/>
      <c r="G1002" s="312"/>
      <c r="H1002" s="312"/>
      <c r="I1002" s="312"/>
      <c r="J1002" s="312"/>
      <c r="K1002" s="312"/>
      <c r="L1002" s="312"/>
      <c r="M1002" s="312"/>
      <c r="N1002" s="312"/>
      <c r="O1002" s="312"/>
      <c r="P1002" s="312"/>
      <c r="Q1002" s="312"/>
      <c r="R1002" s="312"/>
      <c r="S1002" s="312"/>
    </row>
    <row r="1003" ht="12.75" spans="3:19">
      <c r="C1003" s="312"/>
      <c r="D1003" s="312"/>
      <c r="E1003" s="312"/>
      <c r="F1003" s="312"/>
      <c r="G1003" s="312"/>
      <c r="H1003" s="312"/>
      <c r="I1003" s="312"/>
      <c r="J1003" s="312"/>
      <c r="K1003" s="312"/>
      <c r="L1003" s="312"/>
      <c r="M1003" s="312"/>
      <c r="N1003" s="312"/>
      <c r="O1003" s="312"/>
      <c r="P1003" s="312"/>
      <c r="Q1003" s="312"/>
      <c r="R1003" s="312"/>
      <c r="S1003" s="312"/>
    </row>
    <row r="1004" ht="12.75" spans="3:19">
      <c r="C1004" s="312"/>
      <c r="D1004" s="312"/>
      <c r="E1004" s="312"/>
      <c r="F1004" s="312"/>
      <c r="G1004" s="312"/>
      <c r="H1004" s="312"/>
      <c r="I1004" s="312"/>
      <c r="J1004" s="312"/>
      <c r="K1004" s="312"/>
      <c r="L1004" s="312"/>
      <c r="M1004" s="312"/>
      <c r="N1004" s="312"/>
      <c r="O1004" s="312"/>
      <c r="P1004" s="312"/>
      <c r="Q1004" s="312"/>
      <c r="R1004" s="312"/>
      <c r="S1004" s="312"/>
    </row>
    <row r="1005" ht="12.75" spans="3:19">
      <c r="C1005" s="312"/>
      <c r="D1005" s="312"/>
      <c r="E1005" s="312"/>
      <c r="F1005" s="312"/>
      <c r="G1005" s="312"/>
      <c r="H1005" s="312"/>
      <c r="I1005" s="312"/>
      <c r="J1005" s="312"/>
      <c r="K1005" s="312"/>
      <c r="L1005" s="312"/>
      <c r="M1005" s="312"/>
      <c r="N1005" s="312"/>
      <c r="O1005" s="312"/>
      <c r="P1005" s="312"/>
      <c r="Q1005" s="312"/>
      <c r="R1005" s="312"/>
      <c r="S1005" s="312"/>
    </row>
    <row r="1006" ht="12.75" spans="3:19">
      <c r="C1006" s="312"/>
      <c r="D1006" s="312"/>
      <c r="E1006" s="312"/>
      <c r="F1006" s="312"/>
      <c r="G1006" s="312"/>
      <c r="H1006" s="312"/>
      <c r="I1006" s="312"/>
      <c r="J1006" s="312"/>
      <c r="K1006" s="312"/>
      <c r="L1006" s="312"/>
      <c r="M1006" s="312"/>
      <c r="N1006" s="312"/>
      <c r="O1006" s="312"/>
      <c r="P1006" s="312"/>
      <c r="Q1006" s="312"/>
      <c r="R1006" s="312"/>
      <c r="S1006" s="312"/>
    </row>
    <row r="1007" ht="12.75" spans="3:19">
      <c r="C1007" s="312"/>
      <c r="D1007" s="312"/>
      <c r="E1007" s="312"/>
      <c r="F1007" s="312"/>
      <c r="G1007" s="312"/>
      <c r="H1007" s="312"/>
      <c r="I1007" s="312"/>
      <c r="J1007" s="312"/>
      <c r="K1007" s="312"/>
      <c r="L1007" s="312"/>
      <c r="M1007" s="312"/>
      <c r="N1007" s="312"/>
      <c r="O1007" s="312"/>
      <c r="P1007" s="312"/>
      <c r="Q1007" s="312"/>
      <c r="R1007" s="312"/>
      <c r="S1007" s="312"/>
    </row>
    <row r="1008" ht="12.75" spans="3:19">
      <c r="C1008" s="312"/>
      <c r="D1008" s="312"/>
      <c r="E1008" s="312"/>
      <c r="F1008" s="312"/>
      <c r="G1008" s="312"/>
      <c r="H1008" s="312"/>
      <c r="I1008" s="312"/>
      <c r="J1008" s="312"/>
      <c r="K1008" s="312"/>
      <c r="L1008" s="312"/>
      <c r="M1008" s="312"/>
      <c r="N1008" s="312"/>
      <c r="O1008" s="312"/>
      <c r="P1008" s="312"/>
      <c r="Q1008" s="312"/>
      <c r="R1008" s="312"/>
      <c r="S1008" s="312"/>
    </row>
    <row r="1009" ht="12.75" spans="3:19">
      <c r="C1009" s="312"/>
      <c r="D1009" s="312"/>
      <c r="E1009" s="312"/>
      <c r="F1009" s="312"/>
      <c r="G1009" s="312"/>
      <c r="H1009" s="312"/>
      <c r="I1009" s="312"/>
      <c r="J1009" s="312"/>
      <c r="K1009" s="312"/>
      <c r="L1009" s="312"/>
      <c r="M1009" s="312"/>
      <c r="N1009" s="312"/>
      <c r="O1009" s="312"/>
      <c r="P1009" s="312"/>
      <c r="Q1009" s="312"/>
      <c r="R1009" s="312"/>
      <c r="S1009" s="312"/>
    </row>
    <row r="1010" ht="12.75" spans="3:19">
      <c r="C1010" s="312"/>
      <c r="D1010" s="312"/>
      <c r="E1010" s="312"/>
      <c r="F1010" s="312"/>
      <c r="G1010" s="312"/>
      <c r="H1010" s="312"/>
      <c r="I1010" s="312"/>
      <c r="J1010" s="312"/>
      <c r="K1010" s="312"/>
      <c r="L1010" s="312"/>
      <c r="M1010" s="312"/>
      <c r="N1010" s="312"/>
      <c r="O1010" s="312"/>
      <c r="P1010" s="312"/>
      <c r="Q1010" s="312"/>
      <c r="R1010" s="312"/>
      <c r="S1010" s="312"/>
    </row>
    <row r="1011" ht="12.75" spans="3:19">
      <c r="C1011" s="312"/>
      <c r="D1011" s="312"/>
      <c r="E1011" s="312"/>
      <c r="F1011" s="312"/>
      <c r="G1011" s="312"/>
      <c r="H1011" s="312"/>
      <c r="I1011" s="312"/>
      <c r="J1011" s="312"/>
      <c r="K1011" s="312"/>
      <c r="L1011" s="312"/>
      <c r="M1011" s="312"/>
      <c r="N1011" s="312"/>
      <c r="O1011" s="312"/>
      <c r="P1011" s="312"/>
      <c r="Q1011" s="312"/>
      <c r="R1011" s="312"/>
      <c r="S1011" s="312"/>
    </row>
  </sheetData>
  <mergeCells count="1">
    <mergeCell ref="A1:B1"/>
  </mergeCell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pane ySplit="1" topLeftCell="A2" activePane="bottomLeft" state="frozen"/>
      <selection/>
      <selection pane="bottomLeft" activeCell="B3" sqref="B3"/>
    </sheetView>
  </sheetViews>
  <sheetFormatPr defaultColWidth="12.6285714285714" defaultRowHeight="15.75" customHeight="1"/>
  <cols>
    <col min="3" max="3" width="30.3809523809524" customWidth="1"/>
  </cols>
  <sheetData>
    <row r="1" customHeight="1" spans="1:26">
      <c r="A1" s="309" t="s">
        <v>2176</v>
      </c>
      <c r="B1" s="309" t="s">
        <v>1019</v>
      </c>
      <c r="C1" s="309" t="s">
        <v>2177</v>
      </c>
      <c r="D1" s="309" t="s">
        <v>1020</v>
      </c>
      <c r="E1" s="309" t="s">
        <v>2178</v>
      </c>
      <c r="F1" s="309" t="s">
        <v>2179</v>
      </c>
      <c r="G1" s="309" t="s">
        <v>1818</v>
      </c>
      <c r="H1" s="309" t="s">
        <v>2180</v>
      </c>
      <c r="I1" s="309"/>
      <c r="J1" s="309"/>
      <c r="K1" s="309"/>
      <c r="L1" s="309"/>
      <c r="M1" s="309"/>
      <c r="N1" s="309"/>
      <c r="O1" s="309"/>
      <c r="P1" s="309"/>
      <c r="Q1" s="309"/>
      <c r="R1" s="309"/>
      <c r="S1" s="309"/>
      <c r="T1" s="309"/>
      <c r="U1" s="309"/>
      <c r="V1" s="309"/>
      <c r="W1" s="309"/>
      <c r="X1" s="309"/>
      <c r="Y1" s="309"/>
      <c r="Z1" s="309"/>
    </row>
    <row r="2" customHeight="1" spans="1:26">
      <c r="A2" s="310" t="s">
        <v>1044</v>
      </c>
      <c r="B2" s="310" t="s">
        <v>971</v>
      </c>
      <c r="C2" s="310" t="s">
        <v>2181</v>
      </c>
      <c r="D2" s="310" t="s">
        <v>971</v>
      </c>
      <c r="E2" s="310" t="s">
        <v>2182</v>
      </c>
      <c r="F2" s="311">
        <v>125</v>
      </c>
      <c r="G2" s="311">
        <v>100</v>
      </c>
      <c r="H2" s="311">
        <v>85</v>
      </c>
      <c r="I2" s="310"/>
      <c r="J2" s="310"/>
      <c r="K2" s="310"/>
      <c r="L2" s="310"/>
      <c r="M2" s="310"/>
      <c r="N2" s="310"/>
      <c r="O2" s="310"/>
      <c r="P2" s="310"/>
      <c r="Q2" s="310"/>
      <c r="R2" s="310"/>
      <c r="S2" s="310"/>
      <c r="T2" s="310"/>
      <c r="U2" s="310"/>
      <c r="V2" s="310"/>
      <c r="W2" s="310"/>
      <c r="X2" s="310"/>
      <c r="Y2" s="310"/>
      <c r="Z2" s="310"/>
    </row>
    <row r="3" customHeight="1" spans="1:26">
      <c r="A3" s="310" t="s">
        <v>1044</v>
      </c>
      <c r="B3" s="310" t="s">
        <v>971</v>
      </c>
      <c r="C3" s="310" t="s">
        <v>2183</v>
      </c>
      <c r="D3" s="310" t="s">
        <v>971</v>
      </c>
      <c r="E3" s="310" t="s">
        <v>2182</v>
      </c>
      <c r="F3" s="311">
        <v>85</v>
      </c>
      <c r="G3" s="311">
        <v>65</v>
      </c>
      <c r="H3" s="311">
        <v>45</v>
      </c>
      <c r="I3" s="310"/>
      <c r="J3" s="310"/>
      <c r="K3" s="310"/>
      <c r="L3" s="310"/>
      <c r="M3" s="310"/>
      <c r="N3" s="310"/>
      <c r="O3" s="310"/>
      <c r="P3" s="310"/>
      <c r="Q3" s="310"/>
      <c r="R3" s="310"/>
      <c r="S3" s="310"/>
      <c r="T3" s="310"/>
      <c r="U3" s="310"/>
      <c r="V3" s="310"/>
      <c r="W3" s="310"/>
      <c r="X3" s="310"/>
      <c r="Y3" s="310"/>
      <c r="Z3" s="310"/>
    </row>
    <row r="4" customHeight="1" spans="1:26">
      <c r="A4" s="310" t="s">
        <v>1044</v>
      </c>
      <c r="B4" s="310" t="s">
        <v>969</v>
      </c>
      <c r="C4" s="310" t="s">
        <v>2184</v>
      </c>
      <c r="D4" s="310" t="s">
        <v>2184</v>
      </c>
      <c r="E4" s="310" t="s">
        <v>2185</v>
      </c>
      <c r="F4" s="311">
        <v>125</v>
      </c>
      <c r="G4" s="311">
        <v>100</v>
      </c>
      <c r="H4" s="311">
        <v>75</v>
      </c>
      <c r="I4" s="310"/>
      <c r="J4" s="310"/>
      <c r="K4" s="310"/>
      <c r="L4" s="310"/>
      <c r="M4" s="310"/>
      <c r="N4" s="310"/>
      <c r="O4" s="310"/>
      <c r="P4" s="310"/>
      <c r="Q4" s="310"/>
      <c r="R4" s="310"/>
      <c r="S4" s="310"/>
      <c r="T4" s="310"/>
      <c r="U4" s="310"/>
      <c r="V4" s="310"/>
      <c r="W4" s="310"/>
      <c r="X4" s="310"/>
      <c r="Y4" s="310"/>
      <c r="Z4" s="310"/>
    </row>
    <row r="5" customHeight="1" spans="1:26">
      <c r="A5" s="310" t="s">
        <v>1044</v>
      </c>
      <c r="B5" s="310" t="s">
        <v>969</v>
      </c>
      <c r="C5" s="310" t="s">
        <v>2186</v>
      </c>
      <c r="D5" s="310" t="s">
        <v>2184</v>
      </c>
      <c r="E5" s="310" t="s">
        <v>2185</v>
      </c>
      <c r="F5" s="310"/>
      <c r="G5" s="311">
        <v>65</v>
      </c>
      <c r="H5" s="310"/>
      <c r="I5" s="310"/>
      <c r="J5" s="310"/>
      <c r="K5" s="310"/>
      <c r="L5" s="310"/>
      <c r="M5" s="310"/>
      <c r="N5" s="310"/>
      <c r="O5" s="310"/>
      <c r="P5" s="310"/>
      <c r="Q5" s="310"/>
      <c r="R5" s="310"/>
      <c r="S5" s="310"/>
      <c r="T5" s="310"/>
      <c r="U5" s="310"/>
      <c r="V5" s="310"/>
      <c r="W5" s="310"/>
      <c r="X5" s="310"/>
      <c r="Y5" s="310"/>
      <c r="Z5" s="310"/>
    </row>
    <row r="6" customHeight="1" spans="1:26">
      <c r="A6" s="312" t="s">
        <v>1044</v>
      </c>
      <c r="B6" s="312" t="s">
        <v>2187</v>
      </c>
      <c r="C6" s="312" t="s">
        <v>2188</v>
      </c>
      <c r="D6" s="312"/>
      <c r="E6" s="312" t="s">
        <v>2189</v>
      </c>
      <c r="F6" s="312"/>
      <c r="G6" s="313">
        <v>1</v>
      </c>
      <c r="H6" s="312"/>
      <c r="I6" s="312"/>
      <c r="J6" s="312"/>
      <c r="K6" s="312"/>
      <c r="L6" s="312"/>
      <c r="M6" s="312"/>
      <c r="N6" s="312"/>
      <c r="O6" s="312"/>
      <c r="P6" s="312"/>
      <c r="Q6" s="312"/>
      <c r="R6" s="312"/>
      <c r="S6" s="312"/>
      <c r="T6" s="312"/>
      <c r="U6" s="312"/>
      <c r="V6" s="312"/>
      <c r="W6" s="312"/>
      <c r="X6" s="312"/>
      <c r="Y6" s="312"/>
      <c r="Z6" s="312"/>
    </row>
    <row r="7" customHeight="1" spans="1:26">
      <c r="A7" s="312" t="s">
        <v>1044</v>
      </c>
      <c r="B7" s="312" t="s">
        <v>2187</v>
      </c>
      <c r="C7" s="312" t="s">
        <v>2190</v>
      </c>
      <c r="D7" s="312"/>
      <c r="E7" s="312" t="s">
        <v>2191</v>
      </c>
      <c r="F7" s="312"/>
      <c r="G7" s="313">
        <v>25</v>
      </c>
      <c r="H7" s="312"/>
      <c r="I7" s="312"/>
      <c r="J7" s="312"/>
      <c r="K7" s="312"/>
      <c r="L7" s="312"/>
      <c r="M7" s="312"/>
      <c r="N7" s="312"/>
      <c r="O7" s="312"/>
      <c r="P7" s="312"/>
      <c r="Q7" s="312"/>
      <c r="R7" s="312"/>
      <c r="S7" s="312"/>
      <c r="T7" s="312"/>
      <c r="U7" s="312"/>
      <c r="V7" s="312"/>
      <c r="W7" s="312"/>
      <c r="X7" s="312"/>
      <c r="Y7" s="312"/>
      <c r="Z7" s="312"/>
    </row>
    <row r="8" customHeight="1" spans="1:26">
      <c r="A8" s="310" t="s">
        <v>1044</v>
      </c>
      <c r="B8" s="310" t="s">
        <v>2187</v>
      </c>
      <c r="C8" s="310" t="s">
        <v>2192</v>
      </c>
      <c r="D8" s="310"/>
      <c r="E8" s="310" t="s">
        <v>2191</v>
      </c>
      <c r="F8" s="310"/>
      <c r="G8" s="311">
        <v>25</v>
      </c>
      <c r="H8" s="310"/>
      <c r="I8" s="310"/>
      <c r="J8" s="310"/>
      <c r="K8" s="310"/>
      <c r="L8" s="310"/>
      <c r="M8" s="310"/>
      <c r="N8" s="310"/>
      <c r="O8" s="310"/>
      <c r="P8" s="310"/>
      <c r="Q8" s="310"/>
      <c r="R8" s="310"/>
      <c r="S8" s="310"/>
      <c r="T8" s="310"/>
      <c r="U8" s="310"/>
      <c r="V8" s="310"/>
      <c r="W8" s="310"/>
      <c r="X8" s="310"/>
      <c r="Y8" s="310"/>
      <c r="Z8" s="310"/>
    </row>
    <row r="9" customHeight="1" spans="1:26">
      <c r="A9" s="312" t="s">
        <v>1044</v>
      </c>
      <c r="B9" s="312" t="s">
        <v>2187</v>
      </c>
      <c r="C9" s="312" t="s">
        <v>2193</v>
      </c>
      <c r="D9" s="312"/>
      <c r="E9" s="312" t="s">
        <v>2191</v>
      </c>
      <c r="F9" s="312"/>
      <c r="G9" s="313">
        <v>15</v>
      </c>
      <c r="H9" s="312"/>
      <c r="I9" s="312"/>
      <c r="J9" s="312"/>
      <c r="K9" s="312"/>
      <c r="L9" s="312"/>
      <c r="M9" s="312"/>
      <c r="N9" s="312"/>
      <c r="O9" s="312"/>
      <c r="P9" s="312"/>
      <c r="Q9" s="312"/>
      <c r="R9" s="312"/>
      <c r="S9" s="312"/>
      <c r="T9" s="312"/>
      <c r="U9" s="312"/>
      <c r="V9" s="312"/>
      <c r="W9" s="312"/>
      <c r="X9" s="312"/>
      <c r="Y9" s="312"/>
      <c r="Z9" s="312"/>
    </row>
    <row r="10" customHeight="1" spans="1:26">
      <c r="A10" s="310" t="s">
        <v>1044</v>
      </c>
      <c r="B10" s="310" t="s">
        <v>2187</v>
      </c>
      <c r="C10" s="310" t="s">
        <v>973</v>
      </c>
      <c r="D10" s="310"/>
      <c r="E10" s="310" t="s">
        <v>2191</v>
      </c>
      <c r="F10" s="310"/>
      <c r="G10" s="311">
        <v>20</v>
      </c>
      <c r="H10" s="310"/>
      <c r="I10" s="310"/>
      <c r="J10" s="310"/>
      <c r="K10" s="310"/>
      <c r="L10" s="310"/>
      <c r="M10" s="310"/>
      <c r="N10" s="310"/>
      <c r="O10" s="310"/>
      <c r="P10" s="310"/>
      <c r="Q10" s="310"/>
      <c r="R10" s="310"/>
      <c r="S10" s="310"/>
      <c r="T10" s="310"/>
      <c r="U10" s="310"/>
      <c r="V10" s="310"/>
      <c r="W10" s="310"/>
      <c r="X10" s="310"/>
      <c r="Y10" s="310"/>
      <c r="Z10" s="310"/>
    </row>
    <row r="11" customHeight="1" spans="1:26">
      <c r="A11" s="310" t="s">
        <v>1044</v>
      </c>
      <c r="B11" s="310" t="s">
        <v>975</v>
      </c>
      <c r="C11" s="310" t="s">
        <v>2194</v>
      </c>
      <c r="D11" s="310" t="s">
        <v>326</v>
      </c>
      <c r="E11" s="310" t="s">
        <v>2189</v>
      </c>
      <c r="F11" s="310"/>
      <c r="G11" s="311">
        <v>0.25</v>
      </c>
      <c r="H11" s="310"/>
      <c r="I11" s="310"/>
      <c r="J11" s="310"/>
      <c r="K11" s="310"/>
      <c r="L11" s="310"/>
      <c r="M11" s="310"/>
      <c r="N11" s="310"/>
      <c r="O11" s="310"/>
      <c r="P11" s="310"/>
      <c r="Q11" s="310"/>
      <c r="R11" s="310"/>
      <c r="S11" s="310"/>
      <c r="T11" s="310"/>
      <c r="U11" s="310"/>
      <c r="V11" s="310"/>
      <c r="W11" s="310"/>
      <c r="X11" s="310"/>
      <c r="Y11" s="310"/>
      <c r="Z11" s="310"/>
    </row>
    <row r="12" customHeight="1" spans="1:26">
      <c r="A12" s="310" t="s">
        <v>1044</v>
      </c>
      <c r="B12" s="310" t="s">
        <v>975</v>
      </c>
      <c r="C12" s="310" t="s">
        <v>2195</v>
      </c>
      <c r="D12" s="310" t="s">
        <v>975</v>
      </c>
      <c r="E12" s="310" t="s">
        <v>2189</v>
      </c>
      <c r="F12" s="310"/>
      <c r="G12" s="311">
        <v>0.5</v>
      </c>
      <c r="H12" s="310"/>
      <c r="I12" s="310"/>
      <c r="J12" s="310"/>
      <c r="K12" s="310"/>
      <c r="L12" s="310"/>
      <c r="M12" s="310"/>
      <c r="N12" s="310"/>
      <c r="O12" s="310"/>
      <c r="P12" s="310"/>
      <c r="Q12" s="310"/>
      <c r="R12" s="310"/>
      <c r="S12" s="310"/>
      <c r="T12" s="310"/>
      <c r="U12" s="310"/>
      <c r="V12" s="310"/>
      <c r="W12" s="310"/>
      <c r="X12" s="310"/>
      <c r="Y12" s="310"/>
      <c r="Z12" s="310"/>
    </row>
    <row r="13" customHeight="1" spans="1:26">
      <c r="A13" s="310" t="s">
        <v>1044</v>
      </c>
      <c r="B13" s="310" t="s">
        <v>975</v>
      </c>
      <c r="C13" s="310" t="s">
        <v>2196</v>
      </c>
      <c r="D13" s="310" t="s">
        <v>2197</v>
      </c>
      <c r="E13" s="310" t="s">
        <v>2189</v>
      </c>
      <c r="F13" s="310"/>
      <c r="G13" s="311">
        <v>0.75</v>
      </c>
      <c r="H13" s="310"/>
      <c r="I13" s="310"/>
      <c r="J13" s="310"/>
      <c r="K13" s="310"/>
      <c r="L13" s="310"/>
      <c r="M13" s="310"/>
      <c r="N13" s="310"/>
      <c r="O13" s="310"/>
      <c r="P13" s="310"/>
      <c r="Q13" s="310"/>
      <c r="R13" s="310"/>
      <c r="S13" s="310"/>
      <c r="T13" s="310"/>
      <c r="U13" s="310"/>
      <c r="V13" s="310"/>
      <c r="W13" s="310"/>
      <c r="X13" s="310"/>
      <c r="Y13" s="310"/>
      <c r="Z13" s="310"/>
    </row>
    <row r="14" customHeight="1" spans="1:26">
      <c r="A14" s="312" t="s">
        <v>1044</v>
      </c>
      <c r="B14" s="312" t="s">
        <v>316</v>
      </c>
      <c r="C14" s="312" t="s">
        <v>2198</v>
      </c>
      <c r="D14" s="312" t="s">
        <v>2199</v>
      </c>
      <c r="E14" s="312" t="s">
        <v>2189</v>
      </c>
      <c r="F14" s="312"/>
      <c r="G14" s="313">
        <v>0.25</v>
      </c>
      <c r="H14" s="312"/>
      <c r="I14" s="312"/>
      <c r="J14" s="312"/>
      <c r="K14" s="312"/>
      <c r="L14" s="312"/>
      <c r="M14" s="312"/>
      <c r="N14" s="312"/>
      <c r="O14" s="312"/>
      <c r="P14" s="312"/>
      <c r="Q14" s="312"/>
      <c r="R14" s="312"/>
      <c r="S14" s="312"/>
      <c r="T14" s="312"/>
      <c r="U14" s="312"/>
      <c r="V14" s="312"/>
      <c r="W14" s="312"/>
      <c r="X14" s="312"/>
      <c r="Y14" s="312"/>
      <c r="Z14" s="312"/>
    </row>
    <row r="15" customHeight="1" spans="1:26">
      <c r="A15" s="312" t="s">
        <v>1044</v>
      </c>
      <c r="B15" s="312" t="s">
        <v>316</v>
      </c>
      <c r="C15" s="312" t="s">
        <v>2200</v>
      </c>
      <c r="D15" s="312" t="s">
        <v>1907</v>
      </c>
      <c r="E15" s="312" t="s">
        <v>2189</v>
      </c>
      <c r="F15" s="312"/>
      <c r="G15" s="313">
        <v>0.75</v>
      </c>
      <c r="H15" s="312"/>
      <c r="I15" s="312"/>
      <c r="J15" s="312"/>
      <c r="K15" s="312"/>
      <c r="L15" s="312"/>
      <c r="M15" s="312"/>
      <c r="N15" s="312"/>
      <c r="O15" s="312"/>
      <c r="P15" s="312"/>
      <c r="Q15" s="312"/>
      <c r="R15" s="312"/>
      <c r="S15" s="312"/>
      <c r="T15" s="312"/>
      <c r="U15" s="312"/>
      <c r="V15" s="312"/>
      <c r="W15" s="312"/>
      <c r="X15" s="312"/>
      <c r="Y15" s="312"/>
      <c r="Z15" s="312"/>
    </row>
    <row r="16" customHeight="1" spans="1:26">
      <c r="A16" s="312" t="s">
        <v>1044</v>
      </c>
      <c r="B16" s="312" t="s">
        <v>316</v>
      </c>
      <c r="C16" s="312" t="s">
        <v>2201</v>
      </c>
      <c r="D16" s="312" t="s">
        <v>1907</v>
      </c>
      <c r="E16" s="312" t="s">
        <v>2189</v>
      </c>
      <c r="F16" s="312"/>
      <c r="G16" s="313">
        <v>1</v>
      </c>
      <c r="H16" s="312"/>
      <c r="I16" s="312"/>
      <c r="J16" s="312"/>
      <c r="K16" s="312"/>
      <c r="L16" s="312"/>
      <c r="M16" s="312"/>
      <c r="N16" s="312"/>
      <c r="O16" s="312"/>
      <c r="P16" s="312"/>
      <c r="Q16" s="312"/>
      <c r="R16" s="312"/>
      <c r="S16" s="312"/>
      <c r="T16" s="312"/>
      <c r="U16" s="312"/>
      <c r="V16" s="312"/>
      <c r="W16" s="312"/>
      <c r="X16" s="312"/>
      <c r="Y16" s="312"/>
      <c r="Z16" s="312"/>
    </row>
    <row r="17" customHeight="1" spans="1:26">
      <c r="A17" s="312" t="s">
        <v>1038</v>
      </c>
      <c r="B17" s="312" t="s">
        <v>2202</v>
      </c>
      <c r="C17" s="312" t="s">
        <v>2203</v>
      </c>
      <c r="D17" s="312"/>
      <c r="E17" s="312" t="s">
        <v>2182</v>
      </c>
      <c r="F17" s="312"/>
      <c r="G17" s="313">
        <v>85</v>
      </c>
      <c r="H17" s="312"/>
      <c r="I17" s="312"/>
      <c r="J17" s="312"/>
      <c r="K17" s="312"/>
      <c r="L17" s="312"/>
      <c r="M17" s="312"/>
      <c r="N17" s="312"/>
      <c r="O17" s="312"/>
      <c r="P17" s="312"/>
      <c r="Q17" s="312"/>
      <c r="R17" s="312"/>
      <c r="S17" s="312"/>
      <c r="T17" s="312"/>
      <c r="U17" s="312"/>
      <c r="V17" s="312"/>
      <c r="W17" s="312"/>
      <c r="X17" s="312"/>
      <c r="Y17" s="312"/>
      <c r="Z17" s="312"/>
    </row>
    <row r="18" customHeight="1" spans="1:26">
      <c r="A18" s="312" t="s">
        <v>1038</v>
      </c>
      <c r="B18" s="312" t="s">
        <v>2202</v>
      </c>
      <c r="C18" s="312" t="s">
        <v>242</v>
      </c>
      <c r="D18" s="312"/>
      <c r="E18" s="312" t="s">
        <v>2182</v>
      </c>
      <c r="F18" s="313">
        <v>150</v>
      </c>
      <c r="G18" s="313">
        <v>100</v>
      </c>
      <c r="H18" s="313">
        <v>75</v>
      </c>
      <c r="I18" s="312"/>
      <c r="J18" s="312"/>
      <c r="K18" s="312"/>
      <c r="L18" s="312"/>
      <c r="M18" s="312"/>
      <c r="N18" s="312"/>
      <c r="O18" s="312"/>
      <c r="P18" s="312"/>
      <c r="Q18" s="312"/>
      <c r="R18" s="312"/>
      <c r="S18" s="312"/>
      <c r="T18" s="312"/>
      <c r="U18" s="312"/>
      <c r="V18" s="312"/>
      <c r="W18" s="312"/>
      <c r="X18" s="312"/>
      <c r="Y18" s="312"/>
      <c r="Z18" s="312"/>
    </row>
    <row r="19" customHeight="1" spans="1:26">
      <c r="A19" s="310" t="s">
        <v>1038</v>
      </c>
      <c r="B19" s="310" t="s">
        <v>2202</v>
      </c>
      <c r="C19" s="310" t="s">
        <v>241</v>
      </c>
      <c r="D19" s="310"/>
      <c r="E19" s="310" t="s">
        <v>2182</v>
      </c>
      <c r="F19" s="310"/>
      <c r="G19" s="311">
        <v>125</v>
      </c>
      <c r="H19" s="311">
        <v>100</v>
      </c>
      <c r="I19" s="310"/>
      <c r="J19" s="310"/>
      <c r="K19" s="310"/>
      <c r="L19" s="310"/>
      <c r="M19" s="310"/>
      <c r="N19" s="310"/>
      <c r="O19" s="310"/>
      <c r="P19" s="310"/>
      <c r="Q19" s="310"/>
      <c r="R19" s="310"/>
      <c r="S19" s="310"/>
      <c r="T19" s="310"/>
      <c r="U19" s="310"/>
      <c r="V19" s="310"/>
      <c r="W19" s="310"/>
      <c r="X19" s="310"/>
      <c r="Y19" s="310"/>
      <c r="Z19" s="310"/>
    </row>
    <row r="20" customHeight="1" spans="1:26">
      <c r="A20" s="312" t="s">
        <v>1038</v>
      </c>
      <c r="B20" s="312" t="s">
        <v>1907</v>
      </c>
      <c r="C20" s="312" t="s">
        <v>2204</v>
      </c>
      <c r="D20" s="312" t="s">
        <v>2205</v>
      </c>
      <c r="E20" s="312" t="s">
        <v>2189</v>
      </c>
      <c r="F20" s="312"/>
      <c r="G20" s="313">
        <v>1.25</v>
      </c>
      <c r="H20" s="312"/>
      <c r="I20" s="312"/>
      <c r="J20" s="312"/>
      <c r="K20" s="312"/>
      <c r="L20" s="312"/>
      <c r="M20" s="312"/>
      <c r="N20" s="312"/>
      <c r="O20" s="312"/>
      <c r="P20" s="312"/>
      <c r="Q20" s="312"/>
      <c r="R20" s="312"/>
      <c r="S20" s="312"/>
      <c r="T20" s="312"/>
      <c r="U20" s="312"/>
      <c r="V20" s="312"/>
      <c r="W20" s="312"/>
      <c r="X20" s="312"/>
      <c r="Y20" s="312"/>
      <c r="Z20" s="312"/>
    </row>
    <row r="21" customHeight="1" spans="1:26">
      <c r="A21" s="312" t="s">
        <v>1038</v>
      </c>
      <c r="B21" s="312" t="s">
        <v>1907</v>
      </c>
      <c r="C21" s="312" t="s">
        <v>2206</v>
      </c>
      <c r="D21" s="312" t="s">
        <v>2207</v>
      </c>
      <c r="E21" s="312" t="s">
        <v>2189</v>
      </c>
      <c r="F21" s="312"/>
      <c r="G21" s="313">
        <v>0.75</v>
      </c>
      <c r="H21" s="312"/>
      <c r="I21" s="312"/>
      <c r="J21" s="312"/>
      <c r="K21" s="312"/>
      <c r="L21" s="312"/>
      <c r="M21" s="312"/>
      <c r="N21" s="312"/>
      <c r="O21" s="312"/>
      <c r="P21" s="312"/>
      <c r="Q21" s="312"/>
      <c r="R21" s="312"/>
      <c r="S21" s="312"/>
      <c r="T21" s="312"/>
      <c r="U21" s="312"/>
      <c r="V21" s="312"/>
      <c r="W21" s="312"/>
      <c r="X21" s="312"/>
      <c r="Y21" s="312"/>
      <c r="Z21" s="312"/>
    </row>
    <row r="22" customHeight="1" spans="1:26">
      <c r="A22" s="312" t="s">
        <v>1038</v>
      </c>
      <c r="B22" s="312" t="s">
        <v>2208</v>
      </c>
      <c r="C22" s="312" t="s">
        <v>2209</v>
      </c>
      <c r="D22" s="312"/>
      <c r="E22" s="312" t="s">
        <v>2189</v>
      </c>
      <c r="F22" s="312"/>
      <c r="G22" s="313">
        <v>3</v>
      </c>
      <c r="H22" s="312"/>
      <c r="I22" s="312"/>
      <c r="J22" s="312"/>
      <c r="K22" s="312"/>
      <c r="L22" s="312"/>
      <c r="M22" s="312"/>
      <c r="N22" s="312"/>
      <c r="O22" s="312"/>
      <c r="P22" s="312"/>
      <c r="Q22" s="312"/>
      <c r="R22" s="312"/>
      <c r="S22" s="312"/>
      <c r="T22" s="312"/>
      <c r="U22" s="312"/>
      <c r="V22" s="312"/>
      <c r="W22" s="312"/>
      <c r="X22" s="312"/>
      <c r="Y22" s="312"/>
      <c r="Z22" s="312"/>
    </row>
    <row r="23" customHeight="1" spans="1:26">
      <c r="A23" s="312" t="s">
        <v>1038</v>
      </c>
      <c r="B23" s="312" t="s">
        <v>2208</v>
      </c>
      <c r="C23" s="312" t="s">
        <v>2210</v>
      </c>
      <c r="D23" s="312"/>
      <c r="E23" s="312" t="s">
        <v>2189</v>
      </c>
      <c r="F23" s="312"/>
      <c r="G23" s="313">
        <v>1</v>
      </c>
      <c r="H23" s="312"/>
      <c r="I23" s="312"/>
      <c r="J23" s="312"/>
      <c r="K23" s="312"/>
      <c r="L23" s="312"/>
      <c r="M23" s="312"/>
      <c r="N23" s="312"/>
      <c r="O23" s="312"/>
      <c r="P23" s="312"/>
      <c r="Q23" s="312"/>
      <c r="R23" s="312"/>
      <c r="S23" s="312"/>
      <c r="T23" s="312"/>
      <c r="U23" s="312"/>
      <c r="V23" s="312"/>
      <c r="W23" s="312"/>
      <c r="X23" s="312"/>
      <c r="Y23" s="312"/>
      <c r="Z23" s="312"/>
    </row>
    <row r="24" customHeight="1" spans="1:26">
      <c r="A24" s="312" t="s">
        <v>1038</v>
      </c>
      <c r="B24" s="312" t="s">
        <v>2211</v>
      </c>
      <c r="C24" s="312" t="s">
        <v>1885</v>
      </c>
      <c r="D24" s="312"/>
      <c r="E24" s="312" t="s">
        <v>2191</v>
      </c>
      <c r="F24" s="312"/>
      <c r="G24" s="313">
        <v>15</v>
      </c>
      <c r="H24" s="312"/>
      <c r="I24" s="312"/>
      <c r="J24" s="312"/>
      <c r="K24" s="312"/>
      <c r="L24" s="312"/>
      <c r="M24" s="312"/>
      <c r="N24" s="312"/>
      <c r="O24" s="312"/>
      <c r="P24" s="312"/>
      <c r="Q24" s="312"/>
      <c r="R24" s="312"/>
      <c r="S24" s="312"/>
      <c r="T24" s="312"/>
      <c r="U24" s="312"/>
      <c r="V24" s="312"/>
      <c r="W24" s="312"/>
      <c r="X24" s="312"/>
      <c r="Y24" s="312"/>
      <c r="Z24" s="312"/>
    </row>
    <row r="25" customHeight="1" spans="1:26">
      <c r="A25" s="312" t="s">
        <v>1038</v>
      </c>
      <c r="B25" s="312" t="s">
        <v>2211</v>
      </c>
      <c r="C25" s="312" t="s">
        <v>2122</v>
      </c>
      <c r="D25" s="312"/>
      <c r="E25" s="312" t="s">
        <v>2191</v>
      </c>
      <c r="F25" s="312"/>
      <c r="G25" s="313">
        <v>10</v>
      </c>
      <c r="H25" s="312"/>
      <c r="I25" s="312"/>
      <c r="J25" s="312"/>
      <c r="K25" s="312"/>
      <c r="L25" s="312"/>
      <c r="M25" s="312"/>
      <c r="N25" s="312"/>
      <c r="O25" s="312"/>
      <c r="P25" s="312"/>
      <c r="Q25" s="312"/>
      <c r="R25" s="312"/>
      <c r="S25" s="312"/>
      <c r="T25" s="312"/>
      <c r="U25" s="312"/>
      <c r="V25" s="312"/>
      <c r="W25" s="312"/>
      <c r="X25" s="312"/>
      <c r="Y25" s="312"/>
      <c r="Z25" s="312"/>
    </row>
    <row r="26" customHeight="1" spans="1:26">
      <c r="A26" s="312" t="s">
        <v>1038</v>
      </c>
      <c r="B26" s="312" t="s">
        <v>1992</v>
      </c>
      <c r="C26" s="312" t="s">
        <v>2212</v>
      </c>
      <c r="D26" s="312"/>
      <c r="E26" s="312" t="s">
        <v>2189</v>
      </c>
      <c r="F26" s="312"/>
      <c r="G26" s="313">
        <v>0.25</v>
      </c>
      <c r="H26" s="312"/>
      <c r="I26" s="312"/>
      <c r="J26" s="312"/>
      <c r="K26" s="312"/>
      <c r="L26" s="312"/>
      <c r="M26" s="312"/>
      <c r="N26" s="312"/>
      <c r="O26" s="312"/>
      <c r="P26" s="312"/>
      <c r="Q26" s="312"/>
      <c r="R26" s="312"/>
      <c r="S26" s="312"/>
      <c r="T26" s="312"/>
      <c r="U26" s="312"/>
      <c r="V26" s="312"/>
      <c r="W26" s="312"/>
      <c r="X26" s="312"/>
      <c r="Y26" s="312"/>
      <c r="Z26" s="312"/>
    </row>
    <row r="27" customHeight="1" spans="1:26">
      <c r="A27" s="312" t="s">
        <v>1038</v>
      </c>
      <c r="B27" s="312" t="s">
        <v>1992</v>
      </c>
      <c r="C27" s="312" t="s">
        <v>2213</v>
      </c>
      <c r="D27" s="312" t="s">
        <v>2214</v>
      </c>
      <c r="E27" s="312" t="s">
        <v>2189</v>
      </c>
      <c r="F27" s="312"/>
      <c r="G27" s="313">
        <v>0.75</v>
      </c>
      <c r="H27" s="312"/>
      <c r="I27" s="312"/>
      <c r="J27" s="312"/>
      <c r="K27" s="312"/>
      <c r="L27" s="312"/>
      <c r="M27" s="312"/>
      <c r="N27" s="312"/>
      <c r="O27" s="312"/>
      <c r="P27" s="312"/>
      <c r="Q27" s="312"/>
      <c r="R27" s="312"/>
      <c r="S27" s="312"/>
      <c r="T27" s="312"/>
      <c r="U27" s="312"/>
      <c r="V27" s="312"/>
      <c r="W27" s="312"/>
      <c r="X27" s="312"/>
      <c r="Y27" s="312"/>
      <c r="Z27" s="312"/>
    </row>
    <row r="28" customHeight="1" spans="1:26">
      <c r="A28" s="312" t="s">
        <v>1038</v>
      </c>
      <c r="B28" s="312" t="s">
        <v>1992</v>
      </c>
      <c r="C28" s="312" t="s">
        <v>2215</v>
      </c>
      <c r="D28" s="312" t="s">
        <v>2214</v>
      </c>
      <c r="E28" s="312" t="s">
        <v>2189</v>
      </c>
      <c r="F28" s="312"/>
      <c r="G28" s="313">
        <v>0.5</v>
      </c>
      <c r="H28" s="312"/>
      <c r="I28" s="312"/>
      <c r="J28" s="312"/>
      <c r="K28" s="312"/>
      <c r="L28" s="312"/>
      <c r="M28" s="312"/>
      <c r="N28" s="312"/>
      <c r="O28" s="312"/>
      <c r="P28" s="312"/>
      <c r="Q28" s="312"/>
      <c r="R28" s="312"/>
      <c r="S28" s="312"/>
      <c r="T28" s="312"/>
      <c r="U28" s="312"/>
      <c r="V28" s="312"/>
      <c r="W28" s="312"/>
      <c r="X28" s="312"/>
      <c r="Y28" s="312"/>
      <c r="Z28" s="312"/>
    </row>
    <row r="29" customHeight="1" spans="1:26">
      <c r="A29" s="312" t="s">
        <v>1038</v>
      </c>
      <c r="B29" s="312" t="s">
        <v>1992</v>
      </c>
      <c r="C29" s="312" t="s">
        <v>2216</v>
      </c>
      <c r="D29" s="312"/>
      <c r="E29" s="312" t="s">
        <v>2189</v>
      </c>
      <c r="F29" s="312"/>
      <c r="G29" s="313">
        <v>1</v>
      </c>
      <c r="H29" s="312"/>
      <c r="I29" s="312"/>
      <c r="J29" s="312"/>
      <c r="K29" s="312"/>
      <c r="L29" s="312"/>
      <c r="M29" s="312"/>
      <c r="N29" s="312"/>
      <c r="O29" s="312"/>
      <c r="P29" s="312"/>
      <c r="Q29" s="312"/>
      <c r="R29" s="312"/>
      <c r="S29" s="312"/>
      <c r="T29" s="312"/>
      <c r="U29" s="312"/>
      <c r="V29" s="312"/>
      <c r="W29" s="312"/>
      <c r="X29" s="312"/>
      <c r="Y29" s="312"/>
      <c r="Z29" s="312"/>
    </row>
    <row r="30" customHeight="1" spans="1:26">
      <c r="A30" s="312" t="s">
        <v>1038</v>
      </c>
      <c r="B30" s="312" t="s">
        <v>975</v>
      </c>
      <c r="C30" s="312" t="s">
        <v>2217</v>
      </c>
      <c r="D30" s="312"/>
      <c r="E30" s="312" t="s">
        <v>2189</v>
      </c>
      <c r="F30" s="312"/>
      <c r="G30" s="313">
        <v>5</v>
      </c>
      <c r="H30" s="312"/>
      <c r="I30" s="312"/>
      <c r="J30" s="312"/>
      <c r="K30" s="312"/>
      <c r="L30" s="312"/>
      <c r="M30" s="312"/>
      <c r="N30" s="312"/>
      <c r="O30" s="312"/>
      <c r="P30" s="312"/>
      <c r="Q30" s="312"/>
      <c r="R30" s="312"/>
      <c r="S30" s="312"/>
      <c r="T30" s="312"/>
      <c r="U30" s="312"/>
      <c r="V30" s="312"/>
      <c r="W30" s="312"/>
      <c r="X30" s="312"/>
      <c r="Y30" s="312"/>
      <c r="Z30" s="312"/>
    </row>
    <row r="31" customHeight="1" spans="1:26">
      <c r="A31" s="312" t="s">
        <v>1038</v>
      </c>
      <c r="B31" s="312" t="s">
        <v>975</v>
      </c>
      <c r="C31" s="312" t="s">
        <v>2218</v>
      </c>
      <c r="D31" s="312" t="s">
        <v>975</v>
      </c>
      <c r="E31" s="312" t="s">
        <v>2189</v>
      </c>
      <c r="F31" s="312"/>
      <c r="G31" s="313">
        <v>1</v>
      </c>
      <c r="H31" s="312"/>
      <c r="I31" s="312"/>
      <c r="J31" s="312"/>
      <c r="K31" s="312"/>
      <c r="L31" s="312"/>
      <c r="M31" s="312"/>
      <c r="N31" s="312"/>
      <c r="O31" s="312"/>
      <c r="P31" s="312"/>
      <c r="Q31" s="312"/>
      <c r="R31" s="312"/>
      <c r="S31" s="312"/>
      <c r="T31" s="312"/>
      <c r="U31" s="312"/>
      <c r="V31" s="312"/>
      <c r="W31" s="312"/>
      <c r="X31" s="312"/>
      <c r="Y31" s="312"/>
      <c r="Z31" s="312"/>
    </row>
    <row r="32" customHeight="1" spans="1:26">
      <c r="A32" s="312" t="s">
        <v>1038</v>
      </c>
      <c r="B32" s="312" t="s">
        <v>975</v>
      </c>
      <c r="C32" s="312" t="s">
        <v>2219</v>
      </c>
      <c r="D32" s="312" t="s">
        <v>975</v>
      </c>
      <c r="E32" s="312" t="s">
        <v>2189</v>
      </c>
      <c r="F32" s="312"/>
      <c r="G32" s="313">
        <v>1.75</v>
      </c>
      <c r="H32" s="312"/>
      <c r="I32" s="312"/>
      <c r="J32" s="312"/>
      <c r="K32" s="312"/>
      <c r="L32" s="312"/>
      <c r="M32" s="312"/>
      <c r="N32" s="312"/>
      <c r="O32" s="312"/>
      <c r="P32" s="312"/>
      <c r="Q32" s="312"/>
      <c r="R32" s="312"/>
      <c r="S32" s="312"/>
      <c r="T32" s="312"/>
      <c r="U32" s="312"/>
      <c r="V32" s="312"/>
      <c r="W32" s="312"/>
      <c r="X32" s="312"/>
      <c r="Y32" s="312"/>
      <c r="Z32" s="312"/>
    </row>
    <row r="33" customHeight="1" spans="1:26">
      <c r="A33" s="312" t="s">
        <v>1038</v>
      </c>
      <c r="B33" s="312" t="s">
        <v>975</v>
      </c>
      <c r="C33" s="312" t="s">
        <v>2220</v>
      </c>
      <c r="D33" s="312" t="s">
        <v>323</v>
      </c>
      <c r="E33" s="312" t="s">
        <v>2189</v>
      </c>
      <c r="F33" s="312"/>
      <c r="G33" s="313">
        <v>3</v>
      </c>
      <c r="H33" s="312"/>
      <c r="I33" s="312"/>
      <c r="J33" s="312"/>
      <c r="K33" s="312"/>
      <c r="L33" s="312"/>
      <c r="M33" s="312"/>
      <c r="N33" s="312"/>
      <c r="O33" s="312"/>
      <c r="P33" s="312"/>
      <c r="Q33" s="312"/>
      <c r="R33" s="312"/>
      <c r="S33" s="312"/>
      <c r="T33" s="312"/>
      <c r="U33" s="312"/>
      <c r="V33" s="312"/>
      <c r="W33" s="312"/>
      <c r="X33" s="312"/>
      <c r="Y33" s="312"/>
      <c r="Z33" s="312"/>
    </row>
    <row r="34" customHeight="1" spans="1:26">
      <c r="A34" s="312" t="s">
        <v>1038</v>
      </c>
      <c r="B34" s="312" t="s">
        <v>975</v>
      </c>
      <c r="C34" s="312" t="s">
        <v>2221</v>
      </c>
      <c r="D34" s="312" t="s">
        <v>323</v>
      </c>
      <c r="E34" s="312" t="s">
        <v>2189</v>
      </c>
      <c r="F34" s="312"/>
      <c r="G34" s="313">
        <v>5</v>
      </c>
      <c r="H34" s="312"/>
      <c r="I34" s="312"/>
      <c r="J34" s="312"/>
      <c r="K34" s="312"/>
      <c r="L34" s="312"/>
      <c r="M34" s="312"/>
      <c r="N34" s="312"/>
      <c r="O34" s="312"/>
      <c r="P34" s="312"/>
      <c r="Q34" s="312"/>
      <c r="R34" s="312"/>
      <c r="S34" s="312"/>
      <c r="T34" s="312"/>
      <c r="U34" s="312"/>
      <c r="V34" s="312"/>
      <c r="W34" s="312"/>
      <c r="X34" s="312"/>
      <c r="Y34" s="312"/>
      <c r="Z34" s="312"/>
    </row>
    <row r="35" customHeight="1" spans="1:26">
      <c r="A35" s="310" t="s">
        <v>1038</v>
      </c>
      <c r="B35" s="310" t="s">
        <v>2222</v>
      </c>
      <c r="C35" s="310" t="s">
        <v>2223</v>
      </c>
      <c r="D35" s="310" t="s">
        <v>2224</v>
      </c>
      <c r="E35" s="310" t="s">
        <v>2225</v>
      </c>
      <c r="F35" s="311">
        <v>8</v>
      </c>
      <c r="G35" s="310"/>
      <c r="H35" s="310"/>
      <c r="I35" s="310"/>
      <c r="J35" s="310"/>
      <c r="K35" s="310"/>
      <c r="L35" s="310"/>
      <c r="M35" s="310"/>
      <c r="N35" s="310"/>
      <c r="O35" s="310"/>
      <c r="P35" s="310"/>
      <c r="Q35" s="310"/>
      <c r="R35" s="310"/>
      <c r="S35" s="310"/>
      <c r="T35" s="310"/>
      <c r="U35" s="310"/>
      <c r="V35" s="310"/>
      <c r="W35" s="310"/>
      <c r="X35" s="310"/>
      <c r="Y35" s="310"/>
      <c r="Z35" s="310"/>
    </row>
    <row r="36" customHeight="1" spans="1:26">
      <c r="A36" s="312" t="s">
        <v>1038</v>
      </c>
      <c r="B36" s="312" t="s">
        <v>500</v>
      </c>
      <c r="C36" s="312" t="s">
        <v>2226</v>
      </c>
      <c r="D36" s="312"/>
      <c r="E36" s="312" t="s">
        <v>2227</v>
      </c>
      <c r="F36" s="312"/>
      <c r="G36" s="313">
        <v>50</v>
      </c>
      <c r="H36" s="312"/>
      <c r="I36" s="312"/>
      <c r="J36" s="312"/>
      <c r="K36" s="312"/>
      <c r="L36" s="312"/>
      <c r="M36" s="312"/>
      <c r="N36" s="312"/>
      <c r="O36" s="312"/>
      <c r="P36" s="312"/>
      <c r="Q36" s="312"/>
      <c r="R36" s="312"/>
      <c r="S36" s="312"/>
      <c r="T36" s="312"/>
      <c r="U36" s="312"/>
      <c r="V36" s="312"/>
      <c r="W36" s="312"/>
      <c r="X36" s="312"/>
      <c r="Y36" s="312"/>
      <c r="Z36" s="312"/>
    </row>
    <row r="37" customHeight="1" spans="1:26">
      <c r="A37" s="312" t="s">
        <v>1038</v>
      </c>
      <c r="B37" s="312" t="s">
        <v>500</v>
      </c>
      <c r="C37" s="312" t="s">
        <v>2228</v>
      </c>
      <c r="D37" s="312"/>
      <c r="E37" s="312" t="s">
        <v>2191</v>
      </c>
      <c r="F37" s="312"/>
      <c r="G37" s="313">
        <v>15</v>
      </c>
      <c r="H37" s="312"/>
      <c r="I37" s="312"/>
      <c r="J37" s="312"/>
      <c r="K37" s="312"/>
      <c r="L37" s="312"/>
      <c r="M37" s="312"/>
      <c r="N37" s="312"/>
      <c r="O37" s="312"/>
      <c r="P37" s="312"/>
      <c r="Q37" s="312"/>
      <c r="R37" s="312"/>
      <c r="S37" s="312"/>
      <c r="T37" s="312"/>
      <c r="U37" s="312"/>
      <c r="V37" s="312"/>
      <c r="W37" s="312"/>
      <c r="X37" s="312"/>
      <c r="Y37" s="312"/>
      <c r="Z37" s="312"/>
    </row>
    <row r="38" customHeight="1" spans="1:26">
      <c r="A38" s="312"/>
      <c r="B38" s="312"/>
      <c r="C38" s="312"/>
      <c r="D38" s="312"/>
      <c r="E38" s="312"/>
      <c r="F38" s="312"/>
      <c r="G38" s="312"/>
      <c r="H38" s="312"/>
      <c r="I38" s="312"/>
      <c r="J38" s="312"/>
      <c r="K38" s="312"/>
      <c r="L38" s="312"/>
      <c r="M38" s="312"/>
      <c r="N38" s="312"/>
      <c r="O38" s="312"/>
      <c r="P38" s="312"/>
      <c r="Q38" s="312"/>
      <c r="R38" s="312"/>
      <c r="S38" s="312"/>
      <c r="T38" s="312"/>
      <c r="U38" s="312"/>
      <c r="V38" s="312"/>
      <c r="W38" s="312"/>
      <c r="X38" s="312"/>
      <c r="Y38" s="312"/>
      <c r="Z38" s="312"/>
    </row>
    <row r="39" customHeight="1" spans="1:26">
      <c r="A39" s="312"/>
      <c r="B39" s="312"/>
      <c r="C39" s="312"/>
      <c r="D39" s="312"/>
      <c r="E39" s="312"/>
      <c r="F39" s="312"/>
      <c r="G39" s="312"/>
      <c r="H39" s="312"/>
      <c r="I39" s="312"/>
      <c r="J39" s="312"/>
      <c r="K39" s="312"/>
      <c r="L39" s="312"/>
      <c r="M39" s="312"/>
      <c r="N39" s="312"/>
      <c r="O39" s="312"/>
      <c r="P39" s="312"/>
      <c r="Q39" s="312"/>
      <c r="R39" s="312"/>
      <c r="S39" s="312"/>
      <c r="T39" s="312"/>
      <c r="U39" s="312"/>
      <c r="V39" s="312"/>
      <c r="W39" s="312"/>
      <c r="X39" s="312"/>
      <c r="Y39" s="312"/>
      <c r="Z39" s="312"/>
    </row>
    <row r="40" customHeight="1" spans="1:26">
      <c r="A40" s="312"/>
      <c r="B40" s="312"/>
      <c r="C40" s="312"/>
      <c r="D40" s="312"/>
      <c r="E40" s="312"/>
      <c r="F40" s="312"/>
      <c r="G40" s="312"/>
      <c r="H40" s="312"/>
      <c r="I40" s="312"/>
      <c r="J40" s="312"/>
      <c r="K40" s="312"/>
      <c r="L40" s="312"/>
      <c r="M40" s="312"/>
      <c r="N40" s="312"/>
      <c r="O40" s="312"/>
      <c r="P40" s="312"/>
      <c r="Q40" s="312"/>
      <c r="R40" s="312"/>
      <c r="S40" s="312"/>
      <c r="T40" s="312"/>
      <c r="U40" s="312"/>
      <c r="V40" s="312"/>
      <c r="W40" s="312"/>
      <c r="X40" s="312"/>
      <c r="Y40" s="312"/>
      <c r="Z40" s="312"/>
    </row>
    <row r="41" customHeight="1" spans="1:26">
      <c r="A41" s="312"/>
      <c r="B41" s="312"/>
      <c r="C41" s="312"/>
      <c r="D41" s="312"/>
      <c r="E41" s="312"/>
      <c r="F41" s="312"/>
      <c r="G41" s="312"/>
      <c r="H41" s="312"/>
      <c r="I41" s="312"/>
      <c r="J41" s="312"/>
      <c r="K41" s="312"/>
      <c r="L41" s="312"/>
      <c r="M41" s="312"/>
      <c r="N41" s="312"/>
      <c r="O41" s="312"/>
      <c r="P41" s="312"/>
      <c r="Q41" s="312"/>
      <c r="R41" s="312"/>
      <c r="S41" s="312"/>
      <c r="T41" s="312"/>
      <c r="U41" s="312"/>
      <c r="V41" s="312"/>
      <c r="W41" s="312"/>
      <c r="X41" s="312"/>
      <c r="Y41" s="312"/>
      <c r="Z41" s="312"/>
    </row>
    <row r="42" customHeight="1" spans="1:26">
      <c r="A42" s="312"/>
      <c r="B42" s="312"/>
      <c r="C42" s="312"/>
      <c r="D42" s="312"/>
      <c r="E42" s="312"/>
      <c r="F42" s="312"/>
      <c r="G42" s="312"/>
      <c r="H42" s="312"/>
      <c r="I42" s="312"/>
      <c r="J42" s="312"/>
      <c r="K42" s="312"/>
      <c r="L42" s="312"/>
      <c r="M42" s="312"/>
      <c r="N42" s="312"/>
      <c r="O42" s="312"/>
      <c r="P42" s="312"/>
      <c r="Q42" s="312"/>
      <c r="R42" s="312"/>
      <c r="S42" s="312"/>
      <c r="T42" s="312"/>
      <c r="U42" s="312"/>
      <c r="V42" s="312"/>
      <c r="W42" s="312"/>
      <c r="X42" s="312"/>
      <c r="Y42" s="312"/>
      <c r="Z42" s="312"/>
    </row>
    <row r="43" customHeight="1" spans="1:26">
      <c r="A43" s="312"/>
      <c r="B43" s="312"/>
      <c r="C43" s="312"/>
      <c r="D43" s="312"/>
      <c r="E43" s="312"/>
      <c r="F43" s="312"/>
      <c r="G43" s="312"/>
      <c r="H43" s="312"/>
      <c r="I43" s="312"/>
      <c r="J43" s="312"/>
      <c r="K43" s="312"/>
      <c r="L43" s="312"/>
      <c r="M43" s="312"/>
      <c r="N43" s="312"/>
      <c r="O43" s="312"/>
      <c r="P43" s="312"/>
      <c r="Q43" s="312"/>
      <c r="R43" s="312"/>
      <c r="S43" s="312"/>
      <c r="T43" s="312"/>
      <c r="U43" s="312"/>
      <c r="V43" s="312"/>
      <c r="W43" s="312"/>
      <c r="X43" s="312"/>
      <c r="Y43" s="312"/>
      <c r="Z43" s="312"/>
    </row>
    <row r="44" customHeight="1" spans="1:26">
      <c r="A44" s="312"/>
      <c r="B44" s="312"/>
      <c r="C44" s="312"/>
      <c r="D44" s="312"/>
      <c r="E44" s="312"/>
      <c r="F44" s="312"/>
      <c r="G44" s="312"/>
      <c r="H44" s="312"/>
      <c r="I44" s="312"/>
      <c r="J44" s="312"/>
      <c r="K44" s="312"/>
      <c r="L44" s="312"/>
      <c r="M44" s="312"/>
      <c r="N44" s="312"/>
      <c r="O44" s="312"/>
      <c r="P44" s="312"/>
      <c r="Q44" s="312"/>
      <c r="R44" s="312"/>
      <c r="S44" s="312"/>
      <c r="T44" s="312"/>
      <c r="U44" s="312"/>
      <c r="V44" s="312"/>
      <c r="W44" s="312"/>
      <c r="X44" s="312"/>
      <c r="Y44" s="312"/>
      <c r="Z44" s="312"/>
    </row>
    <row r="45" customHeight="1" spans="1:26">
      <c r="A45" s="312"/>
      <c r="B45" s="312"/>
      <c r="C45" s="312"/>
      <c r="D45" s="312"/>
      <c r="E45" s="312"/>
      <c r="F45" s="312"/>
      <c r="G45" s="312"/>
      <c r="H45" s="312"/>
      <c r="I45" s="312"/>
      <c r="J45" s="312"/>
      <c r="K45" s="312"/>
      <c r="L45" s="312"/>
      <c r="M45" s="312"/>
      <c r="N45" s="312"/>
      <c r="O45" s="312"/>
      <c r="P45" s="312"/>
      <c r="Q45" s="312"/>
      <c r="R45" s="312"/>
      <c r="S45" s="312"/>
      <c r="T45" s="312"/>
      <c r="U45" s="312"/>
      <c r="V45" s="312"/>
      <c r="W45" s="312"/>
      <c r="X45" s="312"/>
      <c r="Y45" s="312"/>
      <c r="Z45" s="312"/>
    </row>
    <row r="46" customHeight="1" spans="1:26">
      <c r="A46" s="312"/>
      <c r="B46" s="312"/>
      <c r="C46" s="312"/>
      <c r="D46" s="312"/>
      <c r="E46" s="312"/>
      <c r="F46" s="312"/>
      <c r="G46" s="312"/>
      <c r="H46" s="312"/>
      <c r="I46" s="312"/>
      <c r="J46" s="312"/>
      <c r="K46" s="312"/>
      <c r="L46" s="312"/>
      <c r="M46" s="312"/>
      <c r="N46" s="312"/>
      <c r="O46" s="312"/>
      <c r="P46" s="312"/>
      <c r="Q46" s="312"/>
      <c r="R46" s="312"/>
      <c r="S46" s="312"/>
      <c r="T46" s="312"/>
      <c r="U46" s="312"/>
      <c r="V46" s="312"/>
      <c r="W46" s="312"/>
      <c r="X46" s="312"/>
      <c r="Y46" s="312"/>
      <c r="Z46" s="312"/>
    </row>
    <row r="47" customHeight="1" spans="1:26">
      <c r="A47" s="312"/>
      <c r="B47" s="312"/>
      <c r="C47" s="312"/>
      <c r="D47" s="312"/>
      <c r="E47" s="312"/>
      <c r="F47" s="312"/>
      <c r="G47" s="312"/>
      <c r="H47" s="312"/>
      <c r="I47" s="312"/>
      <c r="J47" s="312"/>
      <c r="K47" s="312"/>
      <c r="L47" s="312"/>
      <c r="M47" s="312"/>
      <c r="N47" s="312"/>
      <c r="O47" s="312"/>
      <c r="P47" s="312"/>
      <c r="Q47" s="312"/>
      <c r="R47" s="312"/>
      <c r="S47" s="312"/>
      <c r="T47" s="312"/>
      <c r="U47" s="312"/>
      <c r="V47" s="312"/>
      <c r="W47" s="312"/>
      <c r="X47" s="312"/>
      <c r="Y47" s="312"/>
      <c r="Z47" s="312"/>
    </row>
    <row r="48" customHeight="1" spans="1:26">
      <c r="A48" s="312"/>
      <c r="B48" s="312"/>
      <c r="C48" s="312"/>
      <c r="D48" s="312"/>
      <c r="E48" s="312"/>
      <c r="F48" s="312"/>
      <c r="G48" s="312"/>
      <c r="H48" s="312"/>
      <c r="I48" s="312"/>
      <c r="J48" s="312"/>
      <c r="K48" s="312"/>
      <c r="L48" s="312"/>
      <c r="M48" s="312"/>
      <c r="N48" s="312"/>
      <c r="O48" s="312"/>
      <c r="P48" s="312"/>
      <c r="Q48" s="312"/>
      <c r="R48" s="312"/>
      <c r="S48" s="312"/>
      <c r="T48" s="312"/>
      <c r="U48" s="312"/>
      <c r="V48" s="312"/>
      <c r="W48" s="312"/>
      <c r="X48" s="312"/>
      <c r="Y48" s="312"/>
      <c r="Z48" s="312"/>
    </row>
    <row r="49" customHeight="1" spans="1:26">
      <c r="A49" s="312"/>
      <c r="B49" s="312"/>
      <c r="C49" s="312"/>
      <c r="D49" s="312"/>
      <c r="E49" s="312"/>
      <c r="F49" s="312"/>
      <c r="G49" s="312"/>
      <c r="H49" s="312"/>
      <c r="I49" s="312"/>
      <c r="J49" s="312"/>
      <c r="K49" s="312"/>
      <c r="L49" s="312"/>
      <c r="M49" s="312"/>
      <c r="N49" s="312"/>
      <c r="O49" s="312"/>
      <c r="P49" s="312"/>
      <c r="Q49" s="312"/>
      <c r="R49" s="312"/>
      <c r="S49" s="312"/>
      <c r="T49" s="312"/>
      <c r="U49" s="312"/>
      <c r="V49" s="312"/>
      <c r="W49" s="312"/>
      <c r="X49" s="312"/>
      <c r="Y49" s="312"/>
      <c r="Z49" s="312"/>
    </row>
    <row r="50" customHeight="1" spans="1:26">
      <c r="A50" s="312"/>
      <c r="B50" s="312"/>
      <c r="C50" s="312"/>
      <c r="D50" s="312"/>
      <c r="E50" s="312"/>
      <c r="F50" s="312"/>
      <c r="G50" s="312"/>
      <c r="H50" s="312"/>
      <c r="I50" s="312"/>
      <c r="J50" s="312"/>
      <c r="K50" s="312"/>
      <c r="L50" s="312"/>
      <c r="M50" s="312"/>
      <c r="N50" s="312"/>
      <c r="O50" s="312"/>
      <c r="P50" s="312"/>
      <c r="Q50" s="312"/>
      <c r="R50" s="312"/>
      <c r="S50" s="312"/>
      <c r="T50" s="312"/>
      <c r="U50" s="312"/>
      <c r="V50" s="312"/>
      <c r="W50" s="312"/>
      <c r="X50" s="312"/>
      <c r="Y50" s="312"/>
      <c r="Z50" s="312"/>
    </row>
    <row r="51" customHeight="1" spans="1:26">
      <c r="A51" s="312"/>
      <c r="B51" s="312"/>
      <c r="C51" s="312"/>
      <c r="D51" s="312"/>
      <c r="E51" s="312"/>
      <c r="F51" s="312"/>
      <c r="G51" s="312"/>
      <c r="H51" s="312"/>
      <c r="I51" s="312"/>
      <c r="J51" s="312"/>
      <c r="K51" s="312"/>
      <c r="L51" s="312"/>
      <c r="M51" s="312"/>
      <c r="N51" s="312"/>
      <c r="O51" s="312"/>
      <c r="P51" s="312"/>
      <c r="Q51" s="312"/>
      <c r="R51" s="312"/>
      <c r="S51" s="312"/>
      <c r="T51" s="312"/>
      <c r="U51" s="312"/>
      <c r="V51" s="312"/>
      <c r="W51" s="312"/>
      <c r="X51" s="312"/>
      <c r="Y51" s="312"/>
      <c r="Z51" s="312"/>
    </row>
    <row r="52" customHeight="1" spans="1:26">
      <c r="A52" s="312"/>
      <c r="B52" s="312"/>
      <c r="C52" s="312"/>
      <c r="D52" s="312"/>
      <c r="E52" s="312"/>
      <c r="F52" s="312"/>
      <c r="G52" s="312"/>
      <c r="H52" s="312"/>
      <c r="I52" s="312"/>
      <c r="J52" s="312"/>
      <c r="K52" s="312"/>
      <c r="L52" s="312"/>
      <c r="M52" s="312"/>
      <c r="N52" s="312"/>
      <c r="O52" s="312"/>
      <c r="P52" s="312"/>
      <c r="Q52" s="312"/>
      <c r="R52" s="312"/>
      <c r="S52" s="312"/>
      <c r="T52" s="312"/>
      <c r="U52" s="312"/>
      <c r="V52" s="312"/>
      <c r="W52" s="312"/>
      <c r="X52" s="312"/>
      <c r="Y52" s="312"/>
      <c r="Z52" s="312"/>
    </row>
    <row r="53" customHeight="1" spans="1:26">
      <c r="A53" s="312"/>
      <c r="B53" s="312"/>
      <c r="C53" s="312"/>
      <c r="D53" s="312"/>
      <c r="E53" s="312"/>
      <c r="F53" s="312"/>
      <c r="G53" s="312"/>
      <c r="H53" s="312"/>
      <c r="I53" s="312"/>
      <c r="J53" s="312"/>
      <c r="K53" s="312"/>
      <c r="L53" s="312"/>
      <c r="M53" s="312"/>
      <c r="N53" s="312"/>
      <c r="O53" s="312"/>
      <c r="P53" s="312"/>
      <c r="Q53" s="312"/>
      <c r="R53" s="312"/>
      <c r="S53" s="312"/>
      <c r="T53" s="312"/>
      <c r="U53" s="312"/>
      <c r="V53" s="312"/>
      <c r="W53" s="312"/>
      <c r="X53" s="312"/>
      <c r="Y53" s="312"/>
      <c r="Z53" s="312"/>
    </row>
    <row r="54" customHeight="1" spans="1:26">
      <c r="A54" s="312"/>
      <c r="B54" s="312"/>
      <c r="C54" s="312"/>
      <c r="D54" s="312"/>
      <c r="E54" s="312"/>
      <c r="F54" s="312"/>
      <c r="G54" s="312"/>
      <c r="H54" s="312"/>
      <c r="I54" s="312"/>
      <c r="J54" s="312"/>
      <c r="K54" s="312"/>
      <c r="L54" s="312"/>
      <c r="M54" s="312"/>
      <c r="N54" s="312"/>
      <c r="O54" s="312"/>
      <c r="P54" s="312"/>
      <c r="Q54" s="312"/>
      <c r="R54" s="312"/>
      <c r="S54" s="312"/>
      <c r="T54" s="312"/>
      <c r="U54" s="312"/>
      <c r="V54" s="312"/>
      <c r="W54" s="312"/>
      <c r="X54" s="312"/>
      <c r="Y54" s="312"/>
      <c r="Z54" s="312"/>
    </row>
    <row r="55" customHeight="1" spans="1:26">
      <c r="A55" s="312"/>
      <c r="B55" s="312"/>
      <c r="C55" s="312"/>
      <c r="D55" s="312"/>
      <c r="E55" s="312"/>
      <c r="F55" s="312"/>
      <c r="G55" s="312"/>
      <c r="H55" s="312"/>
      <c r="I55" s="312"/>
      <c r="J55" s="312"/>
      <c r="K55" s="312"/>
      <c r="L55" s="312"/>
      <c r="M55" s="312"/>
      <c r="N55" s="312"/>
      <c r="O55" s="312"/>
      <c r="P55" s="312"/>
      <c r="Q55" s="312"/>
      <c r="R55" s="312"/>
      <c r="S55" s="312"/>
      <c r="T55" s="312"/>
      <c r="U55" s="312"/>
      <c r="V55" s="312"/>
      <c r="W55" s="312"/>
      <c r="X55" s="312"/>
      <c r="Y55" s="312"/>
      <c r="Z55" s="312"/>
    </row>
    <row r="56" customHeight="1" spans="1:26">
      <c r="A56" s="312"/>
      <c r="B56" s="312"/>
      <c r="C56" s="312"/>
      <c r="D56" s="312"/>
      <c r="E56" s="312"/>
      <c r="F56" s="312"/>
      <c r="G56" s="312"/>
      <c r="H56" s="312"/>
      <c r="I56" s="312"/>
      <c r="J56" s="312"/>
      <c r="K56" s="312"/>
      <c r="L56" s="312"/>
      <c r="M56" s="312"/>
      <c r="N56" s="312"/>
      <c r="O56" s="312"/>
      <c r="P56" s="312"/>
      <c r="Q56" s="312"/>
      <c r="R56" s="312"/>
      <c r="S56" s="312"/>
      <c r="T56" s="312"/>
      <c r="U56" s="312"/>
      <c r="V56" s="312"/>
      <c r="W56" s="312"/>
      <c r="X56" s="312"/>
      <c r="Y56" s="312"/>
      <c r="Z56" s="312"/>
    </row>
    <row r="57" customHeight="1" spans="1:26">
      <c r="A57" s="312"/>
      <c r="B57" s="312"/>
      <c r="C57" s="312"/>
      <c r="D57" s="312"/>
      <c r="E57" s="312"/>
      <c r="F57" s="312"/>
      <c r="G57" s="312"/>
      <c r="H57" s="312"/>
      <c r="I57" s="312"/>
      <c r="J57" s="312"/>
      <c r="K57" s="312"/>
      <c r="L57" s="312"/>
      <c r="M57" s="312"/>
      <c r="N57" s="312"/>
      <c r="O57" s="312"/>
      <c r="P57" s="312"/>
      <c r="Q57" s="312"/>
      <c r="R57" s="312"/>
      <c r="S57" s="312"/>
      <c r="T57" s="312"/>
      <c r="U57" s="312"/>
      <c r="V57" s="312"/>
      <c r="W57" s="312"/>
      <c r="X57" s="312"/>
      <c r="Y57" s="312"/>
      <c r="Z57" s="312"/>
    </row>
    <row r="58" customHeight="1" spans="1:26">
      <c r="A58" s="312"/>
      <c r="B58" s="312"/>
      <c r="C58" s="312"/>
      <c r="D58" s="312"/>
      <c r="E58" s="312"/>
      <c r="F58" s="312"/>
      <c r="G58" s="312"/>
      <c r="H58" s="312"/>
      <c r="I58" s="312"/>
      <c r="J58" s="312"/>
      <c r="K58" s="312"/>
      <c r="L58" s="312"/>
      <c r="M58" s="312"/>
      <c r="N58" s="312"/>
      <c r="O58" s="312"/>
      <c r="P58" s="312"/>
      <c r="Q58" s="312"/>
      <c r="R58" s="312"/>
      <c r="S58" s="312"/>
      <c r="T58" s="312"/>
      <c r="U58" s="312"/>
      <c r="V58" s="312"/>
      <c r="W58" s="312"/>
      <c r="X58" s="312"/>
      <c r="Y58" s="312"/>
      <c r="Z58" s="312"/>
    </row>
    <row r="59" customHeight="1" spans="1:26">
      <c r="A59" s="312"/>
      <c r="B59" s="312"/>
      <c r="C59" s="312"/>
      <c r="D59" s="312"/>
      <c r="E59" s="312"/>
      <c r="F59" s="312"/>
      <c r="G59" s="312"/>
      <c r="H59" s="312"/>
      <c r="I59" s="312"/>
      <c r="J59" s="312"/>
      <c r="K59" s="312"/>
      <c r="L59" s="312"/>
      <c r="M59" s="312"/>
      <c r="N59" s="312"/>
      <c r="O59" s="312"/>
      <c r="P59" s="312"/>
      <c r="Q59" s="312"/>
      <c r="R59" s="312"/>
      <c r="S59" s="312"/>
      <c r="T59" s="312"/>
      <c r="U59" s="312"/>
      <c r="V59" s="312"/>
      <c r="W59" s="312"/>
      <c r="X59" s="312"/>
      <c r="Y59" s="312"/>
      <c r="Z59" s="312"/>
    </row>
    <row r="60" customHeight="1" spans="1:26">
      <c r="A60" s="312"/>
      <c r="B60" s="312"/>
      <c r="C60" s="312"/>
      <c r="D60" s="312"/>
      <c r="E60" s="312"/>
      <c r="F60" s="312"/>
      <c r="G60" s="312"/>
      <c r="H60" s="312"/>
      <c r="I60" s="312"/>
      <c r="J60" s="312"/>
      <c r="K60" s="312"/>
      <c r="L60" s="312"/>
      <c r="M60" s="312"/>
      <c r="N60" s="312"/>
      <c r="O60" s="312"/>
      <c r="P60" s="312"/>
      <c r="Q60" s="312"/>
      <c r="R60" s="312"/>
      <c r="S60" s="312"/>
      <c r="T60" s="312"/>
      <c r="U60" s="312"/>
      <c r="V60" s="312"/>
      <c r="W60" s="312"/>
      <c r="X60" s="312"/>
      <c r="Y60" s="312"/>
      <c r="Z60" s="312"/>
    </row>
    <row r="61" customHeight="1" spans="1:26">
      <c r="A61" s="312"/>
      <c r="B61" s="312"/>
      <c r="C61" s="312"/>
      <c r="D61" s="312"/>
      <c r="E61" s="312"/>
      <c r="F61" s="312"/>
      <c r="G61" s="312"/>
      <c r="H61" s="312"/>
      <c r="I61" s="312"/>
      <c r="J61" s="312"/>
      <c r="K61" s="312"/>
      <c r="L61" s="312"/>
      <c r="M61" s="312"/>
      <c r="N61" s="312"/>
      <c r="O61" s="312"/>
      <c r="P61" s="312"/>
      <c r="Q61" s="312"/>
      <c r="R61" s="312"/>
      <c r="S61" s="312"/>
      <c r="T61" s="312"/>
      <c r="U61" s="312"/>
      <c r="V61" s="312"/>
      <c r="W61" s="312"/>
      <c r="X61" s="312"/>
      <c r="Y61" s="312"/>
      <c r="Z61" s="312"/>
    </row>
    <row r="62" customHeight="1" spans="1:26">
      <c r="A62" s="312"/>
      <c r="B62" s="312"/>
      <c r="C62" s="312"/>
      <c r="D62" s="312"/>
      <c r="E62" s="312"/>
      <c r="F62" s="312"/>
      <c r="G62" s="312"/>
      <c r="H62" s="312"/>
      <c r="I62" s="312"/>
      <c r="J62" s="312"/>
      <c r="K62" s="312"/>
      <c r="L62" s="312"/>
      <c r="M62" s="312"/>
      <c r="N62" s="312"/>
      <c r="O62" s="312"/>
      <c r="P62" s="312"/>
      <c r="Q62" s="312"/>
      <c r="R62" s="312"/>
      <c r="S62" s="312"/>
      <c r="T62" s="312"/>
      <c r="U62" s="312"/>
      <c r="V62" s="312"/>
      <c r="W62" s="312"/>
      <c r="X62" s="312"/>
      <c r="Y62" s="312"/>
      <c r="Z62" s="312"/>
    </row>
    <row r="63" customHeight="1" spans="1:26">
      <c r="A63" s="312"/>
      <c r="B63" s="312"/>
      <c r="C63" s="312"/>
      <c r="D63" s="312"/>
      <c r="E63" s="312"/>
      <c r="F63" s="312"/>
      <c r="G63" s="312"/>
      <c r="H63" s="312"/>
      <c r="I63" s="312"/>
      <c r="J63" s="312"/>
      <c r="K63" s="312"/>
      <c r="L63" s="312"/>
      <c r="M63" s="312"/>
      <c r="N63" s="312"/>
      <c r="O63" s="312"/>
      <c r="P63" s="312"/>
      <c r="Q63" s="312"/>
      <c r="R63" s="312"/>
      <c r="S63" s="312"/>
      <c r="T63" s="312"/>
      <c r="U63" s="312"/>
      <c r="V63" s="312"/>
      <c r="W63" s="312"/>
      <c r="X63" s="312"/>
      <c r="Y63" s="312"/>
      <c r="Z63" s="312"/>
    </row>
    <row r="64" customHeight="1" spans="1:26">
      <c r="A64" s="312"/>
      <c r="B64" s="312"/>
      <c r="C64" s="312"/>
      <c r="D64" s="312"/>
      <c r="E64" s="312"/>
      <c r="F64" s="312"/>
      <c r="G64" s="312"/>
      <c r="H64" s="312"/>
      <c r="I64" s="312"/>
      <c r="J64" s="312"/>
      <c r="K64" s="312"/>
      <c r="L64" s="312"/>
      <c r="M64" s="312"/>
      <c r="N64" s="312"/>
      <c r="O64" s="312"/>
      <c r="P64" s="312"/>
      <c r="Q64" s="312"/>
      <c r="R64" s="312"/>
      <c r="S64" s="312"/>
      <c r="T64" s="312"/>
      <c r="U64" s="312"/>
      <c r="V64" s="312"/>
      <c r="W64" s="312"/>
      <c r="X64" s="312"/>
      <c r="Y64" s="312"/>
      <c r="Z64" s="312"/>
    </row>
    <row r="65" customHeight="1" spans="1:26">
      <c r="A65" s="312"/>
      <c r="B65" s="312"/>
      <c r="C65" s="312"/>
      <c r="D65" s="312"/>
      <c r="E65" s="312"/>
      <c r="F65" s="312"/>
      <c r="G65" s="312"/>
      <c r="H65" s="312"/>
      <c r="I65" s="312"/>
      <c r="J65" s="312"/>
      <c r="K65" s="312"/>
      <c r="L65" s="312"/>
      <c r="M65" s="312"/>
      <c r="N65" s="312"/>
      <c r="O65" s="312"/>
      <c r="P65" s="312"/>
      <c r="Q65" s="312"/>
      <c r="R65" s="312"/>
      <c r="S65" s="312"/>
      <c r="T65" s="312"/>
      <c r="U65" s="312"/>
      <c r="V65" s="312"/>
      <c r="W65" s="312"/>
      <c r="X65" s="312"/>
      <c r="Y65" s="312"/>
      <c r="Z65" s="312"/>
    </row>
    <row r="66" customHeight="1" spans="1:26">
      <c r="A66" s="312"/>
      <c r="B66" s="312"/>
      <c r="C66" s="312"/>
      <c r="D66" s="312"/>
      <c r="E66" s="312"/>
      <c r="F66" s="312"/>
      <c r="G66" s="312"/>
      <c r="H66" s="312"/>
      <c r="I66" s="312"/>
      <c r="J66" s="312"/>
      <c r="K66" s="312"/>
      <c r="L66" s="312"/>
      <c r="M66" s="312"/>
      <c r="N66" s="312"/>
      <c r="O66" s="312"/>
      <c r="P66" s="312"/>
      <c r="Q66" s="312"/>
      <c r="R66" s="312"/>
      <c r="S66" s="312"/>
      <c r="T66" s="312"/>
      <c r="U66" s="312"/>
      <c r="V66" s="312"/>
      <c r="W66" s="312"/>
      <c r="X66" s="312"/>
      <c r="Y66" s="312"/>
      <c r="Z66" s="312"/>
    </row>
    <row r="67" customHeight="1" spans="1:26">
      <c r="A67" s="312"/>
      <c r="B67" s="312"/>
      <c r="C67" s="312"/>
      <c r="D67" s="312"/>
      <c r="E67" s="312"/>
      <c r="F67" s="312"/>
      <c r="G67" s="312"/>
      <c r="H67" s="312"/>
      <c r="I67" s="312"/>
      <c r="J67" s="312"/>
      <c r="K67" s="312"/>
      <c r="L67" s="312"/>
      <c r="M67" s="312"/>
      <c r="N67" s="312"/>
      <c r="O67" s="312"/>
      <c r="P67" s="312"/>
      <c r="Q67" s="312"/>
      <c r="R67" s="312"/>
      <c r="S67" s="312"/>
      <c r="T67" s="312"/>
      <c r="U67" s="312"/>
      <c r="V67" s="312"/>
      <c r="W67" s="312"/>
      <c r="X67" s="312"/>
      <c r="Y67" s="312"/>
      <c r="Z67" s="312"/>
    </row>
    <row r="68" customHeight="1" spans="1:26">
      <c r="A68" s="312"/>
      <c r="B68" s="312"/>
      <c r="C68" s="312"/>
      <c r="D68" s="312"/>
      <c r="E68" s="312"/>
      <c r="F68" s="312"/>
      <c r="G68" s="312"/>
      <c r="H68" s="312"/>
      <c r="I68" s="312"/>
      <c r="J68" s="312"/>
      <c r="K68" s="312"/>
      <c r="L68" s="312"/>
      <c r="M68" s="312"/>
      <c r="N68" s="312"/>
      <c r="O68" s="312"/>
      <c r="P68" s="312"/>
      <c r="Q68" s="312"/>
      <c r="R68" s="312"/>
      <c r="S68" s="312"/>
      <c r="T68" s="312"/>
      <c r="U68" s="312"/>
      <c r="V68" s="312"/>
      <c r="W68" s="312"/>
      <c r="X68" s="312"/>
      <c r="Y68" s="312"/>
      <c r="Z68" s="312"/>
    </row>
    <row r="69" customHeight="1" spans="1:26">
      <c r="A69" s="312"/>
      <c r="B69" s="312"/>
      <c r="C69" s="312"/>
      <c r="D69" s="312"/>
      <c r="E69" s="312"/>
      <c r="F69" s="312"/>
      <c r="G69" s="312"/>
      <c r="H69" s="312"/>
      <c r="I69" s="312"/>
      <c r="J69" s="312"/>
      <c r="K69" s="312"/>
      <c r="L69" s="312"/>
      <c r="M69" s="312"/>
      <c r="N69" s="312"/>
      <c r="O69" s="312"/>
      <c r="P69" s="312"/>
      <c r="Q69" s="312"/>
      <c r="R69" s="312"/>
      <c r="S69" s="312"/>
      <c r="T69" s="312"/>
      <c r="U69" s="312"/>
      <c r="V69" s="312"/>
      <c r="W69" s="312"/>
      <c r="X69" s="312"/>
      <c r="Y69" s="312"/>
      <c r="Z69" s="312"/>
    </row>
    <row r="70" customHeight="1" spans="1:26">
      <c r="A70" s="312"/>
      <c r="B70" s="312"/>
      <c r="C70" s="312"/>
      <c r="D70" s="312"/>
      <c r="E70" s="312"/>
      <c r="F70" s="312"/>
      <c r="G70" s="312"/>
      <c r="H70" s="312"/>
      <c r="I70" s="312"/>
      <c r="J70" s="312"/>
      <c r="K70" s="312"/>
      <c r="L70" s="312"/>
      <c r="M70" s="312"/>
      <c r="N70" s="312"/>
      <c r="O70" s="312"/>
      <c r="P70" s="312"/>
      <c r="Q70" s="312"/>
      <c r="R70" s="312"/>
      <c r="S70" s="312"/>
      <c r="T70" s="312"/>
      <c r="U70" s="312"/>
      <c r="V70" s="312"/>
      <c r="W70" s="312"/>
      <c r="X70" s="312"/>
      <c r="Y70" s="312"/>
      <c r="Z70" s="312"/>
    </row>
    <row r="71" customHeight="1" spans="1:26">
      <c r="A71" s="312"/>
      <c r="B71" s="312"/>
      <c r="C71" s="312"/>
      <c r="D71" s="312"/>
      <c r="E71" s="312"/>
      <c r="F71" s="312"/>
      <c r="G71" s="312"/>
      <c r="H71" s="312"/>
      <c r="I71" s="312"/>
      <c r="J71" s="312"/>
      <c r="K71" s="312"/>
      <c r="L71" s="312"/>
      <c r="M71" s="312"/>
      <c r="N71" s="312"/>
      <c r="O71" s="312"/>
      <c r="P71" s="312"/>
      <c r="Q71" s="312"/>
      <c r="R71" s="312"/>
      <c r="S71" s="312"/>
      <c r="T71" s="312"/>
      <c r="U71" s="312"/>
      <c r="V71" s="312"/>
      <c r="W71" s="312"/>
      <c r="X71" s="312"/>
      <c r="Y71" s="312"/>
      <c r="Z71" s="312"/>
    </row>
    <row r="72" customHeight="1" spans="1:26">
      <c r="A72" s="312"/>
      <c r="B72" s="312"/>
      <c r="C72" s="312"/>
      <c r="D72" s="312"/>
      <c r="E72" s="312"/>
      <c r="F72" s="312"/>
      <c r="G72" s="312"/>
      <c r="H72" s="312"/>
      <c r="I72" s="312"/>
      <c r="J72" s="312"/>
      <c r="K72" s="312"/>
      <c r="L72" s="312"/>
      <c r="M72" s="312"/>
      <c r="N72" s="312"/>
      <c r="O72" s="312"/>
      <c r="P72" s="312"/>
      <c r="Q72" s="312"/>
      <c r="R72" s="312"/>
      <c r="S72" s="312"/>
      <c r="T72" s="312"/>
      <c r="U72" s="312"/>
      <c r="V72" s="312"/>
      <c r="W72" s="312"/>
      <c r="X72" s="312"/>
      <c r="Y72" s="312"/>
      <c r="Z72" s="312"/>
    </row>
    <row r="73" customHeight="1" spans="1:26">
      <c r="A73" s="312"/>
      <c r="B73" s="312"/>
      <c r="C73" s="312"/>
      <c r="D73" s="312"/>
      <c r="E73" s="312"/>
      <c r="F73" s="312"/>
      <c r="G73" s="312"/>
      <c r="H73" s="312"/>
      <c r="I73" s="312"/>
      <c r="J73" s="312"/>
      <c r="K73" s="312"/>
      <c r="L73" s="312"/>
      <c r="M73" s="312"/>
      <c r="N73" s="312"/>
      <c r="O73" s="312"/>
      <c r="P73" s="312"/>
      <c r="Q73" s="312"/>
      <c r="R73" s="312"/>
      <c r="S73" s="312"/>
      <c r="T73" s="312"/>
      <c r="U73" s="312"/>
      <c r="V73" s="312"/>
      <c r="W73" s="312"/>
      <c r="X73" s="312"/>
      <c r="Y73" s="312"/>
      <c r="Z73" s="312"/>
    </row>
    <row r="74" customHeight="1" spans="1:26">
      <c r="A74" s="312"/>
      <c r="B74" s="312"/>
      <c r="C74" s="312"/>
      <c r="D74" s="312"/>
      <c r="E74" s="312"/>
      <c r="F74" s="312"/>
      <c r="G74" s="312"/>
      <c r="H74" s="312"/>
      <c r="I74" s="312"/>
      <c r="J74" s="312"/>
      <c r="K74" s="312"/>
      <c r="L74" s="312"/>
      <c r="M74" s="312"/>
      <c r="N74" s="312"/>
      <c r="O74" s="312"/>
      <c r="P74" s="312"/>
      <c r="Q74" s="312"/>
      <c r="R74" s="312"/>
      <c r="S74" s="312"/>
      <c r="T74" s="312"/>
      <c r="U74" s="312"/>
      <c r="V74" s="312"/>
      <c r="W74" s="312"/>
      <c r="X74" s="312"/>
      <c r="Y74" s="312"/>
      <c r="Z74" s="312"/>
    </row>
    <row r="75" customHeight="1" spans="1:26">
      <c r="A75" s="312"/>
      <c r="B75" s="312"/>
      <c r="C75" s="312"/>
      <c r="D75" s="312"/>
      <c r="E75" s="312"/>
      <c r="F75" s="312"/>
      <c r="G75" s="312"/>
      <c r="H75" s="312"/>
      <c r="I75" s="312"/>
      <c r="J75" s="312"/>
      <c r="K75" s="312"/>
      <c r="L75" s="312"/>
      <c r="M75" s="312"/>
      <c r="N75" s="312"/>
      <c r="O75" s="312"/>
      <c r="P75" s="312"/>
      <c r="Q75" s="312"/>
      <c r="R75" s="312"/>
      <c r="S75" s="312"/>
      <c r="T75" s="312"/>
      <c r="U75" s="312"/>
      <c r="V75" s="312"/>
      <c r="W75" s="312"/>
      <c r="X75" s="312"/>
      <c r="Y75" s="312"/>
      <c r="Z75" s="312"/>
    </row>
    <row r="76" customHeight="1" spans="1:26">
      <c r="A76" s="312"/>
      <c r="B76" s="312"/>
      <c r="C76" s="312"/>
      <c r="D76" s="312"/>
      <c r="E76" s="312"/>
      <c r="F76" s="312"/>
      <c r="G76" s="312"/>
      <c r="H76" s="312"/>
      <c r="I76" s="312"/>
      <c r="J76" s="312"/>
      <c r="K76" s="312"/>
      <c r="L76" s="312"/>
      <c r="M76" s="312"/>
      <c r="N76" s="312"/>
      <c r="O76" s="312"/>
      <c r="P76" s="312"/>
      <c r="Q76" s="312"/>
      <c r="R76" s="312"/>
      <c r="S76" s="312"/>
      <c r="T76" s="312"/>
      <c r="U76" s="312"/>
      <c r="V76" s="312"/>
      <c r="W76" s="312"/>
      <c r="X76" s="312"/>
      <c r="Y76" s="312"/>
      <c r="Z76" s="312"/>
    </row>
    <row r="77" customHeight="1" spans="1:26">
      <c r="A77" s="312"/>
      <c r="B77" s="312"/>
      <c r="C77" s="312"/>
      <c r="D77" s="312"/>
      <c r="E77" s="312"/>
      <c r="F77" s="312"/>
      <c r="G77" s="312"/>
      <c r="H77" s="312"/>
      <c r="I77" s="312"/>
      <c r="J77" s="312"/>
      <c r="K77" s="312"/>
      <c r="L77" s="312"/>
      <c r="M77" s="312"/>
      <c r="N77" s="312"/>
      <c r="O77" s="312"/>
      <c r="P77" s="312"/>
      <c r="Q77" s="312"/>
      <c r="R77" s="312"/>
      <c r="S77" s="312"/>
      <c r="T77" s="312"/>
      <c r="U77" s="312"/>
      <c r="V77" s="312"/>
      <c r="W77" s="312"/>
      <c r="X77" s="312"/>
      <c r="Y77" s="312"/>
      <c r="Z77" s="312"/>
    </row>
    <row r="78" customHeight="1" spans="1:26">
      <c r="A78" s="312"/>
      <c r="B78" s="312"/>
      <c r="C78" s="312"/>
      <c r="D78" s="312"/>
      <c r="E78" s="312"/>
      <c r="F78" s="312"/>
      <c r="G78" s="312"/>
      <c r="H78" s="312"/>
      <c r="I78" s="312"/>
      <c r="J78" s="312"/>
      <c r="K78" s="312"/>
      <c r="L78" s="312"/>
      <c r="M78" s="312"/>
      <c r="N78" s="312"/>
      <c r="O78" s="312"/>
      <c r="P78" s="312"/>
      <c r="Q78" s="312"/>
      <c r="R78" s="312"/>
      <c r="S78" s="312"/>
      <c r="T78" s="312"/>
      <c r="U78" s="312"/>
      <c r="V78" s="312"/>
      <c r="W78" s="312"/>
      <c r="X78" s="312"/>
      <c r="Y78" s="312"/>
      <c r="Z78" s="312"/>
    </row>
    <row r="79" customHeight="1" spans="1:26">
      <c r="A79" s="312"/>
      <c r="B79" s="312"/>
      <c r="C79" s="312"/>
      <c r="D79" s="312"/>
      <c r="E79" s="312"/>
      <c r="F79" s="312"/>
      <c r="G79" s="312"/>
      <c r="H79" s="312"/>
      <c r="I79" s="312"/>
      <c r="J79" s="312"/>
      <c r="K79" s="312"/>
      <c r="L79" s="312"/>
      <c r="M79" s="312"/>
      <c r="N79" s="312"/>
      <c r="O79" s="312"/>
      <c r="P79" s="312"/>
      <c r="Q79" s="312"/>
      <c r="R79" s="312"/>
      <c r="S79" s="312"/>
      <c r="T79" s="312"/>
      <c r="U79" s="312"/>
      <c r="V79" s="312"/>
      <c r="W79" s="312"/>
      <c r="X79" s="312"/>
      <c r="Y79" s="312"/>
      <c r="Z79" s="312"/>
    </row>
    <row r="80" customHeight="1" spans="1:26">
      <c r="A80" s="312"/>
      <c r="B80" s="312"/>
      <c r="C80" s="312"/>
      <c r="D80" s="312"/>
      <c r="E80" s="312"/>
      <c r="F80" s="312"/>
      <c r="G80" s="312"/>
      <c r="H80" s="312"/>
      <c r="I80" s="312"/>
      <c r="J80" s="312"/>
      <c r="K80" s="312"/>
      <c r="L80" s="312"/>
      <c r="M80" s="312"/>
      <c r="N80" s="312"/>
      <c r="O80" s="312"/>
      <c r="P80" s="312"/>
      <c r="Q80" s="312"/>
      <c r="R80" s="312"/>
      <c r="S80" s="312"/>
      <c r="T80" s="312"/>
      <c r="U80" s="312"/>
      <c r="V80" s="312"/>
      <c r="W80" s="312"/>
      <c r="X80" s="312"/>
      <c r="Y80" s="312"/>
      <c r="Z80" s="312"/>
    </row>
    <row r="81" customHeight="1" spans="1:26">
      <c r="A81" s="312"/>
      <c r="B81" s="312"/>
      <c r="C81" s="312"/>
      <c r="D81" s="312"/>
      <c r="E81" s="312"/>
      <c r="F81" s="312"/>
      <c r="G81" s="312"/>
      <c r="H81" s="312"/>
      <c r="I81" s="312"/>
      <c r="J81" s="312"/>
      <c r="K81" s="312"/>
      <c r="L81" s="312"/>
      <c r="M81" s="312"/>
      <c r="N81" s="312"/>
      <c r="O81" s="312"/>
      <c r="P81" s="312"/>
      <c r="Q81" s="312"/>
      <c r="R81" s="312"/>
      <c r="S81" s="312"/>
      <c r="T81" s="312"/>
      <c r="U81" s="312"/>
      <c r="V81" s="312"/>
      <c r="W81" s="312"/>
      <c r="X81" s="312"/>
      <c r="Y81" s="312"/>
      <c r="Z81" s="312"/>
    </row>
    <row r="82" customHeight="1" spans="1:26">
      <c r="A82" s="312"/>
      <c r="B82" s="312"/>
      <c r="C82" s="312"/>
      <c r="D82" s="312"/>
      <c r="E82" s="312"/>
      <c r="F82" s="312"/>
      <c r="G82" s="312"/>
      <c r="H82" s="312"/>
      <c r="I82" s="312"/>
      <c r="J82" s="312"/>
      <c r="K82" s="312"/>
      <c r="L82" s="312"/>
      <c r="M82" s="312"/>
      <c r="N82" s="312"/>
      <c r="O82" s="312"/>
      <c r="P82" s="312"/>
      <c r="Q82" s="312"/>
      <c r="R82" s="312"/>
      <c r="S82" s="312"/>
      <c r="T82" s="312"/>
      <c r="U82" s="312"/>
      <c r="V82" s="312"/>
      <c r="W82" s="312"/>
      <c r="X82" s="312"/>
      <c r="Y82" s="312"/>
      <c r="Z82" s="312"/>
    </row>
    <row r="83" customHeight="1" spans="1:26">
      <c r="A83" s="312"/>
      <c r="B83" s="312"/>
      <c r="C83" s="312"/>
      <c r="D83" s="312"/>
      <c r="E83" s="312"/>
      <c r="F83" s="312"/>
      <c r="G83" s="312"/>
      <c r="H83" s="312"/>
      <c r="I83" s="312"/>
      <c r="J83" s="312"/>
      <c r="K83" s="312"/>
      <c r="L83" s="312"/>
      <c r="M83" s="312"/>
      <c r="N83" s="312"/>
      <c r="O83" s="312"/>
      <c r="P83" s="312"/>
      <c r="Q83" s="312"/>
      <c r="R83" s="312"/>
      <c r="S83" s="312"/>
      <c r="T83" s="312"/>
      <c r="U83" s="312"/>
      <c r="V83" s="312"/>
      <c r="W83" s="312"/>
      <c r="X83" s="312"/>
      <c r="Y83" s="312"/>
      <c r="Z83" s="312"/>
    </row>
    <row r="84" customHeight="1" spans="1:26">
      <c r="A84" s="312"/>
      <c r="B84" s="312"/>
      <c r="C84" s="312"/>
      <c r="D84" s="312"/>
      <c r="E84" s="312"/>
      <c r="F84" s="312"/>
      <c r="G84" s="312"/>
      <c r="H84" s="312"/>
      <c r="I84" s="312"/>
      <c r="J84" s="312"/>
      <c r="K84" s="312"/>
      <c r="L84" s="312"/>
      <c r="M84" s="312"/>
      <c r="N84" s="312"/>
      <c r="O84" s="312"/>
      <c r="P84" s="312"/>
      <c r="Q84" s="312"/>
      <c r="R84" s="312"/>
      <c r="S84" s="312"/>
      <c r="T84" s="312"/>
      <c r="U84" s="312"/>
      <c r="V84" s="312"/>
      <c r="W84" s="312"/>
      <c r="X84" s="312"/>
      <c r="Y84" s="312"/>
      <c r="Z84" s="312"/>
    </row>
    <row r="85" customHeight="1" spans="1:26">
      <c r="A85" s="312"/>
      <c r="B85" s="312"/>
      <c r="C85" s="312"/>
      <c r="D85" s="312"/>
      <c r="E85" s="312"/>
      <c r="F85" s="312"/>
      <c r="G85" s="312"/>
      <c r="H85" s="312"/>
      <c r="I85" s="312"/>
      <c r="J85" s="312"/>
      <c r="K85" s="312"/>
      <c r="L85" s="312"/>
      <c r="M85" s="312"/>
      <c r="N85" s="312"/>
      <c r="O85" s="312"/>
      <c r="P85" s="312"/>
      <c r="Q85" s="312"/>
      <c r="R85" s="312"/>
      <c r="S85" s="312"/>
      <c r="T85" s="312"/>
      <c r="U85" s="312"/>
      <c r="V85" s="312"/>
      <c r="W85" s="312"/>
      <c r="X85" s="312"/>
      <c r="Y85" s="312"/>
      <c r="Z85" s="312"/>
    </row>
    <row r="86" customHeight="1" spans="1:26">
      <c r="A86" s="312"/>
      <c r="B86" s="312"/>
      <c r="C86" s="312"/>
      <c r="D86" s="312"/>
      <c r="E86" s="312"/>
      <c r="F86" s="312"/>
      <c r="G86" s="312"/>
      <c r="H86" s="312"/>
      <c r="I86" s="312"/>
      <c r="J86" s="312"/>
      <c r="K86" s="312"/>
      <c r="L86" s="312"/>
      <c r="M86" s="312"/>
      <c r="N86" s="312"/>
      <c r="O86" s="312"/>
      <c r="P86" s="312"/>
      <c r="Q86" s="312"/>
      <c r="R86" s="312"/>
      <c r="S86" s="312"/>
      <c r="T86" s="312"/>
      <c r="U86" s="312"/>
      <c r="V86" s="312"/>
      <c r="W86" s="312"/>
      <c r="X86" s="312"/>
      <c r="Y86" s="312"/>
      <c r="Z86" s="312"/>
    </row>
    <row r="87" customHeight="1" spans="1:26">
      <c r="A87" s="312"/>
      <c r="B87" s="312"/>
      <c r="C87" s="312"/>
      <c r="D87" s="312"/>
      <c r="E87" s="312"/>
      <c r="F87" s="312"/>
      <c r="G87" s="312"/>
      <c r="H87" s="312"/>
      <c r="I87" s="312"/>
      <c r="J87" s="312"/>
      <c r="K87" s="312"/>
      <c r="L87" s="312"/>
      <c r="M87" s="312"/>
      <c r="N87" s="312"/>
      <c r="O87" s="312"/>
      <c r="P87" s="312"/>
      <c r="Q87" s="312"/>
      <c r="R87" s="312"/>
      <c r="S87" s="312"/>
      <c r="T87" s="312"/>
      <c r="U87" s="312"/>
      <c r="V87" s="312"/>
      <c r="W87" s="312"/>
      <c r="X87" s="312"/>
      <c r="Y87" s="312"/>
      <c r="Z87" s="312"/>
    </row>
    <row r="88" customHeight="1" spans="1:26">
      <c r="A88" s="312"/>
      <c r="B88" s="312"/>
      <c r="C88" s="312"/>
      <c r="D88" s="312"/>
      <c r="E88" s="312"/>
      <c r="F88" s="312"/>
      <c r="G88" s="312"/>
      <c r="H88" s="312"/>
      <c r="I88" s="312"/>
      <c r="J88" s="312"/>
      <c r="K88" s="312"/>
      <c r="L88" s="312"/>
      <c r="M88" s="312"/>
      <c r="N88" s="312"/>
      <c r="O88" s="312"/>
      <c r="P88" s="312"/>
      <c r="Q88" s="312"/>
      <c r="R88" s="312"/>
      <c r="S88" s="312"/>
      <c r="T88" s="312"/>
      <c r="U88" s="312"/>
      <c r="V88" s="312"/>
      <c r="W88" s="312"/>
      <c r="X88" s="312"/>
      <c r="Y88" s="312"/>
      <c r="Z88" s="312"/>
    </row>
    <row r="89" customHeight="1" spans="1:26">
      <c r="A89" s="312"/>
      <c r="B89" s="312"/>
      <c r="C89" s="312"/>
      <c r="D89" s="312"/>
      <c r="E89" s="312"/>
      <c r="F89" s="312"/>
      <c r="G89" s="312"/>
      <c r="H89" s="312"/>
      <c r="I89" s="312"/>
      <c r="J89" s="312"/>
      <c r="K89" s="312"/>
      <c r="L89" s="312"/>
      <c r="M89" s="312"/>
      <c r="N89" s="312"/>
      <c r="O89" s="312"/>
      <c r="P89" s="312"/>
      <c r="Q89" s="312"/>
      <c r="R89" s="312"/>
      <c r="S89" s="312"/>
      <c r="T89" s="312"/>
      <c r="U89" s="312"/>
      <c r="V89" s="312"/>
      <c r="W89" s="312"/>
      <c r="X89" s="312"/>
      <c r="Y89" s="312"/>
      <c r="Z89" s="312"/>
    </row>
    <row r="90" customHeight="1" spans="1:26">
      <c r="A90" s="312"/>
      <c r="B90" s="312"/>
      <c r="C90" s="312"/>
      <c r="D90" s="312"/>
      <c r="E90" s="312"/>
      <c r="F90" s="312"/>
      <c r="G90" s="312"/>
      <c r="H90" s="312"/>
      <c r="I90" s="312"/>
      <c r="J90" s="312"/>
      <c r="K90" s="312"/>
      <c r="L90" s="312"/>
      <c r="M90" s="312"/>
      <c r="N90" s="312"/>
      <c r="O90" s="312"/>
      <c r="P90" s="312"/>
      <c r="Q90" s="312"/>
      <c r="R90" s="312"/>
      <c r="S90" s="312"/>
      <c r="T90" s="312"/>
      <c r="U90" s="312"/>
      <c r="V90" s="312"/>
      <c r="W90" s="312"/>
      <c r="X90" s="312"/>
      <c r="Y90" s="312"/>
      <c r="Z90" s="312"/>
    </row>
    <row r="91" customHeight="1" spans="1:26">
      <c r="A91" s="312"/>
      <c r="B91" s="312"/>
      <c r="C91" s="312"/>
      <c r="D91" s="312"/>
      <c r="E91" s="312"/>
      <c r="F91" s="312"/>
      <c r="G91" s="312"/>
      <c r="H91" s="312"/>
      <c r="I91" s="312"/>
      <c r="J91" s="312"/>
      <c r="K91" s="312"/>
      <c r="L91" s="312"/>
      <c r="M91" s="312"/>
      <c r="N91" s="312"/>
      <c r="O91" s="312"/>
      <c r="P91" s="312"/>
      <c r="Q91" s="312"/>
      <c r="R91" s="312"/>
      <c r="S91" s="312"/>
      <c r="T91" s="312"/>
      <c r="U91" s="312"/>
      <c r="V91" s="312"/>
      <c r="W91" s="312"/>
      <c r="X91" s="312"/>
      <c r="Y91" s="312"/>
      <c r="Z91" s="312"/>
    </row>
    <row r="92" customHeight="1" spans="1:26">
      <c r="A92" s="312"/>
      <c r="B92" s="312"/>
      <c r="C92" s="312"/>
      <c r="D92" s="312"/>
      <c r="E92" s="312"/>
      <c r="F92" s="312"/>
      <c r="G92" s="312"/>
      <c r="H92" s="312"/>
      <c r="I92" s="312"/>
      <c r="J92" s="312"/>
      <c r="K92" s="312"/>
      <c r="L92" s="312"/>
      <c r="M92" s="312"/>
      <c r="N92" s="312"/>
      <c r="O92" s="312"/>
      <c r="P92" s="312"/>
      <c r="Q92" s="312"/>
      <c r="R92" s="312"/>
      <c r="S92" s="312"/>
      <c r="T92" s="312"/>
      <c r="U92" s="312"/>
      <c r="V92" s="312"/>
      <c r="W92" s="312"/>
      <c r="X92" s="312"/>
      <c r="Y92" s="312"/>
      <c r="Z92" s="312"/>
    </row>
    <row r="93" customHeight="1" spans="1:26">
      <c r="A93" s="312"/>
      <c r="B93" s="312"/>
      <c r="C93" s="312"/>
      <c r="D93" s="312"/>
      <c r="E93" s="312"/>
      <c r="F93" s="312"/>
      <c r="G93" s="312"/>
      <c r="H93" s="312"/>
      <c r="I93" s="312"/>
      <c r="J93" s="312"/>
      <c r="K93" s="312"/>
      <c r="L93" s="312"/>
      <c r="M93" s="312"/>
      <c r="N93" s="312"/>
      <c r="O93" s="312"/>
      <c r="P93" s="312"/>
      <c r="Q93" s="312"/>
      <c r="R93" s="312"/>
      <c r="S93" s="312"/>
      <c r="T93" s="312"/>
      <c r="U93" s="312"/>
      <c r="V93" s="312"/>
      <c r="W93" s="312"/>
      <c r="X93" s="312"/>
      <c r="Y93" s="312"/>
      <c r="Z93" s="312"/>
    </row>
    <row r="94" customHeight="1" spans="1:26">
      <c r="A94" s="312"/>
      <c r="B94" s="312"/>
      <c r="C94" s="312"/>
      <c r="D94" s="312"/>
      <c r="E94" s="312"/>
      <c r="F94" s="312"/>
      <c r="G94" s="312"/>
      <c r="H94" s="312"/>
      <c r="I94" s="312"/>
      <c r="J94" s="312"/>
      <c r="K94" s="312"/>
      <c r="L94" s="312"/>
      <c r="M94" s="312"/>
      <c r="N94" s="312"/>
      <c r="O94" s="312"/>
      <c r="P94" s="312"/>
      <c r="Q94" s="312"/>
      <c r="R94" s="312"/>
      <c r="S94" s="312"/>
      <c r="T94" s="312"/>
      <c r="U94" s="312"/>
      <c r="V94" s="312"/>
      <c r="W94" s="312"/>
      <c r="X94" s="312"/>
      <c r="Y94" s="312"/>
      <c r="Z94" s="312"/>
    </row>
    <row r="95" customHeight="1" spans="1:26">
      <c r="A95" s="312"/>
      <c r="B95" s="312"/>
      <c r="C95" s="312"/>
      <c r="D95" s="312"/>
      <c r="E95" s="312"/>
      <c r="F95" s="312"/>
      <c r="G95" s="312"/>
      <c r="H95" s="312"/>
      <c r="I95" s="312"/>
      <c r="J95" s="312"/>
      <c r="K95" s="312"/>
      <c r="L95" s="312"/>
      <c r="M95" s="312"/>
      <c r="N95" s="312"/>
      <c r="O95" s="312"/>
      <c r="P95" s="312"/>
      <c r="Q95" s="312"/>
      <c r="R95" s="312"/>
      <c r="S95" s="312"/>
      <c r="T95" s="312"/>
      <c r="U95" s="312"/>
      <c r="V95" s="312"/>
      <c r="W95" s="312"/>
      <c r="X95" s="312"/>
      <c r="Y95" s="312"/>
      <c r="Z95" s="312"/>
    </row>
    <row r="96" customHeight="1" spans="1:26">
      <c r="A96" s="312"/>
      <c r="B96" s="312"/>
      <c r="C96" s="312"/>
      <c r="D96" s="312"/>
      <c r="E96" s="312"/>
      <c r="F96" s="312"/>
      <c r="G96" s="312"/>
      <c r="H96" s="312"/>
      <c r="I96" s="312"/>
      <c r="J96" s="312"/>
      <c r="K96" s="312"/>
      <c r="L96" s="312"/>
      <c r="M96" s="312"/>
      <c r="N96" s="312"/>
      <c r="O96" s="312"/>
      <c r="P96" s="312"/>
      <c r="Q96" s="312"/>
      <c r="R96" s="312"/>
      <c r="S96" s="312"/>
      <c r="T96" s="312"/>
      <c r="U96" s="312"/>
      <c r="V96" s="312"/>
      <c r="W96" s="312"/>
      <c r="X96" s="312"/>
      <c r="Y96" s="312"/>
      <c r="Z96" s="312"/>
    </row>
    <row r="97" customHeight="1" spans="1:26">
      <c r="A97" s="312"/>
      <c r="B97" s="312"/>
      <c r="C97" s="312"/>
      <c r="D97" s="312"/>
      <c r="E97" s="312"/>
      <c r="F97" s="312"/>
      <c r="G97" s="312"/>
      <c r="H97" s="312"/>
      <c r="I97" s="312"/>
      <c r="J97" s="312"/>
      <c r="K97" s="312"/>
      <c r="L97" s="312"/>
      <c r="M97" s="312"/>
      <c r="N97" s="312"/>
      <c r="O97" s="312"/>
      <c r="P97" s="312"/>
      <c r="Q97" s="312"/>
      <c r="R97" s="312"/>
      <c r="S97" s="312"/>
      <c r="T97" s="312"/>
      <c r="U97" s="312"/>
      <c r="V97" s="312"/>
      <c r="W97" s="312"/>
      <c r="X97" s="312"/>
      <c r="Y97" s="312"/>
      <c r="Z97" s="312"/>
    </row>
    <row r="98" customHeight="1" spans="1:26">
      <c r="A98" s="312"/>
      <c r="B98" s="312"/>
      <c r="C98" s="312"/>
      <c r="D98" s="312"/>
      <c r="E98" s="312"/>
      <c r="F98" s="312"/>
      <c r="G98" s="312"/>
      <c r="H98" s="312"/>
      <c r="I98" s="312"/>
      <c r="J98" s="312"/>
      <c r="K98" s="312"/>
      <c r="L98" s="312"/>
      <c r="M98" s="312"/>
      <c r="N98" s="312"/>
      <c r="O98" s="312"/>
      <c r="P98" s="312"/>
      <c r="Q98" s="312"/>
      <c r="R98" s="312"/>
      <c r="S98" s="312"/>
      <c r="T98" s="312"/>
      <c r="U98" s="312"/>
      <c r="V98" s="312"/>
      <c r="W98" s="312"/>
      <c r="X98" s="312"/>
      <c r="Y98" s="312"/>
      <c r="Z98" s="312"/>
    </row>
    <row r="99" customHeight="1" spans="1:26">
      <c r="A99" s="312"/>
      <c r="B99" s="312"/>
      <c r="C99" s="312"/>
      <c r="D99" s="312"/>
      <c r="E99" s="312"/>
      <c r="F99" s="312"/>
      <c r="G99" s="312"/>
      <c r="H99" s="312"/>
      <c r="I99" s="312"/>
      <c r="J99" s="312"/>
      <c r="K99" s="312"/>
      <c r="L99" s="312"/>
      <c r="M99" s="312"/>
      <c r="N99" s="312"/>
      <c r="O99" s="312"/>
      <c r="P99" s="312"/>
      <c r="Q99" s="312"/>
      <c r="R99" s="312"/>
      <c r="S99" s="312"/>
      <c r="T99" s="312"/>
      <c r="U99" s="312"/>
      <c r="V99" s="312"/>
      <c r="W99" s="312"/>
      <c r="X99" s="312"/>
      <c r="Y99" s="312"/>
      <c r="Z99" s="312"/>
    </row>
    <row r="100" customHeight="1" spans="1:26">
      <c r="A100" s="312"/>
      <c r="B100" s="312"/>
      <c r="C100" s="312"/>
      <c r="D100" s="312"/>
      <c r="E100" s="312"/>
      <c r="F100" s="312"/>
      <c r="G100" s="312"/>
      <c r="H100" s="312"/>
      <c r="I100" s="312"/>
      <c r="J100" s="312"/>
      <c r="K100" s="312"/>
      <c r="L100" s="312"/>
      <c r="M100" s="312"/>
      <c r="N100" s="312"/>
      <c r="O100" s="312"/>
      <c r="P100" s="312"/>
      <c r="Q100" s="312"/>
      <c r="R100" s="312"/>
      <c r="S100" s="312"/>
      <c r="T100" s="312"/>
      <c r="U100" s="312"/>
      <c r="V100" s="312"/>
      <c r="W100" s="312"/>
      <c r="X100" s="312"/>
      <c r="Y100" s="312"/>
      <c r="Z100" s="312"/>
    </row>
    <row r="101" customHeight="1" spans="1:26">
      <c r="A101" s="312"/>
      <c r="B101" s="312"/>
      <c r="C101" s="312"/>
      <c r="D101" s="312"/>
      <c r="E101" s="312"/>
      <c r="F101" s="312"/>
      <c r="G101" s="312"/>
      <c r="H101" s="312"/>
      <c r="I101" s="312"/>
      <c r="J101" s="312"/>
      <c r="K101" s="312"/>
      <c r="L101" s="312"/>
      <c r="M101" s="312"/>
      <c r="N101" s="312"/>
      <c r="O101" s="312"/>
      <c r="P101" s="312"/>
      <c r="Q101" s="312"/>
      <c r="R101" s="312"/>
      <c r="S101" s="312"/>
      <c r="T101" s="312"/>
      <c r="U101" s="312"/>
      <c r="V101" s="312"/>
      <c r="W101" s="312"/>
      <c r="X101" s="312"/>
      <c r="Y101" s="312"/>
      <c r="Z101" s="312"/>
    </row>
    <row r="102" customHeight="1" spans="1:26">
      <c r="A102" s="312"/>
      <c r="B102" s="312"/>
      <c r="C102" s="312"/>
      <c r="D102" s="312"/>
      <c r="E102" s="312"/>
      <c r="F102" s="312"/>
      <c r="G102" s="312"/>
      <c r="H102" s="312"/>
      <c r="I102" s="312"/>
      <c r="J102" s="312"/>
      <c r="K102" s="312"/>
      <c r="L102" s="312"/>
      <c r="M102" s="312"/>
      <c r="N102" s="312"/>
      <c r="O102" s="312"/>
      <c r="P102" s="312"/>
      <c r="Q102" s="312"/>
      <c r="R102" s="312"/>
      <c r="S102" s="312"/>
      <c r="T102" s="312"/>
      <c r="U102" s="312"/>
      <c r="V102" s="312"/>
      <c r="W102" s="312"/>
      <c r="X102" s="312"/>
      <c r="Y102" s="312"/>
      <c r="Z102" s="312"/>
    </row>
    <row r="103" customHeight="1" spans="1:26">
      <c r="A103" s="312"/>
      <c r="B103" s="312"/>
      <c r="C103" s="312"/>
      <c r="D103" s="312"/>
      <c r="E103" s="312"/>
      <c r="F103" s="312"/>
      <c r="G103" s="312"/>
      <c r="H103" s="312"/>
      <c r="I103" s="312"/>
      <c r="J103" s="312"/>
      <c r="K103" s="312"/>
      <c r="L103" s="312"/>
      <c r="M103" s="312"/>
      <c r="N103" s="312"/>
      <c r="O103" s="312"/>
      <c r="P103" s="312"/>
      <c r="Q103" s="312"/>
      <c r="R103" s="312"/>
      <c r="S103" s="312"/>
      <c r="T103" s="312"/>
      <c r="U103" s="312"/>
      <c r="V103" s="312"/>
      <c r="W103" s="312"/>
      <c r="X103" s="312"/>
      <c r="Y103" s="312"/>
      <c r="Z103" s="312"/>
    </row>
    <row r="104" customHeight="1" spans="1:26">
      <c r="A104" s="312"/>
      <c r="B104" s="312"/>
      <c r="C104" s="312"/>
      <c r="D104" s="312"/>
      <c r="E104" s="312"/>
      <c r="F104" s="312"/>
      <c r="G104" s="312"/>
      <c r="H104" s="312"/>
      <c r="I104" s="312"/>
      <c r="J104" s="312"/>
      <c r="K104" s="312"/>
      <c r="L104" s="312"/>
      <c r="M104" s="312"/>
      <c r="N104" s="312"/>
      <c r="O104" s="312"/>
      <c r="P104" s="312"/>
      <c r="Q104" s="312"/>
      <c r="R104" s="312"/>
      <c r="S104" s="312"/>
      <c r="T104" s="312"/>
      <c r="U104" s="312"/>
      <c r="V104" s="312"/>
      <c r="W104" s="312"/>
      <c r="X104" s="312"/>
      <c r="Y104" s="312"/>
      <c r="Z104" s="312"/>
    </row>
    <row r="105" customHeight="1" spans="1:26">
      <c r="A105" s="312"/>
      <c r="B105" s="312"/>
      <c r="C105" s="312"/>
      <c r="D105" s="312"/>
      <c r="E105" s="312"/>
      <c r="F105" s="312"/>
      <c r="G105" s="312"/>
      <c r="H105" s="312"/>
      <c r="I105" s="312"/>
      <c r="J105" s="312"/>
      <c r="K105" s="312"/>
      <c r="L105" s="312"/>
      <c r="M105" s="312"/>
      <c r="N105" s="312"/>
      <c r="O105" s="312"/>
      <c r="P105" s="312"/>
      <c r="Q105" s="312"/>
      <c r="R105" s="312"/>
      <c r="S105" s="312"/>
      <c r="T105" s="312"/>
      <c r="U105" s="312"/>
      <c r="V105" s="312"/>
      <c r="W105" s="312"/>
      <c r="X105" s="312"/>
      <c r="Y105" s="312"/>
      <c r="Z105" s="312"/>
    </row>
    <row r="106" customHeight="1" spans="1:26">
      <c r="A106" s="312"/>
      <c r="B106" s="312"/>
      <c r="C106" s="312"/>
      <c r="D106" s="312"/>
      <c r="E106" s="312"/>
      <c r="F106" s="312"/>
      <c r="G106" s="312"/>
      <c r="H106" s="312"/>
      <c r="I106" s="312"/>
      <c r="J106" s="312"/>
      <c r="K106" s="312"/>
      <c r="L106" s="312"/>
      <c r="M106" s="312"/>
      <c r="N106" s="312"/>
      <c r="O106" s="312"/>
      <c r="P106" s="312"/>
      <c r="Q106" s="312"/>
      <c r="R106" s="312"/>
      <c r="S106" s="312"/>
      <c r="T106" s="312"/>
      <c r="U106" s="312"/>
      <c r="V106" s="312"/>
      <c r="W106" s="312"/>
      <c r="X106" s="312"/>
      <c r="Y106" s="312"/>
      <c r="Z106" s="312"/>
    </row>
    <row r="107" customHeight="1" spans="1:26">
      <c r="A107" s="312"/>
      <c r="B107" s="312"/>
      <c r="C107" s="312"/>
      <c r="D107" s="312"/>
      <c r="E107" s="312"/>
      <c r="F107" s="312"/>
      <c r="G107" s="312"/>
      <c r="H107" s="312"/>
      <c r="I107" s="312"/>
      <c r="J107" s="312"/>
      <c r="K107" s="312"/>
      <c r="L107" s="312"/>
      <c r="M107" s="312"/>
      <c r="N107" s="312"/>
      <c r="O107" s="312"/>
      <c r="P107" s="312"/>
      <c r="Q107" s="312"/>
      <c r="R107" s="312"/>
      <c r="S107" s="312"/>
      <c r="T107" s="312"/>
      <c r="U107" s="312"/>
      <c r="V107" s="312"/>
      <c r="W107" s="312"/>
      <c r="X107" s="312"/>
      <c r="Y107" s="312"/>
      <c r="Z107" s="312"/>
    </row>
    <row r="108" customHeight="1" spans="1:26">
      <c r="A108" s="312"/>
      <c r="B108" s="312"/>
      <c r="C108" s="312"/>
      <c r="D108" s="312"/>
      <c r="E108" s="312"/>
      <c r="F108" s="312"/>
      <c r="G108" s="312"/>
      <c r="H108" s="312"/>
      <c r="I108" s="312"/>
      <c r="J108" s="312"/>
      <c r="K108" s="312"/>
      <c r="L108" s="312"/>
      <c r="M108" s="312"/>
      <c r="N108" s="312"/>
      <c r="O108" s="312"/>
      <c r="P108" s="312"/>
      <c r="Q108" s="312"/>
      <c r="R108" s="312"/>
      <c r="S108" s="312"/>
      <c r="T108" s="312"/>
      <c r="U108" s="312"/>
      <c r="V108" s="312"/>
      <c r="W108" s="312"/>
      <c r="X108" s="312"/>
      <c r="Y108" s="312"/>
      <c r="Z108" s="312"/>
    </row>
    <row r="109" customHeight="1" spans="1:26">
      <c r="A109" s="312"/>
      <c r="B109" s="312"/>
      <c r="C109" s="312"/>
      <c r="D109" s="312"/>
      <c r="E109" s="312"/>
      <c r="F109" s="312"/>
      <c r="G109" s="312"/>
      <c r="H109" s="312"/>
      <c r="I109" s="312"/>
      <c r="J109" s="312"/>
      <c r="K109" s="312"/>
      <c r="L109" s="312"/>
      <c r="M109" s="312"/>
      <c r="N109" s="312"/>
      <c r="O109" s="312"/>
      <c r="P109" s="312"/>
      <c r="Q109" s="312"/>
      <c r="R109" s="312"/>
      <c r="S109" s="312"/>
      <c r="T109" s="312"/>
      <c r="U109" s="312"/>
      <c r="V109" s="312"/>
      <c r="W109" s="312"/>
      <c r="X109" s="312"/>
      <c r="Y109" s="312"/>
      <c r="Z109" s="312"/>
    </row>
    <row r="110" customHeight="1" spans="1:26">
      <c r="A110" s="312"/>
      <c r="B110" s="312"/>
      <c r="C110" s="312"/>
      <c r="D110" s="312"/>
      <c r="E110" s="312"/>
      <c r="F110" s="312"/>
      <c r="G110" s="312"/>
      <c r="H110" s="312"/>
      <c r="I110" s="312"/>
      <c r="J110" s="312"/>
      <c r="K110" s="312"/>
      <c r="L110" s="312"/>
      <c r="M110" s="312"/>
      <c r="N110" s="312"/>
      <c r="O110" s="312"/>
      <c r="P110" s="312"/>
      <c r="Q110" s="312"/>
      <c r="R110" s="312"/>
      <c r="S110" s="312"/>
      <c r="T110" s="312"/>
      <c r="U110" s="312"/>
      <c r="V110" s="312"/>
      <c r="W110" s="312"/>
      <c r="X110" s="312"/>
      <c r="Y110" s="312"/>
      <c r="Z110" s="312"/>
    </row>
    <row r="111" customHeight="1" spans="1:26">
      <c r="A111" s="312"/>
      <c r="B111" s="312"/>
      <c r="C111" s="312"/>
      <c r="D111" s="312"/>
      <c r="E111" s="312"/>
      <c r="F111" s="312"/>
      <c r="G111" s="312"/>
      <c r="H111" s="312"/>
      <c r="I111" s="312"/>
      <c r="J111" s="312"/>
      <c r="K111" s="312"/>
      <c r="L111" s="312"/>
      <c r="M111" s="312"/>
      <c r="N111" s="312"/>
      <c r="O111" s="312"/>
      <c r="P111" s="312"/>
      <c r="Q111" s="312"/>
      <c r="R111" s="312"/>
      <c r="S111" s="312"/>
      <c r="T111" s="312"/>
      <c r="U111" s="312"/>
      <c r="V111" s="312"/>
      <c r="W111" s="312"/>
      <c r="X111" s="312"/>
      <c r="Y111" s="312"/>
      <c r="Z111" s="312"/>
    </row>
    <row r="112" customHeight="1" spans="1:26">
      <c r="A112" s="312"/>
      <c r="B112" s="312"/>
      <c r="C112" s="312"/>
      <c r="D112" s="312"/>
      <c r="E112" s="312"/>
      <c r="F112" s="312"/>
      <c r="G112" s="312"/>
      <c r="H112" s="312"/>
      <c r="I112" s="312"/>
      <c r="J112" s="312"/>
      <c r="K112" s="312"/>
      <c r="L112" s="312"/>
      <c r="M112" s="312"/>
      <c r="N112" s="312"/>
      <c r="O112" s="312"/>
      <c r="P112" s="312"/>
      <c r="Q112" s="312"/>
      <c r="R112" s="312"/>
      <c r="S112" s="312"/>
      <c r="T112" s="312"/>
      <c r="U112" s="312"/>
      <c r="V112" s="312"/>
      <c r="W112" s="312"/>
      <c r="X112" s="312"/>
      <c r="Y112" s="312"/>
      <c r="Z112" s="312"/>
    </row>
    <row r="113" customHeight="1" spans="1:26">
      <c r="A113" s="312"/>
      <c r="B113" s="312"/>
      <c r="C113" s="312"/>
      <c r="D113" s="312"/>
      <c r="E113" s="312"/>
      <c r="F113" s="312"/>
      <c r="G113" s="312"/>
      <c r="H113" s="312"/>
      <c r="I113" s="312"/>
      <c r="J113" s="312"/>
      <c r="K113" s="312"/>
      <c r="L113" s="312"/>
      <c r="M113" s="312"/>
      <c r="N113" s="312"/>
      <c r="O113" s="312"/>
      <c r="P113" s="312"/>
      <c r="Q113" s="312"/>
      <c r="R113" s="312"/>
      <c r="S113" s="312"/>
      <c r="T113" s="312"/>
      <c r="U113" s="312"/>
      <c r="V113" s="312"/>
      <c r="W113" s="312"/>
      <c r="X113" s="312"/>
      <c r="Y113" s="312"/>
      <c r="Z113" s="312"/>
    </row>
    <row r="114" customHeight="1" spans="1:26">
      <c r="A114" s="312"/>
      <c r="B114" s="312"/>
      <c r="C114" s="312"/>
      <c r="D114" s="312"/>
      <c r="E114" s="312"/>
      <c r="F114" s="312"/>
      <c r="G114" s="312"/>
      <c r="H114" s="312"/>
      <c r="I114" s="312"/>
      <c r="J114" s="312"/>
      <c r="K114" s="312"/>
      <c r="L114" s="312"/>
      <c r="M114" s="312"/>
      <c r="N114" s="312"/>
      <c r="O114" s="312"/>
      <c r="P114" s="312"/>
      <c r="Q114" s="312"/>
      <c r="R114" s="312"/>
      <c r="S114" s="312"/>
      <c r="T114" s="312"/>
      <c r="U114" s="312"/>
      <c r="V114" s="312"/>
      <c r="W114" s="312"/>
      <c r="X114" s="312"/>
      <c r="Y114" s="312"/>
      <c r="Z114" s="312"/>
    </row>
    <row r="115" customHeight="1" spans="1:26">
      <c r="A115" s="312"/>
      <c r="B115" s="312"/>
      <c r="C115" s="312"/>
      <c r="D115" s="312"/>
      <c r="E115" s="312"/>
      <c r="F115" s="312"/>
      <c r="G115" s="312"/>
      <c r="H115" s="312"/>
      <c r="I115" s="312"/>
      <c r="J115" s="312"/>
      <c r="K115" s="312"/>
      <c r="L115" s="312"/>
      <c r="M115" s="312"/>
      <c r="N115" s="312"/>
      <c r="O115" s="312"/>
      <c r="P115" s="312"/>
      <c r="Q115" s="312"/>
      <c r="R115" s="312"/>
      <c r="S115" s="312"/>
      <c r="T115" s="312"/>
      <c r="U115" s="312"/>
      <c r="V115" s="312"/>
      <c r="W115" s="312"/>
      <c r="X115" s="312"/>
      <c r="Y115" s="312"/>
      <c r="Z115" s="312"/>
    </row>
    <row r="116" customHeight="1" spans="1:26">
      <c r="A116" s="312"/>
      <c r="B116" s="312"/>
      <c r="C116" s="312"/>
      <c r="D116" s="312"/>
      <c r="E116" s="312"/>
      <c r="F116" s="312"/>
      <c r="G116" s="312"/>
      <c r="H116" s="312"/>
      <c r="I116" s="312"/>
      <c r="J116" s="312"/>
      <c r="K116" s="312"/>
      <c r="L116" s="312"/>
      <c r="M116" s="312"/>
      <c r="N116" s="312"/>
      <c r="O116" s="312"/>
      <c r="P116" s="312"/>
      <c r="Q116" s="312"/>
      <c r="R116" s="312"/>
      <c r="S116" s="312"/>
      <c r="T116" s="312"/>
      <c r="U116" s="312"/>
      <c r="V116" s="312"/>
      <c r="W116" s="312"/>
      <c r="X116" s="312"/>
      <c r="Y116" s="312"/>
      <c r="Z116" s="312"/>
    </row>
    <row r="117" customHeight="1" spans="1:26">
      <c r="A117" s="312"/>
      <c r="B117" s="312"/>
      <c r="C117" s="312"/>
      <c r="D117" s="312"/>
      <c r="E117" s="312"/>
      <c r="F117" s="312"/>
      <c r="G117" s="312"/>
      <c r="H117" s="312"/>
      <c r="I117" s="312"/>
      <c r="J117" s="312"/>
      <c r="K117" s="312"/>
      <c r="L117" s="312"/>
      <c r="M117" s="312"/>
      <c r="N117" s="312"/>
      <c r="O117" s="312"/>
      <c r="P117" s="312"/>
      <c r="Q117" s="312"/>
      <c r="R117" s="312"/>
      <c r="S117" s="312"/>
      <c r="T117" s="312"/>
      <c r="U117" s="312"/>
      <c r="V117" s="312"/>
      <c r="W117" s="312"/>
      <c r="X117" s="312"/>
      <c r="Y117" s="312"/>
      <c r="Z117" s="312"/>
    </row>
    <row r="118" customHeight="1" spans="1:26">
      <c r="A118" s="312"/>
      <c r="B118" s="312"/>
      <c r="C118" s="312"/>
      <c r="D118" s="312"/>
      <c r="E118" s="312"/>
      <c r="F118" s="312"/>
      <c r="G118" s="312"/>
      <c r="H118" s="312"/>
      <c r="I118" s="312"/>
      <c r="J118" s="312"/>
      <c r="K118" s="312"/>
      <c r="L118" s="312"/>
      <c r="M118" s="312"/>
      <c r="N118" s="312"/>
      <c r="O118" s="312"/>
      <c r="P118" s="312"/>
      <c r="Q118" s="312"/>
      <c r="R118" s="312"/>
      <c r="S118" s="312"/>
      <c r="T118" s="312"/>
      <c r="U118" s="312"/>
      <c r="V118" s="312"/>
      <c r="W118" s="312"/>
      <c r="X118" s="312"/>
      <c r="Y118" s="312"/>
      <c r="Z118" s="312"/>
    </row>
    <row r="119" customHeight="1" spans="1:26">
      <c r="A119" s="312"/>
      <c r="B119" s="312"/>
      <c r="C119" s="312"/>
      <c r="D119" s="312"/>
      <c r="E119" s="312"/>
      <c r="F119" s="312"/>
      <c r="G119" s="312"/>
      <c r="H119" s="312"/>
      <c r="I119" s="312"/>
      <c r="J119" s="312"/>
      <c r="K119" s="312"/>
      <c r="L119" s="312"/>
      <c r="M119" s="312"/>
      <c r="N119" s="312"/>
      <c r="O119" s="312"/>
      <c r="P119" s="312"/>
      <c r="Q119" s="312"/>
      <c r="R119" s="312"/>
      <c r="S119" s="312"/>
      <c r="T119" s="312"/>
      <c r="U119" s="312"/>
      <c r="V119" s="312"/>
      <c r="W119" s="312"/>
      <c r="X119" s="312"/>
      <c r="Y119" s="312"/>
      <c r="Z119" s="312"/>
    </row>
    <row r="120" customHeight="1" spans="1:26">
      <c r="A120" s="312"/>
      <c r="B120" s="312"/>
      <c r="C120" s="312"/>
      <c r="D120" s="312"/>
      <c r="E120" s="312"/>
      <c r="F120" s="312"/>
      <c r="G120" s="312"/>
      <c r="H120" s="312"/>
      <c r="I120" s="312"/>
      <c r="J120" s="312"/>
      <c r="K120" s="312"/>
      <c r="L120" s="312"/>
      <c r="M120" s="312"/>
      <c r="N120" s="312"/>
      <c r="O120" s="312"/>
      <c r="P120" s="312"/>
      <c r="Q120" s="312"/>
      <c r="R120" s="312"/>
      <c r="S120" s="312"/>
      <c r="T120" s="312"/>
      <c r="U120" s="312"/>
      <c r="V120" s="312"/>
      <c r="W120" s="312"/>
      <c r="X120" s="312"/>
      <c r="Y120" s="312"/>
      <c r="Z120" s="312"/>
    </row>
    <row r="121" customHeight="1" spans="1:26">
      <c r="A121" s="312"/>
      <c r="B121" s="312"/>
      <c r="C121" s="312"/>
      <c r="D121" s="312"/>
      <c r="E121" s="312"/>
      <c r="F121" s="312"/>
      <c r="G121" s="312"/>
      <c r="H121" s="312"/>
      <c r="I121" s="312"/>
      <c r="J121" s="312"/>
      <c r="K121" s="312"/>
      <c r="L121" s="312"/>
      <c r="M121" s="312"/>
      <c r="N121" s="312"/>
      <c r="O121" s="312"/>
      <c r="P121" s="312"/>
      <c r="Q121" s="312"/>
      <c r="R121" s="312"/>
      <c r="S121" s="312"/>
      <c r="T121" s="312"/>
      <c r="U121" s="312"/>
      <c r="V121" s="312"/>
      <c r="W121" s="312"/>
      <c r="X121" s="312"/>
      <c r="Y121" s="312"/>
      <c r="Z121" s="312"/>
    </row>
    <row r="122" customHeight="1" spans="1:26">
      <c r="A122" s="312"/>
      <c r="B122" s="312"/>
      <c r="C122" s="312"/>
      <c r="D122" s="312"/>
      <c r="E122" s="312"/>
      <c r="F122" s="312"/>
      <c r="G122" s="312"/>
      <c r="H122" s="312"/>
      <c r="I122" s="312"/>
      <c r="J122" s="312"/>
      <c r="K122" s="312"/>
      <c r="L122" s="312"/>
      <c r="M122" s="312"/>
      <c r="N122" s="312"/>
      <c r="O122" s="312"/>
      <c r="P122" s="312"/>
      <c r="Q122" s="312"/>
      <c r="R122" s="312"/>
      <c r="S122" s="312"/>
      <c r="T122" s="312"/>
      <c r="U122" s="312"/>
      <c r="V122" s="312"/>
      <c r="W122" s="312"/>
      <c r="X122" s="312"/>
      <c r="Y122" s="312"/>
      <c r="Z122" s="312"/>
    </row>
    <row r="123" customHeight="1" spans="1:26">
      <c r="A123" s="312"/>
      <c r="B123" s="312"/>
      <c r="C123" s="312"/>
      <c r="D123" s="312"/>
      <c r="E123" s="312"/>
      <c r="F123" s="312"/>
      <c r="G123" s="312"/>
      <c r="H123" s="312"/>
      <c r="I123" s="312"/>
      <c r="J123" s="312"/>
      <c r="K123" s="312"/>
      <c r="L123" s="312"/>
      <c r="M123" s="312"/>
      <c r="N123" s="312"/>
      <c r="O123" s="312"/>
      <c r="P123" s="312"/>
      <c r="Q123" s="312"/>
      <c r="R123" s="312"/>
      <c r="S123" s="312"/>
      <c r="T123" s="312"/>
      <c r="U123" s="312"/>
      <c r="V123" s="312"/>
      <c r="W123" s="312"/>
      <c r="X123" s="312"/>
      <c r="Y123" s="312"/>
      <c r="Z123" s="312"/>
    </row>
    <row r="124" customHeight="1" spans="1:26">
      <c r="A124" s="312"/>
      <c r="B124" s="312"/>
      <c r="C124" s="312"/>
      <c r="D124" s="312"/>
      <c r="E124" s="312"/>
      <c r="F124" s="312"/>
      <c r="G124" s="312"/>
      <c r="H124" s="312"/>
      <c r="I124" s="312"/>
      <c r="J124" s="312"/>
      <c r="K124" s="312"/>
      <c r="L124" s="312"/>
      <c r="M124" s="312"/>
      <c r="N124" s="312"/>
      <c r="O124" s="312"/>
      <c r="P124" s="312"/>
      <c r="Q124" s="312"/>
      <c r="R124" s="312"/>
      <c r="S124" s="312"/>
      <c r="T124" s="312"/>
      <c r="U124" s="312"/>
      <c r="V124" s="312"/>
      <c r="W124" s="312"/>
      <c r="X124" s="312"/>
      <c r="Y124" s="312"/>
      <c r="Z124" s="312"/>
    </row>
    <row r="125" customHeight="1" spans="1:26">
      <c r="A125" s="312"/>
      <c r="B125" s="312"/>
      <c r="C125" s="312"/>
      <c r="D125" s="312"/>
      <c r="E125" s="312"/>
      <c r="F125" s="312"/>
      <c r="G125" s="312"/>
      <c r="H125" s="312"/>
      <c r="I125" s="312"/>
      <c r="J125" s="312"/>
      <c r="K125" s="312"/>
      <c r="L125" s="312"/>
      <c r="M125" s="312"/>
      <c r="N125" s="312"/>
      <c r="O125" s="312"/>
      <c r="P125" s="312"/>
      <c r="Q125" s="312"/>
      <c r="R125" s="312"/>
      <c r="S125" s="312"/>
      <c r="T125" s="312"/>
      <c r="U125" s="312"/>
      <c r="V125" s="312"/>
      <c r="W125" s="312"/>
      <c r="X125" s="312"/>
      <c r="Y125" s="312"/>
      <c r="Z125" s="312"/>
    </row>
    <row r="126" customHeight="1" spans="1:26">
      <c r="A126" s="312"/>
      <c r="B126" s="312"/>
      <c r="C126" s="312"/>
      <c r="D126" s="312"/>
      <c r="E126" s="312"/>
      <c r="F126" s="312"/>
      <c r="G126" s="312"/>
      <c r="H126" s="312"/>
      <c r="I126" s="312"/>
      <c r="J126" s="312"/>
      <c r="K126" s="312"/>
      <c r="L126" s="312"/>
      <c r="M126" s="312"/>
      <c r="N126" s="312"/>
      <c r="O126" s="312"/>
      <c r="P126" s="312"/>
      <c r="Q126" s="312"/>
      <c r="R126" s="312"/>
      <c r="S126" s="312"/>
      <c r="T126" s="312"/>
      <c r="U126" s="312"/>
      <c r="V126" s="312"/>
      <c r="W126" s="312"/>
      <c r="X126" s="312"/>
      <c r="Y126" s="312"/>
      <c r="Z126" s="312"/>
    </row>
    <row r="127" customHeight="1" spans="1:26">
      <c r="A127" s="312"/>
      <c r="B127" s="312"/>
      <c r="C127" s="312"/>
      <c r="D127" s="312"/>
      <c r="E127" s="312"/>
      <c r="F127" s="312"/>
      <c r="G127" s="312"/>
      <c r="H127" s="312"/>
      <c r="I127" s="312"/>
      <c r="J127" s="312"/>
      <c r="K127" s="312"/>
      <c r="L127" s="312"/>
      <c r="M127" s="312"/>
      <c r="N127" s="312"/>
      <c r="O127" s="312"/>
      <c r="P127" s="312"/>
      <c r="Q127" s="312"/>
      <c r="R127" s="312"/>
      <c r="S127" s="312"/>
      <c r="T127" s="312"/>
      <c r="U127" s="312"/>
      <c r="V127" s="312"/>
      <c r="W127" s="312"/>
      <c r="X127" s="312"/>
      <c r="Y127" s="312"/>
      <c r="Z127" s="312"/>
    </row>
    <row r="128" customHeight="1" spans="1:26">
      <c r="A128" s="312"/>
      <c r="B128" s="312"/>
      <c r="C128" s="312"/>
      <c r="D128" s="312"/>
      <c r="E128" s="312"/>
      <c r="F128" s="312"/>
      <c r="G128" s="312"/>
      <c r="H128" s="312"/>
      <c r="I128" s="312"/>
      <c r="J128" s="312"/>
      <c r="K128" s="312"/>
      <c r="L128" s="312"/>
      <c r="M128" s="312"/>
      <c r="N128" s="312"/>
      <c r="O128" s="312"/>
      <c r="P128" s="312"/>
      <c r="Q128" s="312"/>
      <c r="R128" s="312"/>
      <c r="S128" s="312"/>
      <c r="T128" s="312"/>
      <c r="U128" s="312"/>
      <c r="V128" s="312"/>
      <c r="W128" s="312"/>
      <c r="X128" s="312"/>
      <c r="Y128" s="312"/>
      <c r="Z128" s="312"/>
    </row>
    <row r="129" customHeight="1" spans="1:26">
      <c r="A129" s="312"/>
      <c r="B129" s="312"/>
      <c r="C129" s="312"/>
      <c r="D129" s="312"/>
      <c r="E129" s="312"/>
      <c r="F129" s="312"/>
      <c r="G129" s="312"/>
      <c r="H129" s="312"/>
      <c r="I129" s="312"/>
      <c r="J129" s="312"/>
      <c r="K129" s="312"/>
      <c r="L129" s="312"/>
      <c r="M129" s="312"/>
      <c r="N129" s="312"/>
      <c r="O129" s="312"/>
      <c r="P129" s="312"/>
      <c r="Q129" s="312"/>
      <c r="R129" s="312"/>
      <c r="S129" s="312"/>
      <c r="T129" s="312"/>
      <c r="U129" s="312"/>
      <c r="V129" s="312"/>
      <c r="W129" s="312"/>
      <c r="X129" s="312"/>
      <c r="Y129" s="312"/>
      <c r="Z129" s="312"/>
    </row>
    <row r="130" customHeight="1" spans="1:26">
      <c r="A130" s="312"/>
      <c r="B130" s="312"/>
      <c r="C130" s="312"/>
      <c r="D130" s="312"/>
      <c r="E130" s="312"/>
      <c r="F130" s="312"/>
      <c r="G130" s="312"/>
      <c r="H130" s="312"/>
      <c r="I130" s="312"/>
      <c r="J130" s="312"/>
      <c r="K130" s="312"/>
      <c r="L130" s="312"/>
      <c r="M130" s="312"/>
      <c r="N130" s="312"/>
      <c r="O130" s="312"/>
      <c r="P130" s="312"/>
      <c r="Q130" s="312"/>
      <c r="R130" s="312"/>
      <c r="S130" s="312"/>
      <c r="T130" s="312"/>
      <c r="U130" s="312"/>
      <c r="V130" s="312"/>
      <c r="W130" s="312"/>
      <c r="X130" s="312"/>
      <c r="Y130" s="312"/>
      <c r="Z130" s="312"/>
    </row>
    <row r="131" customHeight="1" spans="1:26">
      <c r="A131" s="312"/>
      <c r="B131" s="312"/>
      <c r="C131" s="312"/>
      <c r="D131" s="312"/>
      <c r="E131" s="312"/>
      <c r="F131" s="312"/>
      <c r="G131" s="312"/>
      <c r="H131" s="312"/>
      <c r="I131" s="312"/>
      <c r="J131" s="312"/>
      <c r="K131" s="312"/>
      <c r="L131" s="312"/>
      <c r="M131" s="312"/>
      <c r="N131" s="312"/>
      <c r="O131" s="312"/>
      <c r="P131" s="312"/>
      <c r="Q131" s="312"/>
      <c r="R131" s="312"/>
      <c r="S131" s="312"/>
      <c r="T131" s="312"/>
      <c r="U131" s="312"/>
      <c r="V131" s="312"/>
      <c r="W131" s="312"/>
      <c r="X131" s="312"/>
      <c r="Y131" s="312"/>
      <c r="Z131" s="312"/>
    </row>
    <row r="132" customHeight="1" spans="1:26">
      <c r="A132" s="312"/>
      <c r="B132" s="312"/>
      <c r="C132" s="312"/>
      <c r="D132" s="312"/>
      <c r="E132" s="312"/>
      <c r="F132" s="312"/>
      <c r="G132" s="312"/>
      <c r="H132" s="312"/>
      <c r="I132" s="312"/>
      <c r="J132" s="312"/>
      <c r="K132" s="312"/>
      <c r="L132" s="312"/>
      <c r="M132" s="312"/>
      <c r="N132" s="312"/>
      <c r="O132" s="312"/>
      <c r="P132" s="312"/>
      <c r="Q132" s="312"/>
      <c r="R132" s="312"/>
      <c r="S132" s="312"/>
      <c r="T132" s="312"/>
      <c r="U132" s="312"/>
      <c r="V132" s="312"/>
      <c r="W132" s="312"/>
      <c r="X132" s="312"/>
      <c r="Y132" s="312"/>
      <c r="Z132" s="312"/>
    </row>
    <row r="133" customHeight="1" spans="1:26">
      <c r="A133" s="312"/>
      <c r="B133" s="312"/>
      <c r="C133" s="312"/>
      <c r="D133" s="312"/>
      <c r="E133" s="312"/>
      <c r="F133" s="312"/>
      <c r="G133" s="312"/>
      <c r="H133" s="312"/>
      <c r="I133" s="312"/>
      <c r="J133" s="312"/>
      <c r="K133" s="312"/>
      <c r="L133" s="312"/>
      <c r="M133" s="312"/>
      <c r="N133" s="312"/>
      <c r="O133" s="312"/>
      <c r="P133" s="312"/>
      <c r="Q133" s="312"/>
      <c r="R133" s="312"/>
      <c r="S133" s="312"/>
      <c r="T133" s="312"/>
      <c r="U133" s="312"/>
      <c r="V133" s="312"/>
      <c r="W133" s="312"/>
      <c r="X133" s="312"/>
      <c r="Y133" s="312"/>
      <c r="Z133" s="312"/>
    </row>
    <row r="134" customHeight="1" spans="1:26">
      <c r="A134" s="312"/>
      <c r="B134" s="312"/>
      <c r="C134" s="312"/>
      <c r="D134" s="312"/>
      <c r="E134" s="312"/>
      <c r="F134" s="312"/>
      <c r="G134" s="312"/>
      <c r="H134" s="312"/>
      <c r="I134" s="312"/>
      <c r="J134" s="312"/>
      <c r="K134" s="312"/>
      <c r="L134" s="312"/>
      <c r="M134" s="312"/>
      <c r="N134" s="312"/>
      <c r="O134" s="312"/>
      <c r="P134" s="312"/>
      <c r="Q134" s="312"/>
      <c r="R134" s="312"/>
      <c r="S134" s="312"/>
      <c r="T134" s="312"/>
      <c r="U134" s="312"/>
      <c r="V134" s="312"/>
      <c r="W134" s="312"/>
      <c r="X134" s="312"/>
      <c r="Y134" s="312"/>
      <c r="Z134" s="312"/>
    </row>
    <row r="135" customHeight="1" spans="1:26">
      <c r="A135" s="312"/>
      <c r="B135" s="312"/>
      <c r="C135" s="312"/>
      <c r="D135" s="312"/>
      <c r="E135" s="312"/>
      <c r="F135" s="312"/>
      <c r="G135" s="312"/>
      <c r="H135" s="312"/>
      <c r="I135" s="312"/>
      <c r="J135" s="312"/>
      <c r="K135" s="312"/>
      <c r="L135" s="312"/>
      <c r="M135" s="312"/>
      <c r="N135" s="312"/>
      <c r="O135" s="312"/>
      <c r="P135" s="312"/>
      <c r="Q135" s="312"/>
      <c r="R135" s="312"/>
      <c r="S135" s="312"/>
      <c r="T135" s="312"/>
      <c r="U135" s="312"/>
      <c r="V135" s="312"/>
      <c r="W135" s="312"/>
      <c r="X135" s="312"/>
      <c r="Y135" s="312"/>
      <c r="Z135" s="312"/>
    </row>
    <row r="136" customHeight="1" spans="1:26">
      <c r="A136" s="312"/>
      <c r="B136" s="312"/>
      <c r="C136" s="312"/>
      <c r="D136" s="312"/>
      <c r="E136" s="312"/>
      <c r="F136" s="312"/>
      <c r="G136" s="312"/>
      <c r="H136" s="312"/>
      <c r="I136" s="312"/>
      <c r="J136" s="312"/>
      <c r="K136" s="312"/>
      <c r="L136" s="312"/>
      <c r="M136" s="312"/>
      <c r="N136" s="312"/>
      <c r="O136" s="312"/>
      <c r="P136" s="312"/>
      <c r="Q136" s="312"/>
      <c r="R136" s="312"/>
      <c r="S136" s="312"/>
      <c r="T136" s="312"/>
      <c r="U136" s="312"/>
      <c r="V136" s="312"/>
      <c r="W136" s="312"/>
      <c r="X136" s="312"/>
      <c r="Y136" s="312"/>
      <c r="Z136" s="312"/>
    </row>
    <row r="137" customHeight="1" spans="1:26">
      <c r="A137" s="312"/>
      <c r="B137" s="312"/>
      <c r="C137" s="312"/>
      <c r="D137" s="312"/>
      <c r="E137" s="312"/>
      <c r="F137" s="312"/>
      <c r="G137" s="312"/>
      <c r="H137" s="312"/>
      <c r="I137" s="312"/>
      <c r="J137" s="312"/>
      <c r="K137" s="312"/>
      <c r="L137" s="312"/>
      <c r="M137" s="312"/>
      <c r="N137" s="312"/>
      <c r="O137" s="312"/>
      <c r="P137" s="312"/>
      <c r="Q137" s="312"/>
      <c r="R137" s="312"/>
      <c r="S137" s="312"/>
      <c r="T137" s="312"/>
      <c r="U137" s="312"/>
      <c r="V137" s="312"/>
      <c r="W137" s="312"/>
      <c r="X137" s="312"/>
      <c r="Y137" s="312"/>
      <c r="Z137" s="312"/>
    </row>
    <row r="138" customHeight="1" spans="1:26">
      <c r="A138" s="312"/>
      <c r="B138" s="312"/>
      <c r="C138" s="312"/>
      <c r="D138" s="312"/>
      <c r="E138" s="312"/>
      <c r="F138" s="312"/>
      <c r="G138" s="312"/>
      <c r="H138" s="312"/>
      <c r="I138" s="312"/>
      <c r="J138" s="312"/>
      <c r="K138" s="312"/>
      <c r="L138" s="312"/>
      <c r="M138" s="312"/>
      <c r="N138" s="312"/>
      <c r="O138" s="312"/>
      <c r="P138" s="312"/>
      <c r="Q138" s="312"/>
      <c r="R138" s="312"/>
      <c r="S138" s="312"/>
      <c r="T138" s="312"/>
      <c r="U138" s="312"/>
      <c r="V138" s="312"/>
      <c r="W138" s="312"/>
      <c r="X138" s="312"/>
      <c r="Y138" s="312"/>
      <c r="Z138" s="312"/>
    </row>
    <row r="139" customHeight="1" spans="1:26">
      <c r="A139" s="312"/>
      <c r="B139" s="312"/>
      <c r="C139" s="312"/>
      <c r="D139" s="312"/>
      <c r="E139" s="312"/>
      <c r="F139" s="312"/>
      <c r="G139" s="312"/>
      <c r="H139" s="312"/>
      <c r="I139" s="312"/>
      <c r="J139" s="312"/>
      <c r="K139" s="312"/>
      <c r="L139" s="312"/>
      <c r="M139" s="312"/>
      <c r="N139" s="312"/>
      <c r="O139" s="312"/>
      <c r="P139" s="312"/>
      <c r="Q139" s="312"/>
      <c r="R139" s="312"/>
      <c r="S139" s="312"/>
      <c r="T139" s="312"/>
      <c r="U139" s="312"/>
      <c r="V139" s="312"/>
      <c r="W139" s="312"/>
      <c r="X139" s="312"/>
      <c r="Y139" s="312"/>
      <c r="Z139" s="312"/>
    </row>
    <row r="140" customHeight="1" spans="1:26">
      <c r="A140" s="312"/>
      <c r="B140" s="312"/>
      <c r="C140" s="312"/>
      <c r="D140" s="312"/>
      <c r="E140" s="312"/>
      <c r="F140" s="312"/>
      <c r="G140" s="312"/>
      <c r="H140" s="312"/>
      <c r="I140" s="312"/>
      <c r="J140" s="312"/>
      <c r="K140" s="312"/>
      <c r="L140" s="312"/>
      <c r="M140" s="312"/>
      <c r="N140" s="312"/>
      <c r="O140" s="312"/>
      <c r="P140" s="312"/>
      <c r="Q140" s="312"/>
      <c r="R140" s="312"/>
      <c r="S140" s="312"/>
      <c r="T140" s="312"/>
      <c r="U140" s="312"/>
      <c r="V140" s="312"/>
      <c r="W140" s="312"/>
      <c r="X140" s="312"/>
      <c r="Y140" s="312"/>
      <c r="Z140" s="312"/>
    </row>
    <row r="141" customHeight="1" spans="1:26">
      <c r="A141" s="312"/>
      <c r="B141" s="312"/>
      <c r="C141" s="312"/>
      <c r="D141" s="312"/>
      <c r="E141" s="312"/>
      <c r="F141" s="312"/>
      <c r="G141" s="312"/>
      <c r="H141" s="312"/>
      <c r="I141" s="312"/>
      <c r="J141" s="312"/>
      <c r="K141" s="312"/>
      <c r="L141" s="312"/>
      <c r="M141" s="312"/>
      <c r="N141" s="312"/>
      <c r="O141" s="312"/>
      <c r="P141" s="312"/>
      <c r="Q141" s="312"/>
      <c r="R141" s="312"/>
      <c r="S141" s="312"/>
      <c r="T141" s="312"/>
      <c r="U141" s="312"/>
      <c r="V141" s="312"/>
      <c r="W141" s="312"/>
      <c r="X141" s="312"/>
      <c r="Y141" s="312"/>
      <c r="Z141" s="312"/>
    </row>
    <row r="142" customHeight="1" spans="1:26">
      <c r="A142" s="312"/>
      <c r="B142" s="312"/>
      <c r="C142" s="312"/>
      <c r="D142" s="312"/>
      <c r="E142" s="312"/>
      <c r="F142" s="312"/>
      <c r="G142" s="312"/>
      <c r="H142" s="312"/>
      <c r="I142" s="312"/>
      <c r="J142" s="312"/>
      <c r="K142" s="312"/>
      <c r="L142" s="312"/>
      <c r="M142" s="312"/>
      <c r="N142" s="312"/>
      <c r="O142" s="312"/>
      <c r="P142" s="312"/>
      <c r="Q142" s="312"/>
      <c r="R142" s="312"/>
      <c r="S142" s="312"/>
      <c r="T142" s="312"/>
      <c r="U142" s="312"/>
      <c r="V142" s="312"/>
      <c r="W142" s="312"/>
      <c r="X142" s="312"/>
      <c r="Y142" s="312"/>
      <c r="Z142" s="312"/>
    </row>
    <row r="143" customHeight="1" spans="1:26">
      <c r="A143" s="312"/>
      <c r="B143" s="312"/>
      <c r="C143" s="312"/>
      <c r="D143" s="312"/>
      <c r="E143" s="312"/>
      <c r="F143" s="312"/>
      <c r="G143" s="312"/>
      <c r="H143" s="312"/>
      <c r="I143" s="312"/>
      <c r="J143" s="312"/>
      <c r="K143" s="312"/>
      <c r="L143" s="312"/>
      <c r="M143" s="312"/>
      <c r="N143" s="312"/>
      <c r="O143" s="312"/>
      <c r="P143" s="312"/>
      <c r="Q143" s="312"/>
      <c r="R143" s="312"/>
      <c r="S143" s="312"/>
      <c r="T143" s="312"/>
      <c r="U143" s="312"/>
      <c r="V143" s="312"/>
      <c r="W143" s="312"/>
      <c r="X143" s="312"/>
      <c r="Y143" s="312"/>
      <c r="Z143" s="312"/>
    </row>
    <row r="144" customHeight="1" spans="1:26">
      <c r="A144" s="312"/>
      <c r="B144" s="312"/>
      <c r="C144" s="312"/>
      <c r="D144" s="312"/>
      <c r="E144" s="312"/>
      <c r="F144" s="312"/>
      <c r="G144" s="312"/>
      <c r="H144" s="312"/>
      <c r="I144" s="312"/>
      <c r="J144" s="312"/>
      <c r="K144" s="312"/>
      <c r="L144" s="312"/>
      <c r="M144" s="312"/>
      <c r="N144" s="312"/>
      <c r="O144" s="312"/>
      <c r="P144" s="312"/>
      <c r="Q144" s="312"/>
      <c r="R144" s="312"/>
      <c r="S144" s="312"/>
      <c r="T144" s="312"/>
      <c r="U144" s="312"/>
      <c r="V144" s="312"/>
      <c r="W144" s="312"/>
      <c r="X144" s="312"/>
      <c r="Y144" s="312"/>
      <c r="Z144" s="312"/>
    </row>
    <row r="145" customHeight="1" spans="1:26">
      <c r="A145" s="312"/>
      <c r="B145" s="312"/>
      <c r="C145" s="312"/>
      <c r="D145" s="312"/>
      <c r="E145" s="312"/>
      <c r="F145" s="312"/>
      <c r="G145" s="312"/>
      <c r="H145" s="312"/>
      <c r="I145" s="312"/>
      <c r="J145" s="312"/>
      <c r="K145" s="312"/>
      <c r="L145" s="312"/>
      <c r="M145" s="312"/>
      <c r="N145" s="312"/>
      <c r="O145" s="312"/>
      <c r="P145" s="312"/>
      <c r="Q145" s="312"/>
      <c r="R145" s="312"/>
      <c r="S145" s="312"/>
      <c r="T145" s="312"/>
      <c r="U145" s="312"/>
      <c r="V145" s="312"/>
      <c r="W145" s="312"/>
      <c r="X145" s="312"/>
      <c r="Y145" s="312"/>
      <c r="Z145" s="312"/>
    </row>
    <row r="146" customHeight="1" spans="1:26">
      <c r="A146" s="312"/>
      <c r="B146" s="312"/>
      <c r="C146" s="312"/>
      <c r="D146" s="312"/>
      <c r="E146" s="312"/>
      <c r="F146" s="312"/>
      <c r="G146" s="312"/>
      <c r="H146" s="312"/>
      <c r="I146" s="312"/>
      <c r="J146" s="312"/>
      <c r="K146" s="312"/>
      <c r="L146" s="312"/>
      <c r="M146" s="312"/>
      <c r="N146" s="312"/>
      <c r="O146" s="312"/>
      <c r="P146" s="312"/>
      <c r="Q146" s="312"/>
      <c r="R146" s="312"/>
      <c r="S146" s="312"/>
      <c r="T146" s="312"/>
      <c r="U146" s="312"/>
      <c r="V146" s="312"/>
      <c r="W146" s="312"/>
      <c r="X146" s="312"/>
      <c r="Y146" s="312"/>
      <c r="Z146" s="312"/>
    </row>
    <row r="147" customHeight="1" spans="1:26">
      <c r="A147" s="312"/>
      <c r="B147" s="312"/>
      <c r="C147" s="312"/>
      <c r="D147" s="312"/>
      <c r="E147" s="312"/>
      <c r="F147" s="312"/>
      <c r="G147" s="312"/>
      <c r="H147" s="312"/>
      <c r="I147" s="312"/>
      <c r="J147" s="312"/>
      <c r="K147" s="312"/>
      <c r="L147" s="312"/>
      <c r="M147" s="312"/>
      <c r="N147" s="312"/>
      <c r="O147" s="312"/>
      <c r="P147" s="312"/>
      <c r="Q147" s="312"/>
      <c r="R147" s="312"/>
      <c r="S147" s="312"/>
      <c r="T147" s="312"/>
      <c r="U147" s="312"/>
      <c r="V147" s="312"/>
      <c r="W147" s="312"/>
      <c r="X147" s="312"/>
      <c r="Y147" s="312"/>
      <c r="Z147" s="312"/>
    </row>
    <row r="148" customHeight="1" spans="1:26">
      <c r="A148" s="312"/>
      <c r="B148" s="312"/>
      <c r="C148" s="312"/>
      <c r="D148" s="312"/>
      <c r="E148" s="312"/>
      <c r="F148" s="312"/>
      <c r="G148" s="312"/>
      <c r="H148" s="312"/>
      <c r="I148" s="312"/>
      <c r="J148" s="312"/>
      <c r="K148" s="312"/>
      <c r="L148" s="312"/>
      <c r="M148" s="312"/>
      <c r="N148" s="312"/>
      <c r="O148" s="312"/>
      <c r="P148" s="312"/>
      <c r="Q148" s="312"/>
      <c r="R148" s="312"/>
      <c r="S148" s="312"/>
      <c r="T148" s="312"/>
      <c r="U148" s="312"/>
      <c r="V148" s="312"/>
      <c r="W148" s="312"/>
      <c r="X148" s="312"/>
      <c r="Y148" s="312"/>
      <c r="Z148" s="312"/>
    </row>
    <row r="149" customHeight="1" spans="1:26">
      <c r="A149" s="312"/>
      <c r="B149" s="312"/>
      <c r="C149" s="312"/>
      <c r="D149" s="312"/>
      <c r="E149" s="312"/>
      <c r="F149" s="312"/>
      <c r="G149" s="312"/>
      <c r="H149" s="312"/>
      <c r="I149" s="312"/>
      <c r="J149" s="312"/>
      <c r="K149" s="312"/>
      <c r="L149" s="312"/>
      <c r="M149" s="312"/>
      <c r="N149" s="312"/>
      <c r="O149" s="312"/>
      <c r="P149" s="312"/>
      <c r="Q149" s="312"/>
      <c r="R149" s="312"/>
      <c r="S149" s="312"/>
      <c r="T149" s="312"/>
      <c r="U149" s="312"/>
      <c r="V149" s="312"/>
      <c r="W149" s="312"/>
      <c r="X149" s="312"/>
      <c r="Y149" s="312"/>
      <c r="Z149" s="312"/>
    </row>
    <row r="150" customHeight="1" spans="1:26">
      <c r="A150" s="312"/>
      <c r="B150" s="312"/>
      <c r="C150" s="312"/>
      <c r="D150" s="312"/>
      <c r="E150" s="312"/>
      <c r="F150" s="312"/>
      <c r="G150" s="312"/>
      <c r="H150" s="312"/>
      <c r="I150" s="312"/>
      <c r="J150" s="312"/>
      <c r="K150" s="312"/>
      <c r="L150" s="312"/>
      <c r="M150" s="312"/>
      <c r="N150" s="312"/>
      <c r="O150" s="312"/>
      <c r="P150" s="312"/>
      <c r="Q150" s="312"/>
      <c r="R150" s="312"/>
      <c r="S150" s="312"/>
      <c r="T150" s="312"/>
      <c r="U150" s="312"/>
      <c r="V150" s="312"/>
      <c r="W150" s="312"/>
      <c r="X150" s="312"/>
      <c r="Y150" s="312"/>
      <c r="Z150" s="312"/>
    </row>
    <row r="151" customHeight="1" spans="1:26">
      <c r="A151" s="312"/>
      <c r="B151" s="312"/>
      <c r="C151" s="312"/>
      <c r="D151" s="312"/>
      <c r="E151" s="312"/>
      <c r="F151" s="312"/>
      <c r="G151" s="312"/>
      <c r="H151" s="312"/>
      <c r="I151" s="312"/>
      <c r="J151" s="312"/>
      <c r="K151" s="312"/>
      <c r="L151" s="312"/>
      <c r="M151" s="312"/>
      <c r="N151" s="312"/>
      <c r="O151" s="312"/>
      <c r="P151" s="312"/>
      <c r="Q151" s="312"/>
      <c r="R151" s="312"/>
      <c r="S151" s="312"/>
      <c r="T151" s="312"/>
      <c r="U151" s="312"/>
      <c r="V151" s="312"/>
      <c r="W151" s="312"/>
      <c r="X151" s="312"/>
      <c r="Y151" s="312"/>
      <c r="Z151" s="312"/>
    </row>
    <row r="152" customHeight="1" spans="1:26">
      <c r="A152" s="312"/>
      <c r="B152" s="312"/>
      <c r="C152" s="312"/>
      <c r="D152" s="312"/>
      <c r="E152" s="312"/>
      <c r="F152" s="312"/>
      <c r="G152" s="312"/>
      <c r="H152" s="312"/>
      <c r="I152" s="312"/>
      <c r="J152" s="312"/>
      <c r="K152" s="312"/>
      <c r="L152" s="312"/>
      <c r="M152" s="312"/>
      <c r="N152" s="312"/>
      <c r="O152" s="312"/>
      <c r="P152" s="312"/>
      <c r="Q152" s="312"/>
      <c r="R152" s="312"/>
      <c r="S152" s="312"/>
      <c r="T152" s="312"/>
      <c r="U152" s="312"/>
      <c r="V152" s="312"/>
      <c r="W152" s="312"/>
      <c r="X152" s="312"/>
      <c r="Y152" s="312"/>
      <c r="Z152" s="312"/>
    </row>
    <row r="153" customHeight="1" spans="1:26">
      <c r="A153" s="312"/>
      <c r="B153" s="312"/>
      <c r="C153" s="312"/>
      <c r="D153" s="312"/>
      <c r="E153" s="312"/>
      <c r="F153" s="312"/>
      <c r="G153" s="312"/>
      <c r="H153" s="312"/>
      <c r="I153" s="312"/>
      <c r="J153" s="312"/>
      <c r="K153" s="312"/>
      <c r="L153" s="312"/>
      <c r="M153" s="312"/>
      <c r="N153" s="312"/>
      <c r="O153" s="312"/>
      <c r="P153" s="312"/>
      <c r="Q153" s="312"/>
      <c r="R153" s="312"/>
      <c r="S153" s="312"/>
      <c r="T153" s="312"/>
      <c r="U153" s="312"/>
      <c r="V153" s="312"/>
      <c r="W153" s="312"/>
      <c r="X153" s="312"/>
      <c r="Y153" s="312"/>
      <c r="Z153" s="312"/>
    </row>
    <row r="154" customHeight="1" spans="1:26">
      <c r="A154" s="312"/>
      <c r="B154" s="312"/>
      <c r="C154" s="312"/>
      <c r="D154" s="312"/>
      <c r="E154" s="312"/>
      <c r="F154" s="312"/>
      <c r="G154" s="312"/>
      <c r="H154" s="312"/>
      <c r="I154" s="312"/>
      <c r="J154" s="312"/>
      <c r="K154" s="312"/>
      <c r="L154" s="312"/>
      <c r="M154" s="312"/>
      <c r="N154" s="312"/>
      <c r="O154" s="312"/>
      <c r="P154" s="312"/>
      <c r="Q154" s="312"/>
      <c r="R154" s="312"/>
      <c r="S154" s="312"/>
      <c r="T154" s="312"/>
      <c r="U154" s="312"/>
      <c r="V154" s="312"/>
      <c r="W154" s="312"/>
      <c r="X154" s="312"/>
      <c r="Y154" s="312"/>
      <c r="Z154" s="312"/>
    </row>
    <row r="155" customHeight="1" spans="1:26">
      <c r="A155" s="312"/>
      <c r="B155" s="312"/>
      <c r="C155" s="312"/>
      <c r="D155" s="312"/>
      <c r="E155" s="312"/>
      <c r="F155" s="312"/>
      <c r="G155" s="312"/>
      <c r="H155" s="312"/>
      <c r="I155" s="312"/>
      <c r="J155" s="312"/>
      <c r="K155" s="312"/>
      <c r="L155" s="312"/>
      <c r="M155" s="312"/>
      <c r="N155" s="312"/>
      <c r="O155" s="312"/>
      <c r="P155" s="312"/>
      <c r="Q155" s="312"/>
      <c r="R155" s="312"/>
      <c r="S155" s="312"/>
      <c r="T155" s="312"/>
      <c r="U155" s="312"/>
      <c r="V155" s="312"/>
      <c r="W155" s="312"/>
      <c r="X155" s="312"/>
      <c r="Y155" s="312"/>
      <c r="Z155" s="312"/>
    </row>
    <row r="156" customHeight="1" spans="1:26">
      <c r="A156" s="312"/>
      <c r="B156" s="312"/>
      <c r="C156" s="312"/>
      <c r="D156" s="312"/>
      <c r="E156" s="312"/>
      <c r="F156" s="312"/>
      <c r="G156" s="312"/>
      <c r="H156" s="312"/>
      <c r="I156" s="312"/>
      <c r="J156" s="312"/>
      <c r="K156" s="312"/>
      <c r="L156" s="312"/>
      <c r="M156" s="312"/>
      <c r="N156" s="312"/>
      <c r="O156" s="312"/>
      <c r="P156" s="312"/>
      <c r="Q156" s="312"/>
      <c r="R156" s="312"/>
      <c r="S156" s="312"/>
      <c r="T156" s="312"/>
      <c r="U156" s="312"/>
      <c r="V156" s="312"/>
      <c r="W156" s="312"/>
      <c r="X156" s="312"/>
      <c r="Y156" s="312"/>
      <c r="Z156" s="312"/>
    </row>
    <row r="157" customHeight="1" spans="1:26">
      <c r="A157" s="312"/>
      <c r="B157" s="312"/>
      <c r="C157" s="312"/>
      <c r="D157" s="312"/>
      <c r="E157" s="312"/>
      <c r="F157" s="312"/>
      <c r="G157" s="312"/>
      <c r="H157" s="312"/>
      <c r="I157" s="312"/>
      <c r="J157" s="312"/>
      <c r="K157" s="312"/>
      <c r="L157" s="312"/>
      <c r="M157" s="312"/>
      <c r="N157" s="312"/>
      <c r="O157" s="312"/>
      <c r="P157" s="312"/>
      <c r="Q157" s="312"/>
      <c r="R157" s="312"/>
      <c r="S157" s="312"/>
      <c r="T157" s="312"/>
      <c r="U157" s="312"/>
      <c r="V157" s="312"/>
      <c r="W157" s="312"/>
      <c r="X157" s="312"/>
      <c r="Y157" s="312"/>
      <c r="Z157" s="312"/>
    </row>
    <row r="158" customHeight="1" spans="1:26">
      <c r="A158" s="312"/>
      <c r="B158" s="312"/>
      <c r="C158" s="312"/>
      <c r="D158" s="312"/>
      <c r="E158" s="312"/>
      <c r="F158" s="312"/>
      <c r="G158" s="312"/>
      <c r="H158" s="312"/>
      <c r="I158" s="312"/>
      <c r="J158" s="312"/>
      <c r="K158" s="312"/>
      <c r="L158" s="312"/>
      <c r="M158" s="312"/>
      <c r="N158" s="312"/>
      <c r="O158" s="312"/>
      <c r="P158" s="312"/>
      <c r="Q158" s="312"/>
      <c r="R158" s="312"/>
      <c r="S158" s="312"/>
      <c r="T158" s="312"/>
      <c r="U158" s="312"/>
      <c r="V158" s="312"/>
      <c r="W158" s="312"/>
      <c r="X158" s="312"/>
      <c r="Y158" s="312"/>
      <c r="Z158" s="312"/>
    </row>
    <row r="159" customHeight="1" spans="1:26">
      <c r="A159" s="312"/>
      <c r="B159" s="312"/>
      <c r="C159" s="312"/>
      <c r="D159" s="312"/>
      <c r="E159" s="312"/>
      <c r="F159" s="312"/>
      <c r="G159" s="312"/>
      <c r="H159" s="312"/>
      <c r="I159" s="312"/>
      <c r="J159" s="312"/>
      <c r="K159" s="312"/>
      <c r="L159" s="312"/>
      <c r="M159" s="312"/>
      <c r="N159" s="312"/>
      <c r="O159" s="312"/>
      <c r="P159" s="312"/>
      <c r="Q159" s="312"/>
      <c r="R159" s="312"/>
      <c r="S159" s="312"/>
      <c r="T159" s="312"/>
      <c r="U159" s="312"/>
      <c r="V159" s="312"/>
      <c r="W159" s="312"/>
      <c r="X159" s="312"/>
      <c r="Y159" s="312"/>
      <c r="Z159" s="312"/>
    </row>
    <row r="160" customHeight="1" spans="1:26">
      <c r="A160" s="312"/>
      <c r="B160" s="312"/>
      <c r="C160" s="312"/>
      <c r="D160" s="312"/>
      <c r="E160" s="312"/>
      <c r="F160" s="312"/>
      <c r="G160" s="312"/>
      <c r="H160" s="312"/>
      <c r="I160" s="312"/>
      <c r="J160" s="312"/>
      <c r="K160" s="312"/>
      <c r="L160" s="312"/>
      <c r="M160" s="312"/>
      <c r="N160" s="312"/>
      <c r="O160" s="312"/>
      <c r="P160" s="312"/>
      <c r="Q160" s="312"/>
      <c r="R160" s="312"/>
      <c r="S160" s="312"/>
      <c r="T160" s="312"/>
      <c r="U160" s="312"/>
      <c r="V160" s="312"/>
      <c r="W160" s="312"/>
      <c r="X160" s="312"/>
      <c r="Y160" s="312"/>
      <c r="Z160" s="312"/>
    </row>
    <row r="161" customHeight="1" spans="1:26">
      <c r="A161" s="312"/>
      <c r="B161" s="312"/>
      <c r="C161" s="312"/>
      <c r="D161" s="312"/>
      <c r="E161" s="312"/>
      <c r="F161" s="312"/>
      <c r="G161" s="312"/>
      <c r="H161" s="312"/>
      <c r="I161" s="312"/>
      <c r="J161" s="312"/>
      <c r="K161" s="312"/>
      <c r="L161" s="312"/>
      <c r="M161" s="312"/>
      <c r="N161" s="312"/>
      <c r="O161" s="312"/>
      <c r="P161" s="312"/>
      <c r="Q161" s="312"/>
      <c r="R161" s="312"/>
      <c r="S161" s="312"/>
      <c r="T161" s="312"/>
      <c r="U161" s="312"/>
      <c r="V161" s="312"/>
      <c r="W161" s="312"/>
      <c r="X161" s="312"/>
      <c r="Y161" s="312"/>
      <c r="Z161" s="312"/>
    </row>
    <row r="162" customHeight="1" spans="1:26">
      <c r="A162" s="312"/>
      <c r="B162" s="312"/>
      <c r="C162" s="312"/>
      <c r="D162" s="312"/>
      <c r="E162" s="312"/>
      <c r="F162" s="312"/>
      <c r="G162" s="312"/>
      <c r="H162" s="312"/>
      <c r="I162" s="312"/>
      <c r="J162" s="312"/>
      <c r="K162" s="312"/>
      <c r="L162" s="312"/>
      <c r="M162" s="312"/>
      <c r="N162" s="312"/>
      <c r="O162" s="312"/>
      <c r="P162" s="312"/>
      <c r="Q162" s="312"/>
      <c r="R162" s="312"/>
      <c r="S162" s="312"/>
      <c r="T162" s="312"/>
      <c r="U162" s="312"/>
      <c r="V162" s="312"/>
      <c r="W162" s="312"/>
      <c r="X162" s="312"/>
      <c r="Y162" s="312"/>
      <c r="Z162" s="312"/>
    </row>
    <row r="163" customHeight="1" spans="1:26">
      <c r="A163" s="312"/>
      <c r="B163" s="312"/>
      <c r="C163" s="312"/>
      <c r="D163" s="312"/>
      <c r="E163" s="312"/>
      <c r="F163" s="312"/>
      <c r="G163" s="312"/>
      <c r="H163" s="312"/>
      <c r="I163" s="312"/>
      <c r="J163" s="312"/>
      <c r="K163" s="312"/>
      <c r="L163" s="312"/>
      <c r="M163" s="312"/>
      <c r="N163" s="312"/>
      <c r="O163" s="312"/>
      <c r="P163" s="312"/>
      <c r="Q163" s="312"/>
      <c r="R163" s="312"/>
      <c r="S163" s="312"/>
      <c r="T163" s="312"/>
      <c r="U163" s="312"/>
      <c r="V163" s="312"/>
      <c r="W163" s="312"/>
      <c r="X163" s="312"/>
      <c r="Y163" s="312"/>
      <c r="Z163" s="312"/>
    </row>
    <row r="164" customHeight="1" spans="1:26">
      <c r="A164" s="312"/>
      <c r="B164" s="312"/>
      <c r="C164" s="312"/>
      <c r="D164" s="312"/>
      <c r="E164" s="312"/>
      <c r="F164" s="312"/>
      <c r="G164" s="312"/>
      <c r="H164" s="312"/>
      <c r="I164" s="312"/>
      <c r="J164" s="312"/>
      <c r="K164" s="312"/>
      <c r="L164" s="312"/>
      <c r="M164" s="312"/>
      <c r="N164" s="312"/>
      <c r="O164" s="312"/>
      <c r="P164" s="312"/>
      <c r="Q164" s="312"/>
      <c r="R164" s="312"/>
      <c r="S164" s="312"/>
      <c r="T164" s="312"/>
      <c r="U164" s="312"/>
      <c r="V164" s="312"/>
      <c r="W164" s="312"/>
      <c r="X164" s="312"/>
      <c r="Y164" s="312"/>
      <c r="Z164" s="312"/>
    </row>
    <row r="165" customHeight="1" spans="1:26">
      <c r="A165" s="312"/>
      <c r="B165" s="312"/>
      <c r="C165" s="312"/>
      <c r="D165" s="312"/>
      <c r="E165" s="312"/>
      <c r="F165" s="312"/>
      <c r="G165" s="312"/>
      <c r="H165" s="312"/>
      <c r="I165" s="312"/>
      <c r="J165" s="312"/>
      <c r="K165" s="312"/>
      <c r="L165" s="312"/>
      <c r="M165" s="312"/>
      <c r="N165" s="312"/>
      <c r="O165" s="312"/>
      <c r="P165" s="312"/>
      <c r="Q165" s="312"/>
      <c r="R165" s="312"/>
      <c r="S165" s="312"/>
      <c r="T165" s="312"/>
      <c r="U165" s="312"/>
      <c r="V165" s="312"/>
      <c r="W165" s="312"/>
      <c r="X165" s="312"/>
      <c r="Y165" s="312"/>
      <c r="Z165" s="312"/>
    </row>
    <row r="166" customHeight="1" spans="1:26">
      <c r="A166" s="312"/>
      <c r="B166" s="312"/>
      <c r="C166" s="312"/>
      <c r="D166" s="312"/>
      <c r="E166" s="312"/>
      <c r="F166" s="312"/>
      <c r="G166" s="312"/>
      <c r="H166" s="312"/>
      <c r="I166" s="312"/>
      <c r="J166" s="312"/>
      <c r="K166" s="312"/>
      <c r="L166" s="312"/>
      <c r="M166" s="312"/>
      <c r="N166" s="312"/>
      <c r="O166" s="312"/>
      <c r="P166" s="312"/>
      <c r="Q166" s="312"/>
      <c r="R166" s="312"/>
      <c r="S166" s="312"/>
      <c r="T166" s="312"/>
      <c r="U166" s="312"/>
      <c r="V166" s="312"/>
      <c r="W166" s="312"/>
      <c r="X166" s="312"/>
      <c r="Y166" s="312"/>
      <c r="Z166" s="312"/>
    </row>
    <row r="167" customHeight="1" spans="1:26">
      <c r="A167" s="312"/>
      <c r="B167" s="312"/>
      <c r="C167" s="312"/>
      <c r="D167" s="312"/>
      <c r="E167" s="312"/>
      <c r="F167" s="312"/>
      <c r="G167" s="312"/>
      <c r="H167" s="312"/>
      <c r="I167" s="312"/>
      <c r="J167" s="312"/>
      <c r="K167" s="312"/>
      <c r="L167" s="312"/>
      <c r="M167" s="312"/>
      <c r="N167" s="312"/>
      <c r="O167" s="312"/>
      <c r="P167" s="312"/>
      <c r="Q167" s="312"/>
      <c r="R167" s="312"/>
      <c r="S167" s="312"/>
      <c r="T167" s="312"/>
      <c r="U167" s="312"/>
      <c r="V167" s="312"/>
      <c r="W167" s="312"/>
      <c r="X167" s="312"/>
      <c r="Y167" s="312"/>
      <c r="Z167" s="312"/>
    </row>
    <row r="168" customHeight="1" spans="1:26">
      <c r="A168" s="312"/>
      <c r="B168" s="312"/>
      <c r="C168" s="312"/>
      <c r="D168" s="312"/>
      <c r="E168" s="312"/>
      <c r="F168" s="312"/>
      <c r="G168" s="312"/>
      <c r="H168" s="312"/>
      <c r="I168" s="312"/>
      <c r="J168" s="312"/>
      <c r="K168" s="312"/>
      <c r="L168" s="312"/>
      <c r="M168" s="312"/>
      <c r="N168" s="312"/>
      <c r="O168" s="312"/>
      <c r="P168" s="312"/>
      <c r="Q168" s="312"/>
      <c r="R168" s="312"/>
      <c r="S168" s="312"/>
      <c r="T168" s="312"/>
      <c r="U168" s="312"/>
      <c r="V168" s="312"/>
      <c r="W168" s="312"/>
      <c r="X168" s="312"/>
      <c r="Y168" s="312"/>
      <c r="Z168" s="312"/>
    </row>
    <row r="169" customHeight="1" spans="1:26">
      <c r="A169" s="312"/>
      <c r="B169" s="312"/>
      <c r="C169" s="312"/>
      <c r="D169" s="312"/>
      <c r="E169" s="312"/>
      <c r="F169" s="312"/>
      <c r="G169" s="312"/>
      <c r="H169" s="312"/>
      <c r="I169" s="312"/>
      <c r="J169" s="312"/>
      <c r="K169" s="312"/>
      <c r="L169" s="312"/>
      <c r="M169" s="312"/>
      <c r="N169" s="312"/>
      <c r="O169" s="312"/>
      <c r="P169" s="312"/>
      <c r="Q169" s="312"/>
      <c r="R169" s="312"/>
      <c r="S169" s="312"/>
      <c r="T169" s="312"/>
      <c r="U169" s="312"/>
      <c r="V169" s="312"/>
      <c r="W169" s="312"/>
      <c r="X169" s="312"/>
      <c r="Y169" s="312"/>
      <c r="Z169" s="312"/>
    </row>
    <row r="170" customHeight="1" spans="1:26">
      <c r="A170" s="312"/>
      <c r="B170" s="312"/>
      <c r="C170" s="312"/>
      <c r="D170" s="312"/>
      <c r="E170" s="312"/>
      <c r="F170" s="312"/>
      <c r="G170" s="312"/>
      <c r="H170" s="312"/>
      <c r="I170" s="312"/>
      <c r="J170" s="312"/>
      <c r="K170" s="312"/>
      <c r="L170" s="312"/>
      <c r="M170" s="312"/>
      <c r="N170" s="312"/>
      <c r="O170" s="312"/>
      <c r="P170" s="312"/>
      <c r="Q170" s="312"/>
      <c r="R170" s="312"/>
      <c r="S170" s="312"/>
      <c r="T170" s="312"/>
      <c r="U170" s="312"/>
      <c r="V170" s="312"/>
      <c r="W170" s="312"/>
      <c r="X170" s="312"/>
      <c r="Y170" s="312"/>
      <c r="Z170" s="312"/>
    </row>
    <row r="171" customHeight="1" spans="1:26">
      <c r="A171" s="312"/>
      <c r="B171" s="312"/>
      <c r="C171" s="312"/>
      <c r="D171" s="312"/>
      <c r="E171" s="312"/>
      <c r="F171" s="312"/>
      <c r="G171" s="312"/>
      <c r="H171" s="312"/>
      <c r="I171" s="312"/>
      <c r="J171" s="312"/>
      <c r="K171" s="312"/>
      <c r="L171" s="312"/>
      <c r="M171" s="312"/>
      <c r="N171" s="312"/>
      <c r="O171" s="312"/>
      <c r="P171" s="312"/>
      <c r="Q171" s="312"/>
      <c r="R171" s="312"/>
      <c r="S171" s="312"/>
      <c r="T171" s="312"/>
      <c r="U171" s="312"/>
      <c r="V171" s="312"/>
      <c r="W171" s="312"/>
      <c r="X171" s="312"/>
      <c r="Y171" s="312"/>
      <c r="Z171" s="312"/>
    </row>
    <row r="172" customHeight="1" spans="1:26">
      <c r="A172" s="312"/>
      <c r="B172" s="312"/>
      <c r="C172" s="312"/>
      <c r="D172" s="312"/>
      <c r="E172" s="312"/>
      <c r="F172" s="312"/>
      <c r="G172" s="312"/>
      <c r="H172" s="312"/>
      <c r="I172" s="312"/>
      <c r="J172" s="312"/>
      <c r="K172" s="312"/>
      <c r="L172" s="312"/>
      <c r="M172" s="312"/>
      <c r="N172" s="312"/>
      <c r="O172" s="312"/>
      <c r="P172" s="312"/>
      <c r="Q172" s="312"/>
      <c r="R172" s="312"/>
      <c r="S172" s="312"/>
      <c r="T172" s="312"/>
      <c r="U172" s="312"/>
      <c r="V172" s="312"/>
      <c r="W172" s="312"/>
      <c r="X172" s="312"/>
      <c r="Y172" s="312"/>
      <c r="Z172" s="312"/>
    </row>
    <row r="173" customHeight="1" spans="1:26">
      <c r="A173" s="312"/>
      <c r="B173" s="312"/>
      <c r="C173" s="312"/>
      <c r="D173" s="312"/>
      <c r="E173" s="312"/>
      <c r="F173" s="312"/>
      <c r="G173" s="312"/>
      <c r="H173" s="312"/>
      <c r="I173" s="312"/>
      <c r="J173" s="312"/>
      <c r="K173" s="312"/>
      <c r="L173" s="312"/>
      <c r="M173" s="312"/>
      <c r="N173" s="312"/>
      <c r="O173" s="312"/>
      <c r="P173" s="312"/>
      <c r="Q173" s="312"/>
      <c r="R173" s="312"/>
      <c r="S173" s="312"/>
      <c r="T173" s="312"/>
      <c r="U173" s="312"/>
      <c r="V173" s="312"/>
      <c r="W173" s="312"/>
      <c r="X173" s="312"/>
      <c r="Y173" s="312"/>
      <c r="Z173" s="312"/>
    </row>
    <row r="174" customHeight="1" spans="1:26">
      <c r="A174" s="312"/>
      <c r="B174" s="312"/>
      <c r="C174" s="312"/>
      <c r="D174" s="312"/>
      <c r="E174" s="312"/>
      <c r="F174" s="312"/>
      <c r="G174" s="312"/>
      <c r="H174" s="312"/>
      <c r="I174" s="312"/>
      <c r="J174" s="312"/>
      <c r="K174" s="312"/>
      <c r="L174" s="312"/>
      <c r="M174" s="312"/>
      <c r="N174" s="312"/>
      <c r="O174" s="312"/>
      <c r="P174" s="312"/>
      <c r="Q174" s="312"/>
      <c r="R174" s="312"/>
      <c r="S174" s="312"/>
      <c r="T174" s="312"/>
      <c r="U174" s="312"/>
      <c r="V174" s="312"/>
      <c r="W174" s="312"/>
      <c r="X174" s="312"/>
      <c r="Y174" s="312"/>
      <c r="Z174" s="312"/>
    </row>
    <row r="175" customHeight="1" spans="1:26">
      <c r="A175" s="312"/>
      <c r="B175" s="312"/>
      <c r="C175" s="312"/>
      <c r="D175" s="312"/>
      <c r="E175" s="312"/>
      <c r="F175" s="312"/>
      <c r="G175" s="312"/>
      <c r="H175" s="312"/>
      <c r="I175" s="312"/>
      <c r="J175" s="312"/>
      <c r="K175" s="312"/>
      <c r="L175" s="312"/>
      <c r="M175" s="312"/>
      <c r="N175" s="312"/>
      <c r="O175" s="312"/>
      <c r="P175" s="312"/>
      <c r="Q175" s="312"/>
      <c r="R175" s="312"/>
      <c r="S175" s="312"/>
      <c r="T175" s="312"/>
      <c r="U175" s="312"/>
      <c r="V175" s="312"/>
      <c r="W175" s="312"/>
      <c r="X175" s="312"/>
      <c r="Y175" s="312"/>
      <c r="Z175" s="312"/>
    </row>
    <row r="176" customHeight="1" spans="1:26">
      <c r="A176" s="312"/>
      <c r="B176" s="312"/>
      <c r="C176" s="312"/>
      <c r="D176" s="312"/>
      <c r="E176" s="312"/>
      <c r="F176" s="312"/>
      <c r="G176" s="312"/>
      <c r="H176" s="312"/>
      <c r="I176" s="312"/>
      <c r="J176" s="312"/>
      <c r="K176" s="312"/>
      <c r="L176" s="312"/>
      <c r="M176" s="312"/>
      <c r="N176" s="312"/>
      <c r="O176" s="312"/>
      <c r="P176" s="312"/>
      <c r="Q176" s="312"/>
      <c r="R176" s="312"/>
      <c r="S176" s="312"/>
      <c r="T176" s="312"/>
      <c r="U176" s="312"/>
      <c r="V176" s="312"/>
      <c r="W176" s="312"/>
      <c r="X176" s="312"/>
      <c r="Y176" s="312"/>
      <c r="Z176" s="312"/>
    </row>
    <row r="177" customHeight="1" spans="1:26">
      <c r="A177" s="312"/>
      <c r="B177" s="312"/>
      <c r="C177" s="312"/>
      <c r="D177" s="312"/>
      <c r="E177" s="312"/>
      <c r="F177" s="312"/>
      <c r="G177" s="312"/>
      <c r="H177" s="312"/>
      <c r="I177" s="312"/>
      <c r="J177" s="312"/>
      <c r="K177" s="312"/>
      <c r="L177" s="312"/>
      <c r="M177" s="312"/>
      <c r="N177" s="312"/>
      <c r="O177" s="312"/>
      <c r="P177" s="312"/>
      <c r="Q177" s="312"/>
      <c r="R177" s="312"/>
      <c r="S177" s="312"/>
      <c r="T177" s="312"/>
      <c r="U177" s="312"/>
      <c r="V177" s="312"/>
      <c r="W177" s="312"/>
      <c r="X177" s="312"/>
      <c r="Y177" s="312"/>
      <c r="Z177" s="312"/>
    </row>
    <row r="178" customHeight="1" spans="1:26">
      <c r="A178" s="312"/>
      <c r="B178" s="312"/>
      <c r="C178" s="312"/>
      <c r="D178" s="312"/>
      <c r="E178" s="312"/>
      <c r="F178" s="312"/>
      <c r="G178" s="312"/>
      <c r="H178" s="312"/>
      <c r="I178" s="312"/>
      <c r="J178" s="312"/>
      <c r="K178" s="312"/>
      <c r="L178" s="312"/>
      <c r="M178" s="312"/>
      <c r="N178" s="312"/>
      <c r="O178" s="312"/>
      <c r="P178" s="312"/>
      <c r="Q178" s="312"/>
      <c r="R178" s="312"/>
      <c r="S178" s="312"/>
      <c r="T178" s="312"/>
      <c r="U178" s="312"/>
      <c r="V178" s="312"/>
      <c r="W178" s="312"/>
      <c r="X178" s="312"/>
      <c r="Y178" s="312"/>
      <c r="Z178" s="312"/>
    </row>
    <row r="179" customHeight="1" spans="1:26">
      <c r="A179" s="312"/>
      <c r="B179" s="312"/>
      <c r="C179" s="312"/>
      <c r="D179" s="312"/>
      <c r="E179" s="312"/>
      <c r="F179" s="312"/>
      <c r="G179" s="312"/>
      <c r="H179" s="312"/>
      <c r="I179" s="312"/>
      <c r="J179" s="312"/>
      <c r="K179" s="312"/>
      <c r="L179" s="312"/>
      <c r="M179" s="312"/>
      <c r="N179" s="312"/>
      <c r="O179" s="312"/>
      <c r="P179" s="312"/>
      <c r="Q179" s="312"/>
      <c r="R179" s="312"/>
      <c r="S179" s="312"/>
      <c r="T179" s="312"/>
      <c r="U179" s="312"/>
      <c r="V179" s="312"/>
      <c r="W179" s="312"/>
      <c r="X179" s="312"/>
      <c r="Y179" s="312"/>
      <c r="Z179" s="312"/>
    </row>
    <row r="180" customHeight="1" spans="1:26">
      <c r="A180" s="312"/>
      <c r="B180" s="312"/>
      <c r="C180" s="312"/>
      <c r="D180" s="312"/>
      <c r="E180" s="312"/>
      <c r="F180" s="312"/>
      <c r="G180" s="312"/>
      <c r="H180" s="312"/>
      <c r="I180" s="312"/>
      <c r="J180" s="312"/>
      <c r="K180" s="312"/>
      <c r="L180" s="312"/>
      <c r="M180" s="312"/>
      <c r="N180" s="312"/>
      <c r="O180" s="312"/>
      <c r="P180" s="312"/>
      <c r="Q180" s="312"/>
      <c r="R180" s="312"/>
      <c r="S180" s="312"/>
      <c r="T180" s="312"/>
      <c r="U180" s="312"/>
      <c r="V180" s="312"/>
      <c r="W180" s="312"/>
      <c r="X180" s="312"/>
      <c r="Y180" s="312"/>
      <c r="Z180" s="312"/>
    </row>
    <row r="181" customHeight="1" spans="1:26">
      <c r="A181" s="312"/>
      <c r="B181" s="312"/>
      <c r="C181" s="312"/>
      <c r="D181" s="312"/>
      <c r="E181" s="312"/>
      <c r="F181" s="312"/>
      <c r="G181" s="312"/>
      <c r="H181" s="312"/>
      <c r="I181" s="312"/>
      <c r="J181" s="312"/>
      <c r="K181" s="312"/>
      <c r="L181" s="312"/>
      <c r="M181" s="312"/>
      <c r="N181" s="312"/>
      <c r="O181" s="312"/>
      <c r="P181" s="312"/>
      <c r="Q181" s="312"/>
      <c r="R181" s="312"/>
      <c r="S181" s="312"/>
      <c r="T181" s="312"/>
      <c r="U181" s="312"/>
      <c r="V181" s="312"/>
      <c r="W181" s="312"/>
      <c r="X181" s="312"/>
      <c r="Y181" s="312"/>
      <c r="Z181" s="312"/>
    </row>
    <row r="182" customHeight="1" spans="1:26">
      <c r="A182" s="312"/>
      <c r="B182" s="312"/>
      <c r="C182" s="312"/>
      <c r="D182" s="312"/>
      <c r="E182" s="312"/>
      <c r="F182" s="312"/>
      <c r="G182" s="312"/>
      <c r="H182" s="312"/>
      <c r="I182" s="312"/>
      <c r="J182" s="312"/>
      <c r="K182" s="312"/>
      <c r="L182" s="312"/>
      <c r="M182" s="312"/>
      <c r="N182" s="312"/>
      <c r="O182" s="312"/>
      <c r="P182" s="312"/>
      <c r="Q182" s="312"/>
      <c r="R182" s="312"/>
      <c r="S182" s="312"/>
      <c r="T182" s="312"/>
      <c r="U182" s="312"/>
      <c r="V182" s="312"/>
      <c r="W182" s="312"/>
      <c r="X182" s="312"/>
      <c r="Y182" s="312"/>
      <c r="Z182" s="312"/>
    </row>
    <row r="183" customHeight="1" spans="1:26">
      <c r="A183" s="312"/>
      <c r="B183" s="312"/>
      <c r="C183" s="312"/>
      <c r="D183" s="312"/>
      <c r="E183" s="312"/>
      <c r="F183" s="312"/>
      <c r="G183" s="312"/>
      <c r="H183" s="312"/>
      <c r="I183" s="312"/>
      <c r="J183" s="312"/>
      <c r="K183" s="312"/>
      <c r="L183" s="312"/>
      <c r="M183" s="312"/>
      <c r="N183" s="312"/>
      <c r="O183" s="312"/>
      <c r="P183" s="312"/>
      <c r="Q183" s="312"/>
      <c r="R183" s="312"/>
      <c r="S183" s="312"/>
      <c r="T183" s="312"/>
      <c r="U183" s="312"/>
      <c r="V183" s="312"/>
      <c r="W183" s="312"/>
      <c r="X183" s="312"/>
      <c r="Y183" s="312"/>
      <c r="Z183" s="312"/>
    </row>
    <row r="184" customHeight="1" spans="1:26">
      <c r="A184" s="312"/>
      <c r="B184" s="312"/>
      <c r="C184" s="312"/>
      <c r="D184" s="312"/>
      <c r="E184" s="312"/>
      <c r="F184" s="312"/>
      <c r="G184" s="312"/>
      <c r="H184" s="312"/>
      <c r="I184" s="312"/>
      <c r="J184" s="312"/>
      <c r="K184" s="312"/>
      <c r="L184" s="312"/>
      <c r="M184" s="312"/>
      <c r="N184" s="312"/>
      <c r="O184" s="312"/>
      <c r="P184" s="312"/>
      <c r="Q184" s="312"/>
      <c r="R184" s="312"/>
      <c r="S184" s="312"/>
      <c r="T184" s="312"/>
      <c r="U184" s="312"/>
      <c r="V184" s="312"/>
      <c r="W184" s="312"/>
      <c r="X184" s="312"/>
      <c r="Y184" s="312"/>
      <c r="Z184" s="312"/>
    </row>
    <row r="185" customHeight="1" spans="1:26">
      <c r="A185" s="312"/>
      <c r="B185" s="312"/>
      <c r="C185" s="312"/>
      <c r="D185" s="312"/>
      <c r="E185" s="312"/>
      <c r="F185" s="312"/>
      <c r="G185" s="312"/>
      <c r="H185" s="312"/>
      <c r="I185" s="312"/>
      <c r="J185" s="312"/>
      <c r="K185" s="312"/>
      <c r="L185" s="312"/>
      <c r="M185" s="312"/>
      <c r="N185" s="312"/>
      <c r="O185" s="312"/>
      <c r="P185" s="312"/>
      <c r="Q185" s="312"/>
      <c r="R185" s="312"/>
      <c r="S185" s="312"/>
      <c r="T185" s="312"/>
      <c r="U185" s="312"/>
      <c r="V185" s="312"/>
      <c r="W185" s="312"/>
      <c r="X185" s="312"/>
      <c r="Y185" s="312"/>
      <c r="Z185" s="312"/>
    </row>
    <row r="186" customHeight="1" spans="1:26">
      <c r="A186" s="312"/>
      <c r="B186" s="312"/>
      <c r="C186" s="312"/>
      <c r="D186" s="312"/>
      <c r="E186" s="312"/>
      <c r="F186" s="312"/>
      <c r="G186" s="312"/>
      <c r="H186" s="312"/>
      <c r="I186" s="312"/>
      <c r="J186" s="312"/>
      <c r="K186" s="312"/>
      <c r="L186" s="312"/>
      <c r="M186" s="312"/>
      <c r="N186" s="312"/>
      <c r="O186" s="312"/>
      <c r="P186" s="312"/>
      <c r="Q186" s="312"/>
      <c r="R186" s="312"/>
      <c r="S186" s="312"/>
      <c r="T186" s="312"/>
      <c r="U186" s="312"/>
      <c r="V186" s="312"/>
      <c r="W186" s="312"/>
      <c r="X186" s="312"/>
      <c r="Y186" s="312"/>
      <c r="Z186" s="312"/>
    </row>
    <row r="187" customHeight="1" spans="1:26">
      <c r="A187" s="312"/>
      <c r="B187" s="312"/>
      <c r="C187" s="312"/>
      <c r="D187" s="312"/>
      <c r="E187" s="312"/>
      <c r="F187" s="312"/>
      <c r="G187" s="312"/>
      <c r="H187" s="312"/>
      <c r="I187" s="312"/>
      <c r="J187" s="312"/>
      <c r="K187" s="312"/>
      <c r="L187" s="312"/>
      <c r="M187" s="312"/>
      <c r="N187" s="312"/>
      <c r="O187" s="312"/>
      <c r="P187" s="312"/>
      <c r="Q187" s="312"/>
      <c r="R187" s="312"/>
      <c r="S187" s="312"/>
      <c r="T187" s="312"/>
      <c r="U187" s="312"/>
      <c r="V187" s="312"/>
      <c r="W187" s="312"/>
      <c r="X187" s="312"/>
      <c r="Y187" s="312"/>
      <c r="Z187" s="312"/>
    </row>
    <row r="188" customHeight="1" spans="1:26">
      <c r="A188" s="312"/>
      <c r="B188" s="312"/>
      <c r="C188" s="312"/>
      <c r="D188" s="312"/>
      <c r="E188" s="312"/>
      <c r="F188" s="312"/>
      <c r="G188" s="312"/>
      <c r="H188" s="312"/>
      <c r="I188" s="312"/>
      <c r="J188" s="312"/>
      <c r="K188" s="312"/>
      <c r="L188" s="312"/>
      <c r="M188" s="312"/>
      <c r="N188" s="312"/>
      <c r="O188" s="312"/>
      <c r="P188" s="312"/>
      <c r="Q188" s="312"/>
      <c r="R188" s="312"/>
      <c r="S188" s="312"/>
      <c r="T188" s="312"/>
      <c r="U188" s="312"/>
      <c r="V188" s="312"/>
      <c r="W188" s="312"/>
      <c r="X188" s="312"/>
      <c r="Y188" s="312"/>
      <c r="Z188" s="312"/>
    </row>
    <row r="189" customHeight="1" spans="1:26">
      <c r="A189" s="312"/>
      <c r="B189" s="312"/>
      <c r="C189" s="312"/>
      <c r="D189" s="312"/>
      <c r="E189" s="312"/>
      <c r="F189" s="312"/>
      <c r="G189" s="312"/>
      <c r="H189" s="312"/>
      <c r="I189" s="312"/>
      <c r="J189" s="312"/>
      <c r="K189" s="312"/>
      <c r="L189" s="312"/>
      <c r="M189" s="312"/>
      <c r="N189" s="312"/>
      <c r="O189" s="312"/>
      <c r="P189" s="312"/>
      <c r="Q189" s="312"/>
      <c r="R189" s="312"/>
      <c r="S189" s="312"/>
      <c r="T189" s="312"/>
      <c r="U189" s="312"/>
      <c r="V189" s="312"/>
      <c r="W189" s="312"/>
      <c r="X189" s="312"/>
      <c r="Y189" s="312"/>
      <c r="Z189" s="312"/>
    </row>
    <row r="190" customHeight="1" spans="1:26">
      <c r="A190" s="312"/>
      <c r="B190" s="312"/>
      <c r="C190" s="312"/>
      <c r="D190" s="312"/>
      <c r="E190" s="312"/>
      <c r="F190" s="312"/>
      <c r="G190" s="312"/>
      <c r="H190" s="312"/>
      <c r="I190" s="312"/>
      <c r="J190" s="312"/>
      <c r="K190" s="312"/>
      <c r="L190" s="312"/>
      <c r="M190" s="312"/>
      <c r="N190" s="312"/>
      <c r="O190" s="312"/>
      <c r="P190" s="312"/>
      <c r="Q190" s="312"/>
      <c r="R190" s="312"/>
      <c r="S190" s="312"/>
      <c r="T190" s="312"/>
      <c r="U190" s="312"/>
      <c r="V190" s="312"/>
      <c r="W190" s="312"/>
      <c r="X190" s="312"/>
      <c r="Y190" s="312"/>
      <c r="Z190" s="312"/>
    </row>
    <row r="191" customHeight="1" spans="1:26">
      <c r="A191" s="312"/>
      <c r="B191" s="312"/>
      <c r="C191" s="312"/>
      <c r="D191" s="312"/>
      <c r="E191" s="312"/>
      <c r="F191" s="312"/>
      <c r="G191" s="312"/>
      <c r="H191" s="312"/>
      <c r="I191" s="312"/>
      <c r="J191" s="312"/>
      <c r="K191" s="312"/>
      <c r="L191" s="312"/>
      <c r="M191" s="312"/>
      <c r="N191" s="312"/>
      <c r="O191" s="312"/>
      <c r="P191" s="312"/>
      <c r="Q191" s="312"/>
      <c r="R191" s="312"/>
      <c r="S191" s="312"/>
      <c r="T191" s="312"/>
      <c r="U191" s="312"/>
      <c r="V191" s="312"/>
      <c r="W191" s="312"/>
      <c r="X191" s="312"/>
      <c r="Y191" s="312"/>
      <c r="Z191" s="312"/>
    </row>
    <row r="192" customHeight="1" spans="1:26">
      <c r="A192" s="312"/>
      <c r="B192" s="312"/>
      <c r="C192" s="312"/>
      <c r="D192" s="312"/>
      <c r="E192" s="312"/>
      <c r="F192" s="312"/>
      <c r="G192" s="312"/>
      <c r="H192" s="312"/>
      <c r="I192" s="312"/>
      <c r="J192" s="312"/>
      <c r="K192" s="312"/>
      <c r="L192" s="312"/>
      <c r="M192" s="312"/>
      <c r="N192" s="312"/>
      <c r="O192" s="312"/>
      <c r="P192" s="312"/>
      <c r="Q192" s="312"/>
      <c r="R192" s="312"/>
      <c r="S192" s="312"/>
      <c r="T192" s="312"/>
      <c r="U192" s="312"/>
      <c r="V192" s="312"/>
      <c r="W192" s="312"/>
      <c r="X192" s="312"/>
      <c r="Y192" s="312"/>
      <c r="Z192" s="312"/>
    </row>
    <row r="193" customHeight="1" spans="1:26">
      <c r="A193" s="312"/>
      <c r="B193" s="312"/>
      <c r="C193" s="312"/>
      <c r="D193" s="312"/>
      <c r="E193" s="312"/>
      <c r="F193" s="312"/>
      <c r="G193" s="312"/>
      <c r="H193" s="312"/>
      <c r="I193" s="312"/>
      <c r="J193" s="312"/>
      <c r="K193" s="312"/>
      <c r="L193" s="312"/>
      <c r="M193" s="312"/>
      <c r="N193" s="312"/>
      <c r="O193" s="312"/>
      <c r="P193" s="312"/>
      <c r="Q193" s="312"/>
      <c r="R193" s="312"/>
      <c r="S193" s="312"/>
      <c r="T193" s="312"/>
      <c r="U193" s="312"/>
      <c r="V193" s="312"/>
      <c r="W193" s="312"/>
      <c r="X193" s="312"/>
      <c r="Y193" s="312"/>
      <c r="Z193" s="312"/>
    </row>
    <row r="194" customHeight="1" spans="1:26">
      <c r="A194" s="312"/>
      <c r="B194" s="312"/>
      <c r="C194" s="312"/>
      <c r="D194" s="312"/>
      <c r="E194" s="312"/>
      <c r="F194" s="312"/>
      <c r="G194" s="312"/>
      <c r="H194" s="312"/>
      <c r="I194" s="312"/>
      <c r="J194" s="312"/>
      <c r="K194" s="312"/>
      <c r="L194" s="312"/>
      <c r="M194" s="312"/>
      <c r="N194" s="312"/>
      <c r="O194" s="312"/>
      <c r="P194" s="312"/>
      <c r="Q194" s="312"/>
      <c r="R194" s="312"/>
      <c r="S194" s="312"/>
      <c r="T194" s="312"/>
      <c r="U194" s="312"/>
      <c r="V194" s="312"/>
      <c r="W194" s="312"/>
      <c r="X194" s="312"/>
      <c r="Y194" s="312"/>
      <c r="Z194" s="312"/>
    </row>
    <row r="195" customHeight="1" spans="1:26">
      <c r="A195" s="312"/>
      <c r="B195" s="312"/>
      <c r="C195" s="312"/>
      <c r="D195" s="312"/>
      <c r="E195" s="312"/>
      <c r="F195" s="312"/>
      <c r="G195" s="312"/>
      <c r="H195" s="312"/>
      <c r="I195" s="312"/>
      <c r="J195" s="312"/>
      <c r="K195" s="312"/>
      <c r="L195" s="312"/>
      <c r="M195" s="312"/>
      <c r="N195" s="312"/>
      <c r="O195" s="312"/>
      <c r="P195" s="312"/>
      <c r="Q195" s="312"/>
      <c r="R195" s="312"/>
      <c r="S195" s="312"/>
      <c r="T195" s="312"/>
      <c r="U195" s="312"/>
      <c r="V195" s="312"/>
      <c r="W195" s="312"/>
      <c r="X195" s="312"/>
      <c r="Y195" s="312"/>
      <c r="Z195" s="312"/>
    </row>
    <row r="196" customHeight="1" spans="1:26">
      <c r="A196" s="312"/>
      <c r="B196" s="312"/>
      <c r="C196" s="312"/>
      <c r="D196" s="312"/>
      <c r="E196" s="312"/>
      <c r="F196" s="312"/>
      <c r="G196" s="312"/>
      <c r="H196" s="312"/>
      <c r="I196" s="312"/>
      <c r="J196" s="312"/>
      <c r="K196" s="312"/>
      <c r="L196" s="312"/>
      <c r="M196" s="312"/>
      <c r="N196" s="312"/>
      <c r="O196" s="312"/>
      <c r="P196" s="312"/>
      <c r="Q196" s="312"/>
      <c r="R196" s="312"/>
      <c r="S196" s="312"/>
      <c r="T196" s="312"/>
      <c r="U196" s="312"/>
      <c r="V196" s="312"/>
      <c r="W196" s="312"/>
      <c r="X196" s="312"/>
      <c r="Y196" s="312"/>
      <c r="Z196" s="312"/>
    </row>
    <row r="197" customHeight="1" spans="1:26">
      <c r="A197" s="312"/>
      <c r="B197" s="312"/>
      <c r="C197" s="312"/>
      <c r="D197" s="312"/>
      <c r="E197" s="312"/>
      <c r="F197" s="312"/>
      <c r="G197" s="312"/>
      <c r="H197" s="312"/>
      <c r="I197" s="312"/>
      <c r="J197" s="312"/>
      <c r="K197" s="312"/>
      <c r="L197" s="312"/>
      <c r="M197" s="312"/>
      <c r="N197" s="312"/>
      <c r="O197" s="312"/>
      <c r="P197" s="312"/>
      <c r="Q197" s="312"/>
      <c r="R197" s="312"/>
      <c r="S197" s="312"/>
      <c r="T197" s="312"/>
      <c r="U197" s="312"/>
      <c r="V197" s="312"/>
      <c r="W197" s="312"/>
      <c r="X197" s="312"/>
      <c r="Y197" s="312"/>
      <c r="Z197" s="312"/>
    </row>
    <row r="198" customHeight="1" spans="1:26">
      <c r="A198" s="312"/>
      <c r="B198" s="312"/>
      <c r="C198" s="312"/>
      <c r="D198" s="312"/>
      <c r="E198" s="312"/>
      <c r="F198" s="312"/>
      <c r="G198" s="312"/>
      <c r="H198" s="312"/>
      <c r="I198" s="312"/>
      <c r="J198" s="312"/>
      <c r="K198" s="312"/>
      <c r="L198" s="312"/>
      <c r="M198" s="312"/>
      <c r="N198" s="312"/>
      <c r="O198" s="312"/>
      <c r="P198" s="312"/>
      <c r="Q198" s="312"/>
      <c r="R198" s="312"/>
      <c r="S198" s="312"/>
      <c r="T198" s="312"/>
      <c r="U198" s="312"/>
      <c r="V198" s="312"/>
      <c r="W198" s="312"/>
      <c r="X198" s="312"/>
      <c r="Y198" s="312"/>
      <c r="Z198" s="312"/>
    </row>
    <row r="199" customHeight="1" spans="1:26">
      <c r="A199" s="312"/>
      <c r="B199" s="312"/>
      <c r="C199" s="312"/>
      <c r="D199" s="312"/>
      <c r="E199" s="312"/>
      <c r="F199" s="312"/>
      <c r="G199" s="312"/>
      <c r="H199" s="312"/>
      <c r="I199" s="312"/>
      <c r="J199" s="312"/>
      <c r="K199" s="312"/>
      <c r="L199" s="312"/>
      <c r="M199" s="312"/>
      <c r="N199" s="312"/>
      <c r="O199" s="312"/>
      <c r="P199" s="312"/>
      <c r="Q199" s="312"/>
      <c r="R199" s="312"/>
      <c r="S199" s="312"/>
      <c r="T199" s="312"/>
      <c r="U199" s="312"/>
      <c r="V199" s="312"/>
      <c r="W199" s="312"/>
      <c r="X199" s="312"/>
      <c r="Y199" s="312"/>
      <c r="Z199" s="312"/>
    </row>
    <row r="200" customHeight="1" spans="1:26">
      <c r="A200" s="312"/>
      <c r="B200" s="312"/>
      <c r="C200" s="312"/>
      <c r="D200" s="312"/>
      <c r="E200" s="312"/>
      <c r="F200" s="312"/>
      <c r="G200" s="312"/>
      <c r="H200" s="312"/>
      <c r="I200" s="312"/>
      <c r="J200" s="312"/>
      <c r="K200" s="312"/>
      <c r="L200" s="312"/>
      <c r="M200" s="312"/>
      <c r="N200" s="312"/>
      <c r="O200" s="312"/>
      <c r="P200" s="312"/>
      <c r="Q200" s="312"/>
      <c r="R200" s="312"/>
      <c r="S200" s="312"/>
      <c r="T200" s="312"/>
      <c r="U200" s="312"/>
      <c r="V200" s="312"/>
      <c r="W200" s="312"/>
      <c r="X200" s="312"/>
      <c r="Y200" s="312"/>
      <c r="Z200" s="312"/>
    </row>
    <row r="201" customHeight="1" spans="1:26">
      <c r="A201" s="312"/>
      <c r="B201" s="312"/>
      <c r="C201" s="312"/>
      <c r="D201" s="312"/>
      <c r="E201" s="312"/>
      <c r="F201" s="312"/>
      <c r="G201" s="312"/>
      <c r="H201" s="312"/>
      <c r="I201" s="312"/>
      <c r="J201" s="312"/>
      <c r="K201" s="312"/>
      <c r="L201" s="312"/>
      <c r="M201" s="312"/>
      <c r="N201" s="312"/>
      <c r="O201" s="312"/>
      <c r="P201" s="312"/>
      <c r="Q201" s="312"/>
      <c r="R201" s="312"/>
      <c r="S201" s="312"/>
      <c r="T201" s="312"/>
      <c r="U201" s="312"/>
      <c r="V201" s="312"/>
      <c r="W201" s="312"/>
      <c r="X201" s="312"/>
      <c r="Y201" s="312"/>
      <c r="Z201" s="312"/>
    </row>
    <row r="202" customHeight="1" spans="1:26">
      <c r="A202" s="312"/>
      <c r="B202" s="312"/>
      <c r="C202" s="312"/>
      <c r="D202" s="312"/>
      <c r="E202" s="312"/>
      <c r="F202" s="312"/>
      <c r="G202" s="312"/>
      <c r="H202" s="312"/>
      <c r="I202" s="312"/>
      <c r="J202" s="312"/>
      <c r="K202" s="312"/>
      <c r="L202" s="312"/>
      <c r="M202" s="312"/>
      <c r="N202" s="312"/>
      <c r="O202" s="312"/>
      <c r="P202" s="312"/>
      <c r="Q202" s="312"/>
      <c r="R202" s="312"/>
      <c r="S202" s="312"/>
      <c r="T202" s="312"/>
      <c r="U202" s="312"/>
      <c r="V202" s="312"/>
      <c r="W202" s="312"/>
      <c r="X202" s="312"/>
      <c r="Y202" s="312"/>
      <c r="Z202" s="312"/>
    </row>
    <row r="203" customHeight="1" spans="1:26">
      <c r="A203" s="312"/>
      <c r="B203" s="312"/>
      <c r="C203" s="312"/>
      <c r="D203" s="312"/>
      <c r="E203" s="312"/>
      <c r="F203" s="312"/>
      <c r="G203" s="312"/>
      <c r="H203" s="312"/>
      <c r="I203" s="312"/>
      <c r="J203" s="312"/>
      <c r="K203" s="312"/>
      <c r="L203" s="312"/>
      <c r="M203" s="312"/>
      <c r="N203" s="312"/>
      <c r="O203" s="312"/>
      <c r="P203" s="312"/>
      <c r="Q203" s="312"/>
      <c r="R203" s="312"/>
      <c r="S203" s="312"/>
      <c r="T203" s="312"/>
      <c r="U203" s="312"/>
      <c r="V203" s="312"/>
      <c r="W203" s="312"/>
      <c r="X203" s="312"/>
      <c r="Y203" s="312"/>
      <c r="Z203" s="312"/>
    </row>
    <row r="204" customHeight="1" spans="1:26">
      <c r="A204" s="312"/>
      <c r="B204" s="312"/>
      <c r="C204" s="312"/>
      <c r="D204" s="312"/>
      <c r="E204" s="312"/>
      <c r="F204" s="312"/>
      <c r="G204" s="312"/>
      <c r="H204" s="312"/>
      <c r="I204" s="312"/>
      <c r="J204" s="312"/>
      <c r="K204" s="312"/>
      <c r="L204" s="312"/>
      <c r="M204" s="312"/>
      <c r="N204" s="312"/>
      <c r="O204" s="312"/>
      <c r="P204" s="312"/>
      <c r="Q204" s="312"/>
      <c r="R204" s="312"/>
      <c r="S204" s="312"/>
      <c r="T204" s="312"/>
      <c r="U204" s="312"/>
      <c r="V204" s="312"/>
      <c r="W204" s="312"/>
      <c r="X204" s="312"/>
      <c r="Y204" s="312"/>
      <c r="Z204" s="312"/>
    </row>
    <row r="205" customHeight="1" spans="1:26">
      <c r="A205" s="312"/>
      <c r="B205" s="312"/>
      <c r="C205" s="312"/>
      <c r="D205" s="312"/>
      <c r="E205" s="312"/>
      <c r="F205" s="312"/>
      <c r="G205" s="312"/>
      <c r="H205" s="312"/>
      <c r="I205" s="312"/>
      <c r="J205" s="312"/>
      <c r="K205" s="312"/>
      <c r="L205" s="312"/>
      <c r="M205" s="312"/>
      <c r="N205" s="312"/>
      <c r="O205" s="312"/>
      <c r="P205" s="312"/>
      <c r="Q205" s="312"/>
      <c r="R205" s="312"/>
      <c r="S205" s="312"/>
      <c r="T205" s="312"/>
      <c r="U205" s="312"/>
      <c r="V205" s="312"/>
      <c r="W205" s="312"/>
      <c r="X205" s="312"/>
      <c r="Y205" s="312"/>
      <c r="Z205" s="312"/>
    </row>
    <row r="206" customHeight="1" spans="1:26">
      <c r="A206" s="312"/>
      <c r="B206" s="312"/>
      <c r="C206" s="312"/>
      <c r="D206" s="312"/>
      <c r="E206" s="312"/>
      <c r="F206" s="312"/>
      <c r="G206" s="312"/>
      <c r="H206" s="312"/>
      <c r="I206" s="312"/>
      <c r="J206" s="312"/>
      <c r="K206" s="312"/>
      <c r="L206" s="312"/>
      <c r="M206" s="312"/>
      <c r="N206" s="312"/>
      <c r="O206" s="312"/>
      <c r="P206" s="312"/>
      <c r="Q206" s="312"/>
      <c r="R206" s="312"/>
      <c r="S206" s="312"/>
      <c r="T206" s="312"/>
      <c r="U206" s="312"/>
      <c r="V206" s="312"/>
      <c r="W206" s="312"/>
      <c r="X206" s="312"/>
      <c r="Y206" s="312"/>
      <c r="Z206" s="312"/>
    </row>
    <row r="207" customHeight="1" spans="1:26">
      <c r="A207" s="312"/>
      <c r="B207" s="312"/>
      <c r="C207" s="312"/>
      <c r="D207" s="312"/>
      <c r="E207" s="312"/>
      <c r="F207" s="312"/>
      <c r="G207" s="312"/>
      <c r="H207" s="312"/>
      <c r="I207" s="312"/>
      <c r="J207" s="312"/>
      <c r="K207" s="312"/>
      <c r="L207" s="312"/>
      <c r="M207" s="312"/>
      <c r="N207" s="312"/>
      <c r="O207" s="312"/>
      <c r="P207" s="312"/>
      <c r="Q207" s="312"/>
      <c r="R207" s="312"/>
      <c r="S207" s="312"/>
      <c r="T207" s="312"/>
      <c r="U207" s="312"/>
      <c r="V207" s="312"/>
      <c r="W207" s="312"/>
      <c r="X207" s="312"/>
      <c r="Y207" s="312"/>
      <c r="Z207" s="312"/>
    </row>
    <row r="208" customHeight="1" spans="1:26">
      <c r="A208" s="312"/>
      <c r="B208" s="312"/>
      <c r="C208" s="312"/>
      <c r="D208" s="312"/>
      <c r="E208" s="312"/>
      <c r="F208" s="312"/>
      <c r="G208" s="312"/>
      <c r="H208" s="312"/>
      <c r="I208" s="312"/>
      <c r="J208" s="312"/>
      <c r="K208" s="312"/>
      <c r="L208" s="312"/>
      <c r="M208" s="312"/>
      <c r="N208" s="312"/>
      <c r="O208" s="312"/>
      <c r="P208" s="312"/>
      <c r="Q208" s="312"/>
      <c r="R208" s="312"/>
      <c r="S208" s="312"/>
      <c r="T208" s="312"/>
      <c r="U208" s="312"/>
      <c r="V208" s="312"/>
      <c r="W208" s="312"/>
      <c r="X208" s="312"/>
      <c r="Y208" s="312"/>
      <c r="Z208" s="312"/>
    </row>
    <row r="209" customHeight="1" spans="1:26">
      <c r="A209" s="312"/>
      <c r="B209" s="312"/>
      <c r="C209" s="312"/>
      <c r="D209" s="312"/>
      <c r="E209" s="312"/>
      <c r="F209" s="312"/>
      <c r="G209" s="312"/>
      <c r="H209" s="312"/>
      <c r="I209" s="312"/>
      <c r="J209" s="312"/>
      <c r="K209" s="312"/>
      <c r="L209" s="312"/>
      <c r="M209" s="312"/>
      <c r="N209" s="312"/>
      <c r="O209" s="312"/>
      <c r="P209" s="312"/>
      <c r="Q209" s="312"/>
      <c r="R209" s="312"/>
      <c r="S209" s="312"/>
      <c r="T209" s="312"/>
      <c r="U209" s="312"/>
      <c r="V209" s="312"/>
      <c r="W209" s="312"/>
      <c r="X209" s="312"/>
      <c r="Y209" s="312"/>
      <c r="Z209" s="312"/>
    </row>
    <row r="210" customHeight="1" spans="1:26">
      <c r="A210" s="312"/>
      <c r="B210" s="312"/>
      <c r="C210" s="312"/>
      <c r="D210" s="312"/>
      <c r="E210" s="312"/>
      <c r="F210" s="312"/>
      <c r="G210" s="312"/>
      <c r="H210" s="312"/>
      <c r="I210" s="312"/>
      <c r="J210" s="312"/>
      <c r="K210" s="312"/>
      <c r="L210" s="312"/>
      <c r="M210" s="312"/>
      <c r="N210" s="312"/>
      <c r="O210" s="312"/>
      <c r="P210" s="312"/>
      <c r="Q210" s="312"/>
      <c r="R210" s="312"/>
      <c r="S210" s="312"/>
      <c r="T210" s="312"/>
      <c r="U210" s="312"/>
      <c r="V210" s="312"/>
      <c r="W210" s="312"/>
      <c r="X210" s="312"/>
      <c r="Y210" s="312"/>
      <c r="Z210" s="312"/>
    </row>
    <row r="211" customHeight="1" spans="1:26">
      <c r="A211" s="312"/>
      <c r="B211" s="312"/>
      <c r="C211" s="312"/>
      <c r="D211" s="312"/>
      <c r="E211" s="312"/>
      <c r="F211" s="312"/>
      <c r="G211" s="312"/>
      <c r="H211" s="312"/>
      <c r="I211" s="312"/>
      <c r="J211" s="312"/>
      <c r="K211" s="312"/>
      <c r="L211" s="312"/>
      <c r="M211" s="312"/>
      <c r="N211" s="312"/>
      <c r="O211" s="312"/>
      <c r="P211" s="312"/>
      <c r="Q211" s="312"/>
      <c r="R211" s="312"/>
      <c r="S211" s="312"/>
      <c r="T211" s="312"/>
      <c r="U211" s="312"/>
      <c r="V211" s="312"/>
      <c r="W211" s="312"/>
      <c r="X211" s="312"/>
      <c r="Y211" s="312"/>
      <c r="Z211" s="312"/>
    </row>
    <row r="212" customHeight="1" spans="1:26">
      <c r="A212" s="312"/>
      <c r="B212" s="312"/>
      <c r="C212" s="312"/>
      <c r="D212" s="312"/>
      <c r="E212" s="312"/>
      <c r="F212" s="312"/>
      <c r="G212" s="312"/>
      <c r="H212" s="312"/>
      <c r="I212" s="312"/>
      <c r="J212" s="312"/>
      <c r="K212" s="312"/>
      <c r="L212" s="312"/>
      <c r="M212" s="312"/>
      <c r="N212" s="312"/>
      <c r="O212" s="312"/>
      <c r="P212" s="312"/>
      <c r="Q212" s="312"/>
      <c r="R212" s="312"/>
      <c r="S212" s="312"/>
      <c r="T212" s="312"/>
      <c r="U212" s="312"/>
      <c r="V212" s="312"/>
      <c r="W212" s="312"/>
      <c r="X212" s="312"/>
      <c r="Y212" s="312"/>
      <c r="Z212" s="312"/>
    </row>
    <row r="213" customHeight="1" spans="1:26">
      <c r="A213" s="312"/>
      <c r="B213" s="312"/>
      <c r="C213" s="312"/>
      <c r="D213" s="312"/>
      <c r="E213" s="312"/>
      <c r="F213" s="312"/>
      <c r="G213" s="312"/>
      <c r="H213" s="312"/>
      <c r="I213" s="312"/>
      <c r="J213" s="312"/>
      <c r="K213" s="312"/>
      <c r="L213" s="312"/>
      <c r="M213" s="312"/>
      <c r="N213" s="312"/>
      <c r="O213" s="312"/>
      <c r="P213" s="312"/>
      <c r="Q213" s="312"/>
      <c r="R213" s="312"/>
      <c r="S213" s="312"/>
      <c r="T213" s="312"/>
      <c r="U213" s="312"/>
      <c r="V213" s="312"/>
      <c r="W213" s="312"/>
      <c r="X213" s="312"/>
      <c r="Y213" s="312"/>
      <c r="Z213" s="312"/>
    </row>
    <row r="214" customHeight="1" spans="1:26">
      <c r="A214" s="312"/>
      <c r="B214" s="312"/>
      <c r="C214" s="312"/>
      <c r="D214" s="312"/>
      <c r="E214" s="312"/>
      <c r="F214" s="312"/>
      <c r="G214" s="312"/>
      <c r="H214" s="312"/>
      <c r="I214" s="312"/>
      <c r="J214" s="312"/>
      <c r="K214" s="312"/>
      <c r="L214" s="312"/>
      <c r="M214" s="312"/>
      <c r="N214" s="312"/>
      <c r="O214" s="312"/>
      <c r="P214" s="312"/>
      <c r="Q214" s="312"/>
      <c r="R214" s="312"/>
      <c r="S214" s="312"/>
      <c r="T214" s="312"/>
      <c r="U214" s="312"/>
      <c r="V214" s="312"/>
      <c r="W214" s="312"/>
      <c r="X214" s="312"/>
      <c r="Y214" s="312"/>
      <c r="Z214" s="312"/>
    </row>
    <row r="215" customHeight="1" spans="1:26">
      <c r="A215" s="312"/>
      <c r="B215" s="312"/>
      <c r="C215" s="312"/>
      <c r="D215" s="312"/>
      <c r="E215" s="312"/>
      <c r="F215" s="312"/>
      <c r="G215" s="312"/>
      <c r="H215" s="312"/>
      <c r="I215" s="312"/>
      <c r="J215" s="312"/>
      <c r="K215" s="312"/>
      <c r="L215" s="312"/>
      <c r="M215" s="312"/>
      <c r="N215" s="312"/>
      <c r="O215" s="312"/>
      <c r="P215" s="312"/>
      <c r="Q215" s="312"/>
      <c r="R215" s="312"/>
      <c r="S215" s="312"/>
      <c r="T215" s="312"/>
      <c r="U215" s="312"/>
      <c r="V215" s="312"/>
      <c r="W215" s="312"/>
      <c r="X215" s="312"/>
      <c r="Y215" s="312"/>
      <c r="Z215" s="312"/>
    </row>
    <row r="216" customHeight="1" spans="1:26">
      <c r="A216" s="312"/>
      <c r="B216" s="312"/>
      <c r="C216" s="312"/>
      <c r="D216" s="312"/>
      <c r="E216" s="312"/>
      <c r="F216" s="312"/>
      <c r="G216" s="312"/>
      <c r="H216" s="312"/>
      <c r="I216" s="312"/>
      <c r="J216" s="312"/>
      <c r="K216" s="312"/>
      <c r="L216" s="312"/>
      <c r="M216" s="312"/>
      <c r="N216" s="312"/>
      <c r="O216" s="312"/>
      <c r="P216" s="312"/>
      <c r="Q216" s="312"/>
      <c r="R216" s="312"/>
      <c r="S216" s="312"/>
      <c r="T216" s="312"/>
      <c r="U216" s="312"/>
      <c r="V216" s="312"/>
      <c r="W216" s="312"/>
      <c r="X216" s="312"/>
      <c r="Y216" s="312"/>
      <c r="Z216" s="312"/>
    </row>
    <row r="217" customHeight="1" spans="1:26">
      <c r="A217" s="312"/>
      <c r="B217" s="312"/>
      <c r="C217" s="312"/>
      <c r="D217" s="312"/>
      <c r="E217" s="312"/>
      <c r="F217" s="312"/>
      <c r="G217" s="312"/>
      <c r="H217" s="312"/>
      <c r="I217" s="312"/>
      <c r="J217" s="312"/>
      <c r="K217" s="312"/>
      <c r="L217" s="312"/>
      <c r="M217" s="312"/>
      <c r="N217" s="312"/>
      <c r="O217" s="312"/>
      <c r="P217" s="312"/>
      <c r="Q217" s="312"/>
      <c r="R217" s="312"/>
      <c r="S217" s="312"/>
      <c r="T217" s="312"/>
      <c r="U217" s="312"/>
      <c r="V217" s="312"/>
      <c r="W217" s="312"/>
      <c r="X217" s="312"/>
      <c r="Y217" s="312"/>
      <c r="Z217" s="312"/>
    </row>
    <row r="218" customHeight="1" spans="1:26">
      <c r="A218" s="312"/>
      <c r="B218" s="312"/>
      <c r="C218" s="312"/>
      <c r="D218" s="312"/>
      <c r="E218" s="312"/>
      <c r="F218" s="312"/>
      <c r="G218" s="312"/>
      <c r="H218" s="312"/>
      <c r="I218" s="312"/>
      <c r="J218" s="312"/>
      <c r="K218" s="312"/>
      <c r="L218" s="312"/>
      <c r="M218" s="312"/>
      <c r="N218" s="312"/>
      <c r="O218" s="312"/>
      <c r="P218" s="312"/>
      <c r="Q218" s="312"/>
      <c r="R218" s="312"/>
      <c r="S218" s="312"/>
      <c r="T218" s="312"/>
      <c r="U218" s="312"/>
      <c r="V218" s="312"/>
      <c r="W218" s="312"/>
      <c r="X218" s="312"/>
      <c r="Y218" s="312"/>
      <c r="Z218" s="312"/>
    </row>
    <row r="219" customHeight="1" spans="1:26">
      <c r="A219" s="312"/>
      <c r="B219" s="312"/>
      <c r="C219" s="312"/>
      <c r="D219" s="312"/>
      <c r="E219" s="312"/>
      <c r="F219" s="312"/>
      <c r="G219" s="312"/>
      <c r="H219" s="312"/>
      <c r="I219" s="312"/>
      <c r="J219" s="312"/>
      <c r="K219" s="312"/>
      <c r="L219" s="312"/>
      <c r="M219" s="312"/>
      <c r="N219" s="312"/>
      <c r="O219" s="312"/>
      <c r="P219" s="312"/>
      <c r="Q219" s="312"/>
      <c r="R219" s="312"/>
      <c r="S219" s="312"/>
      <c r="T219" s="312"/>
      <c r="U219" s="312"/>
      <c r="V219" s="312"/>
      <c r="W219" s="312"/>
      <c r="X219" s="312"/>
      <c r="Y219" s="312"/>
      <c r="Z219" s="312"/>
    </row>
    <row r="220" customHeight="1" spans="1:26">
      <c r="A220" s="312"/>
      <c r="B220" s="312"/>
      <c r="C220" s="312"/>
      <c r="D220" s="312"/>
      <c r="E220" s="312"/>
      <c r="F220" s="312"/>
      <c r="G220" s="312"/>
      <c r="H220" s="312"/>
      <c r="I220" s="312"/>
      <c r="J220" s="312"/>
      <c r="K220" s="312"/>
      <c r="L220" s="312"/>
      <c r="M220" s="312"/>
      <c r="N220" s="312"/>
      <c r="O220" s="312"/>
      <c r="P220" s="312"/>
      <c r="Q220" s="312"/>
      <c r="R220" s="312"/>
      <c r="S220" s="312"/>
      <c r="T220" s="312"/>
      <c r="U220" s="312"/>
      <c r="V220" s="312"/>
      <c r="W220" s="312"/>
      <c r="X220" s="312"/>
      <c r="Y220" s="312"/>
      <c r="Z220" s="312"/>
    </row>
    <row r="221" customHeight="1" spans="1:26">
      <c r="A221" s="312"/>
      <c r="B221" s="312"/>
      <c r="C221" s="312"/>
      <c r="D221" s="312"/>
      <c r="E221" s="312"/>
      <c r="F221" s="312"/>
      <c r="G221" s="312"/>
      <c r="H221" s="312"/>
      <c r="I221" s="312"/>
      <c r="J221" s="312"/>
      <c r="K221" s="312"/>
      <c r="L221" s="312"/>
      <c r="M221" s="312"/>
      <c r="N221" s="312"/>
      <c r="O221" s="312"/>
      <c r="P221" s="312"/>
      <c r="Q221" s="312"/>
      <c r="R221" s="312"/>
      <c r="S221" s="312"/>
      <c r="T221" s="312"/>
      <c r="U221" s="312"/>
      <c r="V221" s="312"/>
      <c r="W221" s="312"/>
      <c r="X221" s="312"/>
      <c r="Y221" s="312"/>
      <c r="Z221" s="312"/>
    </row>
    <row r="222" customHeight="1" spans="1:26">
      <c r="A222" s="312"/>
      <c r="B222" s="312"/>
      <c r="C222" s="312"/>
      <c r="D222" s="312"/>
      <c r="E222" s="312"/>
      <c r="F222" s="312"/>
      <c r="G222" s="312"/>
      <c r="H222" s="312"/>
      <c r="I222" s="312"/>
      <c r="J222" s="312"/>
      <c r="K222" s="312"/>
      <c r="L222" s="312"/>
      <c r="M222" s="312"/>
      <c r="N222" s="312"/>
      <c r="O222" s="312"/>
      <c r="P222" s="312"/>
      <c r="Q222" s="312"/>
      <c r="R222" s="312"/>
      <c r="S222" s="312"/>
      <c r="T222" s="312"/>
      <c r="U222" s="312"/>
      <c r="V222" s="312"/>
      <c r="W222" s="312"/>
      <c r="X222" s="312"/>
      <c r="Y222" s="312"/>
      <c r="Z222" s="312"/>
    </row>
    <row r="223" customHeight="1" spans="1:26">
      <c r="A223" s="312"/>
      <c r="B223" s="312"/>
      <c r="C223" s="312"/>
      <c r="D223" s="312"/>
      <c r="E223" s="312"/>
      <c r="F223" s="312"/>
      <c r="G223" s="312"/>
      <c r="H223" s="312"/>
      <c r="I223" s="312"/>
      <c r="J223" s="312"/>
      <c r="K223" s="312"/>
      <c r="L223" s="312"/>
      <c r="M223" s="312"/>
      <c r="N223" s="312"/>
      <c r="O223" s="312"/>
      <c r="P223" s="312"/>
      <c r="Q223" s="312"/>
      <c r="R223" s="312"/>
      <c r="S223" s="312"/>
      <c r="T223" s="312"/>
      <c r="U223" s="312"/>
      <c r="V223" s="312"/>
      <c r="W223" s="312"/>
      <c r="X223" s="312"/>
      <c r="Y223" s="312"/>
      <c r="Z223" s="312"/>
    </row>
    <row r="224" customHeight="1" spans="1:26">
      <c r="A224" s="312"/>
      <c r="B224" s="312"/>
      <c r="C224" s="312"/>
      <c r="D224" s="312"/>
      <c r="E224" s="312"/>
      <c r="F224" s="312"/>
      <c r="G224" s="312"/>
      <c r="H224" s="312"/>
      <c r="I224" s="312"/>
      <c r="J224" s="312"/>
      <c r="K224" s="312"/>
      <c r="L224" s="312"/>
      <c r="M224" s="312"/>
      <c r="N224" s="312"/>
      <c r="O224" s="312"/>
      <c r="P224" s="312"/>
      <c r="Q224" s="312"/>
      <c r="R224" s="312"/>
      <c r="S224" s="312"/>
      <c r="T224" s="312"/>
      <c r="U224" s="312"/>
      <c r="V224" s="312"/>
      <c r="W224" s="312"/>
      <c r="X224" s="312"/>
      <c r="Y224" s="312"/>
      <c r="Z224" s="312"/>
    </row>
    <row r="225" customHeight="1" spans="1:26">
      <c r="A225" s="312"/>
      <c r="B225" s="312"/>
      <c r="C225" s="312"/>
      <c r="D225" s="312"/>
      <c r="E225" s="312"/>
      <c r="F225" s="312"/>
      <c r="G225" s="312"/>
      <c r="H225" s="312"/>
      <c r="I225" s="312"/>
      <c r="J225" s="312"/>
      <c r="K225" s="312"/>
      <c r="L225" s="312"/>
      <c r="M225" s="312"/>
      <c r="N225" s="312"/>
      <c r="O225" s="312"/>
      <c r="P225" s="312"/>
      <c r="Q225" s="312"/>
      <c r="R225" s="312"/>
      <c r="S225" s="312"/>
      <c r="T225" s="312"/>
      <c r="U225" s="312"/>
      <c r="V225" s="312"/>
      <c r="W225" s="312"/>
      <c r="X225" s="312"/>
      <c r="Y225" s="312"/>
      <c r="Z225" s="312"/>
    </row>
    <row r="226" customHeight="1" spans="1:26">
      <c r="A226" s="312"/>
      <c r="B226" s="312"/>
      <c r="C226" s="312"/>
      <c r="D226" s="312"/>
      <c r="E226" s="312"/>
      <c r="F226" s="312"/>
      <c r="G226" s="312"/>
      <c r="H226" s="312"/>
      <c r="I226" s="312"/>
      <c r="J226" s="312"/>
      <c r="K226" s="312"/>
      <c r="L226" s="312"/>
      <c r="M226" s="312"/>
      <c r="N226" s="312"/>
      <c r="O226" s="312"/>
      <c r="P226" s="312"/>
      <c r="Q226" s="312"/>
      <c r="R226" s="312"/>
      <c r="S226" s="312"/>
      <c r="T226" s="312"/>
      <c r="U226" s="312"/>
      <c r="V226" s="312"/>
      <c r="W226" s="312"/>
      <c r="X226" s="312"/>
      <c r="Y226" s="312"/>
      <c r="Z226" s="312"/>
    </row>
    <row r="227" customHeight="1" spans="1:26">
      <c r="A227" s="312"/>
      <c r="B227" s="312"/>
      <c r="C227" s="312"/>
      <c r="D227" s="312"/>
      <c r="E227" s="312"/>
      <c r="F227" s="312"/>
      <c r="G227" s="312"/>
      <c r="H227" s="312"/>
      <c r="I227" s="312"/>
      <c r="J227" s="312"/>
      <c r="K227" s="312"/>
      <c r="L227" s="312"/>
      <c r="M227" s="312"/>
      <c r="N227" s="312"/>
      <c r="O227" s="312"/>
      <c r="P227" s="312"/>
      <c r="Q227" s="312"/>
      <c r="R227" s="312"/>
      <c r="S227" s="312"/>
      <c r="T227" s="312"/>
      <c r="U227" s="312"/>
      <c r="V227" s="312"/>
      <c r="W227" s="312"/>
      <c r="X227" s="312"/>
      <c r="Y227" s="312"/>
      <c r="Z227" s="312"/>
    </row>
    <row r="228" customHeight="1" spans="1:26">
      <c r="A228" s="312"/>
      <c r="B228" s="312"/>
      <c r="C228" s="312"/>
      <c r="D228" s="312"/>
      <c r="E228" s="312"/>
      <c r="F228" s="312"/>
      <c r="G228" s="312"/>
      <c r="H228" s="312"/>
      <c r="I228" s="312"/>
      <c r="J228" s="312"/>
      <c r="K228" s="312"/>
      <c r="L228" s="312"/>
      <c r="M228" s="312"/>
      <c r="N228" s="312"/>
      <c r="O228" s="312"/>
      <c r="P228" s="312"/>
      <c r="Q228" s="312"/>
      <c r="R228" s="312"/>
      <c r="S228" s="312"/>
      <c r="T228" s="312"/>
      <c r="U228" s="312"/>
      <c r="V228" s="312"/>
      <c r="W228" s="312"/>
      <c r="X228" s="312"/>
      <c r="Y228" s="312"/>
      <c r="Z228" s="312"/>
    </row>
    <row r="229" customHeight="1" spans="1:26">
      <c r="A229" s="312"/>
      <c r="B229" s="312"/>
      <c r="C229" s="312"/>
      <c r="D229" s="312"/>
      <c r="E229" s="312"/>
      <c r="F229" s="312"/>
      <c r="G229" s="312"/>
      <c r="H229" s="312"/>
      <c r="I229" s="312"/>
      <c r="J229" s="312"/>
      <c r="K229" s="312"/>
      <c r="L229" s="312"/>
      <c r="M229" s="312"/>
      <c r="N229" s="312"/>
      <c r="O229" s="312"/>
      <c r="P229" s="312"/>
      <c r="Q229" s="312"/>
      <c r="R229" s="312"/>
      <c r="S229" s="312"/>
      <c r="T229" s="312"/>
      <c r="U229" s="312"/>
      <c r="V229" s="312"/>
      <c r="W229" s="312"/>
      <c r="X229" s="312"/>
      <c r="Y229" s="312"/>
      <c r="Z229" s="312"/>
    </row>
    <row r="230" customHeight="1" spans="1:26">
      <c r="A230" s="312"/>
      <c r="B230" s="312"/>
      <c r="C230" s="312"/>
      <c r="D230" s="312"/>
      <c r="E230" s="312"/>
      <c r="F230" s="312"/>
      <c r="G230" s="312"/>
      <c r="H230" s="312"/>
      <c r="I230" s="312"/>
      <c r="J230" s="312"/>
      <c r="K230" s="312"/>
      <c r="L230" s="312"/>
      <c r="M230" s="312"/>
      <c r="N230" s="312"/>
      <c r="O230" s="312"/>
      <c r="P230" s="312"/>
      <c r="Q230" s="312"/>
      <c r="R230" s="312"/>
      <c r="S230" s="312"/>
      <c r="T230" s="312"/>
      <c r="U230" s="312"/>
      <c r="V230" s="312"/>
      <c r="W230" s="312"/>
      <c r="X230" s="312"/>
      <c r="Y230" s="312"/>
      <c r="Z230" s="312"/>
    </row>
    <row r="231" customHeight="1" spans="1:26">
      <c r="A231" s="312"/>
      <c r="B231" s="312"/>
      <c r="C231" s="312"/>
      <c r="D231" s="312"/>
      <c r="E231" s="312"/>
      <c r="F231" s="312"/>
      <c r="G231" s="312"/>
      <c r="H231" s="312"/>
      <c r="I231" s="312"/>
      <c r="J231" s="312"/>
      <c r="K231" s="312"/>
      <c r="L231" s="312"/>
      <c r="M231" s="312"/>
      <c r="N231" s="312"/>
      <c r="O231" s="312"/>
      <c r="P231" s="312"/>
      <c r="Q231" s="312"/>
      <c r="R231" s="312"/>
      <c r="S231" s="312"/>
      <c r="T231" s="312"/>
      <c r="U231" s="312"/>
      <c r="V231" s="312"/>
      <c r="W231" s="312"/>
      <c r="X231" s="312"/>
      <c r="Y231" s="312"/>
      <c r="Z231" s="312"/>
    </row>
    <row r="232" customHeight="1" spans="1:26">
      <c r="A232" s="312"/>
      <c r="B232" s="312"/>
      <c r="C232" s="312"/>
      <c r="D232" s="312"/>
      <c r="E232" s="312"/>
      <c r="F232" s="312"/>
      <c r="G232" s="312"/>
      <c r="H232" s="312"/>
      <c r="I232" s="312"/>
      <c r="J232" s="312"/>
      <c r="K232" s="312"/>
      <c r="L232" s="312"/>
      <c r="M232" s="312"/>
      <c r="N232" s="312"/>
      <c r="O232" s="312"/>
      <c r="P232" s="312"/>
      <c r="Q232" s="312"/>
      <c r="R232" s="312"/>
      <c r="S232" s="312"/>
      <c r="T232" s="312"/>
      <c r="U232" s="312"/>
      <c r="V232" s="312"/>
      <c r="W232" s="312"/>
      <c r="X232" s="312"/>
      <c r="Y232" s="312"/>
      <c r="Z232" s="312"/>
    </row>
    <row r="233" customHeight="1" spans="1:26">
      <c r="A233" s="312"/>
      <c r="B233" s="312"/>
      <c r="C233" s="312"/>
      <c r="D233" s="312"/>
      <c r="E233" s="312"/>
      <c r="F233" s="312"/>
      <c r="G233" s="312"/>
      <c r="H233" s="312"/>
      <c r="I233" s="312"/>
      <c r="J233" s="312"/>
      <c r="K233" s="312"/>
      <c r="L233" s="312"/>
      <c r="M233" s="312"/>
      <c r="N233" s="312"/>
      <c r="O233" s="312"/>
      <c r="P233" s="312"/>
      <c r="Q233" s="312"/>
      <c r="R233" s="312"/>
      <c r="S233" s="312"/>
      <c r="T233" s="312"/>
      <c r="U233" s="312"/>
      <c r="V233" s="312"/>
      <c r="W233" s="312"/>
      <c r="X233" s="312"/>
      <c r="Y233" s="312"/>
      <c r="Z233" s="312"/>
    </row>
    <row r="234" customHeight="1" spans="1:26">
      <c r="A234" s="312"/>
      <c r="B234" s="312"/>
      <c r="C234" s="312"/>
      <c r="D234" s="312"/>
      <c r="E234" s="312"/>
      <c r="F234" s="312"/>
      <c r="G234" s="312"/>
      <c r="H234" s="312"/>
      <c r="I234" s="312"/>
      <c r="J234" s="312"/>
      <c r="K234" s="312"/>
      <c r="L234" s="312"/>
      <c r="M234" s="312"/>
      <c r="N234" s="312"/>
      <c r="O234" s="312"/>
      <c r="P234" s="312"/>
      <c r="Q234" s="312"/>
      <c r="R234" s="312"/>
      <c r="S234" s="312"/>
      <c r="T234" s="312"/>
      <c r="U234" s="312"/>
      <c r="V234" s="312"/>
      <c r="W234" s="312"/>
      <c r="X234" s="312"/>
      <c r="Y234" s="312"/>
      <c r="Z234" s="312"/>
    </row>
    <row r="235" customHeight="1" spans="1:26">
      <c r="A235" s="312"/>
      <c r="B235" s="312"/>
      <c r="C235" s="312"/>
      <c r="D235" s="312"/>
      <c r="E235" s="312"/>
      <c r="F235" s="312"/>
      <c r="G235" s="312"/>
      <c r="H235" s="312"/>
      <c r="I235" s="312"/>
      <c r="J235" s="312"/>
      <c r="K235" s="312"/>
      <c r="L235" s="312"/>
      <c r="M235" s="312"/>
      <c r="N235" s="312"/>
      <c r="O235" s="312"/>
      <c r="P235" s="312"/>
      <c r="Q235" s="312"/>
      <c r="R235" s="312"/>
      <c r="S235" s="312"/>
      <c r="T235" s="312"/>
      <c r="U235" s="312"/>
      <c r="V235" s="312"/>
      <c r="W235" s="312"/>
      <c r="X235" s="312"/>
      <c r="Y235" s="312"/>
      <c r="Z235" s="312"/>
    </row>
    <row r="236" customHeight="1" spans="1:26">
      <c r="A236" s="312"/>
      <c r="B236" s="312"/>
      <c r="C236" s="312"/>
      <c r="D236" s="312"/>
      <c r="E236" s="312"/>
      <c r="F236" s="312"/>
      <c r="G236" s="312"/>
      <c r="H236" s="312"/>
      <c r="I236" s="312"/>
      <c r="J236" s="312"/>
      <c r="K236" s="312"/>
      <c r="L236" s="312"/>
      <c r="M236" s="312"/>
      <c r="N236" s="312"/>
      <c r="O236" s="312"/>
      <c r="P236" s="312"/>
      <c r="Q236" s="312"/>
      <c r="R236" s="312"/>
      <c r="S236" s="312"/>
      <c r="T236" s="312"/>
      <c r="U236" s="312"/>
      <c r="V236" s="312"/>
      <c r="W236" s="312"/>
      <c r="X236" s="312"/>
      <c r="Y236" s="312"/>
      <c r="Z236" s="312"/>
    </row>
    <row r="237" customHeight="1" spans="1:26">
      <c r="A237" s="312"/>
      <c r="B237" s="312"/>
      <c r="C237" s="312"/>
      <c r="D237" s="312"/>
      <c r="E237" s="312"/>
      <c r="F237" s="312"/>
      <c r="G237" s="312"/>
      <c r="H237" s="312"/>
      <c r="I237" s="312"/>
      <c r="J237" s="312"/>
      <c r="K237" s="312"/>
      <c r="L237" s="312"/>
      <c r="M237" s="312"/>
      <c r="N237" s="312"/>
      <c r="O237" s="312"/>
      <c r="P237" s="312"/>
      <c r="Q237" s="312"/>
      <c r="R237" s="312"/>
      <c r="S237" s="312"/>
      <c r="T237" s="312"/>
      <c r="U237" s="312"/>
      <c r="V237" s="312"/>
      <c r="W237" s="312"/>
      <c r="X237" s="312"/>
      <c r="Y237" s="312"/>
      <c r="Z237" s="312"/>
    </row>
    <row r="238" customHeight="1" spans="1:26">
      <c r="A238" s="312"/>
      <c r="B238" s="312"/>
      <c r="C238" s="312"/>
      <c r="D238" s="312"/>
      <c r="E238" s="312"/>
      <c r="F238" s="312"/>
      <c r="G238" s="312"/>
      <c r="H238" s="312"/>
      <c r="I238" s="312"/>
      <c r="J238" s="312"/>
      <c r="K238" s="312"/>
      <c r="L238" s="312"/>
      <c r="M238" s="312"/>
      <c r="N238" s="312"/>
      <c r="O238" s="312"/>
      <c r="P238" s="312"/>
      <c r="Q238" s="312"/>
      <c r="R238" s="312"/>
      <c r="S238" s="312"/>
      <c r="T238" s="312"/>
      <c r="U238" s="312"/>
      <c r="V238" s="312"/>
      <c r="W238" s="312"/>
      <c r="X238" s="312"/>
      <c r="Y238" s="312"/>
      <c r="Z238" s="312"/>
    </row>
    <row r="239" customHeight="1" spans="1:26">
      <c r="A239" s="312"/>
      <c r="B239" s="312"/>
      <c r="C239" s="312"/>
      <c r="D239" s="312"/>
      <c r="E239" s="312"/>
      <c r="F239" s="312"/>
      <c r="G239" s="312"/>
      <c r="H239" s="312"/>
      <c r="I239" s="312"/>
      <c r="J239" s="312"/>
      <c r="K239" s="312"/>
      <c r="L239" s="312"/>
      <c r="M239" s="312"/>
      <c r="N239" s="312"/>
      <c r="O239" s="312"/>
      <c r="P239" s="312"/>
      <c r="Q239" s="312"/>
      <c r="R239" s="312"/>
      <c r="S239" s="312"/>
      <c r="T239" s="312"/>
      <c r="U239" s="312"/>
      <c r="V239" s="312"/>
      <c r="W239" s="312"/>
      <c r="X239" s="312"/>
      <c r="Y239" s="312"/>
      <c r="Z239" s="312"/>
    </row>
    <row r="240" customHeight="1" spans="1:26">
      <c r="A240" s="312"/>
      <c r="B240" s="312"/>
      <c r="C240" s="312"/>
      <c r="D240" s="312"/>
      <c r="E240" s="312"/>
      <c r="F240" s="312"/>
      <c r="G240" s="312"/>
      <c r="H240" s="312"/>
      <c r="I240" s="312"/>
      <c r="J240" s="312"/>
      <c r="K240" s="312"/>
      <c r="L240" s="312"/>
      <c r="M240" s="312"/>
      <c r="N240" s="312"/>
      <c r="O240" s="312"/>
      <c r="P240" s="312"/>
      <c r="Q240" s="312"/>
      <c r="R240" s="312"/>
      <c r="S240" s="312"/>
      <c r="T240" s="312"/>
      <c r="U240" s="312"/>
      <c r="V240" s="312"/>
      <c r="W240" s="312"/>
      <c r="X240" s="312"/>
      <c r="Y240" s="312"/>
      <c r="Z240" s="312"/>
    </row>
    <row r="241" customHeight="1" spans="1:26">
      <c r="A241" s="312"/>
      <c r="B241" s="312"/>
      <c r="C241" s="312"/>
      <c r="D241" s="312"/>
      <c r="E241" s="312"/>
      <c r="F241" s="312"/>
      <c r="G241" s="312"/>
      <c r="H241" s="312"/>
      <c r="I241" s="312"/>
      <c r="J241" s="312"/>
      <c r="K241" s="312"/>
      <c r="L241" s="312"/>
      <c r="M241" s="312"/>
      <c r="N241" s="312"/>
      <c r="O241" s="312"/>
      <c r="P241" s="312"/>
      <c r="Q241" s="312"/>
      <c r="R241" s="312"/>
      <c r="S241" s="312"/>
      <c r="T241" s="312"/>
      <c r="U241" s="312"/>
      <c r="V241" s="312"/>
      <c r="W241" s="312"/>
      <c r="X241" s="312"/>
      <c r="Y241" s="312"/>
      <c r="Z241" s="312"/>
    </row>
    <row r="242" customHeight="1" spans="1:26">
      <c r="A242" s="312"/>
      <c r="B242" s="312"/>
      <c r="C242" s="312"/>
      <c r="D242" s="312"/>
      <c r="E242" s="312"/>
      <c r="F242" s="312"/>
      <c r="G242" s="312"/>
      <c r="H242" s="312"/>
      <c r="I242" s="312"/>
      <c r="J242" s="312"/>
      <c r="K242" s="312"/>
      <c r="L242" s="312"/>
      <c r="M242" s="312"/>
      <c r="N242" s="312"/>
      <c r="O242" s="312"/>
      <c r="P242" s="312"/>
      <c r="Q242" s="312"/>
      <c r="R242" s="312"/>
      <c r="S242" s="312"/>
      <c r="T242" s="312"/>
      <c r="U242" s="312"/>
      <c r="V242" s="312"/>
      <c r="W242" s="312"/>
      <c r="X242" s="312"/>
      <c r="Y242" s="312"/>
      <c r="Z242" s="312"/>
    </row>
    <row r="243" customHeight="1" spans="1:26">
      <c r="A243" s="312"/>
      <c r="B243" s="312"/>
      <c r="C243" s="312"/>
      <c r="D243" s="312"/>
      <c r="E243" s="312"/>
      <c r="F243" s="312"/>
      <c r="G243" s="312"/>
      <c r="H243" s="312"/>
      <c r="I243" s="312"/>
      <c r="J243" s="312"/>
      <c r="K243" s="312"/>
      <c r="L243" s="312"/>
      <c r="M243" s="312"/>
      <c r="N243" s="312"/>
      <c r="O243" s="312"/>
      <c r="P243" s="312"/>
      <c r="Q243" s="312"/>
      <c r="R243" s="312"/>
      <c r="S243" s="312"/>
      <c r="T243" s="312"/>
      <c r="U243" s="312"/>
      <c r="V243" s="312"/>
      <c r="W243" s="312"/>
      <c r="X243" s="312"/>
      <c r="Y243" s="312"/>
      <c r="Z243" s="312"/>
    </row>
    <row r="244" customHeight="1" spans="1:26">
      <c r="A244" s="312"/>
      <c r="B244" s="312"/>
      <c r="C244" s="312"/>
      <c r="D244" s="312"/>
      <c r="E244" s="312"/>
      <c r="F244" s="312"/>
      <c r="G244" s="312"/>
      <c r="H244" s="312"/>
      <c r="I244" s="312"/>
      <c r="J244" s="312"/>
      <c r="K244" s="312"/>
      <c r="L244" s="312"/>
      <c r="M244" s="312"/>
      <c r="N244" s="312"/>
      <c r="O244" s="312"/>
      <c r="P244" s="312"/>
      <c r="Q244" s="312"/>
      <c r="R244" s="312"/>
      <c r="S244" s="312"/>
      <c r="T244" s="312"/>
      <c r="U244" s="312"/>
      <c r="V244" s="312"/>
      <c r="W244" s="312"/>
      <c r="X244" s="312"/>
      <c r="Y244" s="312"/>
      <c r="Z244" s="312"/>
    </row>
    <row r="245" customHeight="1" spans="1:26">
      <c r="A245" s="312"/>
      <c r="B245" s="312"/>
      <c r="C245" s="312"/>
      <c r="D245" s="312"/>
      <c r="E245" s="312"/>
      <c r="F245" s="312"/>
      <c r="G245" s="312"/>
      <c r="H245" s="312"/>
      <c r="I245" s="312"/>
      <c r="J245" s="312"/>
      <c r="K245" s="312"/>
      <c r="L245" s="312"/>
      <c r="M245" s="312"/>
      <c r="N245" s="312"/>
      <c r="O245" s="312"/>
      <c r="P245" s="312"/>
      <c r="Q245" s="312"/>
      <c r="R245" s="312"/>
      <c r="S245" s="312"/>
      <c r="T245" s="312"/>
      <c r="U245" s="312"/>
      <c r="V245" s="312"/>
      <c r="W245" s="312"/>
      <c r="X245" s="312"/>
      <c r="Y245" s="312"/>
      <c r="Z245" s="312"/>
    </row>
    <row r="246" customHeight="1" spans="1:26">
      <c r="A246" s="312"/>
      <c r="B246" s="312"/>
      <c r="C246" s="312"/>
      <c r="D246" s="312"/>
      <c r="E246" s="312"/>
      <c r="F246" s="312"/>
      <c r="G246" s="312"/>
      <c r="H246" s="312"/>
      <c r="I246" s="312"/>
      <c r="J246" s="312"/>
      <c r="K246" s="312"/>
      <c r="L246" s="312"/>
      <c r="M246" s="312"/>
      <c r="N246" s="312"/>
      <c r="O246" s="312"/>
      <c r="P246" s="312"/>
      <c r="Q246" s="312"/>
      <c r="R246" s="312"/>
      <c r="S246" s="312"/>
      <c r="T246" s="312"/>
      <c r="U246" s="312"/>
      <c r="V246" s="312"/>
      <c r="W246" s="312"/>
      <c r="X246" s="312"/>
      <c r="Y246" s="312"/>
      <c r="Z246" s="312"/>
    </row>
    <row r="247" customHeight="1" spans="1:26">
      <c r="A247" s="312"/>
      <c r="B247" s="312"/>
      <c r="C247" s="312"/>
      <c r="D247" s="312"/>
      <c r="E247" s="312"/>
      <c r="F247" s="312"/>
      <c r="G247" s="312"/>
      <c r="H247" s="312"/>
      <c r="I247" s="312"/>
      <c r="J247" s="312"/>
      <c r="K247" s="312"/>
      <c r="L247" s="312"/>
      <c r="M247" s="312"/>
      <c r="N247" s="312"/>
      <c r="O247" s="312"/>
      <c r="P247" s="312"/>
      <c r="Q247" s="312"/>
      <c r="R247" s="312"/>
      <c r="S247" s="312"/>
      <c r="T247" s="312"/>
      <c r="U247" s="312"/>
      <c r="V247" s="312"/>
      <c r="W247" s="312"/>
      <c r="X247" s="312"/>
      <c r="Y247" s="312"/>
      <c r="Z247" s="312"/>
    </row>
    <row r="248" customHeight="1" spans="1:26">
      <c r="A248" s="312"/>
      <c r="B248" s="312"/>
      <c r="C248" s="312"/>
      <c r="D248" s="312"/>
      <c r="E248" s="312"/>
      <c r="F248" s="312"/>
      <c r="G248" s="312"/>
      <c r="H248" s="312"/>
      <c r="I248" s="312"/>
      <c r="J248" s="312"/>
      <c r="K248" s="312"/>
      <c r="L248" s="312"/>
      <c r="M248" s="312"/>
      <c r="N248" s="312"/>
      <c r="O248" s="312"/>
      <c r="P248" s="312"/>
      <c r="Q248" s="312"/>
      <c r="R248" s="312"/>
      <c r="S248" s="312"/>
      <c r="T248" s="312"/>
      <c r="U248" s="312"/>
      <c r="V248" s="312"/>
      <c r="W248" s="312"/>
      <c r="X248" s="312"/>
      <c r="Y248" s="312"/>
      <c r="Z248" s="312"/>
    </row>
    <row r="249" customHeight="1" spans="1:26">
      <c r="A249" s="312"/>
      <c r="B249" s="312"/>
      <c r="C249" s="312"/>
      <c r="D249" s="312"/>
      <c r="E249" s="312"/>
      <c r="F249" s="312"/>
      <c r="G249" s="312"/>
      <c r="H249" s="312"/>
      <c r="I249" s="312"/>
      <c r="J249" s="312"/>
      <c r="K249" s="312"/>
      <c r="L249" s="312"/>
      <c r="M249" s="312"/>
      <c r="N249" s="312"/>
      <c r="O249" s="312"/>
      <c r="P249" s="312"/>
      <c r="Q249" s="312"/>
      <c r="R249" s="312"/>
      <c r="S249" s="312"/>
      <c r="T249" s="312"/>
      <c r="U249" s="312"/>
      <c r="V249" s="312"/>
      <c r="W249" s="312"/>
      <c r="X249" s="312"/>
      <c r="Y249" s="312"/>
      <c r="Z249" s="312"/>
    </row>
    <row r="250" customHeight="1" spans="1:26">
      <c r="A250" s="312"/>
      <c r="B250" s="312"/>
      <c r="C250" s="312"/>
      <c r="D250" s="312"/>
      <c r="E250" s="312"/>
      <c r="F250" s="312"/>
      <c r="G250" s="312"/>
      <c r="H250" s="312"/>
      <c r="I250" s="312"/>
      <c r="J250" s="312"/>
      <c r="K250" s="312"/>
      <c r="L250" s="312"/>
      <c r="M250" s="312"/>
      <c r="N250" s="312"/>
      <c r="O250" s="312"/>
      <c r="P250" s="312"/>
      <c r="Q250" s="312"/>
      <c r="R250" s="312"/>
      <c r="S250" s="312"/>
      <c r="T250" s="312"/>
      <c r="U250" s="312"/>
      <c r="V250" s="312"/>
      <c r="W250" s="312"/>
      <c r="X250" s="312"/>
      <c r="Y250" s="312"/>
      <c r="Z250" s="312"/>
    </row>
    <row r="251" customHeight="1" spans="1:26">
      <c r="A251" s="312"/>
      <c r="B251" s="312"/>
      <c r="C251" s="312"/>
      <c r="D251" s="312"/>
      <c r="E251" s="312"/>
      <c r="F251" s="312"/>
      <c r="G251" s="312"/>
      <c r="H251" s="312"/>
      <c r="I251" s="312"/>
      <c r="J251" s="312"/>
      <c r="K251" s="312"/>
      <c r="L251" s="312"/>
      <c r="M251" s="312"/>
      <c r="N251" s="312"/>
      <c r="O251" s="312"/>
      <c r="P251" s="312"/>
      <c r="Q251" s="312"/>
      <c r="R251" s="312"/>
      <c r="S251" s="312"/>
      <c r="T251" s="312"/>
      <c r="U251" s="312"/>
      <c r="V251" s="312"/>
      <c r="W251" s="312"/>
      <c r="X251" s="312"/>
      <c r="Y251" s="312"/>
      <c r="Z251" s="312"/>
    </row>
    <row r="252" customHeight="1" spans="1:26">
      <c r="A252" s="312"/>
      <c r="B252" s="312"/>
      <c r="C252" s="312"/>
      <c r="D252" s="312"/>
      <c r="E252" s="312"/>
      <c r="F252" s="312"/>
      <c r="G252" s="312"/>
      <c r="H252" s="312"/>
      <c r="I252" s="312"/>
      <c r="J252" s="312"/>
      <c r="K252" s="312"/>
      <c r="L252" s="312"/>
      <c r="M252" s="312"/>
      <c r="N252" s="312"/>
      <c r="O252" s="312"/>
      <c r="P252" s="312"/>
      <c r="Q252" s="312"/>
      <c r="R252" s="312"/>
      <c r="S252" s="312"/>
      <c r="T252" s="312"/>
      <c r="U252" s="312"/>
      <c r="V252" s="312"/>
      <c r="W252" s="312"/>
      <c r="X252" s="312"/>
      <c r="Y252" s="312"/>
      <c r="Z252" s="312"/>
    </row>
    <row r="253" customHeight="1" spans="1:26">
      <c r="A253" s="312"/>
      <c r="B253" s="312"/>
      <c r="C253" s="312"/>
      <c r="D253" s="312"/>
      <c r="E253" s="312"/>
      <c r="F253" s="312"/>
      <c r="G253" s="312"/>
      <c r="H253" s="312"/>
      <c r="I253" s="312"/>
      <c r="J253" s="312"/>
      <c r="K253" s="312"/>
      <c r="L253" s="312"/>
      <c r="M253" s="312"/>
      <c r="N253" s="312"/>
      <c r="O253" s="312"/>
      <c r="P253" s="312"/>
      <c r="Q253" s="312"/>
      <c r="R253" s="312"/>
      <c r="S253" s="312"/>
      <c r="T253" s="312"/>
      <c r="U253" s="312"/>
      <c r="V253" s="312"/>
      <c r="W253" s="312"/>
      <c r="X253" s="312"/>
      <c r="Y253" s="312"/>
      <c r="Z253" s="312"/>
    </row>
    <row r="254" customHeight="1" spans="1:26">
      <c r="A254" s="312"/>
      <c r="B254" s="312"/>
      <c r="C254" s="312"/>
      <c r="D254" s="312"/>
      <c r="E254" s="312"/>
      <c r="F254" s="312"/>
      <c r="G254" s="312"/>
      <c r="H254" s="312"/>
      <c r="I254" s="312"/>
      <c r="J254" s="312"/>
      <c r="K254" s="312"/>
      <c r="L254" s="312"/>
      <c r="M254" s="312"/>
      <c r="N254" s="312"/>
      <c r="O254" s="312"/>
      <c r="P254" s="312"/>
      <c r="Q254" s="312"/>
      <c r="R254" s="312"/>
      <c r="S254" s="312"/>
      <c r="T254" s="312"/>
      <c r="U254" s="312"/>
      <c r="V254" s="312"/>
      <c r="W254" s="312"/>
      <c r="X254" s="312"/>
      <c r="Y254" s="312"/>
      <c r="Z254" s="312"/>
    </row>
    <row r="255" customHeight="1" spans="1:26">
      <c r="A255" s="312"/>
      <c r="B255" s="312"/>
      <c r="C255" s="312"/>
      <c r="D255" s="312"/>
      <c r="E255" s="312"/>
      <c r="F255" s="312"/>
      <c r="G255" s="312"/>
      <c r="H255" s="312"/>
      <c r="I255" s="312"/>
      <c r="J255" s="312"/>
      <c r="K255" s="312"/>
      <c r="L255" s="312"/>
      <c r="M255" s="312"/>
      <c r="N255" s="312"/>
      <c r="O255" s="312"/>
      <c r="P255" s="312"/>
      <c r="Q255" s="312"/>
      <c r="R255" s="312"/>
      <c r="S255" s="312"/>
      <c r="T255" s="312"/>
      <c r="U255" s="312"/>
      <c r="V255" s="312"/>
      <c r="W255" s="312"/>
      <c r="X255" s="312"/>
      <c r="Y255" s="312"/>
      <c r="Z255" s="312"/>
    </row>
    <row r="256" customHeight="1" spans="1:26">
      <c r="A256" s="312"/>
      <c r="B256" s="312"/>
      <c r="C256" s="312"/>
      <c r="D256" s="312"/>
      <c r="E256" s="312"/>
      <c r="F256" s="312"/>
      <c r="G256" s="312"/>
      <c r="H256" s="312"/>
      <c r="I256" s="312"/>
      <c r="J256" s="312"/>
      <c r="K256" s="312"/>
      <c r="L256" s="312"/>
      <c r="M256" s="312"/>
      <c r="N256" s="312"/>
      <c r="O256" s="312"/>
      <c r="P256" s="312"/>
      <c r="Q256" s="312"/>
      <c r="R256" s="312"/>
      <c r="S256" s="312"/>
      <c r="T256" s="312"/>
      <c r="U256" s="312"/>
      <c r="V256" s="312"/>
      <c r="W256" s="312"/>
      <c r="X256" s="312"/>
      <c r="Y256" s="312"/>
      <c r="Z256" s="312"/>
    </row>
    <row r="257" customHeight="1" spans="1:26">
      <c r="A257" s="312"/>
      <c r="B257" s="312"/>
      <c r="C257" s="312"/>
      <c r="D257" s="312"/>
      <c r="E257" s="312"/>
      <c r="F257" s="312"/>
      <c r="G257" s="312"/>
      <c r="H257" s="312"/>
      <c r="I257" s="312"/>
      <c r="J257" s="312"/>
      <c r="K257" s="312"/>
      <c r="L257" s="312"/>
      <c r="M257" s="312"/>
      <c r="N257" s="312"/>
      <c r="O257" s="312"/>
      <c r="P257" s="312"/>
      <c r="Q257" s="312"/>
      <c r="R257" s="312"/>
      <c r="S257" s="312"/>
      <c r="T257" s="312"/>
      <c r="U257" s="312"/>
      <c r="V257" s="312"/>
      <c r="W257" s="312"/>
      <c r="X257" s="312"/>
      <c r="Y257" s="312"/>
      <c r="Z257" s="312"/>
    </row>
    <row r="258" customHeight="1" spans="1:26">
      <c r="A258" s="312"/>
      <c r="B258" s="312"/>
      <c r="C258" s="312"/>
      <c r="D258" s="312"/>
      <c r="E258" s="312"/>
      <c r="F258" s="312"/>
      <c r="G258" s="312"/>
      <c r="H258" s="312"/>
      <c r="I258" s="312"/>
      <c r="J258" s="312"/>
      <c r="K258" s="312"/>
      <c r="L258" s="312"/>
      <c r="M258" s="312"/>
      <c r="N258" s="312"/>
      <c r="O258" s="312"/>
      <c r="P258" s="312"/>
      <c r="Q258" s="312"/>
      <c r="R258" s="312"/>
      <c r="S258" s="312"/>
      <c r="T258" s="312"/>
      <c r="U258" s="312"/>
      <c r="V258" s="312"/>
      <c r="W258" s="312"/>
      <c r="X258" s="312"/>
      <c r="Y258" s="312"/>
      <c r="Z258" s="312"/>
    </row>
    <row r="259" customHeight="1" spans="1:26">
      <c r="A259" s="312"/>
      <c r="B259" s="312"/>
      <c r="C259" s="312"/>
      <c r="D259" s="312"/>
      <c r="E259" s="312"/>
      <c r="F259" s="312"/>
      <c r="G259" s="312"/>
      <c r="H259" s="312"/>
      <c r="I259" s="312"/>
      <c r="J259" s="312"/>
      <c r="K259" s="312"/>
      <c r="L259" s="312"/>
      <c r="M259" s="312"/>
      <c r="N259" s="312"/>
      <c r="O259" s="312"/>
      <c r="P259" s="312"/>
      <c r="Q259" s="312"/>
      <c r="R259" s="312"/>
      <c r="S259" s="312"/>
      <c r="T259" s="312"/>
      <c r="U259" s="312"/>
      <c r="V259" s="312"/>
      <c r="W259" s="312"/>
      <c r="X259" s="312"/>
      <c r="Y259" s="312"/>
      <c r="Z259" s="312"/>
    </row>
    <row r="260" customHeight="1" spans="1:26">
      <c r="A260" s="312"/>
      <c r="B260" s="312"/>
      <c r="C260" s="312"/>
      <c r="D260" s="312"/>
      <c r="E260" s="312"/>
      <c r="F260" s="312"/>
      <c r="G260" s="312"/>
      <c r="H260" s="312"/>
      <c r="I260" s="312"/>
      <c r="J260" s="312"/>
      <c r="K260" s="312"/>
      <c r="L260" s="312"/>
      <c r="M260" s="312"/>
      <c r="N260" s="312"/>
      <c r="O260" s="312"/>
      <c r="P260" s="312"/>
      <c r="Q260" s="312"/>
      <c r="R260" s="312"/>
      <c r="S260" s="312"/>
      <c r="T260" s="312"/>
      <c r="U260" s="312"/>
      <c r="V260" s="312"/>
      <c r="W260" s="312"/>
      <c r="X260" s="312"/>
      <c r="Y260" s="312"/>
      <c r="Z260" s="312"/>
    </row>
    <row r="261" customHeight="1" spans="1:26">
      <c r="A261" s="312"/>
      <c r="B261" s="312"/>
      <c r="C261" s="312"/>
      <c r="D261" s="312"/>
      <c r="E261" s="312"/>
      <c r="F261" s="312"/>
      <c r="G261" s="312"/>
      <c r="H261" s="312"/>
      <c r="I261" s="312"/>
      <c r="J261" s="312"/>
      <c r="K261" s="312"/>
      <c r="L261" s="312"/>
      <c r="M261" s="312"/>
      <c r="N261" s="312"/>
      <c r="O261" s="312"/>
      <c r="P261" s="312"/>
      <c r="Q261" s="312"/>
      <c r="R261" s="312"/>
      <c r="S261" s="312"/>
      <c r="T261" s="312"/>
      <c r="U261" s="312"/>
      <c r="V261" s="312"/>
      <c r="W261" s="312"/>
      <c r="X261" s="312"/>
      <c r="Y261" s="312"/>
      <c r="Z261" s="312"/>
    </row>
    <row r="262" customHeight="1" spans="1:26">
      <c r="A262" s="312"/>
      <c r="B262" s="312"/>
      <c r="C262" s="312"/>
      <c r="D262" s="312"/>
      <c r="E262" s="312"/>
      <c r="F262" s="312"/>
      <c r="G262" s="312"/>
      <c r="H262" s="312"/>
      <c r="I262" s="312"/>
      <c r="J262" s="312"/>
      <c r="K262" s="312"/>
      <c r="L262" s="312"/>
      <c r="M262" s="312"/>
      <c r="N262" s="312"/>
      <c r="O262" s="312"/>
      <c r="P262" s="312"/>
      <c r="Q262" s="312"/>
      <c r="R262" s="312"/>
      <c r="S262" s="312"/>
      <c r="T262" s="312"/>
      <c r="U262" s="312"/>
      <c r="V262" s="312"/>
      <c r="W262" s="312"/>
      <c r="X262" s="312"/>
      <c r="Y262" s="312"/>
      <c r="Z262" s="312"/>
    </row>
    <row r="263" customHeight="1" spans="1:26">
      <c r="A263" s="312"/>
      <c r="B263" s="312"/>
      <c r="C263" s="312"/>
      <c r="D263" s="312"/>
      <c r="E263" s="312"/>
      <c r="F263" s="312"/>
      <c r="G263" s="312"/>
      <c r="H263" s="312"/>
      <c r="I263" s="312"/>
      <c r="J263" s="312"/>
      <c r="K263" s="312"/>
      <c r="L263" s="312"/>
      <c r="M263" s="312"/>
      <c r="N263" s="312"/>
      <c r="O263" s="312"/>
      <c r="P263" s="312"/>
      <c r="Q263" s="312"/>
      <c r="R263" s="312"/>
      <c r="S263" s="312"/>
      <c r="T263" s="312"/>
      <c r="U263" s="312"/>
      <c r="V263" s="312"/>
      <c r="W263" s="312"/>
      <c r="X263" s="312"/>
      <c r="Y263" s="312"/>
      <c r="Z263" s="312"/>
    </row>
    <row r="264" customHeight="1" spans="1:26">
      <c r="A264" s="312"/>
      <c r="B264" s="312"/>
      <c r="C264" s="312"/>
      <c r="D264" s="312"/>
      <c r="E264" s="312"/>
      <c r="F264" s="312"/>
      <c r="G264" s="312"/>
      <c r="H264" s="312"/>
      <c r="I264" s="312"/>
      <c r="J264" s="312"/>
      <c r="K264" s="312"/>
      <c r="L264" s="312"/>
      <c r="M264" s="312"/>
      <c r="N264" s="312"/>
      <c r="O264" s="312"/>
      <c r="P264" s="312"/>
      <c r="Q264" s="312"/>
      <c r="R264" s="312"/>
      <c r="S264" s="312"/>
      <c r="T264" s="312"/>
      <c r="U264" s="312"/>
      <c r="V264" s="312"/>
      <c r="W264" s="312"/>
      <c r="X264" s="312"/>
      <c r="Y264" s="312"/>
      <c r="Z264" s="312"/>
    </row>
    <row r="265" customHeight="1" spans="1:26">
      <c r="A265" s="312"/>
      <c r="B265" s="312"/>
      <c r="C265" s="312"/>
      <c r="D265" s="312"/>
      <c r="E265" s="312"/>
      <c r="F265" s="312"/>
      <c r="G265" s="312"/>
      <c r="H265" s="312"/>
      <c r="I265" s="312"/>
      <c r="J265" s="312"/>
      <c r="K265" s="312"/>
      <c r="L265" s="312"/>
      <c r="M265" s="312"/>
      <c r="N265" s="312"/>
      <c r="O265" s="312"/>
      <c r="P265" s="312"/>
      <c r="Q265" s="312"/>
      <c r="R265" s="312"/>
      <c r="S265" s="312"/>
      <c r="T265" s="312"/>
      <c r="U265" s="312"/>
      <c r="V265" s="312"/>
      <c r="W265" s="312"/>
      <c r="X265" s="312"/>
      <c r="Y265" s="312"/>
      <c r="Z265" s="312"/>
    </row>
    <row r="266" customHeight="1" spans="1:26">
      <c r="A266" s="312"/>
      <c r="B266" s="312"/>
      <c r="C266" s="312"/>
      <c r="D266" s="312"/>
      <c r="E266" s="312"/>
      <c r="F266" s="312"/>
      <c r="G266" s="312"/>
      <c r="H266" s="312"/>
      <c r="I266" s="312"/>
      <c r="J266" s="312"/>
      <c r="K266" s="312"/>
      <c r="L266" s="312"/>
      <c r="M266" s="312"/>
      <c r="N266" s="312"/>
      <c r="O266" s="312"/>
      <c r="P266" s="312"/>
      <c r="Q266" s="312"/>
      <c r="R266" s="312"/>
      <c r="S266" s="312"/>
      <c r="T266" s="312"/>
      <c r="U266" s="312"/>
      <c r="V266" s="312"/>
      <c r="W266" s="312"/>
      <c r="X266" s="312"/>
      <c r="Y266" s="312"/>
      <c r="Z266" s="312"/>
    </row>
    <row r="267" customHeight="1" spans="1:26">
      <c r="A267" s="312"/>
      <c r="B267" s="312"/>
      <c r="C267" s="312"/>
      <c r="D267" s="312"/>
      <c r="E267" s="312"/>
      <c r="F267" s="312"/>
      <c r="G267" s="312"/>
      <c r="H267" s="312"/>
      <c r="I267" s="312"/>
      <c r="J267" s="312"/>
      <c r="K267" s="312"/>
      <c r="L267" s="312"/>
      <c r="M267" s="312"/>
      <c r="N267" s="312"/>
      <c r="O267" s="312"/>
      <c r="P267" s="312"/>
      <c r="Q267" s="312"/>
      <c r="R267" s="312"/>
      <c r="S267" s="312"/>
      <c r="T267" s="312"/>
      <c r="U267" s="312"/>
      <c r="V267" s="312"/>
      <c r="W267" s="312"/>
      <c r="X267" s="312"/>
      <c r="Y267" s="312"/>
      <c r="Z267" s="312"/>
    </row>
    <row r="268" customHeight="1" spans="1:26">
      <c r="A268" s="312"/>
      <c r="B268" s="312"/>
      <c r="C268" s="312"/>
      <c r="D268" s="312"/>
      <c r="E268" s="312"/>
      <c r="F268" s="312"/>
      <c r="G268" s="312"/>
      <c r="H268" s="312"/>
      <c r="I268" s="312"/>
      <c r="J268" s="312"/>
      <c r="K268" s="312"/>
      <c r="L268" s="312"/>
      <c r="M268" s="312"/>
      <c r="N268" s="312"/>
      <c r="O268" s="312"/>
      <c r="P268" s="312"/>
      <c r="Q268" s="312"/>
      <c r="R268" s="312"/>
      <c r="S268" s="312"/>
      <c r="T268" s="312"/>
      <c r="U268" s="312"/>
      <c r="V268" s="312"/>
      <c r="W268" s="312"/>
      <c r="X268" s="312"/>
      <c r="Y268" s="312"/>
      <c r="Z268" s="312"/>
    </row>
    <row r="269" customHeight="1" spans="1:26">
      <c r="A269" s="312"/>
      <c r="B269" s="312"/>
      <c r="C269" s="312"/>
      <c r="D269" s="312"/>
      <c r="E269" s="312"/>
      <c r="F269" s="312"/>
      <c r="G269" s="312"/>
      <c r="H269" s="312"/>
      <c r="I269" s="312"/>
      <c r="J269" s="312"/>
      <c r="K269" s="312"/>
      <c r="L269" s="312"/>
      <c r="M269" s="312"/>
      <c r="N269" s="312"/>
      <c r="O269" s="312"/>
      <c r="P269" s="312"/>
      <c r="Q269" s="312"/>
      <c r="R269" s="312"/>
      <c r="S269" s="312"/>
      <c r="T269" s="312"/>
      <c r="U269" s="312"/>
      <c r="V269" s="312"/>
      <c r="W269" s="312"/>
      <c r="X269" s="312"/>
      <c r="Y269" s="312"/>
      <c r="Z269" s="312"/>
    </row>
    <row r="270" customHeight="1" spans="1:26">
      <c r="A270" s="312"/>
      <c r="B270" s="312"/>
      <c r="C270" s="312"/>
      <c r="D270" s="312"/>
      <c r="E270" s="312"/>
      <c r="F270" s="312"/>
      <c r="G270" s="312"/>
      <c r="H270" s="312"/>
      <c r="I270" s="312"/>
      <c r="J270" s="312"/>
      <c r="K270" s="312"/>
      <c r="L270" s="312"/>
      <c r="M270" s="312"/>
      <c r="N270" s="312"/>
      <c r="O270" s="312"/>
      <c r="P270" s="312"/>
      <c r="Q270" s="312"/>
      <c r="R270" s="312"/>
      <c r="S270" s="312"/>
      <c r="T270" s="312"/>
      <c r="U270" s="312"/>
      <c r="V270" s="312"/>
      <c r="W270" s="312"/>
      <c r="X270" s="312"/>
      <c r="Y270" s="312"/>
      <c r="Z270" s="312"/>
    </row>
    <row r="271" customHeight="1" spans="1:26">
      <c r="A271" s="312"/>
      <c r="B271" s="312"/>
      <c r="C271" s="312"/>
      <c r="D271" s="312"/>
      <c r="E271" s="312"/>
      <c r="F271" s="312"/>
      <c r="G271" s="312"/>
      <c r="H271" s="312"/>
      <c r="I271" s="312"/>
      <c r="J271" s="312"/>
      <c r="K271" s="312"/>
      <c r="L271" s="312"/>
      <c r="M271" s="312"/>
      <c r="N271" s="312"/>
      <c r="O271" s="312"/>
      <c r="P271" s="312"/>
      <c r="Q271" s="312"/>
      <c r="R271" s="312"/>
      <c r="S271" s="312"/>
      <c r="T271" s="312"/>
      <c r="U271" s="312"/>
      <c r="V271" s="312"/>
      <c r="W271" s="312"/>
      <c r="X271" s="312"/>
      <c r="Y271" s="312"/>
      <c r="Z271" s="312"/>
    </row>
    <row r="272" customHeight="1" spans="1:26">
      <c r="A272" s="312"/>
      <c r="B272" s="312"/>
      <c r="C272" s="312"/>
      <c r="D272" s="312"/>
      <c r="E272" s="312"/>
      <c r="F272" s="312"/>
      <c r="G272" s="312"/>
      <c r="H272" s="312"/>
      <c r="I272" s="312"/>
      <c r="J272" s="312"/>
      <c r="K272" s="312"/>
      <c r="L272" s="312"/>
      <c r="M272" s="312"/>
      <c r="N272" s="312"/>
      <c r="O272" s="312"/>
      <c r="P272" s="312"/>
      <c r="Q272" s="312"/>
      <c r="R272" s="312"/>
      <c r="S272" s="312"/>
      <c r="T272" s="312"/>
      <c r="U272" s="312"/>
      <c r="V272" s="312"/>
      <c r="W272" s="312"/>
      <c r="X272" s="312"/>
      <c r="Y272" s="312"/>
      <c r="Z272" s="312"/>
    </row>
    <row r="273" customHeight="1" spans="1:26">
      <c r="A273" s="312"/>
      <c r="B273" s="312"/>
      <c r="C273" s="312"/>
      <c r="D273" s="312"/>
      <c r="E273" s="312"/>
      <c r="F273" s="312"/>
      <c r="G273" s="312"/>
      <c r="H273" s="312"/>
      <c r="I273" s="312"/>
      <c r="J273" s="312"/>
      <c r="K273" s="312"/>
      <c r="L273" s="312"/>
      <c r="M273" s="312"/>
      <c r="N273" s="312"/>
      <c r="O273" s="312"/>
      <c r="P273" s="312"/>
      <c r="Q273" s="312"/>
      <c r="R273" s="312"/>
      <c r="S273" s="312"/>
      <c r="T273" s="312"/>
      <c r="U273" s="312"/>
      <c r="V273" s="312"/>
      <c r="W273" s="312"/>
      <c r="X273" s="312"/>
      <c r="Y273" s="312"/>
      <c r="Z273" s="312"/>
    </row>
    <row r="274" customHeight="1" spans="1:26">
      <c r="A274" s="312"/>
      <c r="B274" s="312"/>
      <c r="C274" s="312"/>
      <c r="D274" s="312"/>
      <c r="E274" s="312"/>
      <c r="F274" s="312"/>
      <c r="G274" s="312"/>
      <c r="H274" s="312"/>
      <c r="I274" s="312"/>
      <c r="J274" s="312"/>
      <c r="K274" s="312"/>
      <c r="L274" s="312"/>
      <c r="M274" s="312"/>
      <c r="N274" s="312"/>
      <c r="O274" s="312"/>
      <c r="P274" s="312"/>
      <c r="Q274" s="312"/>
      <c r="R274" s="312"/>
      <c r="S274" s="312"/>
      <c r="T274" s="312"/>
      <c r="U274" s="312"/>
      <c r="V274" s="312"/>
      <c r="W274" s="312"/>
      <c r="X274" s="312"/>
      <c r="Y274" s="312"/>
      <c r="Z274" s="312"/>
    </row>
    <row r="275" customHeight="1" spans="1:26">
      <c r="A275" s="312"/>
      <c r="B275" s="312"/>
      <c r="C275" s="312"/>
      <c r="D275" s="312"/>
      <c r="E275" s="312"/>
      <c r="F275" s="312"/>
      <c r="G275" s="312"/>
      <c r="H275" s="312"/>
      <c r="I275" s="312"/>
      <c r="J275" s="312"/>
      <c r="K275" s="312"/>
      <c r="L275" s="312"/>
      <c r="M275" s="312"/>
      <c r="N275" s="312"/>
      <c r="O275" s="312"/>
      <c r="P275" s="312"/>
      <c r="Q275" s="312"/>
      <c r="R275" s="312"/>
      <c r="S275" s="312"/>
      <c r="T275" s="312"/>
      <c r="U275" s="312"/>
      <c r="V275" s="312"/>
      <c r="W275" s="312"/>
      <c r="X275" s="312"/>
      <c r="Y275" s="312"/>
      <c r="Z275" s="312"/>
    </row>
    <row r="276" customHeight="1" spans="1:26">
      <c r="A276" s="312"/>
      <c r="B276" s="312"/>
      <c r="C276" s="312"/>
      <c r="D276" s="312"/>
      <c r="E276" s="312"/>
      <c r="F276" s="312"/>
      <c r="G276" s="312"/>
      <c r="H276" s="312"/>
      <c r="I276" s="312"/>
      <c r="J276" s="312"/>
      <c r="K276" s="312"/>
      <c r="L276" s="312"/>
      <c r="M276" s="312"/>
      <c r="N276" s="312"/>
      <c r="O276" s="312"/>
      <c r="P276" s="312"/>
      <c r="Q276" s="312"/>
      <c r="R276" s="312"/>
      <c r="S276" s="312"/>
      <c r="T276" s="312"/>
      <c r="U276" s="312"/>
      <c r="V276" s="312"/>
      <c r="W276" s="312"/>
      <c r="X276" s="312"/>
      <c r="Y276" s="312"/>
      <c r="Z276" s="312"/>
    </row>
    <row r="277" customHeight="1" spans="1:26">
      <c r="A277" s="312"/>
      <c r="B277" s="312"/>
      <c r="C277" s="312"/>
      <c r="D277" s="312"/>
      <c r="E277" s="312"/>
      <c r="F277" s="312"/>
      <c r="G277" s="312"/>
      <c r="H277" s="312"/>
      <c r="I277" s="312"/>
      <c r="J277" s="312"/>
      <c r="K277" s="312"/>
      <c r="L277" s="312"/>
      <c r="M277" s="312"/>
      <c r="N277" s="312"/>
      <c r="O277" s="312"/>
      <c r="P277" s="312"/>
      <c r="Q277" s="312"/>
      <c r="R277" s="312"/>
      <c r="S277" s="312"/>
      <c r="T277" s="312"/>
      <c r="U277" s="312"/>
      <c r="V277" s="312"/>
      <c r="W277" s="312"/>
      <c r="X277" s="312"/>
      <c r="Y277" s="312"/>
      <c r="Z277" s="312"/>
    </row>
    <row r="278" customHeight="1" spans="1:26">
      <c r="A278" s="312"/>
      <c r="B278" s="312"/>
      <c r="C278" s="312"/>
      <c r="D278" s="312"/>
      <c r="E278" s="312"/>
      <c r="F278" s="312"/>
      <c r="G278" s="312"/>
      <c r="H278" s="312"/>
      <c r="I278" s="312"/>
      <c r="J278" s="312"/>
      <c r="K278" s="312"/>
      <c r="L278" s="312"/>
      <c r="M278" s="312"/>
      <c r="N278" s="312"/>
      <c r="O278" s="312"/>
      <c r="P278" s="312"/>
      <c r="Q278" s="312"/>
      <c r="R278" s="312"/>
      <c r="S278" s="312"/>
      <c r="T278" s="312"/>
      <c r="U278" s="312"/>
      <c r="V278" s="312"/>
      <c r="W278" s="312"/>
      <c r="X278" s="312"/>
      <c r="Y278" s="312"/>
      <c r="Z278" s="312"/>
    </row>
    <row r="279" customHeight="1" spans="1:26">
      <c r="A279" s="312"/>
      <c r="B279" s="312"/>
      <c r="C279" s="312"/>
      <c r="D279" s="312"/>
      <c r="E279" s="312"/>
      <c r="F279" s="312"/>
      <c r="G279" s="312"/>
      <c r="H279" s="312"/>
      <c r="I279" s="312"/>
      <c r="J279" s="312"/>
      <c r="K279" s="312"/>
      <c r="L279" s="312"/>
      <c r="M279" s="312"/>
      <c r="N279" s="312"/>
      <c r="O279" s="312"/>
      <c r="P279" s="312"/>
      <c r="Q279" s="312"/>
      <c r="R279" s="312"/>
      <c r="S279" s="312"/>
      <c r="T279" s="312"/>
      <c r="U279" s="312"/>
      <c r="V279" s="312"/>
      <c r="W279" s="312"/>
      <c r="X279" s="312"/>
      <c r="Y279" s="312"/>
      <c r="Z279" s="312"/>
    </row>
    <row r="280" customHeight="1" spans="1:26">
      <c r="A280" s="312"/>
      <c r="B280" s="312"/>
      <c r="C280" s="312"/>
      <c r="D280" s="312"/>
      <c r="E280" s="312"/>
      <c r="F280" s="312"/>
      <c r="G280" s="312"/>
      <c r="H280" s="312"/>
      <c r="I280" s="312"/>
      <c r="J280" s="312"/>
      <c r="K280" s="312"/>
      <c r="L280" s="312"/>
      <c r="M280" s="312"/>
      <c r="N280" s="312"/>
      <c r="O280" s="312"/>
      <c r="P280" s="312"/>
      <c r="Q280" s="312"/>
      <c r="R280" s="312"/>
      <c r="S280" s="312"/>
      <c r="T280" s="312"/>
      <c r="U280" s="312"/>
      <c r="V280" s="312"/>
      <c r="W280" s="312"/>
      <c r="X280" s="312"/>
      <c r="Y280" s="312"/>
      <c r="Z280" s="312"/>
    </row>
    <row r="281" customHeight="1" spans="1:26">
      <c r="A281" s="312"/>
      <c r="B281" s="312"/>
      <c r="C281" s="312"/>
      <c r="D281" s="312"/>
      <c r="E281" s="312"/>
      <c r="F281" s="312"/>
      <c r="G281" s="312"/>
      <c r="H281" s="312"/>
      <c r="I281" s="312"/>
      <c r="J281" s="312"/>
      <c r="K281" s="312"/>
      <c r="L281" s="312"/>
      <c r="M281" s="312"/>
      <c r="N281" s="312"/>
      <c r="O281" s="312"/>
      <c r="P281" s="312"/>
      <c r="Q281" s="312"/>
      <c r="R281" s="312"/>
      <c r="S281" s="312"/>
      <c r="T281" s="312"/>
      <c r="U281" s="312"/>
      <c r="V281" s="312"/>
      <c r="W281" s="312"/>
      <c r="X281" s="312"/>
      <c r="Y281" s="312"/>
      <c r="Z281" s="312"/>
    </row>
    <row r="282" customHeight="1" spans="1:26">
      <c r="A282" s="312"/>
      <c r="B282" s="312"/>
      <c r="C282" s="312"/>
      <c r="D282" s="312"/>
      <c r="E282" s="312"/>
      <c r="F282" s="312"/>
      <c r="G282" s="312"/>
      <c r="H282" s="312"/>
      <c r="I282" s="312"/>
      <c r="J282" s="312"/>
      <c r="K282" s="312"/>
      <c r="L282" s="312"/>
      <c r="M282" s="312"/>
      <c r="N282" s="312"/>
      <c r="O282" s="312"/>
      <c r="P282" s="312"/>
      <c r="Q282" s="312"/>
      <c r="R282" s="312"/>
      <c r="S282" s="312"/>
      <c r="T282" s="312"/>
      <c r="U282" s="312"/>
      <c r="V282" s="312"/>
      <c r="W282" s="312"/>
      <c r="X282" s="312"/>
      <c r="Y282" s="312"/>
      <c r="Z282" s="312"/>
    </row>
    <row r="283" customHeight="1" spans="1:26">
      <c r="A283" s="312"/>
      <c r="B283" s="312"/>
      <c r="C283" s="312"/>
      <c r="D283" s="312"/>
      <c r="E283" s="312"/>
      <c r="F283" s="312"/>
      <c r="G283" s="312"/>
      <c r="H283" s="312"/>
      <c r="I283" s="312"/>
      <c r="J283" s="312"/>
      <c r="K283" s="312"/>
      <c r="L283" s="312"/>
      <c r="M283" s="312"/>
      <c r="N283" s="312"/>
      <c r="O283" s="312"/>
      <c r="P283" s="312"/>
      <c r="Q283" s="312"/>
      <c r="R283" s="312"/>
      <c r="S283" s="312"/>
      <c r="T283" s="312"/>
      <c r="U283" s="312"/>
      <c r="V283" s="312"/>
      <c r="W283" s="312"/>
      <c r="X283" s="312"/>
      <c r="Y283" s="312"/>
      <c r="Z283" s="312"/>
    </row>
    <row r="284" customHeight="1" spans="1:26">
      <c r="A284" s="312"/>
      <c r="B284" s="312"/>
      <c r="C284" s="312"/>
      <c r="D284" s="312"/>
      <c r="E284" s="312"/>
      <c r="F284" s="312"/>
      <c r="G284" s="312"/>
      <c r="H284" s="312"/>
      <c r="I284" s="312"/>
      <c r="J284" s="312"/>
      <c r="K284" s="312"/>
      <c r="L284" s="312"/>
      <c r="M284" s="312"/>
      <c r="N284" s="312"/>
      <c r="O284" s="312"/>
      <c r="P284" s="312"/>
      <c r="Q284" s="312"/>
      <c r="R284" s="312"/>
      <c r="S284" s="312"/>
      <c r="T284" s="312"/>
      <c r="U284" s="312"/>
      <c r="V284" s="312"/>
      <c r="W284" s="312"/>
      <c r="X284" s="312"/>
      <c r="Y284" s="312"/>
      <c r="Z284" s="312"/>
    </row>
    <row r="285" customHeight="1" spans="1:26">
      <c r="A285" s="312"/>
      <c r="B285" s="312"/>
      <c r="C285" s="312"/>
      <c r="D285" s="312"/>
      <c r="E285" s="312"/>
      <c r="F285" s="312"/>
      <c r="G285" s="312"/>
      <c r="H285" s="312"/>
      <c r="I285" s="312"/>
      <c r="J285" s="312"/>
      <c r="K285" s="312"/>
      <c r="L285" s="312"/>
      <c r="M285" s="312"/>
      <c r="N285" s="312"/>
      <c r="O285" s="312"/>
      <c r="P285" s="312"/>
      <c r="Q285" s="312"/>
      <c r="R285" s="312"/>
      <c r="S285" s="312"/>
      <c r="T285" s="312"/>
      <c r="U285" s="312"/>
      <c r="V285" s="312"/>
      <c r="W285" s="312"/>
      <c r="X285" s="312"/>
      <c r="Y285" s="312"/>
      <c r="Z285" s="312"/>
    </row>
    <row r="286" customHeight="1" spans="1:26">
      <c r="A286" s="312"/>
      <c r="B286" s="312"/>
      <c r="C286" s="312"/>
      <c r="D286" s="312"/>
      <c r="E286" s="312"/>
      <c r="F286" s="312"/>
      <c r="G286" s="312"/>
      <c r="H286" s="312"/>
      <c r="I286" s="312"/>
      <c r="J286" s="312"/>
      <c r="K286" s="312"/>
      <c r="L286" s="312"/>
      <c r="M286" s="312"/>
      <c r="N286" s="312"/>
      <c r="O286" s="312"/>
      <c r="P286" s="312"/>
      <c r="Q286" s="312"/>
      <c r="R286" s="312"/>
      <c r="S286" s="312"/>
      <c r="T286" s="312"/>
      <c r="U286" s="312"/>
      <c r="V286" s="312"/>
      <c r="W286" s="312"/>
      <c r="X286" s="312"/>
      <c r="Y286" s="312"/>
      <c r="Z286" s="312"/>
    </row>
    <row r="287" customHeight="1" spans="1:26">
      <c r="A287" s="312"/>
      <c r="B287" s="312"/>
      <c r="C287" s="312"/>
      <c r="D287" s="312"/>
      <c r="E287" s="312"/>
      <c r="F287" s="312"/>
      <c r="G287" s="312"/>
      <c r="H287" s="312"/>
      <c r="I287" s="312"/>
      <c r="J287" s="312"/>
      <c r="K287" s="312"/>
      <c r="L287" s="312"/>
      <c r="M287" s="312"/>
      <c r="N287" s="312"/>
      <c r="O287" s="312"/>
      <c r="P287" s="312"/>
      <c r="Q287" s="312"/>
      <c r="R287" s="312"/>
      <c r="S287" s="312"/>
      <c r="T287" s="312"/>
      <c r="U287" s="312"/>
      <c r="V287" s="312"/>
      <c r="W287" s="312"/>
      <c r="X287" s="312"/>
      <c r="Y287" s="312"/>
      <c r="Z287" s="312"/>
    </row>
    <row r="288" customHeight="1" spans="1:26">
      <c r="A288" s="312"/>
      <c r="B288" s="312"/>
      <c r="C288" s="312"/>
      <c r="D288" s="312"/>
      <c r="E288" s="312"/>
      <c r="F288" s="312"/>
      <c r="G288" s="312"/>
      <c r="H288" s="312"/>
      <c r="I288" s="312"/>
      <c r="J288" s="312"/>
      <c r="K288" s="312"/>
      <c r="L288" s="312"/>
      <c r="M288" s="312"/>
      <c r="N288" s="312"/>
      <c r="O288" s="312"/>
      <c r="P288" s="312"/>
      <c r="Q288" s="312"/>
      <c r="R288" s="312"/>
      <c r="S288" s="312"/>
      <c r="T288" s="312"/>
      <c r="U288" s="312"/>
      <c r="V288" s="312"/>
      <c r="W288" s="312"/>
      <c r="X288" s="312"/>
      <c r="Y288" s="312"/>
      <c r="Z288" s="312"/>
    </row>
    <row r="289" customHeight="1" spans="1:26">
      <c r="A289" s="312"/>
      <c r="B289" s="312"/>
      <c r="C289" s="312"/>
      <c r="D289" s="312"/>
      <c r="E289" s="312"/>
      <c r="F289" s="312"/>
      <c r="G289" s="312"/>
      <c r="H289" s="312"/>
      <c r="I289" s="312"/>
      <c r="J289" s="312"/>
      <c r="K289" s="312"/>
      <c r="L289" s="312"/>
      <c r="M289" s="312"/>
      <c r="N289" s="312"/>
      <c r="O289" s="312"/>
      <c r="P289" s="312"/>
      <c r="Q289" s="312"/>
      <c r="R289" s="312"/>
      <c r="S289" s="312"/>
      <c r="T289" s="312"/>
      <c r="U289" s="312"/>
      <c r="V289" s="312"/>
      <c r="W289" s="312"/>
      <c r="X289" s="312"/>
      <c r="Y289" s="312"/>
      <c r="Z289" s="312"/>
    </row>
    <row r="290" customHeight="1" spans="1:26">
      <c r="A290" s="312"/>
      <c r="B290" s="312"/>
      <c r="C290" s="312"/>
      <c r="D290" s="312"/>
      <c r="E290" s="312"/>
      <c r="F290" s="312"/>
      <c r="G290" s="312"/>
      <c r="H290" s="312"/>
      <c r="I290" s="312"/>
      <c r="J290" s="312"/>
      <c r="K290" s="312"/>
      <c r="L290" s="312"/>
      <c r="M290" s="312"/>
      <c r="N290" s="312"/>
      <c r="O290" s="312"/>
      <c r="P290" s="312"/>
      <c r="Q290" s="312"/>
      <c r="R290" s="312"/>
      <c r="S290" s="312"/>
      <c r="T290" s="312"/>
      <c r="U290" s="312"/>
      <c r="V290" s="312"/>
      <c r="W290" s="312"/>
      <c r="X290" s="312"/>
      <c r="Y290" s="312"/>
      <c r="Z290" s="312"/>
    </row>
    <row r="291" customHeight="1" spans="1:26">
      <c r="A291" s="312"/>
      <c r="B291" s="312"/>
      <c r="C291" s="312"/>
      <c r="D291" s="312"/>
      <c r="E291" s="312"/>
      <c r="F291" s="312"/>
      <c r="G291" s="312"/>
      <c r="H291" s="312"/>
      <c r="I291" s="312"/>
      <c r="J291" s="312"/>
      <c r="K291" s="312"/>
      <c r="L291" s="312"/>
      <c r="M291" s="312"/>
      <c r="N291" s="312"/>
      <c r="O291" s="312"/>
      <c r="P291" s="312"/>
      <c r="Q291" s="312"/>
      <c r="R291" s="312"/>
      <c r="S291" s="312"/>
      <c r="T291" s="312"/>
      <c r="U291" s="312"/>
      <c r="V291" s="312"/>
      <c r="W291" s="312"/>
      <c r="X291" s="312"/>
      <c r="Y291" s="312"/>
      <c r="Z291" s="312"/>
    </row>
    <row r="292" customHeight="1" spans="1:26">
      <c r="A292" s="312"/>
      <c r="B292" s="312"/>
      <c r="C292" s="312"/>
      <c r="D292" s="312"/>
      <c r="E292" s="312"/>
      <c r="F292" s="312"/>
      <c r="G292" s="312"/>
      <c r="H292" s="312"/>
      <c r="I292" s="312"/>
      <c r="J292" s="312"/>
      <c r="K292" s="312"/>
      <c r="L292" s="312"/>
      <c r="M292" s="312"/>
      <c r="N292" s="312"/>
      <c r="O292" s="312"/>
      <c r="P292" s="312"/>
      <c r="Q292" s="312"/>
      <c r="R292" s="312"/>
      <c r="S292" s="312"/>
      <c r="T292" s="312"/>
      <c r="U292" s="312"/>
      <c r="V292" s="312"/>
      <c r="W292" s="312"/>
      <c r="X292" s="312"/>
      <c r="Y292" s="312"/>
      <c r="Z292" s="312"/>
    </row>
    <row r="293" customHeight="1" spans="1:26">
      <c r="A293" s="312"/>
      <c r="B293" s="312"/>
      <c r="C293" s="312"/>
      <c r="D293" s="312"/>
      <c r="E293" s="312"/>
      <c r="F293" s="312"/>
      <c r="G293" s="312"/>
      <c r="H293" s="312"/>
      <c r="I293" s="312"/>
      <c r="J293" s="312"/>
      <c r="K293" s="312"/>
      <c r="L293" s="312"/>
      <c r="M293" s="312"/>
      <c r="N293" s="312"/>
      <c r="O293" s="312"/>
      <c r="P293" s="312"/>
      <c r="Q293" s="312"/>
      <c r="R293" s="312"/>
      <c r="S293" s="312"/>
      <c r="T293" s="312"/>
      <c r="U293" s="312"/>
      <c r="V293" s="312"/>
      <c r="W293" s="312"/>
      <c r="X293" s="312"/>
      <c r="Y293" s="312"/>
      <c r="Z293" s="312"/>
    </row>
    <row r="294" customHeight="1" spans="1:26">
      <c r="A294" s="312"/>
      <c r="B294" s="312"/>
      <c r="C294" s="312"/>
      <c r="D294" s="312"/>
      <c r="E294" s="312"/>
      <c r="F294" s="312"/>
      <c r="G294" s="312"/>
      <c r="H294" s="312"/>
      <c r="I294" s="312"/>
      <c r="J294" s="312"/>
      <c r="K294" s="312"/>
      <c r="L294" s="312"/>
      <c r="M294" s="312"/>
      <c r="N294" s="312"/>
      <c r="O294" s="312"/>
      <c r="P294" s="312"/>
      <c r="Q294" s="312"/>
      <c r="R294" s="312"/>
      <c r="S294" s="312"/>
      <c r="T294" s="312"/>
      <c r="U294" s="312"/>
      <c r="V294" s="312"/>
      <c r="W294" s="312"/>
      <c r="X294" s="312"/>
      <c r="Y294" s="312"/>
      <c r="Z294" s="312"/>
    </row>
    <row r="295" customHeight="1" spans="1:26">
      <c r="A295" s="312"/>
      <c r="B295" s="312"/>
      <c r="C295" s="312"/>
      <c r="D295" s="312"/>
      <c r="E295" s="312"/>
      <c r="F295" s="312"/>
      <c r="G295" s="312"/>
      <c r="H295" s="312"/>
      <c r="I295" s="312"/>
      <c r="J295" s="312"/>
      <c r="K295" s="312"/>
      <c r="L295" s="312"/>
      <c r="M295" s="312"/>
      <c r="N295" s="312"/>
      <c r="O295" s="312"/>
      <c r="P295" s="312"/>
      <c r="Q295" s="312"/>
      <c r="R295" s="312"/>
      <c r="S295" s="312"/>
      <c r="T295" s="312"/>
      <c r="U295" s="312"/>
      <c r="V295" s="312"/>
      <c r="W295" s="312"/>
      <c r="X295" s="312"/>
      <c r="Y295" s="312"/>
      <c r="Z295" s="312"/>
    </row>
    <row r="296" customHeight="1" spans="1:26">
      <c r="A296" s="312"/>
      <c r="B296" s="312"/>
      <c r="C296" s="312"/>
      <c r="D296" s="312"/>
      <c r="E296" s="312"/>
      <c r="F296" s="312"/>
      <c r="G296" s="312"/>
      <c r="H296" s="312"/>
      <c r="I296" s="312"/>
      <c r="J296" s="312"/>
      <c r="K296" s="312"/>
      <c r="L296" s="312"/>
      <c r="M296" s="312"/>
      <c r="N296" s="312"/>
      <c r="O296" s="312"/>
      <c r="P296" s="312"/>
      <c r="Q296" s="312"/>
      <c r="R296" s="312"/>
      <c r="S296" s="312"/>
      <c r="T296" s="312"/>
      <c r="U296" s="312"/>
      <c r="V296" s="312"/>
      <c r="W296" s="312"/>
      <c r="X296" s="312"/>
      <c r="Y296" s="312"/>
      <c r="Z296" s="312"/>
    </row>
    <row r="297" customHeight="1" spans="1:26">
      <c r="A297" s="312"/>
      <c r="B297" s="312"/>
      <c r="C297" s="312"/>
      <c r="D297" s="312"/>
      <c r="E297" s="312"/>
      <c r="F297" s="312"/>
      <c r="G297" s="312"/>
      <c r="H297" s="312"/>
      <c r="I297" s="312"/>
      <c r="J297" s="312"/>
      <c r="K297" s="312"/>
      <c r="L297" s="312"/>
      <c r="M297" s="312"/>
      <c r="N297" s="312"/>
      <c r="O297" s="312"/>
      <c r="P297" s="312"/>
      <c r="Q297" s="312"/>
      <c r="R297" s="312"/>
      <c r="S297" s="312"/>
      <c r="T297" s="312"/>
      <c r="U297" s="312"/>
      <c r="V297" s="312"/>
      <c r="W297" s="312"/>
      <c r="X297" s="312"/>
      <c r="Y297" s="312"/>
      <c r="Z297" s="312"/>
    </row>
    <row r="298" customHeight="1" spans="1:26">
      <c r="A298" s="312"/>
      <c r="B298" s="312"/>
      <c r="C298" s="312"/>
      <c r="D298" s="312"/>
      <c r="E298" s="312"/>
      <c r="F298" s="312"/>
      <c r="G298" s="312"/>
      <c r="H298" s="312"/>
      <c r="I298" s="312"/>
      <c r="J298" s="312"/>
      <c r="K298" s="312"/>
      <c r="L298" s="312"/>
      <c r="M298" s="312"/>
      <c r="N298" s="312"/>
      <c r="O298" s="312"/>
      <c r="P298" s="312"/>
      <c r="Q298" s="312"/>
      <c r="R298" s="312"/>
      <c r="S298" s="312"/>
      <c r="T298" s="312"/>
      <c r="U298" s="312"/>
      <c r="V298" s="312"/>
      <c r="W298" s="312"/>
      <c r="X298" s="312"/>
      <c r="Y298" s="312"/>
      <c r="Z298" s="312"/>
    </row>
    <row r="299" customHeight="1" spans="1:26">
      <c r="A299" s="312"/>
      <c r="B299" s="312"/>
      <c r="C299" s="312"/>
      <c r="D299" s="312"/>
      <c r="E299" s="312"/>
      <c r="F299" s="312"/>
      <c r="G299" s="312"/>
      <c r="H299" s="312"/>
      <c r="I299" s="312"/>
      <c r="J299" s="312"/>
      <c r="K299" s="312"/>
      <c r="L299" s="312"/>
      <c r="M299" s="312"/>
      <c r="N299" s="312"/>
      <c r="O299" s="312"/>
      <c r="P299" s="312"/>
      <c r="Q299" s="312"/>
      <c r="R299" s="312"/>
      <c r="S299" s="312"/>
      <c r="T299" s="312"/>
      <c r="U299" s="312"/>
      <c r="V299" s="312"/>
      <c r="W299" s="312"/>
      <c r="X299" s="312"/>
      <c r="Y299" s="312"/>
      <c r="Z299" s="312"/>
    </row>
    <row r="300" customHeight="1" spans="1:26">
      <c r="A300" s="312"/>
      <c r="B300" s="312"/>
      <c r="C300" s="312"/>
      <c r="D300" s="312"/>
      <c r="E300" s="312"/>
      <c r="F300" s="312"/>
      <c r="G300" s="312"/>
      <c r="H300" s="312"/>
      <c r="I300" s="312"/>
      <c r="J300" s="312"/>
      <c r="K300" s="312"/>
      <c r="L300" s="312"/>
      <c r="M300" s="312"/>
      <c r="N300" s="312"/>
      <c r="O300" s="312"/>
      <c r="P300" s="312"/>
      <c r="Q300" s="312"/>
      <c r="R300" s="312"/>
      <c r="S300" s="312"/>
      <c r="T300" s="312"/>
      <c r="U300" s="312"/>
      <c r="V300" s="312"/>
      <c r="W300" s="312"/>
      <c r="X300" s="312"/>
      <c r="Y300" s="312"/>
      <c r="Z300" s="312"/>
    </row>
    <row r="301" customHeight="1" spans="1:26">
      <c r="A301" s="312"/>
      <c r="B301" s="312"/>
      <c r="C301" s="312"/>
      <c r="D301" s="312"/>
      <c r="E301" s="312"/>
      <c r="F301" s="312"/>
      <c r="G301" s="312"/>
      <c r="H301" s="312"/>
      <c r="I301" s="312"/>
      <c r="J301" s="312"/>
      <c r="K301" s="312"/>
      <c r="L301" s="312"/>
      <c r="M301" s="312"/>
      <c r="N301" s="312"/>
      <c r="O301" s="312"/>
      <c r="P301" s="312"/>
      <c r="Q301" s="312"/>
      <c r="R301" s="312"/>
      <c r="S301" s="312"/>
      <c r="T301" s="312"/>
      <c r="U301" s="312"/>
      <c r="V301" s="312"/>
      <c r="W301" s="312"/>
      <c r="X301" s="312"/>
      <c r="Y301" s="312"/>
      <c r="Z301" s="312"/>
    </row>
    <row r="302" customHeight="1" spans="1:26">
      <c r="A302" s="312"/>
      <c r="B302" s="312"/>
      <c r="C302" s="312"/>
      <c r="D302" s="312"/>
      <c r="E302" s="312"/>
      <c r="F302" s="312"/>
      <c r="G302" s="312"/>
      <c r="H302" s="312"/>
      <c r="I302" s="312"/>
      <c r="J302" s="312"/>
      <c r="K302" s="312"/>
      <c r="L302" s="312"/>
      <c r="M302" s="312"/>
      <c r="N302" s="312"/>
      <c r="O302" s="312"/>
      <c r="P302" s="312"/>
      <c r="Q302" s="312"/>
      <c r="R302" s="312"/>
      <c r="S302" s="312"/>
      <c r="T302" s="312"/>
      <c r="U302" s="312"/>
      <c r="V302" s="312"/>
      <c r="W302" s="312"/>
      <c r="X302" s="312"/>
      <c r="Y302" s="312"/>
      <c r="Z302" s="312"/>
    </row>
    <row r="303" customHeight="1" spans="1:26">
      <c r="A303" s="312"/>
      <c r="B303" s="312"/>
      <c r="C303" s="312"/>
      <c r="D303" s="312"/>
      <c r="E303" s="312"/>
      <c r="F303" s="312"/>
      <c r="G303" s="312"/>
      <c r="H303" s="312"/>
      <c r="I303" s="312"/>
      <c r="J303" s="312"/>
      <c r="K303" s="312"/>
      <c r="L303" s="312"/>
      <c r="M303" s="312"/>
      <c r="N303" s="312"/>
      <c r="O303" s="312"/>
      <c r="P303" s="312"/>
      <c r="Q303" s="312"/>
      <c r="R303" s="312"/>
      <c r="S303" s="312"/>
      <c r="T303" s="312"/>
      <c r="U303" s="312"/>
      <c r="V303" s="312"/>
      <c r="W303" s="312"/>
      <c r="X303" s="312"/>
      <c r="Y303" s="312"/>
      <c r="Z303" s="312"/>
    </row>
    <row r="304" customHeight="1" spans="1:26">
      <c r="A304" s="312"/>
      <c r="B304" s="312"/>
      <c r="C304" s="312"/>
      <c r="D304" s="312"/>
      <c r="E304" s="312"/>
      <c r="F304" s="312"/>
      <c r="G304" s="312"/>
      <c r="H304" s="312"/>
      <c r="I304" s="312"/>
      <c r="J304" s="312"/>
      <c r="K304" s="312"/>
      <c r="L304" s="312"/>
      <c r="M304" s="312"/>
      <c r="N304" s="312"/>
      <c r="O304" s="312"/>
      <c r="P304" s="312"/>
      <c r="Q304" s="312"/>
      <c r="R304" s="312"/>
      <c r="S304" s="312"/>
      <c r="T304" s="312"/>
      <c r="U304" s="312"/>
      <c r="V304" s="312"/>
      <c r="W304" s="312"/>
      <c r="X304" s="312"/>
      <c r="Y304" s="312"/>
      <c r="Z304" s="312"/>
    </row>
    <row r="305" customHeight="1" spans="1:26">
      <c r="A305" s="312"/>
      <c r="B305" s="312"/>
      <c r="C305" s="312"/>
      <c r="D305" s="312"/>
      <c r="E305" s="312"/>
      <c r="F305" s="312"/>
      <c r="G305" s="312"/>
      <c r="H305" s="312"/>
      <c r="I305" s="312"/>
      <c r="J305" s="312"/>
      <c r="K305" s="312"/>
      <c r="L305" s="312"/>
      <c r="M305" s="312"/>
      <c r="N305" s="312"/>
      <c r="O305" s="312"/>
      <c r="P305" s="312"/>
      <c r="Q305" s="312"/>
      <c r="R305" s="312"/>
      <c r="S305" s="312"/>
      <c r="T305" s="312"/>
      <c r="U305" s="312"/>
      <c r="V305" s="312"/>
      <c r="W305" s="312"/>
      <c r="X305" s="312"/>
      <c r="Y305" s="312"/>
      <c r="Z305" s="312"/>
    </row>
    <row r="306" customHeight="1" spans="1:26">
      <c r="A306" s="312"/>
      <c r="B306" s="312"/>
      <c r="C306" s="312"/>
      <c r="D306" s="312"/>
      <c r="E306" s="312"/>
      <c r="F306" s="312"/>
      <c r="G306" s="312"/>
      <c r="H306" s="312"/>
      <c r="I306" s="312"/>
      <c r="J306" s="312"/>
      <c r="K306" s="312"/>
      <c r="L306" s="312"/>
      <c r="M306" s="312"/>
      <c r="N306" s="312"/>
      <c r="O306" s="312"/>
      <c r="P306" s="312"/>
      <c r="Q306" s="312"/>
      <c r="R306" s="312"/>
      <c r="S306" s="312"/>
      <c r="T306" s="312"/>
      <c r="U306" s="312"/>
      <c r="V306" s="312"/>
      <c r="W306" s="312"/>
      <c r="X306" s="312"/>
      <c r="Y306" s="312"/>
      <c r="Z306" s="312"/>
    </row>
    <row r="307" customHeight="1" spans="1:26">
      <c r="A307" s="312"/>
      <c r="B307" s="312"/>
      <c r="C307" s="312"/>
      <c r="D307" s="312"/>
      <c r="E307" s="312"/>
      <c r="F307" s="312"/>
      <c r="G307" s="312"/>
      <c r="H307" s="312"/>
      <c r="I307" s="312"/>
      <c r="J307" s="312"/>
      <c r="K307" s="312"/>
      <c r="L307" s="312"/>
      <c r="M307" s="312"/>
      <c r="N307" s="312"/>
      <c r="O307" s="312"/>
      <c r="P307" s="312"/>
      <c r="Q307" s="312"/>
      <c r="R307" s="312"/>
      <c r="S307" s="312"/>
      <c r="T307" s="312"/>
      <c r="U307" s="312"/>
      <c r="V307" s="312"/>
      <c r="W307" s="312"/>
      <c r="X307" s="312"/>
      <c r="Y307" s="312"/>
      <c r="Z307" s="312"/>
    </row>
    <row r="308" customHeight="1" spans="1:26">
      <c r="A308" s="312"/>
      <c r="B308" s="312"/>
      <c r="C308" s="312"/>
      <c r="D308" s="312"/>
      <c r="E308" s="312"/>
      <c r="F308" s="312"/>
      <c r="G308" s="312"/>
      <c r="H308" s="312"/>
      <c r="I308" s="312"/>
      <c r="J308" s="312"/>
      <c r="K308" s="312"/>
      <c r="L308" s="312"/>
      <c r="M308" s="312"/>
      <c r="N308" s="312"/>
      <c r="O308" s="312"/>
      <c r="P308" s="312"/>
      <c r="Q308" s="312"/>
      <c r="R308" s="312"/>
      <c r="S308" s="312"/>
      <c r="T308" s="312"/>
      <c r="U308" s="312"/>
      <c r="V308" s="312"/>
      <c r="W308" s="312"/>
      <c r="X308" s="312"/>
      <c r="Y308" s="312"/>
      <c r="Z308" s="312"/>
    </row>
    <row r="309" customHeight="1" spans="1:26">
      <c r="A309" s="312"/>
      <c r="B309" s="312"/>
      <c r="C309" s="312"/>
      <c r="D309" s="312"/>
      <c r="E309" s="312"/>
      <c r="F309" s="312"/>
      <c r="G309" s="312"/>
      <c r="H309" s="312"/>
      <c r="I309" s="312"/>
      <c r="J309" s="312"/>
      <c r="K309" s="312"/>
      <c r="L309" s="312"/>
      <c r="M309" s="312"/>
      <c r="N309" s="312"/>
      <c r="O309" s="312"/>
      <c r="P309" s="312"/>
      <c r="Q309" s="312"/>
      <c r="R309" s="312"/>
      <c r="S309" s="312"/>
      <c r="T309" s="312"/>
      <c r="U309" s="312"/>
      <c r="V309" s="312"/>
      <c r="W309" s="312"/>
      <c r="X309" s="312"/>
      <c r="Y309" s="312"/>
      <c r="Z309" s="312"/>
    </row>
    <row r="310" customHeight="1" spans="1:26">
      <c r="A310" s="312"/>
      <c r="B310" s="312"/>
      <c r="C310" s="312"/>
      <c r="D310" s="312"/>
      <c r="E310" s="312"/>
      <c r="F310" s="312"/>
      <c r="G310" s="312"/>
      <c r="H310" s="312"/>
      <c r="I310" s="312"/>
      <c r="J310" s="312"/>
      <c r="K310" s="312"/>
      <c r="L310" s="312"/>
      <c r="M310" s="312"/>
      <c r="N310" s="312"/>
      <c r="O310" s="312"/>
      <c r="P310" s="312"/>
      <c r="Q310" s="312"/>
      <c r="R310" s="312"/>
      <c r="S310" s="312"/>
      <c r="T310" s="312"/>
      <c r="U310" s="312"/>
      <c r="V310" s="312"/>
      <c r="W310" s="312"/>
      <c r="X310" s="312"/>
      <c r="Y310" s="312"/>
      <c r="Z310" s="312"/>
    </row>
    <row r="311" customHeight="1" spans="1:26">
      <c r="A311" s="312"/>
      <c r="B311" s="312"/>
      <c r="C311" s="312"/>
      <c r="D311" s="312"/>
      <c r="E311" s="312"/>
      <c r="F311" s="312"/>
      <c r="G311" s="312"/>
      <c r="H311" s="312"/>
      <c r="I311" s="312"/>
      <c r="J311" s="312"/>
      <c r="K311" s="312"/>
      <c r="L311" s="312"/>
      <c r="M311" s="312"/>
      <c r="N311" s="312"/>
      <c r="O311" s="312"/>
      <c r="P311" s="312"/>
      <c r="Q311" s="312"/>
      <c r="R311" s="312"/>
      <c r="S311" s="312"/>
      <c r="T311" s="312"/>
      <c r="U311" s="312"/>
      <c r="V311" s="312"/>
      <c r="W311" s="312"/>
      <c r="X311" s="312"/>
      <c r="Y311" s="312"/>
      <c r="Z311" s="312"/>
    </row>
    <row r="312" customHeight="1" spans="1:26">
      <c r="A312" s="312"/>
      <c r="B312" s="312"/>
      <c r="C312" s="312"/>
      <c r="D312" s="312"/>
      <c r="E312" s="312"/>
      <c r="F312" s="312"/>
      <c r="G312" s="312"/>
      <c r="H312" s="312"/>
      <c r="I312" s="312"/>
      <c r="J312" s="312"/>
      <c r="K312" s="312"/>
      <c r="L312" s="312"/>
      <c r="M312" s="312"/>
      <c r="N312" s="312"/>
      <c r="O312" s="312"/>
      <c r="P312" s="312"/>
      <c r="Q312" s="312"/>
      <c r="R312" s="312"/>
      <c r="S312" s="312"/>
      <c r="T312" s="312"/>
      <c r="U312" s="312"/>
      <c r="V312" s="312"/>
      <c r="W312" s="312"/>
      <c r="X312" s="312"/>
      <c r="Y312" s="312"/>
      <c r="Z312" s="312"/>
    </row>
    <row r="313" customHeight="1" spans="1:26">
      <c r="A313" s="312"/>
      <c r="B313" s="312"/>
      <c r="C313" s="312"/>
      <c r="D313" s="312"/>
      <c r="E313" s="312"/>
      <c r="F313" s="312"/>
      <c r="G313" s="312"/>
      <c r="H313" s="312"/>
      <c r="I313" s="312"/>
      <c r="J313" s="312"/>
      <c r="K313" s="312"/>
      <c r="L313" s="312"/>
      <c r="M313" s="312"/>
      <c r="N313" s="312"/>
      <c r="O313" s="312"/>
      <c r="P313" s="312"/>
      <c r="Q313" s="312"/>
      <c r="R313" s="312"/>
      <c r="S313" s="312"/>
      <c r="T313" s="312"/>
      <c r="U313" s="312"/>
      <c r="V313" s="312"/>
      <c r="W313" s="312"/>
      <c r="X313" s="312"/>
      <c r="Y313" s="312"/>
      <c r="Z313" s="312"/>
    </row>
    <row r="314" customHeight="1" spans="1:26">
      <c r="A314" s="312"/>
      <c r="B314" s="312"/>
      <c r="C314" s="312"/>
      <c r="D314" s="312"/>
      <c r="E314" s="312"/>
      <c r="F314" s="312"/>
      <c r="G314" s="312"/>
      <c r="H314" s="312"/>
      <c r="I314" s="312"/>
      <c r="J314" s="312"/>
      <c r="K314" s="312"/>
      <c r="L314" s="312"/>
      <c r="M314" s="312"/>
      <c r="N314" s="312"/>
      <c r="O314" s="312"/>
      <c r="P314" s="312"/>
      <c r="Q314" s="312"/>
      <c r="R314" s="312"/>
      <c r="S314" s="312"/>
      <c r="T314" s="312"/>
      <c r="U314" s="312"/>
      <c r="V314" s="312"/>
      <c r="W314" s="312"/>
      <c r="X314" s="312"/>
      <c r="Y314" s="312"/>
      <c r="Z314" s="312"/>
    </row>
    <row r="315" customHeight="1" spans="1:26">
      <c r="A315" s="312"/>
      <c r="B315" s="312"/>
      <c r="C315" s="312"/>
      <c r="D315" s="312"/>
      <c r="E315" s="312"/>
      <c r="F315" s="312"/>
      <c r="G315" s="312"/>
      <c r="H315" s="312"/>
      <c r="I315" s="312"/>
      <c r="J315" s="312"/>
      <c r="K315" s="312"/>
      <c r="L315" s="312"/>
      <c r="M315" s="312"/>
      <c r="N315" s="312"/>
      <c r="O315" s="312"/>
      <c r="P315" s="312"/>
      <c r="Q315" s="312"/>
      <c r="R315" s="312"/>
      <c r="S315" s="312"/>
      <c r="T315" s="312"/>
      <c r="U315" s="312"/>
      <c r="V315" s="312"/>
      <c r="W315" s="312"/>
      <c r="X315" s="312"/>
      <c r="Y315" s="312"/>
      <c r="Z315" s="312"/>
    </row>
    <row r="316" customHeight="1" spans="1:26">
      <c r="A316" s="312"/>
      <c r="B316" s="312"/>
      <c r="C316" s="312"/>
      <c r="D316" s="312"/>
      <c r="E316" s="312"/>
      <c r="F316" s="312"/>
      <c r="G316" s="312"/>
      <c r="H316" s="312"/>
      <c r="I316" s="312"/>
      <c r="J316" s="312"/>
      <c r="K316" s="312"/>
      <c r="L316" s="312"/>
      <c r="M316" s="312"/>
      <c r="N316" s="312"/>
      <c r="O316" s="312"/>
      <c r="P316" s="312"/>
      <c r="Q316" s="312"/>
      <c r="R316" s="312"/>
      <c r="S316" s="312"/>
      <c r="T316" s="312"/>
      <c r="U316" s="312"/>
      <c r="V316" s="312"/>
      <c r="W316" s="312"/>
      <c r="X316" s="312"/>
      <c r="Y316" s="312"/>
      <c r="Z316" s="312"/>
    </row>
    <row r="317" customHeight="1" spans="1:26">
      <c r="A317" s="312"/>
      <c r="B317" s="312"/>
      <c r="C317" s="312"/>
      <c r="D317" s="312"/>
      <c r="E317" s="312"/>
      <c r="F317" s="312"/>
      <c r="G317" s="312"/>
      <c r="H317" s="312"/>
      <c r="I317" s="312"/>
      <c r="J317" s="312"/>
      <c r="K317" s="312"/>
      <c r="L317" s="312"/>
      <c r="M317" s="312"/>
      <c r="N317" s="312"/>
      <c r="O317" s="312"/>
      <c r="P317" s="312"/>
      <c r="Q317" s="312"/>
      <c r="R317" s="312"/>
      <c r="S317" s="312"/>
      <c r="T317" s="312"/>
      <c r="U317" s="312"/>
      <c r="V317" s="312"/>
      <c r="W317" s="312"/>
      <c r="X317" s="312"/>
      <c r="Y317" s="312"/>
      <c r="Z317" s="312"/>
    </row>
    <row r="318" customHeight="1" spans="1:26">
      <c r="A318" s="312"/>
      <c r="B318" s="312"/>
      <c r="C318" s="312"/>
      <c r="D318" s="312"/>
      <c r="E318" s="312"/>
      <c r="F318" s="312"/>
      <c r="G318" s="312"/>
      <c r="H318" s="312"/>
      <c r="I318" s="312"/>
      <c r="J318" s="312"/>
      <c r="K318" s="312"/>
      <c r="L318" s="312"/>
      <c r="M318" s="312"/>
      <c r="N318" s="312"/>
      <c r="O318" s="312"/>
      <c r="P318" s="312"/>
      <c r="Q318" s="312"/>
      <c r="R318" s="312"/>
      <c r="S318" s="312"/>
      <c r="T318" s="312"/>
      <c r="U318" s="312"/>
      <c r="V318" s="312"/>
      <c r="W318" s="312"/>
      <c r="X318" s="312"/>
      <c r="Y318" s="312"/>
      <c r="Z318" s="312"/>
    </row>
    <row r="319" customHeight="1" spans="1:26">
      <c r="A319" s="312"/>
      <c r="B319" s="312"/>
      <c r="C319" s="312"/>
      <c r="D319" s="312"/>
      <c r="E319" s="312"/>
      <c r="F319" s="312"/>
      <c r="G319" s="312"/>
      <c r="H319" s="312"/>
      <c r="I319" s="312"/>
      <c r="J319" s="312"/>
      <c r="K319" s="312"/>
      <c r="L319" s="312"/>
      <c r="M319" s="312"/>
      <c r="N319" s="312"/>
      <c r="O319" s="312"/>
      <c r="P319" s="312"/>
      <c r="Q319" s="312"/>
      <c r="R319" s="312"/>
      <c r="S319" s="312"/>
      <c r="T319" s="312"/>
      <c r="U319" s="312"/>
      <c r="V319" s="312"/>
      <c r="W319" s="312"/>
      <c r="X319" s="312"/>
      <c r="Y319" s="312"/>
      <c r="Z319" s="312"/>
    </row>
    <row r="320" customHeight="1" spans="1:26">
      <c r="A320" s="312"/>
      <c r="B320" s="312"/>
      <c r="C320" s="312"/>
      <c r="D320" s="312"/>
      <c r="E320" s="312"/>
      <c r="F320" s="312"/>
      <c r="G320" s="312"/>
      <c r="H320" s="312"/>
      <c r="I320" s="312"/>
      <c r="J320" s="312"/>
      <c r="K320" s="312"/>
      <c r="L320" s="312"/>
      <c r="M320" s="312"/>
      <c r="N320" s="312"/>
      <c r="O320" s="312"/>
      <c r="P320" s="312"/>
      <c r="Q320" s="312"/>
      <c r="R320" s="312"/>
      <c r="S320" s="312"/>
      <c r="T320" s="312"/>
      <c r="U320" s="312"/>
      <c r="V320" s="312"/>
      <c r="W320" s="312"/>
      <c r="X320" s="312"/>
      <c r="Y320" s="312"/>
      <c r="Z320" s="312"/>
    </row>
    <row r="321" customHeight="1" spans="1:26">
      <c r="A321" s="312"/>
      <c r="B321" s="312"/>
      <c r="C321" s="312"/>
      <c r="D321" s="312"/>
      <c r="E321" s="312"/>
      <c r="F321" s="312"/>
      <c r="G321" s="312"/>
      <c r="H321" s="312"/>
      <c r="I321" s="312"/>
      <c r="J321" s="312"/>
      <c r="K321" s="312"/>
      <c r="L321" s="312"/>
      <c r="M321" s="312"/>
      <c r="N321" s="312"/>
      <c r="O321" s="312"/>
      <c r="P321" s="312"/>
      <c r="Q321" s="312"/>
      <c r="R321" s="312"/>
      <c r="S321" s="312"/>
      <c r="T321" s="312"/>
      <c r="U321" s="312"/>
      <c r="V321" s="312"/>
      <c r="W321" s="312"/>
      <c r="X321" s="312"/>
      <c r="Y321" s="312"/>
      <c r="Z321" s="312"/>
    </row>
    <row r="322" customHeight="1" spans="1:26">
      <c r="A322" s="312"/>
      <c r="B322" s="312"/>
      <c r="C322" s="312"/>
      <c r="D322" s="312"/>
      <c r="E322" s="312"/>
      <c r="F322" s="312"/>
      <c r="G322" s="312"/>
      <c r="H322" s="312"/>
      <c r="I322" s="312"/>
      <c r="J322" s="312"/>
      <c r="K322" s="312"/>
      <c r="L322" s="312"/>
      <c r="M322" s="312"/>
      <c r="N322" s="312"/>
      <c r="O322" s="312"/>
      <c r="P322" s="312"/>
      <c r="Q322" s="312"/>
      <c r="R322" s="312"/>
      <c r="S322" s="312"/>
      <c r="T322" s="312"/>
      <c r="U322" s="312"/>
      <c r="V322" s="312"/>
      <c r="W322" s="312"/>
      <c r="X322" s="312"/>
      <c r="Y322" s="312"/>
      <c r="Z322" s="312"/>
    </row>
    <row r="323" customHeight="1" spans="1:26">
      <c r="A323" s="312"/>
      <c r="B323" s="312"/>
      <c r="C323" s="312"/>
      <c r="D323" s="312"/>
      <c r="E323" s="312"/>
      <c r="F323" s="312"/>
      <c r="G323" s="312"/>
      <c r="H323" s="312"/>
      <c r="I323" s="312"/>
      <c r="J323" s="312"/>
      <c r="K323" s="312"/>
      <c r="L323" s="312"/>
      <c r="M323" s="312"/>
      <c r="N323" s="312"/>
      <c r="O323" s="312"/>
      <c r="P323" s="312"/>
      <c r="Q323" s="312"/>
      <c r="R323" s="312"/>
      <c r="S323" s="312"/>
      <c r="T323" s="312"/>
      <c r="U323" s="312"/>
      <c r="V323" s="312"/>
      <c r="W323" s="312"/>
      <c r="X323" s="312"/>
      <c r="Y323" s="312"/>
      <c r="Z323" s="312"/>
    </row>
    <row r="324" customHeight="1" spans="1:26">
      <c r="A324" s="312"/>
      <c r="B324" s="312"/>
      <c r="C324" s="312"/>
      <c r="D324" s="312"/>
      <c r="E324" s="312"/>
      <c r="F324" s="312"/>
      <c r="G324" s="312"/>
      <c r="H324" s="312"/>
      <c r="I324" s="312"/>
      <c r="J324" s="312"/>
      <c r="K324" s="312"/>
      <c r="L324" s="312"/>
      <c r="M324" s="312"/>
      <c r="N324" s="312"/>
      <c r="O324" s="312"/>
      <c r="P324" s="312"/>
      <c r="Q324" s="312"/>
      <c r="R324" s="312"/>
      <c r="S324" s="312"/>
      <c r="T324" s="312"/>
      <c r="U324" s="312"/>
      <c r="V324" s="312"/>
      <c r="W324" s="312"/>
      <c r="X324" s="312"/>
      <c r="Y324" s="312"/>
      <c r="Z324" s="312"/>
    </row>
    <row r="325" customHeight="1" spans="1:26">
      <c r="A325" s="312"/>
      <c r="B325" s="312"/>
      <c r="C325" s="312"/>
      <c r="D325" s="312"/>
      <c r="E325" s="312"/>
      <c r="F325" s="312"/>
      <c r="G325" s="312"/>
      <c r="H325" s="312"/>
      <c r="I325" s="312"/>
      <c r="J325" s="312"/>
      <c r="K325" s="312"/>
      <c r="L325" s="312"/>
      <c r="M325" s="312"/>
      <c r="N325" s="312"/>
      <c r="O325" s="312"/>
      <c r="P325" s="312"/>
      <c r="Q325" s="312"/>
      <c r="R325" s="312"/>
      <c r="S325" s="312"/>
      <c r="T325" s="312"/>
      <c r="U325" s="312"/>
      <c r="V325" s="312"/>
      <c r="W325" s="312"/>
      <c r="X325" s="312"/>
      <c r="Y325" s="312"/>
      <c r="Z325" s="312"/>
    </row>
    <row r="326" customHeight="1" spans="1:26">
      <c r="A326" s="312"/>
      <c r="B326" s="312"/>
      <c r="C326" s="312"/>
      <c r="D326" s="312"/>
      <c r="E326" s="312"/>
      <c r="F326" s="312"/>
      <c r="G326" s="312"/>
      <c r="H326" s="312"/>
      <c r="I326" s="312"/>
      <c r="J326" s="312"/>
      <c r="K326" s="312"/>
      <c r="L326" s="312"/>
      <c r="M326" s="312"/>
      <c r="N326" s="312"/>
      <c r="O326" s="312"/>
      <c r="P326" s="312"/>
      <c r="Q326" s="312"/>
      <c r="R326" s="312"/>
      <c r="S326" s="312"/>
      <c r="T326" s="312"/>
      <c r="U326" s="312"/>
      <c r="V326" s="312"/>
      <c r="W326" s="312"/>
      <c r="X326" s="312"/>
      <c r="Y326" s="312"/>
      <c r="Z326" s="312"/>
    </row>
    <row r="327" customHeight="1" spans="1:26">
      <c r="A327" s="312"/>
      <c r="B327" s="312"/>
      <c r="C327" s="312"/>
      <c r="D327" s="312"/>
      <c r="E327" s="312"/>
      <c r="F327" s="312"/>
      <c r="G327" s="312"/>
      <c r="H327" s="312"/>
      <c r="I327" s="312"/>
      <c r="J327" s="312"/>
      <c r="K327" s="312"/>
      <c r="L327" s="312"/>
      <c r="M327" s="312"/>
      <c r="N327" s="312"/>
      <c r="O327" s="312"/>
      <c r="P327" s="312"/>
      <c r="Q327" s="312"/>
      <c r="R327" s="312"/>
      <c r="S327" s="312"/>
      <c r="T327" s="312"/>
      <c r="U327" s="312"/>
      <c r="V327" s="312"/>
      <c r="W327" s="312"/>
      <c r="X327" s="312"/>
      <c r="Y327" s="312"/>
      <c r="Z327" s="312"/>
    </row>
    <row r="328" customHeight="1" spans="1:26">
      <c r="A328" s="312"/>
      <c r="B328" s="312"/>
      <c r="C328" s="312"/>
      <c r="D328" s="312"/>
      <c r="E328" s="312"/>
      <c r="F328" s="312"/>
      <c r="G328" s="312"/>
      <c r="H328" s="312"/>
      <c r="I328" s="312"/>
      <c r="J328" s="312"/>
      <c r="K328" s="312"/>
      <c r="L328" s="312"/>
      <c r="M328" s="312"/>
      <c r="N328" s="312"/>
      <c r="O328" s="312"/>
      <c r="P328" s="312"/>
      <c r="Q328" s="312"/>
      <c r="R328" s="312"/>
      <c r="S328" s="312"/>
      <c r="T328" s="312"/>
      <c r="U328" s="312"/>
      <c r="V328" s="312"/>
      <c r="W328" s="312"/>
      <c r="X328" s="312"/>
      <c r="Y328" s="312"/>
      <c r="Z328" s="312"/>
    </row>
    <row r="329" customHeight="1" spans="1:26">
      <c r="A329" s="312"/>
      <c r="B329" s="312"/>
      <c r="C329" s="312"/>
      <c r="D329" s="312"/>
      <c r="E329" s="312"/>
      <c r="F329" s="312"/>
      <c r="G329" s="312"/>
      <c r="H329" s="312"/>
      <c r="I329" s="312"/>
      <c r="J329" s="312"/>
      <c r="K329" s="312"/>
      <c r="L329" s="312"/>
      <c r="M329" s="312"/>
      <c r="N329" s="312"/>
      <c r="O329" s="312"/>
      <c r="P329" s="312"/>
      <c r="Q329" s="312"/>
      <c r="R329" s="312"/>
      <c r="S329" s="312"/>
      <c r="T329" s="312"/>
      <c r="U329" s="312"/>
      <c r="V329" s="312"/>
      <c r="W329" s="312"/>
      <c r="X329" s="312"/>
      <c r="Y329" s="312"/>
      <c r="Z329" s="312"/>
    </row>
    <row r="330" customHeight="1" spans="1:26">
      <c r="A330" s="312"/>
      <c r="B330" s="312"/>
      <c r="C330" s="312"/>
      <c r="D330" s="312"/>
      <c r="E330" s="312"/>
      <c r="F330" s="312"/>
      <c r="G330" s="312"/>
      <c r="H330" s="312"/>
      <c r="I330" s="312"/>
      <c r="J330" s="312"/>
      <c r="K330" s="312"/>
      <c r="L330" s="312"/>
      <c r="M330" s="312"/>
      <c r="N330" s="312"/>
      <c r="O330" s="312"/>
      <c r="P330" s="312"/>
      <c r="Q330" s="312"/>
      <c r="R330" s="312"/>
      <c r="S330" s="312"/>
      <c r="T330" s="312"/>
      <c r="U330" s="312"/>
      <c r="V330" s="312"/>
      <c r="W330" s="312"/>
      <c r="X330" s="312"/>
      <c r="Y330" s="312"/>
      <c r="Z330" s="312"/>
    </row>
    <row r="331" customHeight="1" spans="1:26">
      <c r="A331" s="312"/>
      <c r="B331" s="312"/>
      <c r="C331" s="312"/>
      <c r="D331" s="312"/>
      <c r="E331" s="312"/>
      <c r="F331" s="312"/>
      <c r="G331" s="312"/>
      <c r="H331" s="312"/>
      <c r="I331" s="312"/>
      <c r="J331" s="312"/>
      <c r="K331" s="312"/>
      <c r="L331" s="312"/>
      <c r="M331" s="312"/>
      <c r="N331" s="312"/>
      <c r="O331" s="312"/>
      <c r="P331" s="312"/>
      <c r="Q331" s="312"/>
      <c r="R331" s="312"/>
      <c r="S331" s="312"/>
      <c r="T331" s="312"/>
      <c r="U331" s="312"/>
      <c r="V331" s="312"/>
      <c r="W331" s="312"/>
      <c r="X331" s="312"/>
      <c r="Y331" s="312"/>
      <c r="Z331" s="312"/>
    </row>
    <row r="332" customHeight="1" spans="1:26">
      <c r="A332" s="312"/>
      <c r="B332" s="312"/>
      <c r="C332" s="312"/>
      <c r="D332" s="312"/>
      <c r="E332" s="312"/>
      <c r="F332" s="312"/>
      <c r="G332" s="312"/>
      <c r="H332" s="312"/>
      <c r="I332" s="312"/>
      <c r="J332" s="312"/>
      <c r="K332" s="312"/>
      <c r="L332" s="312"/>
      <c r="M332" s="312"/>
      <c r="N332" s="312"/>
      <c r="O332" s="312"/>
      <c r="P332" s="312"/>
      <c r="Q332" s="312"/>
      <c r="R332" s="312"/>
      <c r="S332" s="312"/>
      <c r="T332" s="312"/>
      <c r="U332" s="312"/>
      <c r="V332" s="312"/>
      <c r="W332" s="312"/>
      <c r="X332" s="312"/>
      <c r="Y332" s="312"/>
      <c r="Z332" s="312"/>
    </row>
    <row r="333" customHeight="1" spans="1:26">
      <c r="A333" s="312"/>
      <c r="B333" s="312"/>
      <c r="C333" s="312"/>
      <c r="D333" s="312"/>
      <c r="E333" s="312"/>
      <c r="F333" s="312"/>
      <c r="G333" s="312"/>
      <c r="H333" s="312"/>
      <c r="I333" s="312"/>
      <c r="J333" s="312"/>
      <c r="K333" s="312"/>
      <c r="L333" s="312"/>
      <c r="M333" s="312"/>
      <c r="N333" s="312"/>
      <c r="O333" s="312"/>
      <c r="P333" s="312"/>
      <c r="Q333" s="312"/>
      <c r="R333" s="312"/>
      <c r="S333" s="312"/>
      <c r="T333" s="312"/>
      <c r="U333" s="312"/>
      <c r="V333" s="312"/>
      <c r="W333" s="312"/>
      <c r="X333" s="312"/>
      <c r="Y333" s="312"/>
      <c r="Z333" s="312"/>
    </row>
    <row r="334" customHeight="1" spans="1:26">
      <c r="A334" s="312"/>
      <c r="B334" s="312"/>
      <c r="C334" s="312"/>
      <c r="D334" s="312"/>
      <c r="E334" s="312"/>
      <c r="F334" s="312"/>
      <c r="G334" s="312"/>
      <c r="H334" s="312"/>
      <c r="I334" s="312"/>
      <c r="J334" s="312"/>
      <c r="K334" s="312"/>
      <c r="L334" s="312"/>
      <c r="M334" s="312"/>
      <c r="N334" s="312"/>
      <c r="O334" s="312"/>
      <c r="P334" s="312"/>
      <c r="Q334" s="312"/>
      <c r="R334" s="312"/>
      <c r="S334" s="312"/>
      <c r="T334" s="312"/>
      <c r="U334" s="312"/>
      <c r="V334" s="312"/>
      <c r="W334" s="312"/>
      <c r="X334" s="312"/>
      <c r="Y334" s="312"/>
      <c r="Z334" s="312"/>
    </row>
    <row r="335" customHeight="1" spans="1:26">
      <c r="A335" s="312"/>
      <c r="B335" s="312"/>
      <c r="C335" s="312"/>
      <c r="D335" s="312"/>
      <c r="E335" s="312"/>
      <c r="F335" s="312"/>
      <c r="G335" s="312"/>
      <c r="H335" s="312"/>
      <c r="I335" s="312"/>
      <c r="J335" s="312"/>
      <c r="K335" s="312"/>
      <c r="L335" s="312"/>
      <c r="M335" s="312"/>
      <c r="N335" s="312"/>
      <c r="O335" s="312"/>
      <c r="P335" s="312"/>
      <c r="Q335" s="312"/>
      <c r="R335" s="312"/>
      <c r="S335" s="312"/>
      <c r="T335" s="312"/>
      <c r="U335" s="312"/>
      <c r="V335" s="312"/>
      <c r="W335" s="312"/>
      <c r="X335" s="312"/>
      <c r="Y335" s="312"/>
      <c r="Z335" s="312"/>
    </row>
    <row r="336" customHeight="1" spans="1:26">
      <c r="A336" s="312"/>
      <c r="B336" s="312"/>
      <c r="C336" s="312"/>
      <c r="D336" s="312"/>
      <c r="E336" s="312"/>
      <c r="F336" s="312"/>
      <c r="G336" s="312"/>
      <c r="H336" s="312"/>
      <c r="I336" s="312"/>
      <c r="J336" s="312"/>
      <c r="K336" s="312"/>
      <c r="L336" s="312"/>
      <c r="M336" s="312"/>
      <c r="N336" s="312"/>
      <c r="O336" s="312"/>
      <c r="P336" s="312"/>
      <c r="Q336" s="312"/>
      <c r="R336" s="312"/>
      <c r="S336" s="312"/>
      <c r="T336" s="312"/>
      <c r="U336" s="312"/>
      <c r="V336" s="312"/>
      <c r="W336" s="312"/>
      <c r="X336" s="312"/>
      <c r="Y336" s="312"/>
      <c r="Z336" s="312"/>
    </row>
    <row r="337" customHeight="1" spans="1:26">
      <c r="A337" s="312"/>
      <c r="B337" s="312"/>
      <c r="C337" s="312"/>
      <c r="D337" s="312"/>
      <c r="E337" s="312"/>
      <c r="F337" s="312"/>
      <c r="G337" s="312"/>
      <c r="H337" s="312"/>
      <c r="I337" s="312"/>
      <c r="J337" s="312"/>
      <c r="K337" s="312"/>
      <c r="L337" s="312"/>
      <c r="M337" s="312"/>
      <c r="N337" s="312"/>
      <c r="O337" s="312"/>
      <c r="P337" s="312"/>
      <c r="Q337" s="312"/>
      <c r="R337" s="312"/>
      <c r="S337" s="312"/>
      <c r="T337" s="312"/>
      <c r="U337" s="312"/>
      <c r="V337" s="312"/>
      <c r="W337" s="312"/>
      <c r="X337" s="312"/>
      <c r="Y337" s="312"/>
      <c r="Z337" s="312"/>
    </row>
    <row r="338" customHeight="1" spans="1:26">
      <c r="A338" s="312"/>
      <c r="B338" s="312"/>
      <c r="C338" s="312"/>
      <c r="D338" s="312"/>
      <c r="E338" s="312"/>
      <c r="F338" s="312"/>
      <c r="G338" s="312"/>
      <c r="H338" s="312"/>
      <c r="I338" s="312"/>
      <c r="J338" s="312"/>
      <c r="K338" s="312"/>
      <c r="L338" s="312"/>
      <c r="M338" s="312"/>
      <c r="N338" s="312"/>
      <c r="O338" s="312"/>
      <c r="P338" s="312"/>
      <c r="Q338" s="312"/>
      <c r="R338" s="312"/>
      <c r="S338" s="312"/>
      <c r="T338" s="312"/>
      <c r="U338" s="312"/>
      <c r="V338" s="312"/>
      <c r="W338" s="312"/>
      <c r="X338" s="312"/>
      <c r="Y338" s="312"/>
      <c r="Z338" s="312"/>
    </row>
    <row r="339" customHeight="1" spans="1:26">
      <c r="A339" s="312"/>
      <c r="B339" s="312"/>
      <c r="C339" s="312"/>
      <c r="D339" s="312"/>
      <c r="E339" s="312"/>
      <c r="F339" s="312"/>
      <c r="G339" s="312"/>
      <c r="H339" s="312"/>
      <c r="I339" s="312"/>
      <c r="J339" s="312"/>
      <c r="K339" s="312"/>
      <c r="L339" s="312"/>
      <c r="M339" s="312"/>
      <c r="N339" s="312"/>
      <c r="O339" s="312"/>
      <c r="P339" s="312"/>
      <c r="Q339" s="312"/>
      <c r="R339" s="312"/>
      <c r="S339" s="312"/>
      <c r="T339" s="312"/>
      <c r="U339" s="312"/>
      <c r="V339" s="312"/>
      <c r="W339" s="312"/>
      <c r="X339" s="312"/>
      <c r="Y339" s="312"/>
      <c r="Z339" s="312"/>
    </row>
    <row r="340" customHeight="1" spans="1:26">
      <c r="A340" s="312"/>
      <c r="B340" s="312"/>
      <c r="C340" s="312"/>
      <c r="D340" s="312"/>
      <c r="E340" s="312"/>
      <c r="F340" s="312"/>
      <c r="G340" s="312"/>
      <c r="H340" s="312"/>
      <c r="I340" s="312"/>
      <c r="J340" s="312"/>
      <c r="K340" s="312"/>
      <c r="L340" s="312"/>
      <c r="M340" s="312"/>
      <c r="N340" s="312"/>
      <c r="O340" s="312"/>
      <c r="P340" s="312"/>
      <c r="Q340" s="312"/>
      <c r="R340" s="312"/>
      <c r="S340" s="312"/>
      <c r="T340" s="312"/>
      <c r="U340" s="312"/>
      <c r="V340" s="312"/>
      <c r="W340" s="312"/>
      <c r="X340" s="312"/>
      <c r="Y340" s="312"/>
      <c r="Z340" s="312"/>
    </row>
    <row r="341" customHeight="1" spans="1:26">
      <c r="A341" s="312"/>
      <c r="B341" s="312"/>
      <c r="C341" s="312"/>
      <c r="D341" s="312"/>
      <c r="E341" s="312"/>
      <c r="F341" s="312"/>
      <c r="G341" s="312"/>
      <c r="H341" s="312"/>
      <c r="I341" s="312"/>
      <c r="J341" s="312"/>
      <c r="K341" s="312"/>
      <c r="L341" s="312"/>
      <c r="M341" s="312"/>
      <c r="N341" s="312"/>
      <c r="O341" s="312"/>
      <c r="P341" s="312"/>
      <c r="Q341" s="312"/>
      <c r="R341" s="312"/>
      <c r="S341" s="312"/>
      <c r="T341" s="312"/>
      <c r="U341" s="312"/>
      <c r="V341" s="312"/>
      <c r="W341" s="312"/>
      <c r="X341" s="312"/>
      <c r="Y341" s="312"/>
      <c r="Z341" s="312"/>
    </row>
    <row r="342" customHeight="1" spans="1:26">
      <c r="A342" s="312"/>
      <c r="B342" s="312"/>
      <c r="C342" s="312"/>
      <c r="D342" s="312"/>
      <c r="E342" s="312"/>
      <c r="F342" s="312"/>
      <c r="G342" s="312"/>
      <c r="H342" s="312"/>
      <c r="I342" s="312"/>
      <c r="J342" s="312"/>
      <c r="K342" s="312"/>
      <c r="L342" s="312"/>
      <c r="M342" s="312"/>
      <c r="N342" s="312"/>
      <c r="O342" s="312"/>
      <c r="P342" s="312"/>
      <c r="Q342" s="312"/>
      <c r="R342" s="312"/>
      <c r="S342" s="312"/>
      <c r="T342" s="312"/>
      <c r="U342" s="312"/>
      <c r="V342" s="312"/>
      <c r="W342" s="312"/>
      <c r="X342" s="312"/>
      <c r="Y342" s="312"/>
      <c r="Z342" s="312"/>
    </row>
    <row r="343" customHeight="1" spans="1:26">
      <c r="A343" s="312"/>
      <c r="B343" s="312"/>
      <c r="C343" s="312"/>
      <c r="D343" s="312"/>
      <c r="E343" s="312"/>
      <c r="F343" s="312"/>
      <c r="G343" s="312"/>
      <c r="H343" s="312"/>
      <c r="I343" s="312"/>
      <c r="J343" s="312"/>
      <c r="K343" s="312"/>
      <c r="L343" s="312"/>
      <c r="M343" s="312"/>
      <c r="N343" s="312"/>
      <c r="O343" s="312"/>
      <c r="P343" s="312"/>
      <c r="Q343" s="312"/>
      <c r="R343" s="312"/>
      <c r="S343" s="312"/>
      <c r="T343" s="312"/>
      <c r="U343" s="312"/>
      <c r="V343" s="312"/>
      <c r="W343" s="312"/>
      <c r="X343" s="312"/>
      <c r="Y343" s="312"/>
      <c r="Z343" s="312"/>
    </row>
    <row r="344" customHeight="1" spans="1:26">
      <c r="A344" s="312"/>
      <c r="B344" s="312"/>
      <c r="C344" s="312"/>
      <c r="D344" s="312"/>
      <c r="E344" s="312"/>
      <c r="F344" s="312"/>
      <c r="G344" s="312"/>
      <c r="H344" s="312"/>
      <c r="I344" s="312"/>
      <c r="J344" s="312"/>
      <c r="K344" s="312"/>
      <c r="L344" s="312"/>
      <c r="M344" s="312"/>
      <c r="N344" s="312"/>
      <c r="O344" s="312"/>
      <c r="P344" s="312"/>
      <c r="Q344" s="312"/>
      <c r="R344" s="312"/>
      <c r="S344" s="312"/>
      <c r="T344" s="312"/>
      <c r="U344" s="312"/>
      <c r="V344" s="312"/>
      <c r="W344" s="312"/>
      <c r="X344" s="312"/>
      <c r="Y344" s="312"/>
      <c r="Z344" s="312"/>
    </row>
    <row r="345" customHeight="1" spans="1:26">
      <c r="A345" s="312"/>
      <c r="B345" s="312"/>
      <c r="C345" s="312"/>
      <c r="D345" s="312"/>
      <c r="E345" s="312"/>
      <c r="F345" s="312"/>
      <c r="G345" s="312"/>
      <c r="H345" s="312"/>
      <c r="I345" s="312"/>
      <c r="J345" s="312"/>
      <c r="K345" s="312"/>
      <c r="L345" s="312"/>
      <c r="M345" s="312"/>
      <c r="N345" s="312"/>
      <c r="O345" s="312"/>
      <c r="P345" s="312"/>
      <c r="Q345" s="312"/>
      <c r="R345" s="312"/>
      <c r="S345" s="312"/>
      <c r="T345" s="312"/>
      <c r="U345" s="312"/>
      <c r="V345" s="312"/>
      <c r="W345" s="312"/>
      <c r="X345" s="312"/>
      <c r="Y345" s="312"/>
      <c r="Z345" s="312"/>
    </row>
    <row r="346" customHeight="1" spans="1:26">
      <c r="A346" s="312"/>
      <c r="B346" s="312"/>
      <c r="C346" s="312"/>
      <c r="D346" s="312"/>
      <c r="E346" s="312"/>
      <c r="F346" s="312"/>
      <c r="G346" s="312"/>
      <c r="H346" s="312"/>
      <c r="I346" s="312"/>
      <c r="J346" s="312"/>
      <c r="K346" s="312"/>
      <c r="L346" s="312"/>
      <c r="M346" s="312"/>
      <c r="N346" s="312"/>
      <c r="O346" s="312"/>
      <c r="P346" s="312"/>
      <c r="Q346" s="312"/>
      <c r="R346" s="312"/>
      <c r="S346" s="312"/>
      <c r="T346" s="312"/>
      <c r="U346" s="312"/>
      <c r="V346" s="312"/>
      <c r="W346" s="312"/>
      <c r="X346" s="312"/>
      <c r="Y346" s="312"/>
      <c r="Z346" s="312"/>
    </row>
    <row r="347" customHeight="1" spans="1:26">
      <c r="A347" s="312"/>
      <c r="B347" s="312"/>
      <c r="C347" s="312"/>
      <c r="D347" s="312"/>
      <c r="E347" s="312"/>
      <c r="F347" s="312"/>
      <c r="G347" s="312"/>
      <c r="H347" s="312"/>
      <c r="I347" s="312"/>
      <c r="J347" s="312"/>
      <c r="K347" s="312"/>
      <c r="L347" s="312"/>
      <c r="M347" s="312"/>
      <c r="N347" s="312"/>
      <c r="O347" s="312"/>
      <c r="P347" s="312"/>
      <c r="Q347" s="312"/>
      <c r="R347" s="312"/>
      <c r="S347" s="312"/>
      <c r="T347" s="312"/>
      <c r="U347" s="312"/>
      <c r="V347" s="312"/>
      <c r="W347" s="312"/>
      <c r="X347" s="312"/>
      <c r="Y347" s="312"/>
      <c r="Z347" s="312"/>
    </row>
    <row r="348" customHeight="1" spans="1:26">
      <c r="A348" s="312"/>
      <c r="B348" s="312"/>
      <c r="C348" s="312"/>
      <c r="D348" s="312"/>
      <c r="E348" s="312"/>
      <c r="F348" s="312"/>
      <c r="G348" s="312"/>
      <c r="H348" s="312"/>
      <c r="I348" s="312"/>
      <c r="J348" s="312"/>
      <c r="K348" s="312"/>
      <c r="L348" s="312"/>
      <c r="M348" s="312"/>
      <c r="N348" s="312"/>
      <c r="O348" s="312"/>
      <c r="P348" s="312"/>
      <c r="Q348" s="312"/>
      <c r="R348" s="312"/>
      <c r="S348" s="312"/>
      <c r="T348" s="312"/>
      <c r="U348" s="312"/>
      <c r="V348" s="312"/>
      <c r="W348" s="312"/>
      <c r="X348" s="312"/>
      <c r="Y348" s="312"/>
      <c r="Z348" s="312"/>
    </row>
    <row r="349" customHeight="1" spans="1:26">
      <c r="A349" s="312"/>
      <c r="B349" s="312"/>
      <c r="C349" s="312"/>
      <c r="D349" s="312"/>
      <c r="E349" s="312"/>
      <c r="F349" s="312"/>
      <c r="G349" s="312"/>
      <c r="H349" s="312"/>
      <c r="I349" s="312"/>
      <c r="J349" s="312"/>
      <c r="K349" s="312"/>
      <c r="L349" s="312"/>
      <c r="M349" s="312"/>
      <c r="N349" s="312"/>
      <c r="O349" s="312"/>
      <c r="P349" s="312"/>
      <c r="Q349" s="312"/>
      <c r="R349" s="312"/>
      <c r="S349" s="312"/>
      <c r="T349" s="312"/>
      <c r="U349" s="312"/>
      <c r="V349" s="312"/>
      <c r="W349" s="312"/>
      <c r="X349" s="312"/>
      <c r="Y349" s="312"/>
      <c r="Z349" s="312"/>
    </row>
    <row r="350" customHeight="1" spans="1:26">
      <c r="A350" s="312"/>
      <c r="B350" s="312"/>
      <c r="C350" s="312"/>
      <c r="D350" s="312"/>
      <c r="E350" s="312"/>
      <c r="F350" s="312"/>
      <c r="G350" s="312"/>
      <c r="H350" s="312"/>
      <c r="I350" s="312"/>
      <c r="J350" s="312"/>
      <c r="K350" s="312"/>
      <c r="L350" s="312"/>
      <c r="M350" s="312"/>
      <c r="N350" s="312"/>
      <c r="O350" s="312"/>
      <c r="P350" s="312"/>
      <c r="Q350" s="312"/>
      <c r="R350" s="312"/>
      <c r="S350" s="312"/>
      <c r="T350" s="312"/>
      <c r="U350" s="312"/>
      <c r="V350" s="312"/>
      <c r="W350" s="312"/>
      <c r="X350" s="312"/>
      <c r="Y350" s="312"/>
      <c r="Z350" s="312"/>
    </row>
    <row r="351" customHeight="1" spans="1:26">
      <c r="A351" s="312"/>
      <c r="B351" s="312"/>
      <c r="C351" s="312"/>
      <c r="D351" s="312"/>
      <c r="E351" s="312"/>
      <c r="F351" s="312"/>
      <c r="G351" s="312"/>
      <c r="H351" s="312"/>
      <c r="I351" s="312"/>
      <c r="J351" s="312"/>
      <c r="K351" s="312"/>
      <c r="L351" s="312"/>
      <c r="M351" s="312"/>
      <c r="N351" s="312"/>
      <c r="O351" s="312"/>
      <c r="P351" s="312"/>
      <c r="Q351" s="312"/>
      <c r="R351" s="312"/>
      <c r="S351" s="312"/>
      <c r="T351" s="312"/>
      <c r="U351" s="312"/>
      <c r="V351" s="312"/>
      <c r="W351" s="312"/>
      <c r="X351" s="312"/>
      <c r="Y351" s="312"/>
      <c r="Z351" s="312"/>
    </row>
    <row r="352" customHeight="1" spans="1:26">
      <c r="A352" s="312"/>
      <c r="B352" s="312"/>
      <c r="C352" s="312"/>
      <c r="D352" s="312"/>
      <c r="E352" s="312"/>
      <c r="F352" s="312"/>
      <c r="G352" s="312"/>
      <c r="H352" s="312"/>
      <c r="I352" s="312"/>
      <c r="J352" s="312"/>
      <c r="K352" s="312"/>
      <c r="L352" s="312"/>
      <c r="M352" s="312"/>
      <c r="N352" s="312"/>
      <c r="O352" s="312"/>
      <c r="P352" s="312"/>
      <c r="Q352" s="312"/>
      <c r="R352" s="312"/>
      <c r="S352" s="312"/>
      <c r="T352" s="312"/>
      <c r="U352" s="312"/>
      <c r="V352" s="312"/>
      <c r="W352" s="312"/>
      <c r="X352" s="312"/>
      <c r="Y352" s="312"/>
      <c r="Z352" s="312"/>
    </row>
    <row r="353" customHeight="1" spans="1:26">
      <c r="A353" s="312"/>
      <c r="B353" s="312"/>
      <c r="C353" s="312"/>
      <c r="D353" s="312"/>
      <c r="E353" s="312"/>
      <c r="F353" s="312"/>
      <c r="G353" s="312"/>
      <c r="H353" s="312"/>
      <c r="I353" s="312"/>
      <c r="J353" s="312"/>
      <c r="K353" s="312"/>
      <c r="L353" s="312"/>
      <c r="M353" s="312"/>
      <c r="N353" s="312"/>
      <c r="O353" s="312"/>
      <c r="P353" s="312"/>
      <c r="Q353" s="312"/>
      <c r="R353" s="312"/>
      <c r="S353" s="312"/>
      <c r="T353" s="312"/>
      <c r="U353" s="312"/>
      <c r="V353" s="312"/>
      <c r="W353" s="312"/>
      <c r="X353" s="312"/>
      <c r="Y353" s="312"/>
      <c r="Z353" s="312"/>
    </row>
    <row r="354" customHeight="1" spans="1:26">
      <c r="A354" s="312"/>
      <c r="B354" s="312"/>
      <c r="C354" s="312"/>
      <c r="D354" s="312"/>
      <c r="E354" s="312"/>
      <c r="F354" s="312"/>
      <c r="G354" s="312"/>
      <c r="H354" s="312"/>
      <c r="I354" s="312"/>
      <c r="J354" s="312"/>
      <c r="K354" s="312"/>
      <c r="L354" s="312"/>
      <c r="M354" s="312"/>
      <c r="N354" s="312"/>
      <c r="O354" s="312"/>
      <c r="P354" s="312"/>
      <c r="Q354" s="312"/>
      <c r="R354" s="312"/>
      <c r="S354" s="312"/>
      <c r="T354" s="312"/>
      <c r="U354" s="312"/>
      <c r="V354" s="312"/>
      <c r="W354" s="312"/>
      <c r="X354" s="312"/>
      <c r="Y354" s="312"/>
      <c r="Z354" s="312"/>
    </row>
    <row r="355" customHeight="1" spans="1:26">
      <c r="A355" s="312"/>
      <c r="B355" s="312"/>
      <c r="C355" s="312"/>
      <c r="D355" s="312"/>
      <c r="E355" s="312"/>
      <c r="F355" s="312"/>
      <c r="G355" s="312"/>
      <c r="H355" s="312"/>
      <c r="I355" s="312"/>
      <c r="J355" s="312"/>
      <c r="K355" s="312"/>
      <c r="L355" s="312"/>
      <c r="M355" s="312"/>
      <c r="N355" s="312"/>
      <c r="O355" s="312"/>
      <c r="P355" s="312"/>
      <c r="Q355" s="312"/>
      <c r="R355" s="312"/>
      <c r="S355" s="312"/>
      <c r="T355" s="312"/>
      <c r="U355" s="312"/>
      <c r="V355" s="312"/>
      <c r="W355" s="312"/>
      <c r="X355" s="312"/>
      <c r="Y355" s="312"/>
      <c r="Z355" s="312"/>
    </row>
    <row r="356" customHeight="1" spans="1:26">
      <c r="A356" s="312"/>
      <c r="B356" s="312"/>
      <c r="C356" s="312"/>
      <c r="D356" s="312"/>
      <c r="E356" s="312"/>
      <c r="F356" s="312"/>
      <c r="G356" s="312"/>
      <c r="H356" s="312"/>
      <c r="I356" s="312"/>
      <c r="J356" s="312"/>
      <c r="K356" s="312"/>
      <c r="L356" s="312"/>
      <c r="M356" s="312"/>
      <c r="N356" s="312"/>
      <c r="O356" s="312"/>
      <c r="P356" s="312"/>
      <c r="Q356" s="312"/>
      <c r="R356" s="312"/>
      <c r="S356" s="312"/>
      <c r="T356" s="312"/>
      <c r="U356" s="312"/>
      <c r="V356" s="312"/>
      <c r="W356" s="312"/>
      <c r="X356" s="312"/>
      <c r="Y356" s="312"/>
      <c r="Z356" s="312"/>
    </row>
    <row r="357" customHeight="1" spans="1:26">
      <c r="A357" s="312"/>
      <c r="B357" s="312"/>
      <c r="C357" s="312"/>
      <c r="D357" s="312"/>
      <c r="E357" s="312"/>
      <c r="F357" s="312"/>
      <c r="G357" s="312"/>
      <c r="H357" s="312"/>
      <c r="I357" s="312"/>
      <c r="J357" s="312"/>
      <c r="K357" s="312"/>
      <c r="L357" s="312"/>
      <c r="M357" s="312"/>
      <c r="N357" s="312"/>
      <c r="O357" s="312"/>
      <c r="P357" s="312"/>
      <c r="Q357" s="312"/>
      <c r="R357" s="312"/>
      <c r="S357" s="312"/>
      <c r="T357" s="312"/>
      <c r="U357" s="312"/>
      <c r="V357" s="312"/>
      <c r="W357" s="312"/>
      <c r="X357" s="312"/>
      <c r="Y357" s="312"/>
      <c r="Z357" s="312"/>
    </row>
    <row r="358" customHeight="1" spans="1:26">
      <c r="A358" s="312"/>
      <c r="B358" s="312"/>
      <c r="C358" s="312"/>
      <c r="D358" s="312"/>
      <c r="E358" s="312"/>
      <c r="F358" s="312"/>
      <c r="G358" s="312"/>
      <c r="H358" s="312"/>
      <c r="I358" s="312"/>
      <c r="J358" s="312"/>
      <c r="K358" s="312"/>
      <c r="L358" s="312"/>
      <c r="M358" s="312"/>
      <c r="N358" s="312"/>
      <c r="O358" s="312"/>
      <c r="P358" s="312"/>
      <c r="Q358" s="312"/>
      <c r="R358" s="312"/>
      <c r="S358" s="312"/>
      <c r="T358" s="312"/>
      <c r="U358" s="312"/>
      <c r="V358" s="312"/>
      <c r="W358" s="312"/>
      <c r="X358" s="312"/>
      <c r="Y358" s="312"/>
      <c r="Z358" s="312"/>
    </row>
    <row r="359" customHeight="1" spans="1:26">
      <c r="A359" s="312"/>
      <c r="B359" s="312"/>
      <c r="C359" s="312"/>
      <c r="D359" s="312"/>
      <c r="E359" s="312"/>
      <c r="F359" s="312"/>
      <c r="G359" s="312"/>
      <c r="H359" s="312"/>
      <c r="I359" s="312"/>
      <c r="J359" s="312"/>
      <c r="K359" s="312"/>
      <c r="L359" s="312"/>
      <c r="M359" s="312"/>
      <c r="N359" s="312"/>
      <c r="O359" s="312"/>
      <c r="P359" s="312"/>
      <c r="Q359" s="312"/>
      <c r="R359" s="312"/>
      <c r="S359" s="312"/>
      <c r="T359" s="312"/>
      <c r="U359" s="312"/>
      <c r="V359" s="312"/>
      <c r="W359" s="312"/>
      <c r="X359" s="312"/>
      <c r="Y359" s="312"/>
      <c r="Z359" s="312"/>
    </row>
    <row r="360" customHeight="1" spans="1:26">
      <c r="A360" s="312"/>
      <c r="B360" s="312"/>
      <c r="C360" s="312"/>
      <c r="D360" s="312"/>
      <c r="E360" s="312"/>
      <c r="F360" s="312"/>
      <c r="G360" s="312"/>
      <c r="H360" s="312"/>
      <c r="I360" s="312"/>
      <c r="J360" s="312"/>
      <c r="K360" s="312"/>
      <c r="L360" s="312"/>
      <c r="M360" s="312"/>
      <c r="N360" s="312"/>
      <c r="O360" s="312"/>
      <c r="P360" s="312"/>
      <c r="Q360" s="312"/>
      <c r="R360" s="312"/>
      <c r="S360" s="312"/>
      <c r="T360" s="312"/>
      <c r="U360" s="312"/>
      <c r="V360" s="312"/>
      <c r="W360" s="312"/>
      <c r="X360" s="312"/>
      <c r="Y360" s="312"/>
      <c r="Z360" s="312"/>
    </row>
    <row r="361" customHeight="1" spans="1:26">
      <c r="A361" s="312"/>
      <c r="B361" s="312"/>
      <c r="C361" s="312"/>
      <c r="D361" s="312"/>
      <c r="E361" s="312"/>
      <c r="F361" s="312"/>
      <c r="G361" s="312"/>
      <c r="H361" s="312"/>
      <c r="I361" s="312"/>
      <c r="J361" s="312"/>
      <c r="K361" s="312"/>
      <c r="L361" s="312"/>
      <c r="M361" s="312"/>
      <c r="N361" s="312"/>
      <c r="O361" s="312"/>
      <c r="P361" s="312"/>
      <c r="Q361" s="312"/>
      <c r="R361" s="312"/>
      <c r="S361" s="312"/>
      <c r="T361" s="312"/>
      <c r="U361" s="312"/>
      <c r="V361" s="312"/>
      <c r="W361" s="312"/>
      <c r="X361" s="312"/>
      <c r="Y361" s="312"/>
      <c r="Z361" s="312"/>
    </row>
    <row r="362" customHeight="1" spans="1:26">
      <c r="A362" s="312"/>
      <c r="B362" s="312"/>
      <c r="C362" s="312"/>
      <c r="D362" s="312"/>
      <c r="E362" s="312"/>
      <c r="F362" s="312"/>
      <c r="G362" s="312"/>
      <c r="H362" s="312"/>
      <c r="I362" s="312"/>
      <c r="J362" s="312"/>
      <c r="K362" s="312"/>
      <c r="L362" s="312"/>
      <c r="M362" s="312"/>
      <c r="N362" s="312"/>
      <c r="O362" s="312"/>
      <c r="P362" s="312"/>
      <c r="Q362" s="312"/>
      <c r="R362" s="312"/>
      <c r="S362" s="312"/>
      <c r="T362" s="312"/>
      <c r="U362" s="312"/>
      <c r="V362" s="312"/>
      <c r="W362" s="312"/>
      <c r="X362" s="312"/>
      <c r="Y362" s="312"/>
      <c r="Z362" s="312"/>
    </row>
    <row r="363" customHeight="1" spans="1:26">
      <c r="A363" s="312"/>
      <c r="B363" s="312"/>
      <c r="C363" s="312"/>
      <c r="D363" s="312"/>
      <c r="E363" s="312"/>
      <c r="F363" s="312"/>
      <c r="G363" s="312"/>
      <c r="H363" s="312"/>
      <c r="I363" s="312"/>
      <c r="J363" s="312"/>
      <c r="K363" s="312"/>
      <c r="L363" s="312"/>
      <c r="M363" s="312"/>
      <c r="N363" s="312"/>
      <c r="O363" s="312"/>
      <c r="P363" s="312"/>
      <c r="Q363" s="312"/>
      <c r="R363" s="312"/>
      <c r="S363" s="312"/>
      <c r="T363" s="312"/>
      <c r="U363" s="312"/>
      <c r="V363" s="312"/>
      <c r="W363" s="312"/>
      <c r="X363" s="312"/>
      <c r="Y363" s="312"/>
      <c r="Z363" s="312"/>
    </row>
    <row r="364" customHeight="1" spans="1:26">
      <c r="A364" s="312"/>
      <c r="B364" s="312"/>
      <c r="C364" s="312"/>
      <c r="D364" s="312"/>
      <c r="E364" s="312"/>
      <c r="F364" s="312"/>
      <c r="G364" s="312"/>
      <c r="H364" s="312"/>
      <c r="I364" s="312"/>
      <c r="J364" s="312"/>
      <c r="K364" s="312"/>
      <c r="L364" s="312"/>
      <c r="M364" s="312"/>
      <c r="N364" s="312"/>
      <c r="O364" s="312"/>
      <c r="P364" s="312"/>
      <c r="Q364" s="312"/>
      <c r="R364" s="312"/>
      <c r="S364" s="312"/>
      <c r="T364" s="312"/>
      <c r="U364" s="312"/>
      <c r="V364" s="312"/>
      <c r="W364" s="312"/>
      <c r="X364" s="312"/>
      <c r="Y364" s="312"/>
      <c r="Z364" s="312"/>
    </row>
    <row r="365" customHeight="1" spans="1:26">
      <c r="A365" s="312"/>
      <c r="B365" s="312"/>
      <c r="C365" s="312"/>
      <c r="D365" s="312"/>
      <c r="E365" s="312"/>
      <c r="F365" s="312"/>
      <c r="G365" s="312"/>
      <c r="H365" s="312"/>
      <c r="I365" s="312"/>
      <c r="J365" s="312"/>
      <c r="K365" s="312"/>
      <c r="L365" s="312"/>
      <c r="M365" s="312"/>
      <c r="N365" s="312"/>
      <c r="O365" s="312"/>
      <c r="P365" s="312"/>
      <c r="Q365" s="312"/>
      <c r="R365" s="312"/>
      <c r="S365" s="312"/>
      <c r="T365" s="312"/>
      <c r="U365" s="312"/>
      <c r="V365" s="312"/>
      <c r="W365" s="312"/>
      <c r="X365" s="312"/>
      <c r="Y365" s="312"/>
      <c r="Z365" s="312"/>
    </row>
    <row r="366" customHeight="1" spans="1:26">
      <c r="A366" s="312"/>
      <c r="B366" s="312"/>
      <c r="C366" s="312"/>
      <c r="D366" s="312"/>
      <c r="E366" s="312"/>
      <c r="F366" s="312"/>
      <c r="G366" s="312"/>
      <c r="H366" s="312"/>
      <c r="I366" s="312"/>
      <c r="J366" s="312"/>
      <c r="K366" s="312"/>
      <c r="L366" s="312"/>
      <c r="M366" s="312"/>
      <c r="N366" s="312"/>
      <c r="O366" s="312"/>
      <c r="P366" s="312"/>
      <c r="Q366" s="312"/>
      <c r="R366" s="312"/>
      <c r="S366" s="312"/>
      <c r="T366" s="312"/>
      <c r="U366" s="312"/>
      <c r="V366" s="312"/>
      <c r="W366" s="312"/>
      <c r="X366" s="312"/>
      <c r="Y366" s="312"/>
      <c r="Z366" s="312"/>
    </row>
    <row r="367" customHeight="1" spans="1:26">
      <c r="A367" s="312"/>
      <c r="B367" s="312"/>
      <c r="C367" s="312"/>
      <c r="D367" s="312"/>
      <c r="E367" s="312"/>
      <c r="F367" s="312"/>
      <c r="G367" s="312"/>
      <c r="H367" s="312"/>
      <c r="I367" s="312"/>
      <c r="J367" s="312"/>
      <c r="K367" s="312"/>
      <c r="L367" s="312"/>
      <c r="M367" s="312"/>
      <c r="N367" s="312"/>
      <c r="O367" s="312"/>
      <c r="P367" s="312"/>
      <c r="Q367" s="312"/>
      <c r="R367" s="312"/>
      <c r="S367" s="312"/>
      <c r="T367" s="312"/>
      <c r="U367" s="312"/>
      <c r="V367" s="312"/>
      <c r="W367" s="312"/>
      <c r="X367" s="312"/>
      <c r="Y367" s="312"/>
      <c r="Z367" s="312"/>
    </row>
    <row r="368" customHeight="1" spans="1:26">
      <c r="A368" s="312"/>
      <c r="B368" s="312"/>
      <c r="C368" s="312"/>
      <c r="D368" s="312"/>
      <c r="E368" s="312"/>
      <c r="F368" s="312"/>
      <c r="G368" s="312"/>
      <c r="H368" s="312"/>
      <c r="I368" s="312"/>
      <c r="J368" s="312"/>
      <c r="K368" s="312"/>
      <c r="L368" s="312"/>
      <c r="M368" s="312"/>
      <c r="N368" s="312"/>
      <c r="O368" s="312"/>
      <c r="P368" s="312"/>
      <c r="Q368" s="312"/>
      <c r="R368" s="312"/>
      <c r="S368" s="312"/>
      <c r="T368" s="312"/>
      <c r="U368" s="312"/>
      <c r="V368" s="312"/>
      <c r="W368" s="312"/>
      <c r="X368" s="312"/>
      <c r="Y368" s="312"/>
      <c r="Z368" s="312"/>
    </row>
    <row r="369" customHeight="1" spans="1:26">
      <c r="A369" s="312"/>
      <c r="B369" s="312"/>
      <c r="C369" s="312"/>
      <c r="D369" s="312"/>
      <c r="E369" s="312"/>
      <c r="F369" s="312"/>
      <c r="G369" s="312"/>
      <c r="H369" s="312"/>
      <c r="I369" s="312"/>
      <c r="J369" s="312"/>
      <c r="K369" s="312"/>
      <c r="L369" s="312"/>
      <c r="M369" s="312"/>
      <c r="N369" s="312"/>
      <c r="O369" s="312"/>
      <c r="P369" s="312"/>
      <c r="Q369" s="312"/>
      <c r="R369" s="312"/>
      <c r="S369" s="312"/>
      <c r="T369" s="312"/>
      <c r="U369" s="312"/>
      <c r="V369" s="312"/>
      <c r="W369" s="312"/>
      <c r="X369" s="312"/>
      <c r="Y369" s="312"/>
      <c r="Z369" s="312"/>
    </row>
    <row r="370" customHeight="1" spans="1:26">
      <c r="A370" s="312"/>
      <c r="B370" s="312"/>
      <c r="C370" s="312"/>
      <c r="D370" s="312"/>
      <c r="E370" s="312"/>
      <c r="F370" s="312"/>
      <c r="G370" s="312"/>
      <c r="H370" s="312"/>
      <c r="I370" s="312"/>
      <c r="J370" s="312"/>
      <c r="K370" s="312"/>
      <c r="L370" s="312"/>
      <c r="M370" s="312"/>
      <c r="N370" s="312"/>
      <c r="O370" s="312"/>
      <c r="P370" s="312"/>
      <c r="Q370" s="312"/>
      <c r="R370" s="312"/>
      <c r="S370" s="312"/>
      <c r="T370" s="312"/>
      <c r="U370" s="312"/>
      <c r="V370" s="312"/>
      <c r="W370" s="312"/>
      <c r="X370" s="312"/>
      <c r="Y370" s="312"/>
      <c r="Z370" s="312"/>
    </row>
    <row r="371" customHeight="1" spans="1:26">
      <c r="A371" s="312"/>
      <c r="B371" s="312"/>
      <c r="C371" s="312"/>
      <c r="D371" s="312"/>
      <c r="E371" s="312"/>
      <c r="F371" s="312"/>
      <c r="G371" s="312"/>
      <c r="H371" s="312"/>
      <c r="I371" s="312"/>
      <c r="J371" s="312"/>
      <c r="K371" s="312"/>
      <c r="L371" s="312"/>
      <c r="M371" s="312"/>
      <c r="N371" s="312"/>
      <c r="O371" s="312"/>
      <c r="P371" s="312"/>
      <c r="Q371" s="312"/>
      <c r="R371" s="312"/>
      <c r="S371" s="312"/>
      <c r="T371" s="312"/>
      <c r="U371" s="312"/>
      <c r="V371" s="312"/>
      <c r="W371" s="312"/>
      <c r="X371" s="312"/>
      <c r="Y371" s="312"/>
      <c r="Z371" s="312"/>
    </row>
    <row r="372" customHeight="1" spans="1:26">
      <c r="A372" s="312"/>
      <c r="B372" s="312"/>
      <c r="C372" s="312"/>
      <c r="D372" s="312"/>
      <c r="E372" s="312"/>
      <c r="F372" s="312"/>
      <c r="G372" s="312"/>
      <c r="H372" s="312"/>
      <c r="I372" s="312"/>
      <c r="J372" s="312"/>
      <c r="K372" s="312"/>
      <c r="L372" s="312"/>
      <c r="M372" s="312"/>
      <c r="N372" s="312"/>
      <c r="O372" s="312"/>
      <c r="P372" s="312"/>
      <c r="Q372" s="312"/>
      <c r="R372" s="312"/>
      <c r="S372" s="312"/>
      <c r="T372" s="312"/>
      <c r="U372" s="312"/>
      <c r="V372" s="312"/>
      <c r="W372" s="312"/>
      <c r="X372" s="312"/>
      <c r="Y372" s="312"/>
      <c r="Z372" s="312"/>
    </row>
    <row r="373" customHeight="1" spans="1:26">
      <c r="A373" s="312"/>
      <c r="B373" s="312"/>
      <c r="C373" s="312"/>
      <c r="D373" s="312"/>
      <c r="E373" s="312"/>
      <c r="F373" s="312"/>
      <c r="G373" s="312"/>
      <c r="H373" s="312"/>
      <c r="I373" s="312"/>
      <c r="J373" s="312"/>
      <c r="K373" s="312"/>
      <c r="L373" s="312"/>
      <c r="M373" s="312"/>
      <c r="N373" s="312"/>
      <c r="O373" s="312"/>
      <c r="P373" s="312"/>
      <c r="Q373" s="312"/>
      <c r="R373" s="312"/>
      <c r="S373" s="312"/>
      <c r="T373" s="312"/>
      <c r="U373" s="312"/>
      <c r="V373" s="312"/>
      <c r="W373" s="312"/>
      <c r="X373" s="312"/>
      <c r="Y373" s="312"/>
      <c r="Z373" s="312"/>
    </row>
    <row r="374" customHeight="1" spans="1:26">
      <c r="A374" s="312"/>
      <c r="B374" s="312"/>
      <c r="C374" s="312"/>
      <c r="D374" s="312"/>
      <c r="E374" s="312"/>
      <c r="F374" s="312"/>
      <c r="G374" s="312"/>
      <c r="H374" s="312"/>
      <c r="I374" s="312"/>
      <c r="J374" s="312"/>
      <c r="K374" s="312"/>
      <c r="L374" s="312"/>
      <c r="M374" s="312"/>
      <c r="N374" s="312"/>
      <c r="O374" s="312"/>
      <c r="P374" s="312"/>
      <c r="Q374" s="312"/>
      <c r="R374" s="312"/>
      <c r="S374" s="312"/>
      <c r="T374" s="312"/>
      <c r="U374" s="312"/>
      <c r="V374" s="312"/>
      <c r="W374" s="312"/>
      <c r="X374" s="312"/>
      <c r="Y374" s="312"/>
      <c r="Z374" s="312"/>
    </row>
    <row r="375" customHeight="1" spans="1:26">
      <c r="A375" s="312"/>
      <c r="B375" s="312"/>
      <c r="C375" s="312"/>
      <c r="D375" s="312"/>
      <c r="E375" s="312"/>
      <c r="F375" s="312"/>
      <c r="G375" s="312"/>
      <c r="H375" s="312"/>
      <c r="I375" s="312"/>
      <c r="J375" s="312"/>
      <c r="K375" s="312"/>
      <c r="L375" s="312"/>
      <c r="M375" s="312"/>
      <c r="N375" s="312"/>
      <c r="O375" s="312"/>
      <c r="P375" s="312"/>
      <c r="Q375" s="312"/>
      <c r="R375" s="312"/>
      <c r="S375" s="312"/>
      <c r="T375" s="312"/>
      <c r="U375" s="312"/>
      <c r="V375" s="312"/>
      <c r="W375" s="312"/>
      <c r="X375" s="312"/>
      <c r="Y375" s="312"/>
      <c r="Z375" s="312"/>
    </row>
    <row r="376" customHeight="1" spans="1:26">
      <c r="A376" s="312"/>
      <c r="B376" s="312"/>
      <c r="C376" s="312"/>
      <c r="D376" s="312"/>
      <c r="E376" s="312"/>
      <c r="F376" s="312"/>
      <c r="G376" s="312"/>
      <c r="H376" s="312"/>
      <c r="I376" s="312"/>
      <c r="J376" s="312"/>
      <c r="K376" s="312"/>
      <c r="L376" s="312"/>
      <c r="M376" s="312"/>
      <c r="N376" s="312"/>
      <c r="O376" s="312"/>
      <c r="P376" s="312"/>
      <c r="Q376" s="312"/>
      <c r="R376" s="312"/>
      <c r="S376" s="312"/>
      <c r="T376" s="312"/>
      <c r="U376" s="312"/>
      <c r="V376" s="312"/>
      <c r="W376" s="312"/>
      <c r="X376" s="312"/>
      <c r="Y376" s="312"/>
      <c r="Z376" s="312"/>
    </row>
    <row r="377" customHeight="1" spans="1:26">
      <c r="A377" s="312"/>
      <c r="B377" s="312"/>
      <c r="C377" s="312"/>
      <c r="D377" s="312"/>
      <c r="E377" s="312"/>
      <c r="F377" s="312"/>
      <c r="G377" s="312"/>
      <c r="H377" s="312"/>
      <c r="I377" s="312"/>
      <c r="J377" s="312"/>
      <c r="K377" s="312"/>
      <c r="L377" s="312"/>
      <c r="M377" s="312"/>
      <c r="N377" s="312"/>
      <c r="O377" s="312"/>
      <c r="P377" s="312"/>
      <c r="Q377" s="312"/>
      <c r="R377" s="312"/>
      <c r="S377" s="312"/>
      <c r="T377" s="312"/>
      <c r="U377" s="312"/>
      <c r="V377" s="312"/>
      <c r="W377" s="312"/>
      <c r="X377" s="312"/>
      <c r="Y377" s="312"/>
      <c r="Z377" s="312"/>
    </row>
    <row r="378" customHeight="1" spans="1:26">
      <c r="A378" s="312"/>
      <c r="B378" s="312"/>
      <c r="C378" s="312"/>
      <c r="D378" s="312"/>
      <c r="E378" s="312"/>
      <c r="F378" s="312"/>
      <c r="G378" s="312"/>
      <c r="H378" s="312"/>
      <c r="I378" s="312"/>
      <c r="J378" s="312"/>
      <c r="K378" s="312"/>
      <c r="L378" s="312"/>
      <c r="M378" s="312"/>
      <c r="N378" s="312"/>
      <c r="O378" s="312"/>
      <c r="P378" s="312"/>
      <c r="Q378" s="312"/>
      <c r="R378" s="312"/>
      <c r="S378" s="312"/>
      <c r="T378" s="312"/>
      <c r="U378" s="312"/>
      <c r="V378" s="312"/>
      <c r="W378" s="312"/>
      <c r="X378" s="312"/>
      <c r="Y378" s="312"/>
      <c r="Z378" s="312"/>
    </row>
    <row r="379" customHeight="1" spans="1:26">
      <c r="A379" s="312"/>
      <c r="B379" s="312"/>
      <c r="C379" s="312"/>
      <c r="D379" s="312"/>
      <c r="E379" s="312"/>
      <c r="F379" s="312"/>
      <c r="G379" s="312"/>
      <c r="H379" s="312"/>
      <c r="I379" s="312"/>
      <c r="J379" s="312"/>
      <c r="K379" s="312"/>
      <c r="L379" s="312"/>
      <c r="M379" s="312"/>
      <c r="N379" s="312"/>
      <c r="O379" s="312"/>
      <c r="P379" s="312"/>
      <c r="Q379" s="312"/>
      <c r="R379" s="312"/>
      <c r="S379" s="312"/>
      <c r="T379" s="312"/>
      <c r="U379" s="312"/>
      <c r="V379" s="312"/>
      <c r="W379" s="312"/>
      <c r="X379" s="312"/>
      <c r="Y379" s="312"/>
      <c r="Z379" s="312"/>
    </row>
    <row r="380" customHeight="1" spans="1:26">
      <c r="A380" s="312"/>
      <c r="B380" s="312"/>
      <c r="C380" s="312"/>
      <c r="D380" s="312"/>
      <c r="E380" s="312"/>
      <c r="F380" s="312"/>
      <c r="G380" s="312"/>
      <c r="H380" s="312"/>
      <c r="I380" s="312"/>
      <c r="J380" s="312"/>
      <c r="K380" s="312"/>
      <c r="L380" s="312"/>
      <c r="M380" s="312"/>
      <c r="N380" s="312"/>
      <c r="O380" s="312"/>
      <c r="P380" s="312"/>
      <c r="Q380" s="312"/>
      <c r="R380" s="312"/>
      <c r="S380" s="312"/>
      <c r="T380" s="312"/>
      <c r="U380" s="312"/>
      <c r="V380" s="312"/>
      <c r="W380" s="312"/>
      <c r="X380" s="312"/>
      <c r="Y380" s="312"/>
      <c r="Z380" s="312"/>
    </row>
    <row r="381" customHeight="1" spans="1:26">
      <c r="A381" s="312"/>
      <c r="B381" s="312"/>
      <c r="C381" s="312"/>
      <c r="D381" s="312"/>
      <c r="E381" s="312"/>
      <c r="F381" s="312"/>
      <c r="G381" s="312"/>
      <c r="H381" s="312"/>
      <c r="I381" s="312"/>
      <c r="J381" s="312"/>
      <c r="K381" s="312"/>
      <c r="L381" s="312"/>
      <c r="M381" s="312"/>
      <c r="N381" s="312"/>
      <c r="O381" s="312"/>
      <c r="P381" s="312"/>
      <c r="Q381" s="312"/>
      <c r="R381" s="312"/>
      <c r="S381" s="312"/>
      <c r="T381" s="312"/>
      <c r="U381" s="312"/>
      <c r="V381" s="312"/>
      <c r="W381" s="312"/>
      <c r="X381" s="312"/>
      <c r="Y381" s="312"/>
      <c r="Z381" s="312"/>
    </row>
    <row r="382" customHeight="1" spans="1:26">
      <c r="A382" s="312"/>
      <c r="B382" s="312"/>
      <c r="C382" s="312"/>
      <c r="D382" s="312"/>
      <c r="E382" s="312"/>
      <c r="F382" s="312"/>
      <c r="G382" s="312"/>
      <c r="H382" s="312"/>
      <c r="I382" s="312"/>
      <c r="J382" s="312"/>
      <c r="K382" s="312"/>
      <c r="L382" s="312"/>
      <c r="M382" s="312"/>
      <c r="N382" s="312"/>
      <c r="O382" s="312"/>
      <c r="P382" s="312"/>
      <c r="Q382" s="312"/>
      <c r="R382" s="312"/>
      <c r="S382" s="312"/>
      <c r="T382" s="312"/>
      <c r="U382" s="312"/>
      <c r="V382" s="312"/>
      <c r="W382" s="312"/>
      <c r="X382" s="312"/>
      <c r="Y382" s="312"/>
      <c r="Z382" s="312"/>
    </row>
    <row r="383" customHeight="1" spans="1:26">
      <c r="A383" s="312"/>
      <c r="B383" s="312"/>
      <c r="C383" s="312"/>
      <c r="D383" s="312"/>
      <c r="E383" s="312"/>
      <c r="F383" s="312"/>
      <c r="G383" s="312"/>
      <c r="H383" s="312"/>
      <c r="I383" s="312"/>
      <c r="J383" s="312"/>
      <c r="K383" s="312"/>
      <c r="L383" s="312"/>
      <c r="M383" s="312"/>
      <c r="N383" s="312"/>
      <c r="O383" s="312"/>
      <c r="P383" s="312"/>
      <c r="Q383" s="312"/>
      <c r="R383" s="312"/>
      <c r="S383" s="312"/>
      <c r="T383" s="312"/>
      <c r="U383" s="312"/>
      <c r="V383" s="312"/>
      <c r="W383" s="312"/>
      <c r="X383" s="312"/>
      <c r="Y383" s="312"/>
      <c r="Z383" s="312"/>
    </row>
    <row r="384" customHeight="1" spans="1:26">
      <c r="A384" s="312"/>
      <c r="B384" s="312"/>
      <c r="C384" s="312"/>
      <c r="D384" s="312"/>
      <c r="E384" s="312"/>
      <c r="F384" s="312"/>
      <c r="G384" s="312"/>
      <c r="H384" s="312"/>
      <c r="I384" s="312"/>
      <c r="J384" s="312"/>
      <c r="K384" s="312"/>
      <c r="L384" s="312"/>
      <c r="M384" s="312"/>
      <c r="N384" s="312"/>
      <c r="O384" s="312"/>
      <c r="P384" s="312"/>
      <c r="Q384" s="312"/>
      <c r="R384" s="312"/>
      <c r="S384" s="312"/>
      <c r="T384" s="312"/>
      <c r="U384" s="312"/>
      <c r="V384" s="312"/>
      <c r="W384" s="312"/>
      <c r="X384" s="312"/>
      <c r="Y384" s="312"/>
      <c r="Z384" s="312"/>
    </row>
    <row r="385" customHeight="1" spans="1:26">
      <c r="A385" s="312"/>
      <c r="B385" s="312"/>
      <c r="C385" s="312"/>
      <c r="D385" s="312"/>
      <c r="E385" s="312"/>
      <c r="F385" s="312"/>
      <c r="G385" s="312"/>
      <c r="H385" s="312"/>
      <c r="I385" s="312"/>
      <c r="J385" s="312"/>
      <c r="K385" s="312"/>
      <c r="L385" s="312"/>
      <c r="M385" s="312"/>
      <c r="N385" s="312"/>
      <c r="O385" s="312"/>
      <c r="P385" s="312"/>
      <c r="Q385" s="312"/>
      <c r="R385" s="312"/>
      <c r="S385" s="312"/>
      <c r="T385" s="312"/>
      <c r="U385" s="312"/>
      <c r="V385" s="312"/>
      <c r="W385" s="312"/>
      <c r="X385" s="312"/>
      <c r="Y385" s="312"/>
      <c r="Z385" s="312"/>
    </row>
    <row r="386" customHeight="1" spans="1:26">
      <c r="A386" s="312"/>
      <c r="B386" s="312"/>
      <c r="C386" s="312"/>
      <c r="D386" s="312"/>
      <c r="E386" s="312"/>
      <c r="F386" s="312"/>
      <c r="G386" s="312"/>
      <c r="H386" s="312"/>
      <c r="I386" s="312"/>
      <c r="J386" s="312"/>
      <c r="K386" s="312"/>
      <c r="L386" s="312"/>
      <c r="M386" s="312"/>
      <c r="N386" s="312"/>
      <c r="O386" s="312"/>
      <c r="P386" s="312"/>
      <c r="Q386" s="312"/>
      <c r="R386" s="312"/>
      <c r="S386" s="312"/>
      <c r="T386" s="312"/>
      <c r="U386" s="312"/>
      <c r="V386" s="312"/>
      <c r="W386" s="312"/>
      <c r="X386" s="312"/>
      <c r="Y386" s="312"/>
      <c r="Z386" s="312"/>
    </row>
    <row r="387" customHeight="1" spans="1:26">
      <c r="A387" s="312"/>
      <c r="B387" s="312"/>
      <c r="C387" s="312"/>
      <c r="D387" s="312"/>
      <c r="E387" s="312"/>
      <c r="F387" s="312"/>
      <c r="G387" s="312"/>
      <c r="H387" s="312"/>
      <c r="I387" s="312"/>
      <c r="J387" s="312"/>
      <c r="K387" s="312"/>
      <c r="L387" s="312"/>
      <c r="M387" s="312"/>
      <c r="N387" s="312"/>
      <c r="O387" s="312"/>
      <c r="P387" s="312"/>
      <c r="Q387" s="312"/>
      <c r="R387" s="312"/>
      <c r="S387" s="312"/>
      <c r="T387" s="312"/>
      <c r="U387" s="312"/>
      <c r="V387" s="312"/>
      <c r="W387" s="312"/>
      <c r="X387" s="312"/>
      <c r="Y387" s="312"/>
      <c r="Z387" s="312"/>
    </row>
    <row r="388" customHeight="1" spans="1:26">
      <c r="A388" s="312"/>
      <c r="B388" s="312"/>
      <c r="C388" s="312"/>
      <c r="D388" s="312"/>
      <c r="E388" s="312"/>
      <c r="F388" s="312"/>
      <c r="G388" s="312"/>
      <c r="H388" s="312"/>
      <c r="I388" s="312"/>
      <c r="J388" s="312"/>
      <c r="K388" s="312"/>
      <c r="L388" s="312"/>
      <c r="M388" s="312"/>
      <c r="N388" s="312"/>
      <c r="O388" s="312"/>
      <c r="P388" s="312"/>
      <c r="Q388" s="312"/>
      <c r="R388" s="312"/>
      <c r="S388" s="312"/>
      <c r="T388" s="312"/>
      <c r="U388" s="312"/>
      <c r="V388" s="312"/>
      <c r="W388" s="312"/>
      <c r="X388" s="312"/>
      <c r="Y388" s="312"/>
      <c r="Z388" s="312"/>
    </row>
    <row r="389" customHeight="1" spans="1:26">
      <c r="A389" s="312"/>
      <c r="B389" s="312"/>
      <c r="C389" s="312"/>
      <c r="D389" s="312"/>
      <c r="E389" s="312"/>
      <c r="F389" s="312"/>
      <c r="G389" s="312"/>
      <c r="H389" s="312"/>
      <c r="I389" s="312"/>
      <c r="J389" s="312"/>
      <c r="K389" s="312"/>
      <c r="L389" s="312"/>
      <c r="M389" s="312"/>
      <c r="N389" s="312"/>
      <c r="O389" s="312"/>
      <c r="P389" s="312"/>
      <c r="Q389" s="312"/>
      <c r="R389" s="312"/>
      <c r="S389" s="312"/>
      <c r="T389" s="312"/>
      <c r="U389" s="312"/>
      <c r="V389" s="312"/>
      <c r="W389" s="312"/>
      <c r="X389" s="312"/>
      <c r="Y389" s="312"/>
      <c r="Z389" s="312"/>
    </row>
    <row r="390" customHeight="1" spans="1:26">
      <c r="A390" s="312"/>
      <c r="B390" s="312"/>
      <c r="C390" s="312"/>
      <c r="D390" s="312"/>
      <c r="E390" s="312"/>
      <c r="F390" s="312"/>
      <c r="G390" s="312"/>
      <c r="H390" s="312"/>
      <c r="I390" s="312"/>
      <c r="J390" s="312"/>
      <c r="K390" s="312"/>
      <c r="L390" s="312"/>
      <c r="M390" s="312"/>
      <c r="N390" s="312"/>
      <c r="O390" s="312"/>
      <c r="P390" s="312"/>
      <c r="Q390" s="312"/>
      <c r="R390" s="312"/>
      <c r="S390" s="312"/>
      <c r="T390" s="312"/>
      <c r="U390" s="312"/>
      <c r="V390" s="312"/>
      <c r="W390" s="312"/>
      <c r="X390" s="312"/>
      <c r="Y390" s="312"/>
      <c r="Z390" s="312"/>
    </row>
    <row r="391" customHeight="1" spans="1:26">
      <c r="A391" s="312"/>
      <c r="B391" s="312"/>
      <c r="C391" s="312"/>
      <c r="D391" s="312"/>
      <c r="E391" s="312"/>
      <c r="F391" s="312"/>
      <c r="G391" s="312"/>
      <c r="H391" s="312"/>
      <c r="I391" s="312"/>
      <c r="J391" s="312"/>
      <c r="K391" s="312"/>
      <c r="L391" s="312"/>
      <c r="M391" s="312"/>
      <c r="N391" s="312"/>
      <c r="O391" s="312"/>
      <c r="P391" s="312"/>
      <c r="Q391" s="312"/>
      <c r="R391" s="312"/>
      <c r="S391" s="312"/>
      <c r="T391" s="312"/>
      <c r="U391" s="312"/>
      <c r="V391" s="312"/>
      <c r="W391" s="312"/>
      <c r="X391" s="312"/>
      <c r="Y391" s="312"/>
      <c r="Z391" s="312"/>
    </row>
    <row r="392" customHeight="1" spans="1:26">
      <c r="A392" s="312"/>
      <c r="B392" s="312"/>
      <c r="C392" s="312"/>
      <c r="D392" s="312"/>
      <c r="E392" s="312"/>
      <c r="F392" s="312"/>
      <c r="G392" s="312"/>
      <c r="H392" s="312"/>
      <c r="I392" s="312"/>
      <c r="J392" s="312"/>
      <c r="K392" s="312"/>
      <c r="L392" s="312"/>
      <c r="M392" s="312"/>
      <c r="N392" s="312"/>
      <c r="O392" s="312"/>
      <c r="P392" s="312"/>
      <c r="Q392" s="312"/>
      <c r="R392" s="312"/>
      <c r="S392" s="312"/>
      <c r="T392" s="312"/>
      <c r="U392" s="312"/>
      <c r="V392" s="312"/>
      <c r="W392" s="312"/>
      <c r="X392" s="312"/>
      <c r="Y392" s="312"/>
      <c r="Z392" s="312"/>
    </row>
    <row r="393" customHeight="1" spans="1:26">
      <c r="A393" s="312"/>
      <c r="B393" s="312"/>
      <c r="C393" s="312"/>
      <c r="D393" s="312"/>
      <c r="E393" s="312"/>
      <c r="F393" s="312"/>
      <c r="G393" s="312"/>
      <c r="H393" s="312"/>
      <c r="I393" s="312"/>
      <c r="J393" s="312"/>
      <c r="K393" s="312"/>
      <c r="L393" s="312"/>
      <c r="M393" s="312"/>
      <c r="N393" s="312"/>
      <c r="O393" s="312"/>
      <c r="P393" s="312"/>
      <c r="Q393" s="312"/>
      <c r="R393" s="312"/>
      <c r="S393" s="312"/>
      <c r="T393" s="312"/>
      <c r="U393" s="312"/>
      <c r="V393" s="312"/>
      <c r="W393" s="312"/>
      <c r="X393" s="312"/>
      <c r="Y393" s="312"/>
      <c r="Z393" s="312"/>
    </row>
    <row r="394" customHeight="1" spans="1:26">
      <c r="A394" s="312"/>
      <c r="B394" s="312"/>
      <c r="C394" s="312"/>
      <c r="D394" s="312"/>
      <c r="E394" s="312"/>
      <c r="F394" s="312"/>
      <c r="G394" s="312"/>
      <c r="H394" s="312"/>
      <c r="I394" s="312"/>
      <c r="J394" s="312"/>
      <c r="K394" s="312"/>
      <c r="L394" s="312"/>
      <c r="M394" s="312"/>
      <c r="N394" s="312"/>
      <c r="O394" s="312"/>
      <c r="P394" s="312"/>
      <c r="Q394" s="312"/>
      <c r="R394" s="312"/>
      <c r="S394" s="312"/>
      <c r="T394" s="312"/>
      <c r="U394" s="312"/>
      <c r="V394" s="312"/>
      <c r="W394" s="312"/>
      <c r="X394" s="312"/>
      <c r="Y394" s="312"/>
      <c r="Z394" s="312"/>
    </row>
    <row r="395" customHeight="1" spans="1:26">
      <c r="A395" s="312"/>
      <c r="B395" s="312"/>
      <c r="C395" s="312"/>
      <c r="D395" s="312"/>
      <c r="E395" s="312"/>
      <c r="F395" s="312"/>
      <c r="G395" s="312"/>
      <c r="H395" s="312"/>
      <c r="I395" s="312"/>
      <c r="J395" s="312"/>
      <c r="K395" s="312"/>
      <c r="L395" s="312"/>
      <c r="M395" s="312"/>
      <c r="N395" s="312"/>
      <c r="O395" s="312"/>
      <c r="P395" s="312"/>
      <c r="Q395" s="312"/>
      <c r="R395" s="312"/>
      <c r="S395" s="312"/>
      <c r="T395" s="312"/>
      <c r="U395" s="312"/>
      <c r="V395" s="312"/>
      <c r="W395" s="312"/>
      <c r="X395" s="312"/>
      <c r="Y395" s="312"/>
      <c r="Z395" s="312"/>
    </row>
    <row r="396" customHeight="1" spans="1:26">
      <c r="A396" s="312"/>
      <c r="B396" s="312"/>
      <c r="C396" s="312"/>
      <c r="D396" s="312"/>
      <c r="E396" s="312"/>
      <c r="F396" s="312"/>
      <c r="G396" s="312"/>
      <c r="H396" s="312"/>
      <c r="I396" s="312"/>
      <c r="J396" s="312"/>
      <c r="K396" s="312"/>
      <c r="L396" s="312"/>
      <c r="M396" s="312"/>
      <c r="N396" s="312"/>
      <c r="O396" s="312"/>
      <c r="P396" s="312"/>
      <c r="Q396" s="312"/>
      <c r="R396" s="312"/>
      <c r="S396" s="312"/>
      <c r="T396" s="312"/>
      <c r="U396" s="312"/>
      <c r="V396" s="312"/>
      <c r="W396" s="312"/>
      <c r="X396" s="312"/>
      <c r="Y396" s="312"/>
      <c r="Z396" s="312"/>
    </row>
    <row r="397" customHeight="1" spans="1:26">
      <c r="A397" s="312"/>
      <c r="B397" s="312"/>
      <c r="C397" s="312"/>
      <c r="D397" s="312"/>
      <c r="E397" s="312"/>
      <c r="F397" s="312"/>
      <c r="G397" s="312"/>
      <c r="H397" s="312"/>
      <c r="I397" s="312"/>
      <c r="J397" s="312"/>
      <c r="K397" s="312"/>
      <c r="L397" s="312"/>
      <c r="M397" s="312"/>
      <c r="N397" s="312"/>
      <c r="O397" s="312"/>
      <c r="P397" s="312"/>
      <c r="Q397" s="312"/>
      <c r="R397" s="312"/>
      <c r="S397" s="312"/>
      <c r="T397" s="312"/>
      <c r="U397" s="312"/>
      <c r="V397" s="312"/>
      <c r="W397" s="312"/>
      <c r="X397" s="312"/>
      <c r="Y397" s="312"/>
      <c r="Z397" s="312"/>
    </row>
    <row r="398" customHeight="1" spans="1:26">
      <c r="A398" s="312"/>
      <c r="B398" s="312"/>
      <c r="C398" s="312"/>
      <c r="D398" s="312"/>
      <c r="E398" s="312"/>
      <c r="F398" s="312"/>
      <c r="G398" s="312"/>
      <c r="H398" s="312"/>
      <c r="I398" s="312"/>
      <c r="J398" s="312"/>
      <c r="K398" s="312"/>
      <c r="L398" s="312"/>
      <c r="M398" s="312"/>
      <c r="N398" s="312"/>
      <c r="O398" s="312"/>
      <c r="P398" s="312"/>
      <c r="Q398" s="312"/>
      <c r="R398" s="312"/>
      <c r="S398" s="312"/>
      <c r="T398" s="312"/>
      <c r="U398" s="312"/>
      <c r="V398" s="312"/>
      <c r="W398" s="312"/>
      <c r="X398" s="312"/>
      <c r="Y398" s="312"/>
      <c r="Z398" s="312"/>
    </row>
    <row r="399" customHeight="1" spans="1:26">
      <c r="A399" s="312"/>
      <c r="B399" s="312"/>
      <c r="C399" s="312"/>
      <c r="D399" s="312"/>
      <c r="E399" s="312"/>
      <c r="F399" s="312"/>
      <c r="G399" s="312"/>
      <c r="H399" s="312"/>
      <c r="I399" s="312"/>
      <c r="J399" s="312"/>
      <c r="K399" s="312"/>
      <c r="L399" s="312"/>
      <c r="M399" s="312"/>
      <c r="N399" s="312"/>
      <c r="O399" s="312"/>
      <c r="P399" s="312"/>
      <c r="Q399" s="312"/>
      <c r="R399" s="312"/>
      <c r="S399" s="312"/>
      <c r="T399" s="312"/>
      <c r="U399" s="312"/>
      <c r="V399" s="312"/>
      <c r="W399" s="312"/>
      <c r="X399" s="312"/>
      <c r="Y399" s="312"/>
      <c r="Z399" s="312"/>
    </row>
    <row r="400" customHeight="1" spans="1:26">
      <c r="A400" s="312"/>
      <c r="B400" s="312"/>
      <c r="C400" s="312"/>
      <c r="D400" s="312"/>
      <c r="E400" s="312"/>
      <c r="F400" s="312"/>
      <c r="G400" s="312"/>
      <c r="H400" s="312"/>
      <c r="I400" s="312"/>
      <c r="J400" s="312"/>
      <c r="K400" s="312"/>
      <c r="L400" s="312"/>
      <c r="M400" s="312"/>
      <c r="N400" s="312"/>
      <c r="O400" s="312"/>
      <c r="P400" s="312"/>
      <c r="Q400" s="312"/>
      <c r="R400" s="312"/>
      <c r="S400" s="312"/>
      <c r="T400" s="312"/>
      <c r="U400" s="312"/>
      <c r="V400" s="312"/>
      <c r="W400" s="312"/>
      <c r="X400" s="312"/>
      <c r="Y400" s="312"/>
      <c r="Z400" s="312"/>
    </row>
    <row r="401" customHeight="1" spans="1:26">
      <c r="A401" s="312"/>
      <c r="B401" s="312"/>
      <c r="C401" s="312"/>
      <c r="D401" s="312"/>
      <c r="E401" s="312"/>
      <c r="F401" s="312"/>
      <c r="G401" s="312"/>
      <c r="H401" s="312"/>
      <c r="I401" s="312"/>
      <c r="J401" s="312"/>
      <c r="K401" s="312"/>
      <c r="L401" s="312"/>
      <c r="M401" s="312"/>
      <c r="N401" s="312"/>
      <c r="O401" s="312"/>
      <c r="P401" s="312"/>
      <c r="Q401" s="312"/>
      <c r="R401" s="312"/>
      <c r="S401" s="312"/>
      <c r="T401" s="312"/>
      <c r="U401" s="312"/>
      <c r="V401" s="312"/>
      <c r="W401" s="312"/>
      <c r="X401" s="312"/>
      <c r="Y401" s="312"/>
      <c r="Z401" s="312"/>
    </row>
    <row r="402" customHeight="1" spans="1:26">
      <c r="A402" s="312"/>
      <c r="B402" s="312"/>
      <c r="C402" s="312"/>
      <c r="D402" s="312"/>
      <c r="E402" s="312"/>
      <c r="F402" s="312"/>
      <c r="G402" s="312"/>
      <c r="H402" s="312"/>
      <c r="I402" s="312"/>
      <c r="J402" s="312"/>
      <c r="K402" s="312"/>
      <c r="L402" s="312"/>
      <c r="M402" s="312"/>
      <c r="N402" s="312"/>
      <c r="O402" s="312"/>
      <c r="P402" s="312"/>
      <c r="Q402" s="312"/>
      <c r="R402" s="312"/>
      <c r="S402" s="312"/>
      <c r="T402" s="312"/>
      <c r="U402" s="312"/>
      <c r="V402" s="312"/>
      <c r="W402" s="312"/>
      <c r="X402" s="312"/>
      <c r="Y402" s="312"/>
      <c r="Z402" s="312"/>
    </row>
    <row r="403" customHeight="1" spans="1:26">
      <c r="A403" s="312"/>
      <c r="B403" s="312"/>
      <c r="C403" s="312"/>
      <c r="D403" s="312"/>
      <c r="E403" s="312"/>
      <c r="F403" s="312"/>
      <c r="G403" s="312"/>
      <c r="H403" s="312"/>
      <c r="I403" s="312"/>
      <c r="J403" s="312"/>
      <c r="K403" s="312"/>
      <c r="L403" s="312"/>
      <c r="M403" s="312"/>
      <c r="N403" s="312"/>
      <c r="O403" s="312"/>
      <c r="P403" s="312"/>
      <c r="Q403" s="312"/>
      <c r="R403" s="312"/>
      <c r="S403" s="312"/>
      <c r="T403" s="312"/>
      <c r="U403" s="312"/>
      <c r="V403" s="312"/>
      <c r="W403" s="312"/>
      <c r="X403" s="312"/>
      <c r="Y403" s="312"/>
      <c r="Z403" s="312"/>
    </row>
    <row r="404" customHeight="1" spans="1:26">
      <c r="A404" s="312"/>
      <c r="B404" s="312"/>
      <c r="C404" s="312"/>
      <c r="D404" s="312"/>
      <c r="E404" s="312"/>
      <c r="F404" s="312"/>
      <c r="G404" s="312"/>
      <c r="H404" s="312"/>
      <c r="I404" s="312"/>
      <c r="J404" s="312"/>
      <c r="K404" s="312"/>
      <c r="L404" s="312"/>
      <c r="M404" s="312"/>
      <c r="N404" s="312"/>
      <c r="O404" s="312"/>
      <c r="P404" s="312"/>
      <c r="Q404" s="312"/>
      <c r="R404" s="312"/>
      <c r="S404" s="312"/>
      <c r="T404" s="312"/>
      <c r="U404" s="312"/>
      <c r="V404" s="312"/>
      <c r="W404" s="312"/>
      <c r="X404" s="312"/>
      <c r="Y404" s="312"/>
      <c r="Z404" s="312"/>
    </row>
    <row r="405" customHeight="1" spans="1:26">
      <c r="A405" s="312"/>
      <c r="B405" s="312"/>
      <c r="C405" s="312"/>
      <c r="D405" s="312"/>
      <c r="E405" s="312"/>
      <c r="F405" s="312"/>
      <c r="G405" s="312"/>
      <c r="H405" s="312"/>
      <c r="I405" s="312"/>
      <c r="J405" s="312"/>
      <c r="K405" s="312"/>
      <c r="L405" s="312"/>
      <c r="M405" s="312"/>
      <c r="N405" s="312"/>
      <c r="O405" s="312"/>
      <c r="P405" s="312"/>
      <c r="Q405" s="312"/>
      <c r="R405" s="312"/>
      <c r="S405" s="312"/>
      <c r="T405" s="312"/>
      <c r="U405" s="312"/>
      <c r="V405" s="312"/>
      <c r="W405" s="312"/>
      <c r="X405" s="312"/>
      <c r="Y405" s="312"/>
      <c r="Z405" s="312"/>
    </row>
    <row r="406" customHeight="1" spans="1:26">
      <c r="A406" s="312"/>
      <c r="B406" s="312"/>
      <c r="C406" s="312"/>
      <c r="D406" s="312"/>
      <c r="E406" s="312"/>
      <c r="F406" s="312"/>
      <c r="G406" s="312"/>
      <c r="H406" s="312"/>
      <c r="I406" s="312"/>
      <c r="J406" s="312"/>
      <c r="K406" s="312"/>
      <c r="L406" s="312"/>
      <c r="M406" s="312"/>
      <c r="N406" s="312"/>
      <c r="O406" s="312"/>
      <c r="P406" s="312"/>
      <c r="Q406" s="312"/>
      <c r="R406" s="312"/>
      <c r="S406" s="312"/>
      <c r="T406" s="312"/>
      <c r="U406" s="312"/>
      <c r="V406" s="312"/>
      <c r="W406" s="312"/>
      <c r="X406" s="312"/>
      <c r="Y406" s="312"/>
      <c r="Z406" s="312"/>
    </row>
    <row r="407" customHeight="1" spans="1:26">
      <c r="A407" s="312"/>
      <c r="B407" s="312"/>
      <c r="C407" s="312"/>
      <c r="D407" s="312"/>
      <c r="E407" s="312"/>
      <c r="F407" s="312"/>
      <c r="G407" s="312"/>
      <c r="H407" s="312"/>
      <c r="I407" s="312"/>
      <c r="J407" s="312"/>
      <c r="K407" s="312"/>
      <c r="L407" s="312"/>
      <c r="M407" s="312"/>
      <c r="N407" s="312"/>
      <c r="O407" s="312"/>
      <c r="P407" s="312"/>
      <c r="Q407" s="312"/>
      <c r="R407" s="312"/>
      <c r="S407" s="312"/>
      <c r="T407" s="312"/>
      <c r="U407" s="312"/>
      <c r="V407" s="312"/>
      <c r="W407" s="312"/>
      <c r="X407" s="312"/>
      <c r="Y407" s="312"/>
      <c r="Z407" s="312"/>
    </row>
    <row r="408" customHeight="1" spans="1:26">
      <c r="A408" s="312"/>
      <c r="B408" s="312"/>
      <c r="C408" s="312"/>
      <c r="D408" s="312"/>
      <c r="E408" s="312"/>
      <c r="F408" s="312"/>
      <c r="G408" s="312"/>
      <c r="H408" s="312"/>
      <c r="I408" s="312"/>
      <c r="J408" s="312"/>
      <c r="K408" s="312"/>
      <c r="L408" s="312"/>
      <c r="M408" s="312"/>
      <c r="N408" s="312"/>
      <c r="O408" s="312"/>
      <c r="P408" s="312"/>
      <c r="Q408" s="312"/>
      <c r="R408" s="312"/>
      <c r="S408" s="312"/>
      <c r="T408" s="312"/>
      <c r="U408" s="312"/>
      <c r="V408" s="312"/>
      <c r="W408" s="312"/>
      <c r="X408" s="312"/>
      <c r="Y408" s="312"/>
      <c r="Z408" s="312"/>
    </row>
    <row r="409" customHeight="1" spans="1:26">
      <c r="A409" s="312"/>
      <c r="B409" s="312"/>
      <c r="C409" s="312"/>
      <c r="D409" s="312"/>
      <c r="E409" s="312"/>
      <c r="F409" s="312"/>
      <c r="G409" s="312"/>
      <c r="H409" s="312"/>
      <c r="I409" s="312"/>
      <c r="J409" s="312"/>
      <c r="K409" s="312"/>
      <c r="L409" s="312"/>
      <c r="M409" s="312"/>
      <c r="N409" s="312"/>
      <c r="O409" s="312"/>
      <c r="P409" s="312"/>
      <c r="Q409" s="312"/>
      <c r="R409" s="312"/>
      <c r="S409" s="312"/>
      <c r="T409" s="312"/>
      <c r="U409" s="312"/>
      <c r="V409" s="312"/>
      <c r="W409" s="312"/>
      <c r="X409" s="312"/>
      <c r="Y409" s="312"/>
      <c r="Z409" s="312"/>
    </row>
    <row r="410" customHeight="1" spans="1:26">
      <c r="A410" s="312"/>
      <c r="B410" s="312"/>
      <c r="C410" s="312"/>
      <c r="D410" s="312"/>
      <c r="E410" s="312"/>
      <c r="F410" s="312"/>
      <c r="G410" s="312"/>
      <c r="H410" s="312"/>
      <c r="I410" s="312"/>
      <c r="J410" s="312"/>
      <c r="K410" s="312"/>
      <c r="L410" s="312"/>
      <c r="M410" s="312"/>
      <c r="N410" s="312"/>
      <c r="O410" s="312"/>
      <c r="P410" s="312"/>
      <c r="Q410" s="312"/>
      <c r="R410" s="312"/>
      <c r="S410" s="312"/>
      <c r="T410" s="312"/>
      <c r="U410" s="312"/>
      <c r="V410" s="312"/>
      <c r="W410" s="312"/>
      <c r="X410" s="312"/>
      <c r="Y410" s="312"/>
      <c r="Z410" s="312"/>
    </row>
    <row r="411" customHeight="1" spans="1:26">
      <c r="A411" s="312"/>
      <c r="B411" s="312"/>
      <c r="C411" s="312"/>
      <c r="D411" s="312"/>
      <c r="E411" s="312"/>
      <c r="F411" s="312"/>
      <c r="G411" s="312"/>
      <c r="H411" s="312"/>
      <c r="I411" s="312"/>
      <c r="J411" s="312"/>
      <c r="K411" s="312"/>
      <c r="L411" s="312"/>
      <c r="M411" s="312"/>
      <c r="N411" s="312"/>
      <c r="O411" s="312"/>
      <c r="P411" s="312"/>
      <c r="Q411" s="312"/>
      <c r="R411" s="312"/>
      <c r="S411" s="312"/>
      <c r="T411" s="312"/>
      <c r="U411" s="312"/>
      <c r="V411" s="312"/>
      <c r="W411" s="312"/>
      <c r="X411" s="312"/>
      <c r="Y411" s="312"/>
      <c r="Z411" s="312"/>
    </row>
    <row r="412" customHeight="1" spans="1:26">
      <c r="A412" s="312"/>
      <c r="B412" s="312"/>
      <c r="C412" s="312"/>
      <c r="D412" s="312"/>
      <c r="E412" s="312"/>
      <c r="F412" s="312"/>
      <c r="G412" s="312"/>
      <c r="H412" s="312"/>
      <c r="I412" s="312"/>
      <c r="J412" s="312"/>
      <c r="K412" s="312"/>
      <c r="L412" s="312"/>
      <c r="M412" s="312"/>
      <c r="N412" s="312"/>
      <c r="O412" s="312"/>
      <c r="P412" s="312"/>
      <c r="Q412" s="312"/>
      <c r="R412" s="312"/>
      <c r="S412" s="312"/>
      <c r="T412" s="312"/>
      <c r="U412" s="312"/>
      <c r="V412" s="312"/>
      <c r="W412" s="312"/>
      <c r="X412" s="312"/>
      <c r="Y412" s="312"/>
      <c r="Z412" s="312"/>
    </row>
    <row r="413" customHeight="1" spans="1:26">
      <c r="A413" s="312"/>
      <c r="B413" s="312"/>
      <c r="C413" s="312"/>
      <c r="D413" s="312"/>
      <c r="E413" s="312"/>
      <c r="F413" s="312"/>
      <c r="G413" s="312"/>
      <c r="H413" s="312"/>
      <c r="I413" s="312"/>
      <c r="J413" s="312"/>
      <c r="K413" s="312"/>
      <c r="L413" s="312"/>
      <c r="M413" s="312"/>
      <c r="N413" s="312"/>
      <c r="O413" s="312"/>
      <c r="P413" s="312"/>
      <c r="Q413" s="312"/>
      <c r="R413" s="312"/>
      <c r="S413" s="312"/>
      <c r="T413" s="312"/>
      <c r="U413" s="312"/>
      <c r="V413" s="312"/>
      <c r="W413" s="312"/>
      <c r="X413" s="312"/>
      <c r="Y413" s="312"/>
      <c r="Z413" s="312"/>
    </row>
    <row r="414" customHeight="1" spans="1:26">
      <c r="A414" s="312"/>
      <c r="B414" s="312"/>
      <c r="C414" s="312"/>
      <c r="D414" s="312"/>
      <c r="E414" s="312"/>
      <c r="F414" s="312"/>
      <c r="G414" s="312"/>
      <c r="H414" s="312"/>
      <c r="I414" s="312"/>
      <c r="J414" s="312"/>
      <c r="K414" s="312"/>
      <c r="L414" s="312"/>
      <c r="M414" s="312"/>
      <c r="N414" s="312"/>
      <c r="O414" s="312"/>
      <c r="P414" s="312"/>
      <c r="Q414" s="312"/>
      <c r="R414" s="312"/>
      <c r="S414" s="312"/>
      <c r="T414" s="312"/>
      <c r="U414" s="312"/>
      <c r="V414" s="312"/>
      <c r="W414" s="312"/>
      <c r="X414" s="312"/>
      <c r="Y414" s="312"/>
      <c r="Z414" s="312"/>
    </row>
    <row r="415" customHeight="1" spans="1:26">
      <c r="A415" s="312"/>
      <c r="B415" s="312"/>
      <c r="C415" s="312"/>
      <c r="D415" s="312"/>
      <c r="E415" s="312"/>
      <c r="F415" s="312"/>
      <c r="G415" s="312"/>
      <c r="H415" s="312"/>
      <c r="I415" s="312"/>
      <c r="J415" s="312"/>
      <c r="K415" s="312"/>
      <c r="L415" s="312"/>
      <c r="M415" s="312"/>
      <c r="N415" s="312"/>
      <c r="O415" s="312"/>
      <c r="P415" s="312"/>
      <c r="Q415" s="312"/>
      <c r="R415" s="312"/>
      <c r="S415" s="312"/>
      <c r="T415" s="312"/>
      <c r="U415" s="312"/>
      <c r="V415" s="312"/>
      <c r="W415" s="312"/>
      <c r="X415" s="312"/>
      <c r="Y415" s="312"/>
      <c r="Z415" s="312"/>
    </row>
    <row r="416" customHeight="1" spans="1:26">
      <c r="A416" s="312"/>
      <c r="B416" s="312"/>
      <c r="C416" s="312"/>
      <c r="D416" s="312"/>
      <c r="E416" s="312"/>
      <c r="F416" s="312"/>
      <c r="G416" s="312"/>
      <c r="H416" s="312"/>
      <c r="I416" s="312"/>
      <c r="J416" s="312"/>
      <c r="K416" s="312"/>
      <c r="L416" s="312"/>
      <c r="M416" s="312"/>
      <c r="N416" s="312"/>
      <c r="O416" s="312"/>
      <c r="P416" s="312"/>
      <c r="Q416" s="312"/>
      <c r="R416" s="312"/>
      <c r="S416" s="312"/>
      <c r="T416" s="312"/>
      <c r="U416" s="312"/>
      <c r="V416" s="312"/>
      <c r="W416" s="312"/>
      <c r="X416" s="312"/>
      <c r="Y416" s="312"/>
      <c r="Z416" s="312"/>
    </row>
    <row r="417" customHeight="1" spans="1:26">
      <c r="A417" s="312"/>
      <c r="B417" s="312"/>
      <c r="C417" s="312"/>
      <c r="D417" s="312"/>
      <c r="E417" s="312"/>
      <c r="F417" s="312"/>
      <c r="G417" s="312"/>
      <c r="H417" s="312"/>
      <c r="I417" s="312"/>
      <c r="J417" s="312"/>
      <c r="K417" s="312"/>
      <c r="L417" s="312"/>
      <c r="M417" s="312"/>
      <c r="N417" s="312"/>
      <c r="O417" s="312"/>
      <c r="P417" s="312"/>
      <c r="Q417" s="312"/>
      <c r="R417" s="312"/>
      <c r="S417" s="312"/>
      <c r="T417" s="312"/>
      <c r="U417" s="312"/>
      <c r="V417" s="312"/>
      <c r="W417" s="312"/>
      <c r="X417" s="312"/>
      <c r="Y417" s="312"/>
      <c r="Z417" s="312"/>
    </row>
    <row r="418" customHeight="1" spans="1:26">
      <c r="A418" s="312"/>
      <c r="B418" s="312"/>
      <c r="C418" s="312"/>
      <c r="D418" s="312"/>
      <c r="E418" s="312"/>
      <c r="F418" s="312"/>
      <c r="G418" s="312"/>
      <c r="H418" s="312"/>
      <c r="I418" s="312"/>
      <c r="J418" s="312"/>
      <c r="K418" s="312"/>
      <c r="L418" s="312"/>
      <c r="M418" s="312"/>
      <c r="N418" s="312"/>
      <c r="O418" s="312"/>
      <c r="P418" s="312"/>
      <c r="Q418" s="312"/>
      <c r="R418" s="312"/>
      <c r="S418" s="312"/>
      <c r="T418" s="312"/>
      <c r="U418" s="312"/>
      <c r="V418" s="312"/>
      <c r="W418" s="312"/>
      <c r="X418" s="312"/>
      <c r="Y418" s="312"/>
      <c r="Z418" s="312"/>
    </row>
    <row r="419" customHeight="1" spans="1:26">
      <c r="A419" s="312"/>
      <c r="B419" s="312"/>
      <c r="C419" s="312"/>
      <c r="D419" s="312"/>
      <c r="E419" s="312"/>
      <c r="F419" s="312"/>
      <c r="G419" s="312"/>
      <c r="H419" s="312"/>
      <c r="I419" s="312"/>
      <c r="J419" s="312"/>
      <c r="K419" s="312"/>
      <c r="L419" s="312"/>
      <c r="M419" s="312"/>
      <c r="N419" s="312"/>
      <c r="O419" s="312"/>
      <c r="P419" s="312"/>
      <c r="Q419" s="312"/>
      <c r="R419" s="312"/>
      <c r="S419" s="312"/>
      <c r="T419" s="312"/>
      <c r="U419" s="312"/>
      <c r="V419" s="312"/>
      <c r="W419" s="312"/>
      <c r="X419" s="312"/>
      <c r="Y419" s="312"/>
      <c r="Z419" s="312"/>
    </row>
    <row r="420" customHeight="1" spans="1:26">
      <c r="A420" s="312"/>
      <c r="B420" s="312"/>
      <c r="C420" s="312"/>
      <c r="D420" s="312"/>
      <c r="E420" s="312"/>
      <c r="F420" s="312"/>
      <c r="G420" s="312"/>
      <c r="H420" s="312"/>
      <c r="I420" s="312"/>
      <c r="J420" s="312"/>
      <c r="K420" s="312"/>
      <c r="L420" s="312"/>
      <c r="M420" s="312"/>
      <c r="N420" s="312"/>
      <c r="O420" s="312"/>
      <c r="P420" s="312"/>
      <c r="Q420" s="312"/>
      <c r="R420" s="312"/>
      <c r="S420" s="312"/>
      <c r="T420" s="312"/>
      <c r="U420" s="312"/>
      <c r="V420" s="312"/>
      <c r="W420" s="312"/>
      <c r="X420" s="312"/>
      <c r="Y420" s="312"/>
      <c r="Z420" s="312"/>
    </row>
    <row r="421" customHeight="1" spans="1:26">
      <c r="A421" s="312"/>
      <c r="B421" s="312"/>
      <c r="C421" s="312"/>
      <c r="D421" s="312"/>
      <c r="E421" s="312"/>
      <c r="F421" s="312"/>
      <c r="G421" s="312"/>
      <c r="H421" s="312"/>
      <c r="I421" s="312"/>
      <c r="J421" s="312"/>
      <c r="K421" s="312"/>
      <c r="L421" s="312"/>
      <c r="M421" s="312"/>
      <c r="N421" s="312"/>
      <c r="O421" s="312"/>
      <c r="P421" s="312"/>
      <c r="Q421" s="312"/>
      <c r="R421" s="312"/>
      <c r="S421" s="312"/>
      <c r="T421" s="312"/>
      <c r="U421" s="312"/>
      <c r="V421" s="312"/>
      <c r="W421" s="312"/>
      <c r="X421" s="312"/>
      <c r="Y421" s="312"/>
      <c r="Z421" s="312"/>
    </row>
    <row r="422" customHeight="1" spans="1:26">
      <c r="A422" s="312"/>
      <c r="B422" s="312"/>
      <c r="C422" s="312"/>
      <c r="D422" s="312"/>
      <c r="E422" s="312"/>
      <c r="F422" s="312"/>
      <c r="G422" s="312"/>
      <c r="H422" s="312"/>
      <c r="I422" s="312"/>
      <c r="J422" s="312"/>
      <c r="K422" s="312"/>
      <c r="L422" s="312"/>
      <c r="M422" s="312"/>
      <c r="N422" s="312"/>
      <c r="O422" s="312"/>
      <c r="P422" s="312"/>
      <c r="Q422" s="312"/>
      <c r="R422" s="312"/>
      <c r="S422" s="312"/>
      <c r="T422" s="312"/>
      <c r="U422" s="312"/>
      <c r="V422" s="312"/>
      <c r="W422" s="312"/>
      <c r="X422" s="312"/>
      <c r="Y422" s="312"/>
      <c r="Z422" s="312"/>
    </row>
    <row r="423" customHeight="1" spans="1:26">
      <c r="A423" s="312"/>
      <c r="B423" s="312"/>
      <c r="C423" s="312"/>
      <c r="D423" s="312"/>
      <c r="E423" s="312"/>
      <c r="F423" s="312"/>
      <c r="G423" s="312"/>
      <c r="H423" s="312"/>
      <c r="I423" s="312"/>
      <c r="J423" s="312"/>
      <c r="K423" s="312"/>
      <c r="L423" s="312"/>
      <c r="M423" s="312"/>
      <c r="N423" s="312"/>
      <c r="O423" s="312"/>
      <c r="P423" s="312"/>
      <c r="Q423" s="312"/>
      <c r="R423" s="312"/>
      <c r="S423" s="312"/>
      <c r="T423" s="312"/>
      <c r="U423" s="312"/>
      <c r="V423" s="312"/>
      <c r="W423" s="312"/>
      <c r="X423" s="312"/>
      <c r="Y423" s="312"/>
      <c r="Z423" s="312"/>
    </row>
    <row r="424" customHeight="1" spans="1:26">
      <c r="A424" s="312"/>
      <c r="B424" s="312"/>
      <c r="C424" s="312"/>
      <c r="D424" s="312"/>
      <c r="E424" s="312"/>
      <c r="F424" s="312"/>
      <c r="G424" s="312"/>
      <c r="H424" s="312"/>
      <c r="I424" s="312"/>
      <c r="J424" s="312"/>
      <c r="K424" s="312"/>
      <c r="L424" s="312"/>
      <c r="M424" s="312"/>
      <c r="N424" s="312"/>
      <c r="O424" s="312"/>
      <c r="P424" s="312"/>
      <c r="Q424" s="312"/>
      <c r="R424" s="312"/>
      <c r="S424" s="312"/>
      <c r="T424" s="312"/>
      <c r="U424" s="312"/>
      <c r="V424" s="312"/>
      <c r="W424" s="312"/>
      <c r="X424" s="312"/>
      <c r="Y424" s="312"/>
      <c r="Z424" s="312"/>
    </row>
    <row r="425" customHeight="1" spans="1:26">
      <c r="A425" s="312"/>
      <c r="B425" s="312"/>
      <c r="C425" s="312"/>
      <c r="D425" s="312"/>
      <c r="E425" s="312"/>
      <c r="F425" s="312"/>
      <c r="G425" s="312"/>
      <c r="H425" s="312"/>
      <c r="I425" s="312"/>
      <c r="J425" s="312"/>
      <c r="K425" s="312"/>
      <c r="L425" s="312"/>
      <c r="M425" s="312"/>
      <c r="N425" s="312"/>
      <c r="O425" s="312"/>
      <c r="P425" s="312"/>
      <c r="Q425" s="312"/>
      <c r="R425" s="312"/>
      <c r="S425" s="312"/>
      <c r="T425" s="312"/>
      <c r="U425" s="312"/>
      <c r="V425" s="312"/>
      <c r="W425" s="312"/>
      <c r="X425" s="312"/>
      <c r="Y425" s="312"/>
      <c r="Z425" s="312"/>
    </row>
    <row r="426" customHeight="1" spans="1:26">
      <c r="A426" s="312"/>
      <c r="B426" s="312"/>
      <c r="C426" s="312"/>
      <c r="D426" s="312"/>
      <c r="E426" s="312"/>
      <c r="F426" s="312"/>
      <c r="G426" s="312"/>
      <c r="H426" s="312"/>
      <c r="I426" s="312"/>
      <c r="J426" s="312"/>
      <c r="K426" s="312"/>
      <c r="L426" s="312"/>
      <c r="M426" s="312"/>
      <c r="N426" s="312"/>
      <c r="O426" s="312"/>
      <c r="P426" s="312"/>
      <c r="Q426" s="312"/>
      <c r="R426" s="312"/>
      <c r="S426" s="312"/>
      <c r="T426" s="312"/>
      <c r="U426" s="312"/>
      <c r="V426" s="312"/>
      <c r="W426" s="312"/>
      <c r="X426" s="312"/>
      <c r="Y426" s="312"/>
      <c r="Z426" s="312"/>
    </row>
    <row r="427" customHeight="1" spans="1:26">
      <c r="A427" s="312"/>
      <c r="B427" s="312"/>
      <c r="C427" s="312"/>
      <c r="D427" s="312"/>
      <c r="E427" s="312"/>
      <c r="F427" s="312"/>
      <c r="G427" s="312"/>
      <c r="H427" s="312"/>
      <c r="I427" s="312"/>
      <c r="J427" s="312"/>
      <c r="K427" s="312"/>
      <c r="L427" s="312"/>
      <c r="M427" s="312"/>
      <c r="N427" s="312"/>
      <c r="O427" s="312"/>
      <c r="P427" s="312"/>
      <c r="Q427" s="312"/>
      <c r="R427" s="312"/>
      <c r="S427" s="312"/>
      <c r="T427" s="312"/>
      <c r="U427" s="312"/>
      <c r="V427" s="312"/>
      <c r="W427" s="312"/>
      <c r="X427" s="312"/>
      <c r="Y427" s="312"/>
      <c r="Z427" s="312"/>
    </row>
    <row r="428" customHeight="1" spans="1:26">
      <c r="A428" s="312"/>
      <c r="B428" s="312"/>
      <c r="C428" s="312"/>
      <c r="D428" s="312"/>
      <c r="E428" s="312"/>
      <c r="F428" s="312"/>
      <c r="G428" s="312"/>
      <c r="H428" s="312"/>
      <c r="I428" s="312"/>
      <c r="J428" s="312"/>
      <c r="K428" s="312"/>
      <c r="L428" s="312"/>
      <c r="M428" s="312"/>
      <c r="N428" s="312"/>
      <c r="O428" s="312"/>
      <c r="P428" s="312"/>
      <c r="Q428" s="312"/>
      <c r="R428" s="312"/>
      <c r="S428" s="312"/>
      <c r="T428" s="312"/>
      <c r="U428" s="312"/>
      <c r="V428" s="312"/>
      <c r="W428" s="312"/>
      <c r="X428" s="312"/>
      <c r="Y428" s="312"/>
      <c r="Z428" s="312"/>
    </row>
    <row r="429" customHeight="1" spans="1:26">
      <c r="A429" s="312"/>
      <c r="B429" s="312"/>
      <c r="C429" s="312"/>
      <c r="D429" s="312"/>
      <c r="E429" s="312"/>
      <c r="F429" s="312"/>
      <c r="G429" s="312"/>
      <c r="H429" s="312"/>
      <c r="I429" s="312"/>
      <c r="J429" s="312"/>
      <c r="K429" s="312"/>
      <c r="L429" s="312"/>
      <c r="M429" s="312"/>
      <c r="N429" s="312"/>
      <c r="O429" s="312"/>
      <c r="P429" s="312"/>
      <c r="Q429" s="312"/>
      <c r="R429" s="312"/>
      <c r="S429" s="312"/>
      <c r="T429" s="312"/>
      <c r="U429" s="312"/>
      <c r="V429" s="312"/>
      <c r="W429" s="312"/>
      <c r="X429" s="312"/>
      <c r="Y429" s="312"/>
      <c r="Z429" s="312"/>
    </row>
    <row r="430" customHeight="1" spans="1:26">
      <c r="A430" s="312"/>
      <c r="B430" s="312"/>
      <c r="C430" s="312"/>
      <c r="D430" s="312"/>
      <c r="E430" s="312"/>
      <c r="F430" s="312"/>
      <c r="G430" s="312"/>
      <c r="H430" s="312"/>
      <c r="I430" s="312"/>
      <c r="J430" s="312"/>
      <c r="K430" s="312"/>
      <c r="L430" s="312"/>
      <c r="M430" s="312"/>
      <c r="N430" s="312"/>
      <c r="O430" s="312"/>
      <c r="P430" s="312"/>
      <c r="Q430" s="312"/>
      <c r="R430" s="312"/>
      <c r="S430" s="312"/>
      <c r="T430" s="312"/>
      <c r="U430" s="312"/>
      <c r="V430" s="312"/>
      <c r="W430" s="312"/>
      <c r="X430" s="312"/>
      <c r="Y430" s="312"/>
      <c r="Z430" s="312"/>
    </row>
    <row r="431" customHeight="1" spans="1:26">
      <c r="A431" s="312"/>
      <c r="B431" s="312"/>
      <c r="C431" s="312"/>
      <c r="D431" s="312"/>
      <c r="E431" s="312"/>
      <c r="F431" s="312"/>
      <c r="G431" s="312"/>
      <c r="H431" s="312"/>
      <c r="I431" s="312"/>
      <c r="J431" s="312"/>
      <c r="K431" s="312"/>
      <c r="L431" s="312"/>
      <c r="M431" s="312"/>
      <c r="N431" s="312"/>
      <c r="O431" s="312"/>
      <c r="P431" s="312"/>
      <c r="Q431" s="312"/>
      <c r="R431" s="312"/>
      <c r="S431" s="312"/>
      <c r="T431" s="312"/>
      <c r="U431" s="312"/>
      <c r="V431" s="312"/>
      <c r="W431" s="312"/>
      <c r="X431" s="312"/>
      <c r="Y431" s="312"/>
      <c r="Z431" s="312"/>
    </row>
    <row r="432" customHeight="1" spans="1:26">
      <c r="A432" s="312"/>
      <c r="B432" s="312"/>
      <c r="C432" s="312"/>
      <c r="D432" s="312"/>
      <c r="E432" s="312"/>
      <c r="F432" s="312"/>
      <c r="G432" s="312"/>
      <c r="H432" s="312"/>
      <c r="I432" s="312"/>
      <c r="J432" s="312"/>
      <c r="K432" s="312"/>
      <c r="L432" s="312"/>
      <c r="M432" s="312"/>
      <c r="N432" s="312"/>
      <c r="O432" s="312"/>
      <c r="P432" s="312"/>
      <c r="Q432" s="312"/>
      <c r="R432" s="312"/>
      <c r="S432" s="312"/>
      <c r="T432" s="312"/>
      <c r="U432" s="312"/>
      <c r="V432" s="312"/>
      <c r="W432" s="312"/>
      <c r="X432" s="312"/>
      <c r="Y432" s="312"/>
      <c r="Z432" s="312"/>
    </row>
    <row r="433" customHeight="1" spans="1:26">
      <c r="A433" s="312"/>
      <c r="B433" s="312"/>
      <c r="C433" s="312"/>
      <c r="D433" s="312"/>
      <c r="E433" s="312"/>
      <c r="F433" s="312"/>
      <c r="G433" s="312"/>
      <c r="H433" s="312"/>
      <c r="I433" s="312"/>
      <c r="J433" s="312"/>
      <c r="K433" s="312"/>
      <c r="L433" s="312"/>
      <c r="M433" s="312"/>
      <c r="N433" s="312"/>
      <c r="O433" s="312"/>
      <c r="P433" s="312"/>
      <c r="Q433" s="312"/>
      <c r="R433" s="312"/>
      <c r="S433" s="312"/>
      <c r="T433" s="312"/>
      <c r="U433" s="312"/>
      <c r="V433" s="312"/>
      <c r="W433" s="312"/>
      <c r="X433" s="312"/>
      <c r="Y433" s="312"/>
      <c r="Z433" s="312"/>
    </row>
    <row r="434" customHeight="1" spans="1:26">
      <c r="A434" s="312"/>
      <c r="B434" s="312"/>
      <c r="C434" s="312"/>
      <c r="D434" s="312"/>
      <c r="E434" s="312"/>
      <c r="F434" s="312"/>
      <c r="G434" s="312"/>
      <c r="H434" s="312"/>
      <c r="I434" s="312"/>
      <c r="J434" s="312"/>
      <c r="K434" s="312"/>
      <c r="L434" s="312"/>
      <c r="M434" s="312"/>
      <c r="N434" s="312"/>
      <c r="O434" s="312"/>
      <c r="P434" s="312"/>
      <c r="Q434" s="312"/>
      <c r="R434" s="312"/>
      <c r="S434" s="312"/>
      <c r="T434" s="312"/>
      <c r="U434" s="312"/>
      <c r="V434" s="312"/>
      <c r="W434" s="312"/>
      <c r="X434" s="312"/>
      <c r="Y434" s="312"/>
      <c r="Z434" s="312"/>
    </row>
    <row r="435" customHeight="1" spans="1:26">
      <c r="A435" s="312"/>
      <c r="B435" s="312"/>
      <c r="C435" s="312"/>
      <c r="D435" s="312"/>
      <c r="E435" s="312"/>
      <c r="F435" s="312"/>
      <c r="G435" s="312"/>
      <c r="H435" s="312"/>
      <c r="I435" s="312"/>
      <c r="J435" s="312"/>
      <c r="K435" s="312"/>
      <c r="L435" s="312"/>
      <c r="M435" s="312"/>
      <c r="N435" s="312"/>
      <c r="O435" s="312"/>
      <c r="P435" s="312"/>
      <c r="Q435" s="312"/>
      <c r="R435" s="312"/>
      <c r="S435" s="312"/>
      <c r="T435" s="312"/>
      <c r="U435" s="312"/>
      <c r="V435" s="312"/>
      <c r="W435" s="312"/>
      <c r="X435" s="312"/>
      <c r="Y435" s="312"/>
      <c r="Z435" s="312"/>
    </row>
    <row r="436" customHeight="1" spans="1:26">
      <c r="A436" s="312"/>
      <c r="B436" s="312"/>
      <c r="C436" s="312"/>
      <c r="D436" s="312"/>
      <c r="E436" s="312"/>
      <c r="F436" s="312"/>
      <c r="G436" s="312"/>
      <c r="H436" s="312"/>
      <c r="I436" s="312"/>
      <c r="J436" s="312"/>
      <c r="K436" s="312"/>
      <c r="L436" s="312"/>
      <c r="M436" s="312"/>
      <c r="N436" s="312"/>
      <c r="O436" s="312"/>
      <c r="P436" s="312"/>
      <c r="Q436" s="312"/>
      <c r="R436" s="312"/>
      <c r="S436" s="312"/>
      <c r="T436" s="312"/>
      <c r="U436" s="312"/>
      <c r="V436" s="312"/>
      <c r="W436" s="312"/>
      <c r="X436" s="312"/>
      <c r="Y436" s="312"/>
      <c r="Z436" s="312"/>
    </row>
    <row r="437" customHeight="1" spans="1:26">
      <c r="A437" s="312"/>
      <c r="B437" s="312"/>
      <c r="C437" s="312"/>
      <c r="D437" s="312"/>
      <c r="E437" s="312"/>
      <c r="F437" s="312"/>
      <c r="G437" s="312"/>
      <c r="H437" s="312"/>
      <c r="I437" s="312"/>
      <c r="J437" s="312"/>
      <c r="K437" s="312"/>
      <c r="L437" s="312"/>
      <c r="M437" s="312"/>
      <c r="N437" s="312"/>
      <c r="O437" s="312"/>
      <c r="P437" s="312"/>
      <c r="Q437" s="312"/>
      <c r="R437" s="312"/>
      <c r="S437" s="312"/>
      <c r="T437" s="312"/>
      <c r="U437" s="312"/>
      <c r="V437" s="312"/>
      <c r="W437" s="312"/>
      <c r="X437" s="312"/>
      <c r="Y437" s="312"/>
      <c r="Z437" s="312"/>
    </row>
    <row r="438" customHeight="1" spans="1:26">
      <c r="A438" s="312"/>
      <c r="B438" s="312"/>
      <c r="C438" s="312"/>
      <c r="D438" s="312"/>
      <c r="E438" s="312"/>
      <c r="F438" s="312"/>
      <c r="G438" s="312"/>
      <c r="H438" s="312"/>
      <c r="I438" s="312"/>
      <c r="J438" s="312"/>
      <c r="K438" s="312"/>
      <c r="L438" s="312"/>
      <c r="M438" s="312"/>
      <c r="N438" s="312"/>
      <c r="O438" s="312"/>
      <c r="P438" s="312"/>
      <c r="Q438" s="312"/>
      <c r="R438" s="312"/>
      <c r="S438" s="312"/>
      <c r="T438" s="312"/>
      <c r="U438" s="312"/>
      <c r="V438" s="312"/>
      <c r="W438" s="312"/>
      <c r="X438" s="312"/>
      <c r="Y438" s="312"/>
      <c r="Z438" s="312"/>
    </row>
    <row r="439" customHeight="1" spans="1:26">
      <c r="A439" s="312"/>
      <c r="B439" s="312"/>
      <c r="C439" s="312"/>
      <c r="D439" s="312"/>
      <c r="E439" s="312"/>
      <c r="F439" s="312"/>
      <c r="G439" s="312"/>
      <c r="H439" s="312"/>
      <c r="I439" s="312"/>
      <c r="J439" s="312"/>
      <c r="K439" s="312"/>
      <c r="L439" s="312"/>
      <c r="M439" s="312"/>
      <c r="N439" s="312"/>
      <c r="O439" s="312"/>
      <c r="P439" s="312"/>
      <c r="Q439" s="312"/>
      <c r="R439" s="312"/>
      <c r="S439" s="312"/>
      <c r="T439" s="312"/>
      <c r="U439" s="312"/>
      <c r="V439" s="312"/>
      <c r="W439" s="312"/>
      <c r="X439" s="312"/>
      <c r="Y439" s="312"/>
      <c r="Z439" s="312"/>
    </row>
    <row r="440" customHeight="1" spans="1:26">
      <c r="A440" s="312"/>
      <c r="B440" s="312"/>
      <c r="C440" s="312"/>
      <c r="D440" s="312"/>
      <c r="E440" s="312"/>
      <c r="F440" s="312"/>
      <c r="G440" s="312"/>
      <c r="H440" s="312"/>
      <c r="I440" s="312"/>
      <c r="J440" s="312"/>
      <c r="K440" s="312"/>
      <c r="L440" s="312"/>
      <c r="M440" s="312"/>
      <c r="N440" s="312"/>
      <c r="O440" s="312"/>
      <c r="P440" s="312"/>
      <c r="Q440" s="312"/>
      <c r="R440" s="312"/>
      <c r="S440" s="312"/>
      <c r="T440" s="312"/>
      <c r="U440" s="312"/>
      <c r="V440" s="312"/>
      <c r="W440" s="312"/>
      <c r="X440" s="312"/>
      <c r="Y440" s="312"/>
      <c r="Z440" s="312"/>
    </row>
    <row r="441" customHeight="1" spans="1:26">
      <c r="A441" s="312"/>
      <c r="B441" s="312"/>
      <c r="C441" s="312"/>
      <c r="D441" s="312"/>
      <c r="E441" s="312"/>
      <c r="F441" s="312"/>
      <c r="G441" s="312"/>
      <c r="H441" s="312"/>
      <c r="I441" s="312"/>
      <c r="J441" s="312"/>
      <c r="K441" s="312"/>
      <c r="L441" s="312"/>
      <c r="M441" s="312"/>
      <c r="N441" s="312"/>
      <c r="O441" s="312"/>
      <c r="P441" s="312"/>
      <c r="Q441" s="312"/>
      <c r="R441" s="312"/>
      <c r="S441" s="312"/>
      <c r="T441" s="312"/>
      <c r="U441" s="312"/>
      <c r="V441" s="312"/>
      <c r="W441" s="312"/>
      <c r="X441" s="312"/>
      <c r="Y441" s="312"/>
      <c r="Z441" s="312"/>
    </row>
    <row r="442" customHeight="1" spans="1:26">
      <c r="A442" s="312"/>
      <c r="B442" s="312"/>
      <c r="C442" s="312"/>
      <c r="D442" s="312"/>
      <c r="E442" s="312"/>
      <c r="F442" s="312"/>
      <c r="G442" s="312"/>
      <c r="H442" s="312"/>
      <c r="I442" s="312"/>
      <c r="J442" s="312"/>
      <c r="K442" s="312"/>
      <c r="L442" s="312"/>
      <c r="M442" s="312"/>
      <c r="N442" s="312"/>
      <c r="O442" s="312"/>
      <c r="P442" s="312"/>
      <c r="Q442" s="312"/>
      <c r="R442" s="312"/>
      <c r="S442" s="312"/>
      <c r="T442" s="312"/>
      <c r="U442" s="312"/>
      <c r="V442" s="312"/>
      <c r="W442" s="312"/>
      <c r="X442" s="312"/>
      <c r="Y442" s="312"/>
      <c r="Z442" s="312"/>
    </row>
    <row r="443" customHeight="1" spans="1:26">
      <c r="A443" s="312"/>
      <c r="B443" s="312"/>
      <c r="C443" s="312"/>
      <c r="D443" s="312"/>
      <c r="E443" s="312"/>
      <c r="F443" s="312"/>
      <c r="G443" s="312"/>
      <c r="H443" s="312"/>
      <c r="I443" s="312"/>
      <c r="J443" s="312"/>
      <c r="K443" s="312"/>
      <c r="L443" s="312"/>
      <c r="M443" s="312"/>
      <c r="N443" s="312"/>
      <c r="O443" s="312"/>
      <c r="P443" s="312"/>
      <c r="Q443" s="312"/>
      <c r="R443" s="312"/>
      <c r="S443" s="312"/>
      <c r="T443" s="312"/>
      <c r="U443" s="312"/>
      <c r="V443" s="312"/>
      <c r="W443" s="312"/>
      <c r="X443" s="312"/>
      <c r="Y443" s="312"/>
      <c r="Z443" s="312"/>
    </row>
    <row r="444" customHeight="1" spans="1:26">
      <c r="A444" s="312"/>
      <c r="B444" s="312"/>
      <c r="C444" s="312"/>
      <c r="D444" s="312"/>
      <c r="E444" s="312"/>
      <c r="F444" s="312"/>
      <c r="G444" s="312"/>
      <c r="H444" s="312"/>
      <c r="I444" s="312"/>
      <c r="J444" s="312"/>
      <c r="K444" s="312"/>
      <c r="L444" s="312"/>
      <c r="M444" s="312"/>
      <c r="N444" s="312"/>
      <c r="O444" s="312"/>
      <c r="P444" s="312"/>
      <c r="Q444" s="312"/>
      <c r="R444" s="312"/>
      <c r="S444" s="312"/>
      <c r="T444" s="312"/>
      <c r="U444" s="312"/>
      <c r="V444" s="312"/>
      <c r="W444" s="312"/>
      <c r="X444" s="312"/>
      <c r="Y444" s="312"/>
      <c r="Z444" s="312"/>
    </row>
    <row r="445" customHeight="1" spans="1:26">
      <c r="A445" s="312"/>
      <c r="B445" s="312"/>
      <c r="C445" s="312"/>
      <c r="D445" s="312"/>
      <c r="E445" s="312"/>
      <c r="F445" s="312"/>
      <c r="G445" s="312"/>
      <c r="H445" s="312"/>
      <c r="I445" s="312"/>
      <c r="J445" s="312"/>
      <c r="K445" s="312"/>
      <c r="L445" s="312"/>
      <c r="M445" s="312"/>
      <c r="N445" s="312"/>
      <c r="O445" s="312"/>
      <c r="P445" s="312"/>
      <c r="Q445" s="312"/>
      <c r="R445" s="312"/>
      <c r="S445" s="312"/>
      <c r="T445" s="312"/>
      <c r="U445" s="312"/>
      <c r="V445" s="312"/>
      <c r="W445" s="312"/>
      <c r="X445" s="312"/>
      <c r="Y445" s="312"/>
      <c r="Z445" s="312"/>
    </row>
    <row r="446" customHeight="1" spans="1:26">
      <c r="A446" s="312"/>
      <c r="B446" s="312"/>
      <c r="C446" s="312"/>
      <c r="D446" s="312"/>
      <c r="E446" s="312"/>
      <c r="F446" s="312"/>
      <c r="G446" s="312"/>
      <c r="H446" s="312"/>
      <c r="I446" s="312"/>
      <c r="J446" s="312"/>
      <c r="K446" s="312"/>
      <c r="L446" s="312"/>
      <c r="M446" s="312"/>
      <c r="N446" s="312"/>
      <c r="O446" s="312"/>
      <c r="P446" s="312"/>
      <c r="Q446" s="312"/>
      <c r="R446" s="312"/>
      <c r="S446" s="312"/>
      <c r="T446" s="312"/>
      <c r="U446" s="312"/>
      <c r="V446" s="312"/>
      <c r="W446" s="312"/>
      <c r="X446" s="312"/>
      <c r="Y446" s="312"/>
      <c r="Z446" s="312"/>
    </row>
    <row r="447" customHeight="1" spans="1:26">
      <c r="A447" s="312"/>
      <c r="B447" s="312"/>
      <c r="C447" s="312"/>
      <c r="D447" s="312"/>
      <c r="E447" s="312"/>
      <c r="F447" s="312"/>
      <c r="G447" s="312"/>
      <c r="H447" s="312"/>
      <c r="I447" s="312"/>
      <c r="J447" s="312"/>
      <c r="K447" s="312"/>
      <c r="L447" s="312"/>
      <c r="M447" s="312"/>
      <c r="N447" s="312"/>
      <c r="O447" s="312"/>
      <c r="P447" s="312"/>
      <c r="Q447" s="312"/>
      <c r="R447" s="312"/>
      <c r="S447" s="312"/>
      <c r="T447" s="312"/>
      <c r="U447" s="312"/>
      <c r="V447" s="312"/>
      <c r="W447" s="312"/>
      <c r="X447" s="312"/>
      <c r="Y447" s="312"/>
      <c r="Z447" s="312"/>
    </row>
    <row r="448" customHeight="1" spans="1:26">
      <c r="A448" s="312"/>
      <c r="B448" s="312"/>
      <c r="C448" s="312"/>
      <c r="D448" s="312"/>
      <c r="E448" s="312"/>
      <c r="F448" s="312"/>
      <c r="G448" s="312"/>
      <c r="H448" s="312"/>
      <c r="I448" s="312"/>
      <c r="J448" s="312"/>
      <c r="K448" s="312"/>
      <c r="L448" s="312"/>
      <c r="M448" s="312"/>
      <c r="N448" s="312"/>
      <c r="O448" s="312"/>
      <c r="P448" s="312"/>
      <c r="Q448" s="312"/>
      <c r="R448" s="312"/>
      <c r="S448" s="312"/>
      <c r="T448" s="312"/>
      <c r="U448" s="312"/>
      <c r="V448" s="312"/>
      <c r="W448" s="312"/>
      <c r="X448" s="312"/>
      <c r="Y448" s="312"/>
      <c r="Z448" s="312"/>
    </row>
    <row r="449" customHeight="1" spans="1:26">
      <c r="A449" s="312"/>
      <c r="B449" s="312"/>
      <c r="C449" s="312"/>
      <c r="D449" s="312"/>
      <c r="E449" s="312"/>
      <c r="F449" s="312"/>
      <c r="G449" s="312"/>
      <c r="H449" s="312"/>
      <c r="I449" s="312"/>
      <c r="J449" s="312"/>
      <c r="K449" s="312"/>
      <c r="L449" s="312"/>
      <c r="M449" s="312"/>
      <c r="N449" s="312"/>
      <c r="O449" s="312"/>
      <c r="P449" s="312"/>
      <c r="Q449" s="312"/>
      <c r="R449" s="312"/>
      <c r="S449" s="312"/>
      <c r="T449" s="312"/>
      <c r="U449" s="312"/>
      <c r="V449" s="312"/>
      <c r="W449" s="312"/>
      <c r="X449" s="312"/>
      <c r="Y449" s="312"/>
      <c r="Z449" s="312"/>
    </row>
    <row r="450" customHeight="1" spans="1:26">
      <c r="A450" s="312"/>
      <c r="B450" s="312"/>
      <c r="C450" s="312"/>
      <c r="D450" s="312"/>
      <c r="E450" s="312"/>
      <c r="F450" s="312"/>
      <c r="G450" s="312"/>
      <c r="H450" s="312"/>
      <c r="I450" s="312"/>
      <c r="J450" s="312"/>
      <c r="K450" s="312"/>
      <c r="L450" s="312"/>
      <c r="M450" s="312"/>
      <c r="N450" s="312"/>
      <c r="O450" s="312"/>
      <c r="P450" s="312"/>
      <c r="Q450" s="312"/>
      <c r="R450" s="312"/>
      <c r="S450" s="312"/>
      <c r="T450" s="312"/>
      <c r="U450" s="312"/>
      <c r="V450" s="312"/>
      <c r="W450" s="312"/>
      <c r="X450" s="312"/>
      <c r="Y450" s="312"/>
      <c r="Z450" s="312"/>
    </row>
    <row r="451" customHeight="1" spans="1:26">
      <c r="A451" s="312"/>
      <c r="B451" s="312"/>
      <c r="C451" s="312"/>
      <c r="D451" s="312"/>
      <c r="E451" s="312"/>
      <c r="F451" s="312"/>
      <c r="G451" s="312"/>
      <c r="H451" s="312"/>
      <c r="I451" s="312"/>
      <c r="J451" s="312"/>
      <c r="K451" s="312"/>
      <c r="L451" s="312"/>
      <c r="M451" s="312"/>
      <c r="N451" s="312"/>
      <c r="O451" s="312"/>
      <c r="P451" s="312"/>
      <c r="Q451" s="312"/>
      <c r="R451" s="312"/>
      <c r="S451" s="312"/>
      <c r="T451" s="312"/>
      <c r="U451" s="312"/>
      <c r="V451" s="312"/>
      <c r="W451" s="312"/>
      <c r="X451" s="312"/>
      <c r="Y451" s="312"/>
      <c r="Z451" s="312"/>
    </row>
    <row r="452" customHeight="1" spans="1:26">
      <c r="A452" s="312"/>
      <c r="B452" s="312"/>
      <c r="C452" s="312"/>
      <c r="D452" s="312"/>
      <c r="E452" s="312"/>
      <c r="F452" s="312"/>
      <c r="G452" s="312"/>
      <c r="H452" s="312"/>
      <c r="I452" s="312"/>
      <c r="J452" s="312"/>
      <c r="K452" s="312"/>
      <c r="L452" s="312"/>
      <c r="M452" s="312"/>
      <c r="N452" s="312"/>
      <c r="O452" s="312"/>
      <c r="P452" s="312"/>
      <c r="Q452" s="312"/>
      <c r="R452" s="312"/>
      <c r="S452" s="312"/>
      <c r="T452" s="312"/>
      <c r="U452" s="312"/>
      <c r="V452" s="312"/>
      <c r="W452" s="312"/>
      <c r="X452" s="312"/>
      <c r="Y452" s="312"/>
      <c r="Z452" s="312"/>
    </row>
    <row r="453" customHeight="1" spans="1:26">
      <c r="A453" s="312"/>
      <c r="B453" s="312"/>
      <c r="C453" s="312"/>
      <c r="D453" s="312"/>
      <c r="E453" s="312"/>
      <c r="F453" s="312"/>
      <c r="G453" s="312"/>
      <c r="H453" s="312"/>
      <c r="I453" s="312"/>
      <c r="J453" s="312"/>
      <c r="K453" s="312"/>
      <c r="L453" s="312"/>
      <c r="M453" s="312"/>
      <c r="N453" s="312"/>
      <c r="O453" s="312"/>
      <c r="P453" s="312"/>
      <c r="Q453" s="312"/>
      <c r="R453" s="312"/>
      <c r="S453" s="312"/>
      <c r="T453" s="312"/>
      <c r="U453" s="312"/>
      <c r="V453" s="312"/>
      <c r="W453" s="312"/>
      <c r="X453" s="312"/>
      <c r="Y453" s="312"/>
      <c r="Z453" s="312"/>
    </row>
    <row r="454" customHeight="1" spans="1:26">
      <c r="A454" s="312"/>
      <c r="B454" s="312"/>
      <c r="C454" s="312"/>
      <c r="D454" s="312"/>
      <c r="E454" s="312"/>
      <c r="F454" s="312"/>
      <c r="G454" s="312"/>
      <c r="H454" s="312"/>
      <c r="I454" s="312"/>
      <c r="J454" s="312"/>
      <c r="K454" s="312"/>
      <c r="L454" s="312"/>
      <c r="M454" s="312"/>
      <c r="N454" s="312"/>
      <c r="O454" s="312"/>
      <c r="P454" s="312"/>
      <c r="Q454" s="312"/>
      <c r="R454" s="312"/>
      <c r="S454" s="312"/>
      <c r="T454" s="312"/>
      <c r="U454" s="312"/>
      <c r="V454" s="312"/>
      <c r="W454" s="312"/>
      <c r="X454" s="312"/>
      <c r="Y454" s="312"/>
      <c r="Z454" s="312"/>
    </row>
    <row r="455" customHeight="1" spans="1:26">
      <c r="A455" s="312"/>
      <c r="B455" s="312"/>
      <c r="C455" s="312"/>
      <c r="D455" s="312"/>
      <c r="E455" s="312"/>
      <c r="F455" s="312"/>
      <c r="G455" s="312"/>
      <c r="H455" s="312"/>
      <c r="I455" s="312"/>
      <c r="J455" s="312"/>
      <c r="K455" s="312"/>
      <c r="L455" s="312"/>
      <c r="M455" s="312"/>
      <c r="N455" s="312"/>
      <c r="O455" s="312"/>
      <c r="P455" s="312"/>
      <c r="Q455" s="312"/>
      <c r="R455" s="312"/>
      <c r="S455" s="312"/>
      <c r="T455" s="312"/>
      <c r="U455" s="312"/>
      <c r="V455" s="312"/>
      <c r="W455" s="312"/>
      <c r="X455" s="312"/>
      <c r="Y455" s="312"/>
      <c r="Z455" s="312"/>
    </row>
    <row r="456" customHeight="1" spans="1:26">
      <c r="A456" s="312"/>
      <c r="B456" s="312"/>
      <c r="C456" s="312"/>
      <c r="D456" s="312"/>
      <c r="E456" s="312"/>
      <c r="F456" s="312"/>
      <c r="G456" s="312"/>
      <c r="H456" s="312"/>
      <c r="I456" s="312"/>
      <c r="J456" s="312"/>
      <c r="K456" s="312"/>
      <c r="L456" s="312"/>
      <c r="M456" s="312"/>
      <c r="N456" s="312"/>
      <c r="O456" s="312"/>
      <c r="P456" s="312"/>
      <c r="Q456" s="312"/>
      <c r="R456" s="312"/>
      <c r="S456" s="312"/>
      <c r="T456" s="312"/>
      <c r="U456" s="312"/>
      <c r="V456" s="312"/>
      <c r="W456" s="312"/>
      <c r="X456" s="312"/>
      <c r="Y456" s="312"/>
      <c r="Z456" s="312"/>
    </row>
    <row r="457" customHeight="1" spans="1:26">
      <c r="A457" s="312"/>
      <c r="B457" s="312"/>
      <c r="C457" s="312"/>
      <c r="D457" s="312"/>
      <c r="E457" s="312"/>
      <c r="F457" s="312"/>
      <c r="G457" s="312"/>
      <c r="H457" s="312"/>
      <c r="I457" s="312"/>
      <c r="J457" s="312"/>
      <c r="K457" s="312"/>
      <c r="L457" s="312"/>
      <c r="M457" s="312"/>
      <c r="N457" s="312"/>
      <c r="O457" s="312"/>
      <c r="P457" s="312"/>
      <c r="Q457" s="312"/>
      <c r="R457" s="312"/>
      <c r="S457" s="312"/>
      <c r="T457" s="312"/>
      <c r="U457" s="312"/>
      <c r="V457" s="312"/>
      <c r="W457" s="312"/>
      <c r="X457" s="312"/>
      <c r="Y457" s="312"/>
      <c r="Z457" s="312"/>
    </row>
    <row r="458" customHeight="1" spans="1:26">
      <c r="A458" s="312"/>
      <c r="B458" s="312"/>
      <c r="C458" s="312"/>
      <c r="D458" s="312"/>
      <c r="E458" s="312"/>
      <c r="F458" s="312"/>
      <c r="G458" s="312"/>
      <c r="H458" s="312"/>
      <c r="I458" s="312"/>
      <c r="J458" s="312"/>
      <c r="K458" s="312"/>
      <c r="L458" s="312"/>
      <c r="M458" s="312"/>
      <c r="N458" s="312"/>
      <c r="O458" s="312"/>
      <c r="P458" s="312"/>
      <c r="Q458" s="312"/>
      <c r="R458" s="312"/>
      <c r="S458" s="312"/>
      <c r="T458" s="312"/>
      <c r="U458" s="312"/>
      <c r="V458" s="312"/>
      <c r="W458" s="312"/>
      <c r="X458" s="312"/>
      <c r="Y458" s="312"/>
      <c r="Z458" s="312"/>
    </row>
    <row r="459" customHeight="1" spans="1:26">
      <c r="A459" s="312"/>
      <c r="B459" s="312"/>
      <c r="C459" s="312"/>
      <c r="D459" s="312"/>
      <c r="E459" s="312"/>
      <c r="F459" s="312"/>
      <c r="G459" s="312"/>
      <c r="H459" s="312"/>
      <c r="I459" s="312"/>
      <c r="J459" s="312"/>
      <c r="K459" s="312"/>
      <c r="L459" s="312"/>
      <c r="M459" s="312"/>
      <c r="N459" s="312"/>
      <c r="O459" s="312"/>
      <c r="P459" s="312"/>
      <c r="Q459" s="312"/>
      <c r="R459" s="312"/>
      <c r="S459" s="312"/>
      <c r="T459" s="312"/>
      <c r="U459" s="312"/>
      <c r="V459" s="312"/>
      <c r="W459" s="312"/>
      <c r="X459" s="312"/>
      <c r="Y459" s="312"/>
      <c r="Z459" s="312"/>
    </row>
    <row r="460" customHeight="1" spans="1:26">
      <c r="A460" s="312"/>
      <c r="B460" s="312"/>
      <c r="C460" s="312"/>
      <c r="D460" s="312"/>
      <c r="E460" s="312"/>
      <c r="F460" s="312"/>
      <c r="G460" s="312"/>
      <c r="H460" s="312"/>
      <c r="I460" s="312"/>
      <c r="J460" s="312"/>
      <c r="K460" s="312"/>
      <c r="L460" s="312"/>
      <c r="M460" s="312"/>
      <c r="N460" s="312"/>
      <c r="O460" s="312"/>
      <c r="P460" s="312"/>
      <c r="Q460" s="312"/>
      <c r="R460" s="312"/>
      <c r="S460" s="312"/>
      <c r="T460" s="312"/>
      <c r="U460" s="312"/>
      <c r="V460" s="312"/>
      <c r="W460" s="312"/>
      <c r="X460" s="312"/>
      <c r="Y460" s="312"/>
      <c r="Z460" s="312"/>
    </row>
    <row r="461" customHeight="1" spans="1:26">
      <c r="A461" s="312"/>
      <c r="B461" s="312"/>
      <c r="C461" s="312"/>
      <c r="D461" s="312"/>
      <c r="E461" s="312"/>
      <c r="F461" s="312"/>
      <c r="G461" s="312"/>
      <c r="H461" s="312"/>
      <c r="I461" s="312"/>
      <c r="J461" s="312"/>
      <c r="K461" s="312"/>
      <c r="L461" s="312"/>
      <c r="M461" s="312"/>
      <c r="N461" s="312"/>
      <c r="O461" s="312"/>
      <c r="P461" s="312"/>
      <c r="Q461" s="312"/>
      <c r="R461" s="312"/>
      <c r="S461" s="312"/>
      <c r="T461" s="312"/>
      <c r="U461" s="312"/>
      <c r="V461" s="312"/>
      <c r="W461" s="312"/>
      <c r="X461" s="312"/>
      <c r="Y461" s="312"/>
      <c r="Z461" s="312"/>
    </row>
    <row r="462" customHeight="1" spans="1:26">
      <c r="A462" s="312"/>
      <c r="B462" s="312"/>
      <c r="C462" s="312"/>
      <c r="D462" s="312"/>
      <c r="E462" s="312"/>
      <c r="F462" s="312"/>
      <c r="G462" s="312"/>
      <c r="H462" s="312"/>
      <c r="I462" s="312"/>
      <c r="J462" s="312"/>
      <c r="K462" s="312"/>
      <c r="L462" s="312"/>
      <c r="M462" s="312"/>
      <c r="N462" s="312"/>
      <c r="O462" s="312"/>
      <c r="P462" s="312"/>
      <c r="Q462" s="312"/>
      <c r="R462" s="312"/>
      <c r="S462" s="312"/>
      <c r="T462" s="312"/>
      <c r="U462" s="312"/>
      <c r="V462" s="312"/>
      <c r="W462" s="312"/>
      <c r="X462" s="312"/>
      <c r="Y462" s="312"/>
      <c r="Z462" s="312"/>
    </row>
    <row r="463" customHeight="1" spans="1:26">
      <c r="A463" s="312"/>
      <c r="B463" s="312"/>
      <c r="C463" s="312"/>
      <c r="D463" s="312"/>
      <c r="E463" s="312"/>
      <c r="F463" s="312"/>
      <c r="G463" s="312"/>
      <c r="H463" s="312"/>
      <c r="I463" s="312"/>
      <c r="J463" s="312"/>
      <c r="K463" s="312"/>
      <c r="L463" s="312"/>
      <c r="M463" s="312"/>
      <c r="N463" s="312"/>
      <c r="O463" s="312"/>
      <c r="P463" s="312"/>
      <c r="Q463" s="312"/>
      <c r="R463" s="312"/>
      <c r="S463" s="312"/>
      <c r="T463" s="312"/>
      <c r="U463" s="312"/>
      <c r="V463" s="312"/>
      <c r="W463" s="312"/>
      <c r="X463" s="312"/>
      <c r="Y463" s="312"/>
      <c r="Z463" s="312"/>
    </row>
    <row r="464" customHeight="1" spans="1:26">
      <c r="A464" s="312"/>
      <c r="B464" s="312"/>
      <c r="C464" s="312"/>
      <c r="D464" s="312"/>
      <c r="E464" s="312"/>
      <c r="F464" s="312"/>
      <c r="G464" s="312"/>
      <c r="H464" s="312"/>
      <c r="I464" s="312"/>
      <c r="J464" s="312"/>
      <c r="K464" s="312"/>
      <c r="L464" s="312"/>
      <c r="M464" s="312"/>
      <c r="N464" s="312"/>
      <c r="O464" s="312"/>
      <c r="P464" s="312"/>
      <c r="Q464" s="312"/>
      <c r="R464" s="312"/>
      <c r="S464" s="312"/>
      <c r="T464" s="312"/>
      <c r="U464" s="312"/>
      <c r="V464" s="312"/>
      <c r="W464" s="312"/>
      <c r="X464" s="312"/>
      <c r="Y464" s="312"/>
      <c r="Z464" s="312"/>
    </row>
    <row r="465" customHeight="1" spans="1:26">
      <c r="A465" s="312"/>
      <c r="B465" s="312"/>
      <c r="C465" s="312"/>
      <c r="D465" s="312"/>
      <c r="E465" s="312"/>
      <c r="F465" s="312"/>
      <c r="G465" s="312"/>
      <c r="H465" s="312"/>
      <c r="I465" s="312"/>
      <c r="J465" s="312"/>
      <c r="K465" s="312"/>
      <c r="L465" s="312"/>
      <c r="M465" s="312"/>
      <c r="N465" s="312"/>
      <c r="O465" s="312"/>
      <c r="P465" s="312"/>
      <c r="Q465" s="312"/>
      <c r="R465" s="312"/>
      <c r="S465" s="312"/>
      <c r="T465" s="312"/>
      <c r="U465" s="312"/>
      <c r="V465" s="312"/>
      <c r="W465" s="312"/>
      <c r="X465" s="312"/>
      <c r="Y465" s="312"/>
      <c r="Z465" s="312"/>
    </row>
    <row r="466" customHeight="1" spans="1:26">
      <c r="A466" s="312"/>
      <c r="B466" s="312"/>
      <c r="C466" s="312"/>
      <c r="D466" s="312"/>
      <c r="E466" s="312"/>
      <c r="F466" s="312"/>
      <c r="G466" s="312"/>
      <c r="H466" s="312"/>
      <c r="I466" s="312"/>
      <c r="J466" s="312"/>
      <c r="K466" s="312"/>
      <c r="L466" s="312"/>
      <c r="M466" s="312"/>
      <c r="N466" s="312"/>
      <c r="O466" s="312"/>
      <c r="P466" s="312"/>
      <c r="Q466" s="312"/>
      <c r="R466" s="312"/>
      <c r="S466" s="312"/>
      <c r="T466" s="312"/>
      <c r="U466" s="312"/>
      <c r="V466" s="312"/>
      <c r="W466" s="312"/>
      <c r="X466" s="312"/>
      <c r="Y466" s="312"/>
      <c r="Z466" s="312"/>
    </row>
    <row r="467" customHeight="1" spans="1:26">
      <c r="A467" s="312"/>
      <c r="B467" s="312"/>
      <c r="C467" s="312"/>
      <c r="D467" s="312"/>
      <c r="E467" s="312"/>
      <c r="F467" s="312"/>
      <c r="G467" s="312"/>
      <c r="H467" s="312"/>
      <c r="I467" s="312"/>
      <c r="J467" s="312"/>
      <c r="K467" s="312"/>
      <c r="L467" s="312"/>
      <c r="M467" s="312"/>
      <c r="N467" s="312"/>
      <c r="O467" s="312"/>
      <c r="P467" s="312"/>
      <c r="Q467" s="312"/>
      <c r="R467" s="312"/>
      <c r="S467" s="312"/>
      <c r="T467" s="312"/>
      <c r="U467" s="312"/>
      <c r="V467" s="312"/>
      <c r="W467" s="312"/>
      <c r="X467" s="312"/>
      <c r="Y467" s="312"/>
      <c r="Z467" s="312"/>
    </row>
    <row r="468" customHeight="1" spans="1:26">
      <c r="A468" s="312"/>
      <c r="B468" s="312"/>
      <c r="C468" s="312"/>
      <c r="D468" s="312"/>
      <c r="E468" s="312"/>
      <c r="F468" s="312"/>
      <c r="G468" s="312"/>
      <c r="H468" s="312"/>
      <c r="I468" s="312"/>
      <c r="J468" s="312"/>
      <c r="K468" s="312"/>
      <c r="L468" s="312"/>
      <c r="M468" s="312"/>
      <c r="N468" s="312"/>
      <c r="O468" s="312"/>
      <c r="P468" s="312"/>
      <c r="Q468" s="312"/>
      <c r="R468" s="312"/>
      <c r="S468" s="312"/>
      <c r="T468" s="312"/>
      <c r="U468" s="312"/>
      <c r="V468" s="312"/>
      <c r="W468" s="312"/>
      <c r="X468" s="312"/>
      <c r="Y468" s="312"/>
      <c r="Z468" s="312"/>
    </row>
    <row r="469" customHeight="1" spans="1:26">
      <c r="A469" s="312"/>
      <c r="B469" s="312"/>
      <c r="C469" s="312"/>
      <c r="D469" s="312"/>
      <c r="E469" s="312"/>
      <c r="F469" s="312"/>
      <c r="G469" s="312"/>
      <c r="H469" s="312"/>
      <c r="I469" s="312"/>
      <c r="J469" s="312"/>
      <c r="K469" s="312"/>
      <c r="L469" s="312"/>
      <c r="M469" s="312"/>
      <c r="N469" s="312"/>
      <c r="O469" s="312"/>
      <c r="P469" s="312"/>
      <c r="Q469" s="312"/>
      <c r="R469" s="312"/>
      <c r="S469" s="312"/>
      <c r="T469" s="312"/>
      <c r="U469" s="312"/>
      <c r="V469" s="312"/>
      <c r="W469" s="312"/>
      <c r="X469" s="312"/>
      <c r="Y469" s="312"/>
      <c r="Z469" s="312"/>
    </row>
    <row r="470" customHeight="1" spans="1:26">
      <c r="A470" s="312"/>
      <c r="B470" s="312"/>
      <c r="C470" s="312"/>
      <c r="D470" s="312"/>
      <c r="E470" s="312"/>
      <c r="F470" s="312"/>
      <c r="G470" s="312"/>
      <c r="H470" s="312"/>
      <c r="I470" s="312"/>
      <c r="J470" s="312"/>
      <c r="K470" s="312"/>
      <c r="L470" s="312"/>
      <c r="M470" s="312"/>
      <c r="N470" s="312"/>
      <c r="O470" s="312"/>
      <c r="P470" s="312"/>
      <c r="Q470" s="312"/>
      <c r="R470" s="312"/>
      <c r="S470" s="312"/>
      <c r="T470" s="312"/>
      <c r="U470" s="312"/>
      <c r="V470" s="312"/>
      <c r="W470" s="312"/>
      <c r="X470" s="312"/>
      <c r="Y470" s="312"/>
      <c r="Z470" s="312"/>
    </row>
    <row r="471" customHeight="1" spans="1:26">
      <c r="A471" s="312"/>
      <c r="B471" s="312"/>
      <c r="C471" s="312"/>
      <c r="D471" s="312"/>
      <c r="E471" s="312"/>
      <c r="F471" s="312"/>
      <c r="G471" s="312"/>
      <c r="H471" s="312"/>
      <c r="I471" s="312"/>
      <c r="J471" s="312"/>
      <c r="K471" s="312"/>
      <c r="L471" s="312"/>
      <c r="M471" s="312"/>
      <c r="N471" s="312"/>
      <c r="O471" s="312"/>
      <c r="P471" s="312"/>
      <c r="Q471" s="312"/>
      <c r="R471" s="312"/>
      <c r="S471" s="312"/>
      <c r="T471" s="312"/>
      <c r="U471" s="312"/>
      <c r="V471" s="312"/>
      <c r="W471" s="312"/>
      <c r="X471" s="312"/>
      <c r="Y471" s="312"/>
      <c r="Z471" s="312"/>
    </row>
    <row r="472" customHeight="1" spans="1:26">
      <c r="A472" s="312"/>
      <c r="B472" s="312"/>
      <c r="C472" s="312"/>
      <c r="D472" s="312"/>
      <c r="E472" s="312"/>
      <c r="F472" s="312"/>
      <c r="G472" s="312"/>
      <c r="H472" s="312"/>
      <c r="I472" s="312"/>
      <c r="J472" s="312"/>
      <c r="K472" s="312"/>
      <c r="L472" s="312"/>
      <c r="M472" s="312"/>
      <c r="N472" s="312"/>
      <c r="O472" s="312"/>
      <c r="P472" s="312"/>
      <c r="Q472" s="312"/>
      <c r="R472" s="312"/>
      <c r="S472" s="312"/>
      <c r="T472" s="312"/>
      <c r="U472" s="312"/>
      <c r="V472" s="312"/>
      <c r="W472" s="312"/>
      <c r="X472" s="312"/>
      <c r="Y472" s="312"/>
      <c r="Z472" s="312"/>
    </row>
    <row r="473" customHeight="1" spans="1:26">
      <c r="A473" s="312"/>
      <c r="B473" s="312"/>
      <c r="C473" s="312"/>
      <c r="D473" s="312"/>
      <c r="E473" s="312"/>
      <c r="F473" s="312"/>
      <c r="G473" s="312"/>
      <c r="H473" s="312"/>
      <c r="I473" s="312"/>
      <c r="J473" s="312"/>
      <c r="K473" s="312"/>
      <c r="L473" s="312"/>
      <c r="M473" s="312"/>
      <c r="N473" s="312"/>
      <c r="O473" s="312"/>
      <c r="P473" s="312"/>
      <c r="Q473" s="312"/>
      <c r="R473" s="312"/>
      <c r="S473" s="312"/>
      <c r="T473" s="312"/>
      <c r="U473" s="312"/>
      <c r="V473" s="312"/>
      <c r="W473" s="312"/>
      <c r="X473" s="312"/>
      <c r="Y473" s="312"/>
      <c r="Z473" s="312"/>
    </row>
    <row r="474" customHeight="1" spans="1:26">
      <c r="A474" s="312"/>
      <c r="B474" s="312"/>
      <c r="C474" s="312"/>
      <c r="D474" s="312"/>
      <c r="E474" s="312"/>
      <c r="F474" s="312"/>
      <c r="G474" s="312"/>
      <c r="H474" s="312"/>
      <c r="I474" s="312"/>
      <c r="J474" s="312"/>
      <c r="K474" s="312"/>
      <c r="L474" s="312"/>
      <c r="M474" s="312"/>
      <c r="N474" s="312"/>
      <c r="O474" s="312"/>
      <c r="P474" s="312"/>
      <c r="Q474" s="312"/>
      <c r="R474" s="312"/>
      <c r="S474" s="312"/>
      <c r="T474" s="312"/>
      <c r="U474" s="312"/>
      <c r="V474" s="312"/>
      <c r="W474" s="312"/>
      <c r="X474" s="312"/>
      <c r="Y474" s="312"/>
      <c r="Z474" s="312"/>
    </row>
    <row r="475" customHeight="1" spans="1:26">
      <c r="A475" s="312"/>
      <c r="B475" s="312"/>
      <c r="C475" s="312"/>
      <c r="D475" s="312"/>
      <c r="E475" s="312"/>
      <c r="F475" s="312"/>
      <c r="G475" s="312"/>
      <c r="H475" s="312"/>
      <c r="I475" s="312"/>
      <c r="J475" s="312"/>
      <c r="K475" s="312"/>
      <c r="L475" s="312"/>
      <c r="M475" s="312"/>
      <c r="N475" s="312"/>
      <c r="O475" s="312"/>
      <c r="P475" s="312"/>
      <c r="Q475" s="312"/>
      <c r="R475" s="312"/>
      <c r="S475" s="312"/>
      <c r="T475" s="312"/>
      <c r="U475" s="312"/>
      <c r="V475" s="312"/>
      <c r="W475" s="312"/>
      <c r="X475" s="312"/>
      <c r="Y475" s="312"/>
      <c r="Z475" s="312"/>
    </row>
    <row r="476" customHeight="1" spans="1:26">
      <c r="A476" s="312"/>
      <c r="B476" s="312"/>
      <c r="C476" s="312"/>
      <c r="D476" s="312"/>
      <c r="E476" s="312"/>
      <c r="F476" s="312"/>
      <c r="G476" s="312"/>
      <c r="H476" s="312"/>
      <c r="I476" s="312"/>
      <c r="J476" s="312"/>
      <c r="K476" s="312"/>
      <c r="L476" s="312"/>
      <c r="M476" s="312"/>
      <c r="N476" s="312"/>
      <c r="O476" s="312"/>
      <c r="P476" s="312"/>
      <c r="Q476" s="312"/>
      <c r="R476" s="312"/>
      <c r="S476" s="312"/>
      <c r="T476" s="312"/>
      <c r="U476" s="312"/>
      <c r="V476" s="312"/>
      <c r="W476" s="312"/>
      <c r="X476" s="312"/>
      <c r="Y476" s="312"/>
      <c r="Z476" s="312"/>
    </row>
    <row r="477" customHeight="1" spans="1:26">
      <c r="A477" s="312"/>
      <c r="B477" s="312"/>
      <c r="C477" s="312"/>
      <c r="D477" s="312"/>
      <c r="E477" s="312"/>
      <c r="F477" s="312"/>
      <c r="G477" s="312"/>
      <c r="H477" s="312"/>
      <c r="I477" s="312"/>
      <c r="J477" s="312"/>
      <c r="K477" s="312"/>
      <c r="L477" s="312"/>
      <c r="M477" s="312"/>
      <c r="N477" s="312"/>
      <c r="O477" s="312"/>
      <c r="P477" s="312"/>
      <c r="Q477" s="312"/>
      <c r="R477" s="312"/>
      <c r="S477" s="312"/>
      <c r="T477" s="312"/>
      <c r="U477" s="312"/>
      <c r="V477" s="312"/>
      <c r="W477" s="312"/>
      <c r="X477" s="312"/>
      <c r="Y477" s="312"/>
      <c r="Z477" s="312"/>
    </row>
    <row r="478" customHeight="1" spans="1:26">
      <c r="A478" s="312"/>
      <c r="B478" s="312"/>
      <c r="C478" s="312"/>
      <c r="D478" s="312"/>
      <c r="E478" s="312"/>
      <c r="F478" s="312"/>
      <c r="G478" s="312"/>
      <c r="H478" s="312"/>
      <c r="I478" s="312"/>
      <c r="J478" s="312"/>
      <c r="K478" s="312"/>
      <c r="L478" s="312"/>
      <c r="M478" s="312"/>
      <c r="N478" s="312"/>
      <c r="O478" s="312"/>
      <c r="P478" s="312"/>
      <c r="Q478" s="312"/>
      <c r="R478" s="312"/>
      <c r="S478" s="312"/>
      <c r="T478" s="312"/>
      <c r="U478" s="312"/>
      <c r="V478" s="312"/>
      <c r="W478" s="312"/>
      <c r="X478" s="312"/>
      <c r="Y478" s="312"/>
      <c r="Z478" s="312"/>
    </row>
    <row r="479" customHeight="1" spans="1:26">
      <c r="A479" s="312"/>
      <c r="B479" s="312"/>
      <c r="C479" s="312"/>
      <c r="D479" s="312"/>
      <c r="E479" s="312"/>
      <c r="F479" s="312"/>
      <c r="G479" s="312"/>
      <c r="H479" s="312"/>
      <c r="I479" s="312"/>
      <c r="J479" s="312"/>
      <c r="K479" s="312"/>
      <c r="L479" s="312"/>
      <c r="M479" s="312"/>
      <c r="N479" s="312"/>
      <c r="O479" s="312"/>
      <c r="P479" s="312"/>
      <c r="Q479" s="312"/>
      <c r="R479" s="312"/>
      <c r="S479" s="312"/>
      <c r="T479" s="312"/>
      <c r="U479" s="312"/>
      <c r="V479" s="312"/>
      <c r="W479" s="312"/>
      <c r="X479" s="312"/>
      <c r="Y479" s="312"/>
      <c r="Z479" s="312"/>
    </row>
    <row r="480" customHeight="1" spans="1:26">
      <c r="A480" s="312"/>
      <c r="B480" s="312"/>
      <c r="C480" s="312"/>
      <c r="D480" s="312"/>
      <c r="E480" s="312"/>
      <c r="F480" s="312"/>
      <c r="G480" s="312"/>
      <c r="H480" s="312"/>
      <c r="I480" s="312"/>
      <c r="J480" s="312"/>
      <c r="K480" s="312"/>
      <c r="L480" s="312"/>
      <c r="M480" s="312"/>
      <c r="N480" s="312"/>
      <c r="O480" s="312"/>
      <c r="P480" s="312"/>
      <c r="Q480" s="312"/>
      <c r="R480" s="312"/>
      <c r="S480" s="312"/>
      <c r="T480" s="312"/>
      <c r="U480" s="312"/>
      <c r="V480" s="312"/>
      <c r="W480" s="312"/>
      <c r="X480" s="312"/>
      <c r="Y480" s="312"/>
      <c r="Z480" s="312"/>
    </row>
    <row r="481" customHeight="1" spans="1:26">
      <c r="A481" s="312"/>
      <c r="B481" s="312"/>
      <c r="C481" s="312"/>
      <c r="D481" s="312"/>
      <c r="E481" s="312"/>
      <c r="F481" s="312"/>
      <c r="G481" s="312"/>
      <c r="H481" s="312"/>
      <c r="I481" s="312"/>
      <c r="J481" s="312"/>
      <c r="K481" s="312"/>
      <c r="L481" s="312"/>
      <c r="M481" s="312"/>
      <c r="N481" s="312"/>
      <c r="O481" s="312"/>
      <c r="P481" s="312"/>
      <c r="Q481" s="312"/>
      <c r="R481" s="312"/>
      <c r="S481" s="312"/>
      <c r="T481" s="312"/>
      <c r="U481" s="312"/>
      <c r="V481" s="312"/>
      <c r="W481" s="312"/>
      <c r="X481" s="312"/>
      <c r="Y481" s="312"/>
      <c r="Z481" s="312"/>
    </row>
    <row r="482" customHeight="1" spans="1:26">
      <c r="A482" s="312"/>
      <c r="B482" s="312"/>
      <c r="C482" s="312"/>
      <c r="D482" s="312"/>
      <c r="E482" s="312"/>
      <c r="F482" s="312"/>
      <c r="G482" s="312"/>
      <c r="H482" s="312"/>
      <c r="I482" s="312"/>
      <c r="J482" s="312"/>
      <c r="K482" s="312"/>
      <c r="L482" s="312"/>
      <c r="M482" s="312"/>
      <c r="N482" s="312"/>
      <c r="O482" s="312"/>
      <c r="P482" s="312"/>
      <c r="Q482" s="312"/>
      <c r="R482" s="312"/>
      <c r="S482" s="312"/>
      <c r="T482" s="312"/>
      <c r="U482" s="312"/>
      <c r="V482" s="312"/>
      <c r="W482" s="312"/>
      <c r="X482" s="312"/>
      <c r="Y482" s="312"/>
      <c r="Z482" s="312"/>
    </row>
    <row r="483" customHeight="1" spans="1:26">
      <c r="A483" s="312"/>
      <c r="B483" s="312"/>
      <c r="C483" s="312"/>
      <c r="D483" s="312"/>
      <c r="E483" s="312"/>
      <c r="F483" s="312"/>
      <c r="G483" s="312"/>
      <c r="H483" s="312"/>
      <c r="I483" s="312"/>
      <c r="J483" s="312"/>
      <c r="K483" s="312"/>
      <c r="L483" s="312"/>
      <c r="M483" s="312"/>
      <c r="N483" s="312"/>
      <c r="O483" s="312"/>
      <c r="P483" s="312"/>
      <c r="Q483" s="312"/>
      <c r="R483" s="312"/>
      <c r="S483" s="312"/>
      <c r="T483" s="312"/>
      <c r="U483" s="312"/>
      <c r="V483" s="312"/>
      <c r="W483" s="312"/>
      <c r="X483" s="312"/>
      <c r="Y483" s="312"/>
      <c r="Z483" s="312"/>
    </row>
    <row r="484" customHeight="1" spans="1:26">
      <c r="A484" s="312"/>
      <c r="B484" s="312"/>
      <c r="C484" s="312"/>
      <c r="D484" s="312"/>
      <c r="E484" s="312"/>
      <c r="F484" s="312"/>
      <c r="G484" s="312"/>
      <c r="H484" s="312"/>
      <c r="I484" s="312"/>
      <c r="J484" s="312"/>
      <c r="K484" s="312"/>
      <c r="L484" s="312"/>
      <c r="M484" s="312"/>
      <c r="N484" s="312"/>
      <c r="O484" s="312"/>
      <c r="P484" s="312"/>
      <c r="Q484" s="312"/>
      <c r="R484" s="312"/>
      <c r="S484" s="312"/>
      <c r="T484" s="312"/>
      <c r="U484" s="312"/>
      <c r="V484" s="312"/>
      <c r="W484" s="312"/>
      <c r="X484" s="312"/>
      <c r="Y484" s="312"/>
      <c r="Z484" s="312"/>
    </row>
    <row r="485" customHeight="1" spans="1:26">
      <c r="A485" s="312"/>
      <c r="B485" s="312"/>
      <c r="C485" s="312"/>
      <c r="D485" s="312"/>
      <c r="E485" s="312"/>
      <c r="F485" s="312"/>
      <c r="G485" s="312"/>
      <c r="H485" s="312"/>
      <c r="I485" s="312"/>
      <c r="J485" s="312"/>
      <c r="K485" s="312"/>
      <c r="L485" s="312"/>
      <c r="M485" s="312"/>
      <c r="N485" s="312"/>
      <c r="O485" s="312"/>
      <c r="P485" s="312"/>
      <c r="Q485" s="312"/>
      <c r="R485" s="312"/>
      <c r="S485" s="312"/>
      <c r="T485" s="312"/>
      <c r="U485" s="312"/>
      <c r="V485" s="312"/>
      <c r="W485" s="312"/>
      <c r="X485" s="312"/>
      <c r="Y485" s="312"/>
      <c r="Z485" s="312"/>
    </row>
    <row r="486" customHeight="1" spans="1:26">
      <c r="A486" s="312"/>
      <c r="B486" s="312"/>
      <c r="C486" s="312"/>
      <c r="D486" s="312"/>
      <c r="E486" s="312"/>
      <c r="F486" s="312"/>
      <c r="G486" s="312"/>
      <c r="H486" s="312"/>
      <c r="I486" s="312"/>
      <c r="J486" s="312"/>
      <c r="K486" s="312"/>
      <c r="L486" s="312"/>
      <c r="M486" s="312"/>
      <c r="N486" s="312"/>
      <c r="O486" s="312"/>
      <c r="P486" s="312"/>
      <c r="Q486" s="312"/>
      <c r="R486" s="312"/>
      <c r="S486" s="312"/>
      <c r="T486" s="312"/>
      <c r="U486" s="312"/>
      <c r="V486" s="312"/>
      <c r="W486" s="312"/>
      <c r="X486" s="312"/>
      <c r="Y486" s="312"/>
      <c r="Z486" s="312"/>
    </row>
    <row r="487" customHeight="1" spans="1:26">
      <c r="A487" s="312"/>
      <c r="B487" s="312"/>
      <c r="C487" s="312"/>
      <c r="D487" s="312"/>
      <c r="E487" s="312"/>
      <c r="F487" s="312"/>
      <c r="G487" s="312"/>
      <c r="H487" s="312"/>
      <c r="I487" s="312"/>
      <c r="J487" s="312"/>
      <c r="K487" s="312"/>
      <c r="L487" s="312"/>
      <c r="M487" s="312"/>
      <c r="N487" s="312"/>
      <c r="O487" s="312"/>
      <c r="P487" s="312"/>
      <c r="Q487" s="312"/>
      <c r="R487" s="312"/>
      <c r="S487" s="312"/>
      <c r="T487" s="312"/>
      <c r="U487" s="312"/>
      <c r="V487" s="312"/>
      <c r="W487" s="312"/>
      <c r="X487" s="312"/>
      <c r="Y487" s="312"/>
      <c r="Z487" s="312"/>
    </row>
    <row r="488" customHeight="1" spans="1:26">
      <c r="A488" s="312"/>
      <c r="B488" s="312"/>
      <c r="C488" s="312"/>
      <c r="D488" s="312"/>
      <c r="E488" s="312"/>
      <c r="F488" s="312"/>
      <c r="G488" s="312"/>
      <c r="H488" s="312"/>
      <c r="I488" s="312"/>
      <c r="J488" s="312"/>
      <c r="K488" s="312"/>
      <c r="L488" s="312"/>
      <c r="M488" s="312"/>
      <c r="N488" s="312"/>
      <c r="O488" s="312"/>
      <c r="P488" s="312"/>
      <c r="Q488" s="312"/>
      <c r="R488" s="312"/>
      <c r="S488" s="312"/>
      <c r="T488" s="312"/>
      <c r="U488" s="312"/>
      <c r="V488" s="312"/>
      <c r="W488" s="312"/>
      <c r="X488" s="312"/>
      <c r="Y488" s="312"/>
      <c r="Z488" s="312"/>
    </row>
    <row r="489" customHeight="1" spans="1:26">
      <c r="A489" s="312"/>
      <c r="B489" s="312"/>
      <c r="C489" s="312"/>
      <c r="D489" s="312"/>
      <c r="E489" s="312"/>
      <c r="F489" s="312"/>
      <c r="G489" s="312"/>
      <c r="H489" s="312"/>
      <c r="I489" s="312"/>
      <c r="J489" s="312"/>
      <c r="K489" s="312"/>
      <c r="L489" s="312"/>
      <c r="M489" s="312"/>
      <c r="N489" s="312"/>
      <c r="O489" s="312"/>
      <c r="P489" s="312"/>
      <c r="Q489" s="312"/>
      <c r="R489" s="312"/>
      <c r="S489" s="312"/>
      <c r="T489" s="312"/>
      <c r="U489" s="312"/>
      <c r="V489" s="312"/>
      <c r="W489" s="312"/>
      <c r="X489" s="312"/>
      <c r="Y489" s="312"/>
      <c r="Z489" s="312"/>
    </row>
    <row r="490" customHeight="1" spans="1:26">
      <c r="A490" s="312"/>
      <c r="B490" s="312"/>
      <c r="C490" s="312"/>
      <c r="D490" s="312"/>
      <c r="E490" s="312"/>
      <c r="F490" s="312"/>
      <c r="G490" s="312"/>
      <c r="H490" s="312"/>
      <c r="I490" s="312"/>
      <c r="J490" s="312"/>
      <c r="K490" s="312"/>
      <c r="L490" s="312"/>
      <c r="M490" s="312"/>
      <c r="N490" s="312"/>
      <c r="O490" s="312"/>
      <c r="P490" s="312"/>
      <c r="Q490" s="312"/>
      <c r="R490" s="312"/>
      <c r="S490" s="312"/>
      <c r="T490" s="312"/>
      <c r="U490" s="312"/>
      <c r="V490" s="312"/>
      <c r="W490" s="312"/>
      <c r="X490" s="312"/>
      <c r="Y490" s="312"/>
      <c r="Z490" s="312"/>
    </row>
    <row r="491" customHeight="1" spans="1:26">
      <c r="A491" s="312"/>
      <c r="B491" s="312"/>
      <c r="C491" s="312"/>
      <c r="D491" s="312"/>
      <c r="E491" s="312"/>
      <c r="F491" s="312"/>
      <c r="G491" s="312"/>
      <c r="H491" s="312"/>
      <c r="I491" s="312"/>
      <c r="J491" s="312"/>
      <c r="K491" s="312"/>
      <c r="L491" s="312"/>
      <c r="M491" s="312"/>
      <c r="N491" s="312"/>
      <c r="O491" s="312"/>
      <c r="P491" s="312"/>
      <c r="Q491" s="312"/>
      <c r="R491" s="312"/>
      <c r="S491" s="312"/>
      <c r="T491" s="312"/>
      <c r="U491" s="312"/>
      <c r="V491" s="312"/>
      <c r="W491" s="312"/>
      <c r="X491" s="312"/>
      <c r="Y491" s="312"/>
      <c r="Z491" s="312"/>
    </row>
    <row r="492" customHeight="1" spans="1:26">
      <c r="A492" s="312"/>
      <c r="B492" s="312"/>
      <c r="C492" s="312"/>
      <c r="D492" s="312"/>
      <c r="E492" s="312"/>
      <c r="F492" s="312"/>
      <c r="G492" s="312"/>
      <c r="H492" s="312"/>
      <c r="I492" s="312"/>
      <c r="J492" s="312"/>
      <c r="K492" s="312"/>
      <c r="L492" s="312"/>
      <c r="M492" s="312"/>
      <c r="N492" s="312"/>
      <c r="O492" s="312"/>
      <c r="P492" s="312"/>
      <c r="Q492" s="312"/>
      <c r="R492" s="312"/>
      <c r="S492" s="312"/>
      <c r="T492" s="312"/>
      <c r="U492" s="312"/>
      <c r="V492" s="312"/>
      <c r="W492" s="312"/>
      <c r="X492" s="312"/>
      <c r="Y492" s="312"/>
      <c r="Z492" s="312"/>
    </row>
    <row r="493" customHeight="1" spans="1:26">
      <c r="A493" s="312"/>
      <c r="B493" s="312"/>
      <c r="C493" s="312"/>
      <c r="D493" s="312"/>
      <c r="E493" s="312"/>
      <c r="F493" s="312"/>
      <c r="G493" s="312"/>
      <c r="H493" s="312"/>
      <c r="I493" s="312"/>
      <c r="J493" s="312"/>
      <c r="K493" s="312"/>
      <c r="L493" s="312"/>
      <c r="M493" s="312"/>
      <c r="N493" s="312"/>
      <c r="O493" s="312"/>
      <c r="P493" s="312"/>
      <c r="Q493" s="312"/>
      <c r="R493" s="312"/>
      <c r="S493" s="312"/>
      <c r="T493" s="312"/>
      <c r="U493" s="312"/>
      <c r="V493" s="312"/>
      <c r="W493" s="312"/>
      <c r="X493" s="312"/>
      <c r="Y493" s="312"/>
      <c r="Z493" s="312"/>
    </row>
    <row r="494" customHeight="1" spans="1:26">
      <c r="A494" s="312"/>
      <c r="B494" s="312"/>
      <c r="C494" s="312"/>
      <c r="D494" s="312"/>
      <c r="E494" s="312"/>
      <c r="F494" s="312"/>
      <c r="G494" s="312"/>
      <c r="H494" s="312"/>
      <c r="I494" s="312"/>
      <c r="J494" s="312"/>
      <c r="K494" s="312"/>
      <c r="L494" s="312"/>
      <c r="M494" s="312"/>
      <c r="N494" s="312"/>
      <c r="O494" s="312"/>
      <c r="P494" s="312"/>
      <c r="Q494" s="312"/>
      <c r="R494" s="312"/>
      <c r="S494" s="312"/>
      <c r="T494" s="312"/>
      <c r="U494" s="312"/>
      <c r="V494" s="312"/>
      <c r="W494" s="312"/>
      <c r="X494" s="312"/>
      <c r="Y494" s="312"/>
      <c r="Z494" s="312"/>
    </row>
    <row r="495" customHeight="1" spans="1:26">
      <c r="A495" s="312"/>
      <c r="B495" s="312"/>
      <c r="C495" s="312"/>
      <c r="D495" s="312"/>
      <c r="E495" s="312"/>
      <c r="F495" s="312"/>
      <c r="G495" s="312"/>
      <c r="H495" s="312"/>
      <c r="I495" s="312"/>
      <c r="J495" s="312"/>
      <c r="K495" s="312"/>
      <c r="L495" s="312"/>
      <c r="M495" s="312"/>
      <c r="N495" s="312"/>
      <c r="O495" s="312"/>
      <c r="P495" s="312"/>
      <c r="Q495" s="312"/>
      <c r="R495" s="312"/>
      <c r="S495" s="312"/>
      <c r="T495" s="312"/>
      <c r="U495" s="312"/>
      <c r="V495" s="312"/>
      <c r="W495" s="312"/>
      <c r="X495" s="312"/>
      <c r="Y495" s="312"/>
      <c r="Z495" s="312"/>
    </row>
    <row r="496" customHeight="1" spans="1:26">
      <c r="A496" s="312"/>
      <c r="B496" s="312"/>
      <c r="C496" s="312"/>
      <c r="D496" s="312"/>
      <c r="E496" s="312"/>
      <c r="F496" s="312"/>
      <c r="G496" s="312"/>
      <c r="H496" s="312"/>
      <c r="I496" s="312"/>
      <c r="J496" s="312"/>
      <c r="K496" s="312"/>
      <c r="L496" s="312"/>
      <c r="M496" s="312"/>
      <c r="N496" s="312"/>
      <c r="O496" s="312"/>
      <c r="P496" s="312"/>
      <c r="Q496" s="312"/>
      <c r="R496" s="312"/>
      <c r="S496" s="312"/>
      <c r="T496" s="312"/>
      <c r="U496" s="312"/>
      <c r="V496" s="312"/>
      <c r="W496" s="312"/>
      <c r="X496" s="312"/>
      <c r="Y496" s="312"/>
      <c r="Z496" s="312"/>
    </row>
    <row r="497" customHeight="1" spans="1:26">
      <c r="A497" s="312"/>
      <c r="B497" s="312"/>
      <c r="C497" s="312"/>
      <c r="D497" s="312"/>
      <c r="E497" s="312"/>
      <c r="F497" s="312"/>
      <c r="G497" s="312"/>
      <c r="H497" s="312"/>
      <c r="I497" s="312"/>
      <c r="J497" s="312"/>
      <c r="K497" s="312"/>
      <c r="L497" s="312"/>
      <c r="M497" s="312"/>
      <c r="N497" s="312"/>
      <c r="O497" s="312"/>
      <c r="P497" s="312"/>
      <c r="Q497" s="312"/>
      <c r="R497" s="312"/>
      <c r="S497" s="312"/>
      <c r="T497" s="312"/>
      <c r="U497" s="312"/>
      <c r="V497" s="312"/>
      <c r="W497" s="312"/>
      <c r="X497" s="312"/>
      <c r="Y497" s="312"/>
      <c r="Z497" s="312"/>
    </row>
    <row r="498" customHeight="1" spans="1:26">
      <c r="A498" s="312"/>
      <c r="B498" s="312"/>
      <c r="C498" s="312"/>
      <c r="D498" s="312"/>
      <c r="E498" s="312"/>
      <c r="F498" s="312"/>
      <c r="G498" s="312"/>
      <c r="H498" s="312"/>
      <c r="I498" s="312"/>
      <c r="J498" s="312"/>
      <c r="K498" s="312"/>
      <c r="L498" s="312"/>
      <c r="M498" s="312"/>
      <c r="N498" s="312"/>
      <c r="O498" s="312"/>
      <c r="P498" s="312"/>
      <c r="Q498" s="312"/>
      <c r="R498" s="312"/>
      <c r="S498" s="312"/>
      <c r="T498" s="312"/>
      <c r="U498" s="312"/>
      <c r="V498" s="312"/>
      <c r="W498" s="312"/>
      <c r="X498" s="312"/>
      <c r="Y498" s="312"/>
      <c r="Z498" s="312"/>
    </row>
    <row r="499" customHeight="1" spans="1:26">
      <c r="A499" s="312"/>
      <c r="B499" s="312"/>
      <c r="C499" s="312"/>
      <c r="D499" s="312"/>
      <c r="E499" s="312"/>
      <c r="F499" s="312"/>
      <c r="G499" s="312"/>
      <c r="H499" s="312"/>
      <c r="I499" s="312"/>
      <c r="J499" s="312"/>
      <c r="K499" s="312"/>
      <c r="L499" s="312"/>
      <c r="M499" s="312"/>
      <c r="N499" s="312"/>
      <c r="O499" s="312"/>
      <c r="P499" s="312"/>
      <c r="Q499" s="312"/>
      <c r="R499" s="312"/>
      <c r="S499" s="312"/>
      <c r="T499" s="312"/>
      <c r="U499" s="312"/>
      <c r="V499" s="312"/>
      <c r="W499" s="312"/>
      <c r="X499" s="312"/>
      <c r="Y499" s="312"/>
      <c r="Z499" s="312"/>
    </row>
    <row r="500" customHeight="1" spans="1:26">
      <c r="A500" s="312"/>
      <c r="B500" s="312"/>
      <c r="C500" s="312"/>
      <c r="D500" s="312"/>
      <c r="E500" s="312"/>
      <c r="F500" s="312"/>
      <c r="G500" s="312"/>
      <c r="H500" s="312"/>
      <c r="I500" s="312"/>
      <c r="J500" s="312"/>
      <c r="K500" s="312"/>
      <c r="L500" s="312"/>
      <c r="M500" s="312"/>
      <c r="N500" s="312"/>
      <c r="O500" s="312"/>
      <c r="P500" s="312"/>
      <c r="Q500" s="312"/>
      <c r="R500" s="312"/>
      <c r="S500" s="312"/>
      <c r="T500" s="312"/>
      <c r="U500" s="312"/>
      <c r="V500" s="312"/>
      <c r="W500" s="312"/>
      <c r="X500" s="312"/>
      <c r="Y500" s="312"/>
      <c r="Z500" s="312"/>
    </row>
    <row r="501" customHeight="1" spans="1:26">
      <c r="A501" s="312"/>
      <c r="B501" s="312"/>
      <c r="C501" s="312"/>
      <c r="D501" s="312"/>
      <c r="E501" s="312"/>
      <c r="F501" s="312"/>
      <c r="G501" s="312"/>
      <c r="H501" s="312"/>
      <c r="I501" s="312"/>
      <c r="J501" s="312"/>
      <c r="K501" s="312"/>
      <c r="L501" s="312"/>
      <c r="M501" s="312"/>
      <c r="N501" s="312"/>
      <c r="O501" s="312"/>
      <c r="P501" s="312"/>
      <c r="Q501" s="312"/>
      <c r="R501" s="312"/>
      <c r="S501" s="312"/>
      <c r="T501" s="312"/>
      <c r="U501" s="312"/>
      <c r="V501" s="312"/>
      <c r="W501" s="312"/>
      <c r="X501" s="312"/>
      <c r="Y501" s="312"/>
      <c r="Z501" s="312"/>
    </row>
    <row r="502" customHeight="1" spans="1:26">
      <c r="A502" s="312"/>
      <c r="B502" s="312"/>
      <c r="C502" s="312"/>
      <c r="D502" s="312"/>
      <c r="E502" s="312"/>
      <c r="F502" s="312"/>
      <c r="G502" s="312"/>
      <c r="H502" s="312"/>
      <c r="I502" s="312"/>
      <c r="J502" s="312"/>
      <c r="K502" s="312"/>
      <c r="L502" s="312"/>
      <c r="M502" s="312"/>
      <c r="N502" s="312"/>
      <c r="O502" s="312"/>
      <c r="P502" s="312"/>
      <c r="Q502" s="312"/>
      <c r="R502" s="312"/>
      <c r="S502" s="312"/>
      <c r="T502" s="312"/>
      <c r="U502" s="312"/>
      <c r="V502" s="312"/>
      <c r="W502" s="312"/>
      <c r="X502" s="312"/>
      <c r="Y502" s="312"/>
      <c r="Z502" s="312"/>
    </row>
    <row r="503" customHeight="1" spans="1:26">
      <c r="A503" s="312"/>
      <c r="B503" s="312"/>
      <c r="C503" s="312"/>
      <c r="D503" s="312"/>
      <c r="E503" s="312"/>
      <c r="F503" s="312"/>
      <c r="G503" s="312"/>
      <c r="H503" s="312"/>
      <c r="I503" s="312"/>
      <c r="J503" s="312"/>
      <c r="K503" s="312"/>
      <c r="L503" s="312"/>
      <c r="M503" s="312"/>
      <c r="N503" s="312"/>
      <c r="O503" s="312"/>
      <c r="P503" s="312"/>
      <c r="Q503" s="312"/>
      <c r="R503" s="312"/>
      <c r="S503" s="312"/>
      <c r="T503" s="312"/>
      <c r="U503" s="312"/>
      <c r="V503" s="312"/>
      <c r="W503" s="312"/>
      <c r="X503" s="312"/>
      <c r="Y503" s="312"/>
      <c r="Z503" s="312"/>
    </row>
    <row r="504" customHeight="1" spans="1:26">
      <c r="A504" s="312"/>
      <c r="B504" s="312"/>
      <c r="C504" s="312"/>
      <c r="D504" s="312"/>
      <c r="E504" s="312"/>
      <c r="F504" s="312"/>
      <c r="G504" s="312"/>
      <c r="H504" s="312"/>
      <c r="I504" s="312"/>
      <c r="J504" s="312"/>
      <c r="K504" s="312"/>
      <c r="L504" s="312"/>
      <c r="M504" s="312"/>
      <c r="N504" s="312"/>
      <c r="O504" s="312"/>
      <c r="P504" s="312"/>
      <c r="Q504" s="312"/>
      <c r="R504" s="312"/>
      <c r="S504" s="312"/>
      <c r="T504" s="312"/>
      <c r="U504" s="312"/>
      <c r="V504" s="312"/>
      <c r="W504" s="312"/>
      <c r="X504" s="312"/>
      <c r="Y504" s="312"/>
      <c r="Z504" s="312"/>
    </row>
    <row r="505" customHeight="1" spans="1:26">
      <c r="A505" s="312"/>
      <c r="B505" s="312"/>
      <c r="C505" s="312"/>
      <c r="D505" s="312"/>
      <c r="E505" s="312"/>
      <c r="F505" s="312"/>
      <c r="G505" s="312"/>
      <c r="H505" s="312"/>
      <c r="I505" s="312"/>
      <c r="J505" s="312"/>
      <c r="K505" s="312"/>
      <c r="L505" s="312"/>
      <c r="M505" s="312"/>
      <c r="N505" s="312"/>
      <c r="O505" s="312"/>
      <c r="P505" s="312"/>
      <c r="Q505" s="312"/>
      <c r="R505" s="312"/>
      <c r="S505" s="312"/>
      <c r="T505" s="312"/>
      <c r="U505" s="312"/>
      <c r="V505" s="312"/>
      <c r="W505" s="312"/>
      <c r="X505" s="312"/>
      <c r="Y505" s="312"/>
      <c r="Z505" s="312"/>
    </row>
    <row r="506" customHeight="1" spans="1:26">
      <c r="A506" s="312"/>
      <c r="B506" s="312"/>
      <c r="C506" s="312"/>
      <c r="D506" s="312"/>
      <c r="E506" s="312"/>
      <c r="F506" s="312"/>
      <c r="G506" s="312"/>
      <c r="H506" s="312"/>
      <c r="I506" s="312"/>
      <c r="J506" s="312"/>
      <c r="K506" s="312"/>
      <c r="L506" s="312"/>
      <c r="M506" s="312"/>
      <c r="N506" s="312"/>
      <c r="O506" s="312"/>
      <c r="P506" s="312"/>
      <c r="Q506" s="312"/>
      <c r="R506" s="312"/>
      <c r="S506" s="312"/>
      <c r="T506" s="312"/>
      <c r="U506" s="312"/>
      <c r="V506" s="312"/>
      <c r="W506" s="312"/>
      <c r="X506" s="312"/>
      <c r="Y506" s="312"/>
      <c r="Z506" s="312"/>
    </row>
    <row r="507" customHeight="1" spans="1:26">
      <c r="A507" s="312"/>
      <c r="B507" s="312"/>
      <c r="C507" s="312"/>
      <c r="D507" s="312"/>
      <c r="E507" s="312"/>
      <c r="F507" s="312"/>
      <c r="G507" s="312"/>
      <c r="H507" s="312"/>
      <c r="I507" s="312"/>
      <c r="J507" s="312"/>
      <c r="K507" s="312"/>
      <c r="L507" s="312"/>
      <c r="M507" s="312"/>
      <c r="N507" s="312"/>
      <c r="O507" s="312"/>
      <c r="P507" s="312"/>
      <c r="Q507" s="312"/>
      <c r="R507" s="312"/>
      <c r="S507" s="312"/>
      <c r="T507" s="312"/>
      <c r="U507" s="312"/>
      <c r="V507" s="312"/>
      <c r="W507" s="312"/>
      <c r="X507" s="312"/>
      <c r="Y507" s="312"/>
      <c r="Z507" s="312"/>
    </row>
    <row r="508" customHeight="1" spans="1:26">
      <c r="A508" s="312"/>
      <c r="B508" s="312"/>
      <c r="C508" s="312"/>
      <c r="D508" s="312"/>
      <c r="E508" s="312"/>
      <c r="F508" s="312"/>
      <c r="G508" s="312"/>
      <c r="H508" s="312"/>
      <c r="I508" s="312"/>
      <c r="J508" s="312"/>
      <c r="K508" s="312"/>
      <c r="L508" s="312"/>
      <c r="M508" s="312"/>
      <c r="N508" s="312"/>
      <c r="O508" s="312"/>
      <c r="P508" s="312"/>
      <c r="Q508" s="312"/>
      <c r="R508" s="312"/>
      <c r="S508" s="312"/>
      <c r="T508" s="312"/>
      <c r="U508" s="312"/>
      <c r="V508" s="312"/>
      <c r="W508" s="312"/>
      <c r="X508" s="312"/>
      <c r="Y508" s="312"/>
      <c r="Z508" s="312"/>
    </row>
    <row r="509" customHeight="1" spans="1:26">
      <c r="A509" s="312"/>
      <c r="B509" s="312"/>
      <c r="C509" s="312"/>
      <c r="D509" s="312"/>
      <c r="E509" s="312"/>
      <c r="F509" s="312"/>
      <c r="G509" s="312"/>
      <c r="H509" s="312"/>
      <c r="I509" s="312"/>
      <c r="J509" s="312"/>
      <c r="K509" s="312"/>
      <c r="L509" s="312"/>
      <c r="M509" s="312"/>
      <c r="N509" s="312"/>
      <c r="O509" s="312"/>
      <c r="P509" s="312"/>
      <c r="Q509" s="312"/>
      <c r="R509" s="312"/>
      <c r="S509" s="312"/>
      <c r="T509" s="312"/>
      <c r="U509" s="312"/>
      <c r="V509" s="312"/>
      <c r="W509" s="312"/>
      <c r="X509" s="312"/>
      <c r="Y509" s="312"/>
      <c r="Z509" s="312"/>
    </row>
    <row r="510" customHeight="1" spans="1:26">
      <c r="A510" s="312"/>
      <c r="B510" s="312"/>
      <c r="C510" s="312"/>
      <c r="D510" s="312"/>
      <c r="E510" s="312"/>
      <c r="F510" s="312"/>
      <c r="G510" s="312"/>
      <c r="H510" s="312"/>
      <c r="I510" s="312"/>
      <c r="J510" s="312"/>
      <c r="K510" s="312"/>
      <c r="L510" s="312"/>
      <c r="M510" s="312"/>
      <c r="N510" s="312"/>
      <c r="O510" s="312"/>
      <c r="P510" s="312"/>
      <c r="Q510" s="312"/>
      <c r="R510" s="312"/>
      <c r="S510" s="312"/>
      <c r="T510" s="312"/>
      <c r="U510" s="312"/>
      <c r="V510" s="312"/>
      <c r="W510" s="312"/>
      <c r="X510" s="312"/>
      <c r="Y510" s="312"/>
      <c r="Z510" s="312"/>
    </row>
    <row r="511" customHeight="1" spans="1:26">
      <c r="A511" s="312"/>
      <c r="B511" s="312"/>
      <c r="C511" s="312"/>
      <c r="D511" s="312"/>
      <c r="E511" s="312"/>
      <c r="F511" s="312"/>
      <c r="G511" s="312"/>
      <c r="H511" s="312"/>
      <c r="I511" s="312"/>
      <c r="J511" s="312"/>
      <c r="K511" s="312"/>
      <c r="L511" s="312"/>
      <c r="M511" s="312"/>
      <c r="N511" s="312"/>
      <c r="O511" s="312"/>
      <c r="P511" s="312"/>
      <c r="Q511" s="312"/>
      <c r="R511" s="312"/>
      <c r="S511" s="312"/>
      <c r="T511" s="312"/>
      <c r="U511" s="312"/>
      <c r="V511" s="312"/>
      <c r="W511" s="312"/>
      <c r="X511" s="312"/>
      <c r="Y511" s="312"/>
      <c r="Z511" s="312"/>
    </row>
    <row r="512" customHeight="1" spans="1:26">
      <c r="A512" s="312"/>
      <c r="B512" s="312"/>
      <c r="C512" s="312"/>
      <c r="D512" s="312"/>
      <c r="E512" s="312"/>
      <c r="F512" s="312"/>
      <c r="G512" s="312"/>
      <c r="H512" s="312"/>
      <c r="I512" s="312"/>
      <c r="J512" s="312"/>
      <c r="K512" s="312"/>
      <c r="L512" s="312"/>
      <c r="M512" s="312"/>
      <c r="N512" s="312"/>
      <c r="O512" s="312"/>
      <c r="P512" s="312"/>
      <c r="Q512" s="312"/>
      <c r="R512" s="312"/>
      <c r="S512" s="312"/>
      <c r="T512" s="312"/>
      <c r="U512" s="312"/>
      <c r="V512" s="312"/>
      <c r="W512" s="312"/>
      <c r="X512" s="312"/>
      <c r="Y512" s="312"/>
      <c r="Z512" s="312"/>
    </row>
    <row r="513" customHeight="1" spans="1:26">
      <c r="A513" s="312"/>
      <c r="B513" s="312"/>
      <c r="C513" s="312"/>
      <c r="D513" s="312"/>
      <c r="E513" s="312"/>
      <c r="F513" s="312"/>
      <c r="G513" s="312"/>
      <c r="H513" s="312"/>
      <c r="I513" s="312"/>
      <c r="J513" s="312"/>
      <c r="K513" s="312"/>
      <c r="L513" s="312"/>
      <c r="M513" s="312"/>
      <c r="N513" s="312"/>
      <c r="O513" s="312"/>
      <c r="P513" s="312"/>
      <c r="Q513" s="312"/>
      <c r="R513" s="312"/>
      <c r="S513" s="312"/>
      <c r="T513" s="312"/>
      <c r="U513" s="312"/>
      <c r="V513" s="312"/>
      <c r="W513" s="312"/>
      <c r="X513" s="312"/>
      <c r="Y513" s="312"/>
      <c r="Z513" s="312"/>
    </row>
    <row r="514" customHeight="1" spans="1:26">
      <c r="A514" s="312"/>
      <c r="B514" s="312"/>
      <c r="C514" s="312"/>
      <c r="D514" s="312"/>
      <c r="E514" s="312"/>
      <c r="F514" s="312"/>
      <c r="G514" s="312"/>
      <c r="H514" s="312"/>
      <c r="I514" s="312"/>
      <c r="J514" s="312"/>
      <c r="K514" s="312"/>
      <c r="L514" s="312"/>
      <c r="M514" s="312"/>
      <c r="N514" s="312"/>
      <c r="O514" s="312"/>
      <c r="P514" s="312"/>
      <c r="Q514" s="312"/>
      <c r="R514" s="312"/>
      <c r="S514" s="312"/>
      <c r="T514" s="312"/>
      <c r="U514" s="312"/>
      <c r="V514" s="312"/>
      <c r="W514" s="312"/>
      <c r="X514" s="312"/>
      <c r="Y514" s="312"/>
      <c r="Z514" s="312"/>
    </row>
    <row r="515" customHeight="1" spans="1:26">
      <c r="A515" s="312"/>
      <c r="B515" s="312"/>
      <c r="C515" s="312"/>
      <c r="D515" s="312"/>
      <c r="E515" s="312"/>
      <c r="F515" s="312"/>
      <c r="G515" s="312"/>
      <c r="H515" s="312"/>
      <c r="I515" s="312"/>
      <c r="J515" s="312"/>
      <c r="K515" s="312"/>
      <c r="L515" s="312"/>
      <c r="M515" s="312"/>
      <c r="N515" s="312"/>
      <c r="O515" s="312"/>
      <c r="P515" s="312"/>
      <c r="Q515" s="312"/>
      <c r="R515" s="312"/>
      <c r="S515" s="312"/>
      <c r="T515" s="312"/>
      <c r="U515" s="312"/>
      <c r="V515" s="312"/>
      <c r="W515" s="312"/>
      <c r="X515" s="312"/>
      <c r="Y515" s="312"/>
      <c r="Z515" s="312"/>
    </row>
    <row r="516" customHeight="1" spans="1:26">
      <c r="A516" s="312"/>
      <c r="B516" s="312"/>
      <c r="C516" s="312"/>
      <c r="D516" s="312"/>
      <c r="E516" s="312"/>
      <c r="F516" s="312"/>
      <c r="G516" s="312"/>
      <c r="H516" s="312"/>
      <c r="I516" s="312"/>
      <c r="J516" s="312"/>
      <c r="K516" s="312"/>
      <c r="L516" s="312"/>
      <c r="M516" s="312"/>
      <c r="N516" s="312"/>
      <c r="O516" s="312"/>
      <c r="P516" s="312"/>
      <c r="Q516" s="312"/>
      <c r="R516" s="312"/>
      <c r="S516" s="312"/>
      <c r="T516" s="312"/>
      <c r="U516" s="312"/>
      <c r="V516" s="312"/>
      <c r="W516" s="312"/>
      <c r="X516" s="312"/>
      <c r="Y516" s="312"/>
      <c r="Z516" s="312"/>
    </row>
    <row r="517" customHeight="1" spans="1:26">
      <c r="A517" s="312"/>
      <c r="B517" s="312"/>
      <c r="C517" s="312"/>
      <c r="D517" s="312"/>
      <c r="E517" s="312"/>
      <c r="F517" s="312"/>
      <c r="G517" s="312"/>
      <c r="H517" s="312"/>
      <c r="I517" s="312"/>
      <c r="J517" s="312"/>
      <c r="K517" s="312"/>
      <c r="L517" s="312"/>
      <c r="M517" s="312"/>
      <c r="N517" s="312"/>
      <c r="O517" s="312"/>
      <c r="P517" s="312"/>
      <c r="Q517" s="312"/>
      <c r="R517" s="312"/>
      <c r="S517" s="312"/>
      <c r="T517" s="312"/>
      <c r="U517" s="312"/>
      <c r="V517" s="312"/>
      <c r="W517" s="312"/>
      <c r="X517" s="312"/>
      <c r="Y517" s="312"/>
      <c r="Z517" s="312"/>
    </row>
    <row r="518" customHeight="1" spans="1:26">
      <c r="A518" s="312"/>
      <c r="B518" s="312"/>
      <c r="C518" s="312"/>
      <c r="D518" s="312"/>
      <c r="E518" s="312"/>
      <c r="F518" s="312"/>
      <c r="G518" s="312"/>
      <c r="H518" s="312"/>
      <c r="I518" s="312"/>
      <c r="J518" s="312"/>
      <c r="K518" s="312"/>
      <c r="L518" s="312"/>
      <c r="M518" s="312"/>
      <c r="N518" s="312"/>
      <c r="O518" s="312"/>
      <c r="P518" s="312"/>
      <c r="Q518" s="312"/>
      <c r="R518" s="312"/>
      <c r="S518" s="312"/>
      <c r="T518" s="312"/>
      <c r="U518" s="312"/>
      <c r="V518" s="312"/>
      <c r="W518" s="312"/>
      <c r="X518" s="312"/>
      <c r="Y518" s="312"/>
      <c r="Z518" s="312"/>
    </row>
    <row r="519" customHeight="1" spans="1:26">
      <c r="A519" s="312"/>
      <c r="B519" s="312"/>
      <c r="C519" s="312"/>
      <c r="D519" s="312"/>
      <c r="E519" s="312"/>
      <c r="F519" s="312"/>
      <c r="G519" s="312"/>
      <c r="H519" s="312"/>
      <c r="I519" s="312"/>
      <c r="J519" s="312"/>
      <c r="K519" s="312"/>
      <c r="L519" s="312"/>
      <c r="M519" s="312"/>
      <c r="N519" s="312"/>
      <c r="O519" s="312"/>
      <c r="P519" s="312"/>
      <c r="Q519" s="312"/>
      <c r="R519" s="312"/>
      <c r="S519" s="312"/>
      <c r="T519" s="312"/>
      <c r="U519" s="312"/>
      <c r="V519" s="312"/>
      <c r="W519" s="312"/>
      <c r="X519" s="312"/>
      <c r="Y519" s="312"/>
      <c r="Z519" s="312"/>
    </row>
    <row r="520" customHeight="1" spans="1:26">
      <c r="A520" s="312"/>
      <c r="B520" s="312"/>
      <c r="C520" s="312"/>
      <c r="D520" s="312"/>
      <c r="E520" s="312"/>
      <c r="F520" s="312"/>
      <c r="G520" s="312"/>
      <c r="H520" s="312"/>
      <c r="I520" s="312"/>
      <c r="J520" s="312"/>
      <c r="K520" s="312"/>
      <c r="L520" s="312"/>
      <c r="M520" s="312"/>
      <c r="N520" s="312"/>
      <c r="O520" s="312"/>
      <c r="P520" s="312"/>
      <c r="Q520" s="312"/>
      <c r="R520" s="312"/>
      <c r="S520" s="312"/>
      <c r="T520" s="312"/>
      <c r="U520" s="312"/>
      <c r="V520" s="312"/>
      <c r="W520" s="312"/>
      <c r="X520" s="312"/>
      <c r="Y520" s="312"/>
      <c r="Z520" s="312"/>
    </row>
    <row r="521" customHeight="1" spans="1:26">
      <c r="A521" s="312"/>
      <c r="B521" s="312"/>
      <c r="C521" s="312"/>
      <c r="D521" s="312"/>
      <c r="E521" s="312"/>
      <c r="F521" s="312"/>
      <c r="G521" s="312"/>
      <c r="H521" s="312"/>
      <c r="I521" s="312"/>
      <c r="J521" s="312"/>
      <c r="K521" s="312"/>
      <c r="L521" s="312"/>
      <c r="M521" s="312"/>
      <c r="N521" s="312"/>
      <c r="O521" s="312"/>
      <c r="P521" s="312"/>
      <c r="Q521" s="312"/>
      <c r="R521" s="312"/>
      <c r="S521" s="312"/>
      <c r="T521" s="312"/>
      <c r="U521" s="312"/>
      <c r="V521" s="312"/>
      <c r="W521" s="312"/>
      <c r="X521" s="312"/>
      <c r="Y521" s="312"/>
      <c r="Z521" s="312"/>
    </row>
    <row r="522" customHeight="1" spans="1:26">
      <c r="A522" s="312"/>
      <c r="B522" s="312"/>
      <c r="C522" s="312"/>
      <c r="D522" s="312"/>
      <c r="E522" s="312"/>
      <c r="F522" s="312"/>
      <c r="G522" s="312"/>
      <c r="H522" s="312"/>
      <c r="I522" s="312"/>
      <c r="J522" s="312"/>
      <c r="K522" s="312"/>
      <c r="L522" s="312"/>
      <c r="M522" s="312"/>
      <c r="N522" s="312"/>
      <c r="O522" s="312"/>
      <c r="P522" s="312"/>
      <c r="Q522" s="312"/>
      <c r="R522" s="312"/>
      <c r="S522" s="312"/>
      <c r="T522" s="312"/>
      <c r="U522" s="312"/>
      <c r="V522" s="312"/>
      <c r="W522" s="312"/>
      <c r="X522" s="312"/>
      <c r="Y522" s="312"/>
      <c r="Z522" s="312"/>
    </row>
    <row r="523" customHeight="1" spans="1:26">
      <c r="A523" s="312"/>
      <c r="B523" s="312"/>
      <c r="C523" s="312"/>
      <c r="D523" s="312"/>
      <c r="E523" s="312"/>
      <c r="F523" s="312"/>
      <c r="G523" s="312"/>
      <c r="H523" s="312"/>
      <c r="I523" s="312"/>
      <c r="J523" s="312"/>
      <c r="K523" s="312"/>
      <c r="L523" s="312"/>
      <c r="M523" s="312"/>
      <c r="N523" s="312"/>
      <c r="O523" s="312"/>
      <c r="P523" s="312"/>
      <c r="Q523" s="312"/>
      <c r="R523" s="312"/>
      <c r="S523" s="312"/>
      <c r="T523" s="312"/>
      <c r="U523" s="312"/>
      <c r="V523" s="312"/>
      <c r="W523" s="312"/>
      <c r="X523" s="312"/>
      <c r="Y523" s="312"/>
      <c r="Z523" s="312"/>
    </row>
    <row r="524" customHeight="1" spans="1:26">
      <c r="A524" s="312"/>
      <c r="B524" s="312"/>
      <c r="C524" s="312"/>
      <c r="D524" s="312"/>
      <c r="E524" s="312"/>
      <c r="F524" s="312"/>
      <c r="G524" s="312"/>
      <c r="H524" s="312"/>
      <c r="I524" s="312"/>
      <c r="J524" s="312"/>
      <c r="K524" s="312"/>
      <c r="L524" s="312"/>
      <c r="M524" s="312"/>
      <c r="N524" s="312"/>
      <c r="O524" s="312"/>
      <c r="P524" s="312"/>
      <c r="Q524" s="312"/>
      <c r="R524" s="312"/>
      <c r="S524" s="312"/>
      <c r="T524" s="312"/>
      <c r="U524" s="312"/>
      <c r="V524" s="312"/>
      <c r="W524" s="312"/>
      <c r="X524" s="312"/>
      <c r="Y524" s="312"/>
      <c r="Z524" s="312"/>
    </row>
    <row r="525" customHeight="1" spans="1:26">
      <c r="A525" s="312"/>
      <c r="B525" s="312"/>
      <c r="C525" s="312"/>
      <c r="D525" s="312"/>
      <c r="E525" s="312"/>
      <c r="F525" s="312"/>
      <c r="G525" s="312"/>
      <c r="H525" s="312"/>
      <c r="I525" s="312"/>
      <c r="J525" s="312"/>
      <c r="K525" s="312"/>
      <c r="L525" s="312"/>
      <c r="M525" s="312"/>
      <c r="N525" s="312"/>
      <c r="O525" s="312"/>
      <c r="P525" s="312"/>
      <c r="Q525" s="312"/>
      <c r="R525" s="312"/>
      <c r="S525" s="312"/>
      <c r="T525" s="312"/>
      <c r="U525" s="312"/>
      <c r="V525" s="312"/>
      <c r="W525" s="312"/>
      <c r="X525" s="312"/>
      <c r="Y525" s="312"/>
      <c r="Z525" s="312"/>
    </row>
    <row r="526" customHeight="1" spans="1:26">
      <c r="A526" s="312"/>
      <c r="B526" s="312"/>
      <c r="C526" s="312"/>
      <c r="D526" s="312"/>
      <c r="E526" s="312"/>
      <c r="F526" s="312"/>
      <c r="G526" s="312"/>
      <c r="H526" s="312"/>
      <c r="I526" s="312"/>
      <c r="J526" s="312"/>
      <c r="K526" s="312"/>
      <c r="L526" s="312"/>
      <c r="M526" s="312"/>
      <c r="N526" s="312"/>
      <c r="O526" s="312"/>
      <c r="P526" s="312"/>
      <c r="Q526" s="312"/>
      <c r="R526" s="312"/>
      <c r="S526" s="312"/>
      <c r="T526" s="312"/>
      <c r="U526" s="312"/>
      <c r="V526" s="312"/>
      <c r="W526" s="312"/>
      <c r="X526" s="312"/>
      <c r="Y526" s="312"/>
      <c r="Z526" s="312"/>
    </row>
    <row r="527" customHeight="1" spans="1:26">
      <c r="A527" s="312"/>
      <c r="B527" s="312"/>
      <c r="C527" s="312"/>
      <c r="D527" s="312"/>
      <c r="E527" s="312"/>
      <c r="F527" s="312"/>
      <c r="G527" s="312"/>
      <c r="H527" s="312"/>
      <c r="I527" s="312"/>
      <c r="J527" s="312"/>
      <c r="K527" s="312"/>
      <c r="L527" s="312"/>
      <c r="M527" s="312"/>
      <c r="N527" s="312"/>
      <c r="O527" s="312"/>
      <c r="P527" s="312"/>
      <c r="Q527" s="312"/>
      <c r="R527" s="312"/>
      <c r="S527" s="312"/>
      <c r="T527" s="312"/>
      <c r="U527" s="312"/>
      <c r="V527" s="312"/>
      <c r="W527" s="312"/>
      <c r="X527" s="312"/>
      <c r="Y527" s="312"/>
      <c r="Z527" s="312"/>
    </row>
    <row r="528" customHeight="1" spans="1:26">
      <c r="A528" s="312"/>
      <c r="B528" s="312"/>
      <c r="C528" s="312"/>
      <c r="D528" s="312"/>
      <c r="E528" s="312"/>
      <c r="F528" s="312"/>
      <c r="G528" s="312"/>
      <c r="H528" s="312"/>
      <c r="I528" s="312"/>
      <c r="J528" s="312"/>
      <c r="K528" s="312"/>
      <c r="L528" s="312"/>
      <c r="M528" s="312"/>
      <c r="N528" s="312"/>
      <c r="O528" s="312"/>
      <c r="P528" s="312"/>
      <c r="Q528" s="312"/>
      <c r="R528" s="312"/>
      <c r="S528" s="312"/>
      <c r="T528" s="312"/>
      <c r="U528" s="312"/>
      <c r="V528" s="312"/>
      <c r="W528" s="312"/>
      <c r="X528" s="312"/>
      <c r="Y528" s="312"/>
      <c r="Z528" s="312"/>
    </row>
    <row r="529" customHeight="1" spans="1:26">
      <c r="A529" s="312"/>
      <c r="B529" s="312"/>
      <c r="C529" s="312"/>
      <c r="D529" s="312"/>
      <c r="E529" s="312"/>
      <c r="F529" s="312"/>
      <c r="G529" s="312"/>
      <c r="H529" s="312"/>
      <c r="I529" s="312"/>
      <c r="J529" s="312"/>
      <c r="K529" s="312"/>
      <c r="L529" s="312"/>
      <c r="M529" s="312"/>
      <c r="N529" s="312"/>
      <c r="O529" s="312"/>
      <c r="P529" s="312"/>
      <c r="Q529" s="312"/>
      <c r="R529" s="312"/>
      <c r="S529" s="312"/>
      <c r="T529" s="312"/>
      <c r="U529" s="312"/>
      <c r="V529" s="312"/>
      <c r="W529" s="312"/>
      <c r="X529" s="312"/>
      <c r="Y529" s="312"/>
      <c r="Z529" s="312"/>
    </row>
    <row r="530" customHeight="1" spans="1:26">
      <c r="A530" s="312"/>
      <c r="B530" s="312"/>
      <c r="C530" s="312"/>
      <c r="D530" s="312"/>
      <c r="E530" s="312"/>
      <c r="F530" s="312"/>
      <c r="G530" s="312"/>
      <c r="H530" s="312"/>
      <c r="I530" s="312"/>
      <c r="J530" s="312"/>
      <c r="K530" s="312"/>
      <c r="L530" s="312"/>
      <c r="M530" s="312"/>
      <c r="N530" s="312"/>
      <c r="O530" s="312"/>
      <c r="P530" s="312"/>
      <c r="Q530" s="312"/>
      <c r="R530" s="312"/>
      <c r="S530" s="312"/>
      <c r="T530" s="312"/>
      <c r="U530" s="312"/>
      <c r="V530" s="312"/>
      <c r="W530" s="312"/>
      <c r="X530" s="312"/>
      <c r="Y530" s="312"/>
      <c r="Z530" s="312"/>
    </row>
    <row r="531" customHeight="1" spans="1:26">
      <c r="A531" s="312"/>
      <c r="B531" s="312"/>
      <c r="C531" s="312"/>
      <c r="D531" s="312"/>
      <c r="E531" s="312"/>
      <c r="F531" s="312"/>
      <c r="G531" s="312"/>
      <c r="H531" s="312"/>
      <c r="I531" s="312"/>
      <c r="J531" s="312"/>
      <c r="K531" s="312"/>
      <c r="L531" s="312"/>
      <c r="M531" s="312"/>
      <c r="N531" s="312"/>
      <c r="O531" s="312"/>
      <c r="P531" s="312"/>
      <c r="Q531" s="312"/>
      <c r="R531" s="312"/>
      <c r="S531" s="312"/>
      <c r="T531" s="312"/>
      <c r="U531" s="312"/>
      <c r="V531" s="312"/>
      <c r="W531" s="312"/>
      <c r="X531" s="312"/>
      <c r="Y531" s="312"/>
      <c r="Z531" s="312"/>
    </row>
    <row r="532" customHeight="1" spans="1:26">
      <c r="A532" s="312"/>
      <c r="B532" s="312"/>
      <c r="C532" s="312"/>
      <c r="D532" s="312"/>
      <c r="E532" s="312"/>
      <c r="F532" s="312"/>
      <c r="G532" s="312"/>
      <c r="H532" s="312"/>
      <c r="I532" s="312"/>
      <c r="J532" s="312"/>
      <c r="K532" s="312"/>
      <c r="L532" s="312"/>
      <c r="M532" s="312"/>
      <c r="N532" s="312"/>
      <c r="O532" s="312"/>
      <c r="P532" s="312"/>
      <c r="Q532" s="312"/>
      <c r="R532" s="312"/>
      <c r="S532" s="312"/>
      <c r="T532" s="312"/>
      <c r="U532" s="312"/>
      <c r="V532" s="312"/>
      <c r="W532" s="312"/>
      <c r="X532" s="312"/>
      <c r="Y532" s="312"/>
      <c r="Z532" s="312"/>
    </row>
    <row r="533" customHeight="1" spans="1:26">
      <c r="A533" s="312"/>
      <c r="B533" s="312"/>
      <c r="C533" s="312"/>
      <c r="D533" s="312"/>
      <c r="E533" s="312"/>
      <c r="F533" s="312"/>
      <c r="G533" s="312"/>
      <c r="H533" s="312"/>
      <c r="I533" s="312"/>
      <c r="J533" s="312"/>
      <c r="K533" s="312"/>
      <c r="L533" s="312"/>
      <c r="M533" s="312"/>
      <c r="N533" s="312"/>
      <c r="O533" s="312"/>
      <c r="P533" s="312"/>
      <c r="Q533" s="312"/>
      <c r="R533" s="312"/>
      <c r="S533" s="312"/>
      <c r="T533" s="312"/>
      <c r="U533" s="312"/>
      <c r="V533" s="312"/>
      <c r="W533" s="312"/>
      <c r="X533" s="312"/>
      <c r="Y533" s="312"/>
      <c r="Z533" s="312"/>
    </row>
    <row r="534" customHeight="1" spans="1:26">
      <c r="A534" s="312"/>
      <c r="B534" s="312"/>
      <c r="C534" s="312"/>
      <c r="D534" s="312"/>
      <c r="E534" s="312"/>
      <c r="F534" s="312"/>
      <c r="G534" s="312"/>
      <c r="H534" s="312"/>
      <c r="I534" s="312"/>
      <c r="J534" s="312"/>
      <c r="K534" s="312"/>
      <c r="L534" s="312"/>
      <c r="M534" s="312"/>
      <c r="N534" s="312"/>
      <c r="O534" s="312"/>
      <c r="P534" s="312"/>
      <c r="Q534" s="312"/>
      <c r="R534" s="312"/>
      <c r="S534" s="312"/>
      <c r="T534" s="312"/>
      <c r="U534" s="312"/>
      <c r="V534" s="312"/>
      <c r="W534" s="312"/>
      <c r="X534" s="312"/>
      <c r="Y534" s="312"/>
      <c r="Z534" s="312"/>
    </row>
    <row r="535" customHeight="1" spans="1:26">
      <c r="A535" s="312"/>
      <c r="B535" s="312"/>
      <c r="C535" s="312"/>
      <c r="D535" s="312"/>
      <c r="E535" s="312"/>
      <c r="F535" s="312"/>
      <c r="G535" s="312"/>
      <c r="H535" s="312"/>
      <c r="I535" s="312"/>
      <c r="J535" s="312"/>
      <c r="K535" s="312"/>
      <c r="L535" s="312"/>
      <c r="M535" s="312"/>
      <c r="N535" s="312"/>
      <c r="O535" s="312"/>
      <c r="P535" s="312"/>
      <c r="Q535" s="312"/>
      <c r="R535" s="312"/>
      <c r="S535" s="312"/>
      <c r="T535" s="312"/>
      <c r="U535" s="312"/>
      <c r="V535" s="312"/>
      <c r="W535" s="312"/>
      <c r="X535" s="312"/>
      <c r="Y535" s="312"/>
      <c r="Z535" s="312"/>
    </row>
    <row r="536" customHeight="1" spans="1:26">
      <c r="A536" s="312"/>
      <c r="B536" s="312"/>
      <c r="C536" s="312"/>
      <c r="D536" s="312"/>
      <c r="E536" s="312"/>
      <c r="F536" s="312"/>
      <c r="G536" s="312"/>
      <c r="H536" s="312"/>
      <c r="I536" s="312"/>
      <c r="J536" s="312"/>
      <c r="K536" s="312"/>
      <c r="L536" s="312"/>
      <c r="M536" s="312"/>
      <c r="N536" s="312"/>
      <c r="O536" s="312"/>
      <c r="P536" s="312"/>
      <c r="Q536" s="312"/>
      <c r="R536" s="312"/>
      <c r="S536" s="312"/>
      <c r="T536" s="312"/>
      <c r="U536" s="312"/>
      <c r="V536" s="312"/>
      <c r="W536" s="312"/>
      <c r="X536" s="312"/>
      <c r="Y536" s="312"/>
      <c r="Z536" s="312"/>
    </row>
    <row r="537" customHeight="1" spans="1:26">
      <c r="A537" s="312"/>
      <c r="B537" s="312"/>
      <c r="C537" s="312"/>
      <c r="D537" s="312"/>
      <c r="E537" s="312"/>
      <c r="F537" s="312"/>
      <c r="G537" s="312"/>
      <c r="H537" s="312"/>
      <c r="I537" s="312"/>
      <c r="J537" s="312"/>
      <c r="K537" s="312"/>
      <c r="L537" s="312"/>
      <c r="M537" s="312"/>
      <c r="N537" s="312"/>
      <c r="O537" s="312"/>
      <c r="P537" s="312"/>
      <c r="Q537" s="312"/>
      <c r="R537" s="312"/>
      <c r="S537" s="312"/>
      <c r="T537" s="312"/>
      <c r="U537" s="312"/>
      <c r="V537" s="312"/>
      <c r="W537" s="312"/>
      <c r="X537" s="312"/>
      <c r="Y537" s="312"/>
      <c r="Z537" s="312"/>
    </row>
    <row r="538" customHeight="1" spans="1:26">
      <c r="A538" s="312"/>
      <c r="B538" s="312"/>
      <c r="C538" s="312"/>
      <c r="D538" s="312"/>
      <c r="E538" s="312"/>
      <c r="F538" s="312"/>
      <c r="G538" s="312"/>
      <c r="H538" s="312"/>
      <c r="I538" s="312"/>
      <c r="J538" s="312"/>
      <c r="K538" s="312"/>
      <c r="L538" s="312"/>
      <c r="M538" s="312"/>
      <c r="N538" s="312"/>
      <c r="O538" s="312"/>
      <c r="P538" s="312"/>
      <c r="Q538" s="312"/>
      <c r="R538" s="312"/>
      <c r="S538" s="312"/>
      <c r="T538" s="312"/>
      <c r="U538" s="312"/>
      <c r="V538" s="312"/>
      <c r="W538" s="312"/>
      <c r="X538" s="312"/>
      <c r="Y538" s="312"/>
      <c r="Z538" s="312"/>
    </row>
    <row r="539" customHeight="1" spans="1:26">
      <c r="A539" s="312"/>
      <c r="B539" s="312"/>
      <c r="C539" s="312"/>
      <c r="D539" s="312"/>
      <c r="E539" s="312"/>
      <c r="F539" s="312"/>
      <c r="G539" s="312"/>
      <c r="H539" s="312"/>
      <c r="I539" s="312"/>
      <c r="J539" s="312"/>
      <c r="K539" s="312"/>
      <c r="L539" s="312"/>
      <c r="M539" s="312"/>
      <c r="N539" s="312"/>
      <c r="O539" s="312"/>
      <c r="P539" s="312"/>
      <c r="Q539" s="312"/>
      <c r="R539" s="312"/>
      <c r="S539" s="312"/>
      <c r="T539" s="312"/>
      <c r="U539" s="312"/>
      <c r="V539" s="312"/>
      <c r="W539" s="312"/>
      <c r="X539" s="312"/>
      <c r="Y539" s="312"/>
      <c r="Z539" s="312"/>
    </row>
    <row r="540" customHeight="1" spans="1:26">
      <c r="A540" s="312"/>
      <c r="B540" s="312"/>
      <c r="C540" s="312"/>
      <c r="D540" s="312"/>
      <c r="E540" s="312"/>
      <c r="F540" s="312"/>
      <c r="G540" s="312"/>
      <c r="H540" s="312"/>
      <c r="I540" s="312"/>
      <c r="J540" s="312"/>
      <c r="K540" s="312"/>
      <c r="L540" s="312"/>
      <c r="M540" s="312"/>
      <c r="N540" s="312"/>
      <c r="O540" s="312"/>
      <c r="P540" s="312"/>
      <c r="Q540" s="312"/>
      <c r="R540" s="312"/>
      <c r="S540" s="312"/>
      <c r="T540" s="312"/>
      <c r="U540" s="312"/>
      <c r="V540" s="312"/>
      <c r="W540" s="312"/>
      <c r="X540" s="312"/>
      <c r="Y540" s="312"/>
      <c r="Z540" s="312"/>
    </row>
    <row r="541" customHeight="1" spans="1:26">
      <c r="A541" s="312"/>
      <c r="B541" s="312"/>
      <c r="C541" s="312"/>
      <c r="D541" s="312"/>
      <c r="E541" s="312"/>
      <c r="F541" s="312"/>
      <c r="G541" s="312"/>
      <c r="H541" s="312"/>
      <c r="I541" s="312"/>
      <c r="J541" s="312"/>
      <c r="K541" s="312"/>
      <c r="L541" s="312"/>
      <c r="M541" s="312"/>
      <c r="N541" s="312"/>
      <c r="O541" s="312"/>
      <c r="P541" s="312"/>
      <c r="Q541" s="312"/>
      <c r="R541" s="312"/>
      <c r="S541" s="312"/>
      <c r="T541" s="312"/>
      <c r="U541" s="312"/>
      <c r="V541" s="312"/>
      <c r="W541" s="312"/>
      <c r="X541" s="312"/>
      <c r="Y541" s="312"/>
      <c r="Z541" s="312"/>
    </row>
    <row r="542" customHeight="1" spans="1:26">
      <c r="A542" s="312"/>
      <c r="B542" s="312"/>
      <c r="C542" s="312"/>
      <c r="D542" s="312"/>
      <c r="E542" s="312"/>
      <c r="F542" s="312"/>
      <c r="G542" s="312"/>
      <c r="H542" s="312"/>
      <c r="I542" s="312"/>
      <c r="J542" s="312"/>
      <c r="K542" s="312"/>
      <c r="L542" s="312"/>
      <c r="M542" s="312"/>
      <c r="N542" s="312"/>
      <c r="O542" s="312"/>
      <c r="P542" s="312"/>
      <c r="Q542" s="312"/>
      <c r="R542" s="312"/>
      <c r="S542" s="312"/>
      <c r="T542" s="312"/>
      <c r="U542" s="312"/>
      <c r="V542" s="312"/>
      <c r="W542" s="312"/>
      <c r="X542" s="312"/>
      <c r="Y542" s="312"/>
      <c r="Z542" s="312"/>
    </row>
    <row r="543" customHeight="1" spans="1:26">
      <c r="A543" s="312"/>
      <c r="B543" s="312"/>
      <c r="C543" s="312"/>
      <c r="D543" s="312"/>
      <c r="E543" s="312"/>
      <c r="F543" s="312"/>
      <c r="G543" s="312"/>
      <c r="H543" s="312"/>
      <c r="I543" s="312"/>
      <c r="J543" s="312"/>
      <c r="K543" s="312"/>
      <c r="L543" s="312"/>
      <c r="M543" s="312"/>
      <c r="N543" s="312"/>
      <c r="O543" s="312"/>
      <c r="P543" s="312"/>
      <c r="Q543" s="312"/>
      <c r="R543" s="312"/>
      <c r="S543" s="312"/>
      <c r="T543" s="312"/>
      <c r="U543" s="312"/>
      <c r="V543" s="312"/>
      <c r="W543" s="312"/>
      <c r="X543" s="312"/>
      <c r="Y543" s="312"/>
      <c r="Z543" s="312"/>
    </row>
    <row r="544" customHeight="1" spans="1:26">
      <c r="A544" s="312"/>
      <c r="B544" s="312"/>
      <c r="C544" s="312"/>
      <c r="D544" s="312"/>
      <c r="E544" s="312"/>
      <c r="F544" s="312"/>
      <c r="G544" s="312"/>
      <c r="H544" s="312"/>
      <c r="I544" s="312"/>
      <c r="J544" s="312"/>
      <c r="K544" s="312"/>
      <c r="L544" s="312"/>
      <c r="M544" s="312"/>
      <c r="N544" s="312"/>
      <c r="O544" s="312"/>
      <c r="P544" s="312"/>
      <c r="Q544" s="312"/>
      <c r="R544" s="312"/>
      <c r="S544" s="312"/>
      <c r="T544" s="312"/>
      <c r="U544" s="312"/>
      <c r="V544" s="312"/>
      <c r="W544" s="312"/>
      <c r="X544" s="312"/>
      <c r="Y544" s="312"/>
      <c r="Z544" s="312"/>
    </row>
    <row r="545" customHeight="1" spans="1:26">
      <c r="A545" s="312"/>
      <c r="B545" s="312"/>
      <c r="C545" s="312"/>
      <c r="D545" s="312"/>
      <c r="E545" s="312"/>
      <c r="F545" s="312"/>
      <c r="G545" s="312"/>
      <c r="H545" s="312"/>
      <c r="I545" s="312"/>
      <c r="J545" s="312"/>
      <c r="K545" s="312"/>
      <c r="L545" s="312"/>
      <c r="M545" s="312"/>
      <c r="N545" s="312"/>
      <c r="O545" s="312"/>
      <c r="P545" s="312"/>
      <c r="Q545" s="312"/>
      <c r="R545" s="312"/>
      <c r="S545" s="312"/>
      <c r="T545" s="312"/>
      <c r="U545" s="312"/>
      <c r="V545" s="312"/>
      <c r="W545" s="312"/>
      <c r="X545" s="312"/>
      <c r="Y545" s="312"/>
      <c r="Z545" s="312"/>
    </row>
    <row r="546" customHeight="1" spans="1:26">
      <c r="A546" s="312"/>
      <c r="B546" s="312"/>
      <c r="C546" s="312"/>
      <c r="D546" s="312"/>
      <c r="E546" s="312"/>
      <c r="F546" s="312"/>
      <c r="G546" s="312"/>
      <c r="H546" s="312"/>
      <c r="I546" s="312"/>
      <c r="J546" s="312"/>
      <c r="K546" s="312"/>
      <c r="L546" s="312"/>
      <c r="M546" s="312"/>
      <c r="N546" s="312"/>
      <c r="O546" s="312"/>
      <c r="P546" s="312"/>
      <c r="Q546" s="312"/>
      <c r="R546" s="312"/>
      <c r="S546" s="312"/>
      <c r="T546" s="312"/>
      <c r="U546" s="312"/>
      <c r="V546" s="312"/>
      <c r="W546" s="312"/>
      <c r="X546" s="312"/>
      <c r="Y546" s="312"/>
      <c r="Z546" s="312"/>
    </row>
    <row r="547" customHeight="1" spans="1:26">
      <c r="A547" s="312"/>
      <c r="B547" s="312"/>
      <c r="C547" s="312"/>
      <c r="D547" s="312"/>
      <c r="E547" s="312"/>
      <c r="F547" s="312"/>
      <c r="G547" s="312"/>
      <c r="H547" s="312"/>
      <c r="I547" s="312"/>
      <c r="J547" s="312"/>
      <c r="K547" s="312"/>
      <c r="L547" s="312"/>
      <c r="M547" s="312"/>
      <c r="N547" s="312"/>
      <c r="O547" s="312"/>
      <c r="P547" s="312"/>
      <c r="Q547" s="312"/>
      <c r="R547" s="312"/>
      <c r="S547" s="312"/>
      <c r="T547" s="312"/>
      <c r="U547" s="312"/>
      <c r="V547" s="312"/>
      <c r="W547" s="312"/>
      <c r="X547" s="312"/>
      <c r="Y547" s="312"/>
      <c r="Z547" s="312"/>
    </row>
    <row r="548" customHeight="1" spans="1:26">
      <c r="A548" s="312"/>
      <c r="B548" s="312"/>
      <c r="C548" s="312"/>
      <c r="D548" s="312"/>
      <c r="E548" s="312"/>
      <c r="F548" s="312"/>
      <c r="G548" s="312"/>
      <c r="H548" s="312"/>
      <c r="I548" s="312"/>
      <c r="J548" s="312"/>
      <c r="K548" s="312"/>
      <c r="L548" s="312"/>
      <c r="M548" s="312"/>
      <c r="N548" s="312"/>
      <c r="O548" s="312"/>
      <c r="P548" s="312"/>
      <c r="Q548" s="312"/>
      <c r="R548" s="312"/>
      <c r="S548" s="312"/>
      <c r="T548" s="312"/>
      <c r="U548" s="312"/>
      <c r="V548" s="312"/>
      <c r="W548" s="312"/>
      <c r="X548" s="312"/>
      <c r="Y548" s="312"/>
      <c r="Z548" s="312"/>
    </row>
    <row r="549" customHeight="1" spans="1:26">
      <c r="A549" s="312"/>
      <c r="B549" s="312"/>
      <c r="C549" s="312"/>
      <c r="D549" s="312"/>
      <c r="E549" s="312"/>
      <c r="F549" s="312"/>
      <c r="G549" s="312"/>
      <c r="H549" s="312"/>
      <c r="I549" s="312"/>
      <c r="J549" s="312"/>
      <c r="K549" s="312"/>
      <c r="L549" s="312"/>
      <c r="M549" s="312"/>
      <c r="N549" s="312"/>
      <c r="O549" s="312"/>
      <c r="P549" s="312"/>
      <c r="Q549" s="312"/>
      <c r="R549" s="312"/>
      <c r="S549" s="312"/>
      <c r="T549" s="312"/>
      <c r="U549" s="312"/>
      <c r="V549" s="312"/>
      <c r="W549" s="312"/>
      <c r="X549" s="312"/>
      <c r="Y549" s="312"/>
      <c r="Z549" s="312"/>
    </row>
    <row r="550" customHeight="1" spans="1:26">
      <c r="A550" s="312"/>
      <c r="B550" s="312"/>
      <c r="C550" s="312"/>
      <c r="D550" s="312"/>
      <c r="E550" s="312"/>
      <c r="F550" s="312"/>
      <c r="G550" s="312"/>
      <c r="H550" s="312"/>
      <c r="I550" s="312"/>
      <c r="J550" s="312"/>
      <c r="K550" s="312"/>
      <c r="L550" s="312"/>
      <c r="M550" s="312"/>
      <c r="N550" s="312"/>
      <c r="O550" s="312"/>
      <c r="P550" s="312"/>
      <c r="Q550" s="312"/>
      <c r="R550" s="312"/>
      <c r="S550" s="312"/>
      <c r="T550" s="312"/>
      <c r="U550" s="312"/>
      <c r="V550" s="312"/>
      <c r="W550" s="312"/>
      <c r="X550" s="312"/>
      <c r="Y550" s="312"/>
      <c r="Z550" s="312"/>
    </row>
    <row r="551" customHeight="1" spans="1:26">
      <c r="A551" s="312"/>
      <c r="B551" s="312"/>
      <c r="C551" s="312"/>
      <c r="D551" s="312"/>
      <c r="E551" s="312"/>
      <c r="F551" s="312"/>
      <c r="G551" s="312"/>
      <c r="H551" s="312"/>
      <c r="I551" s="312"/>
      <c r="J551" s="312"/>
      <c r="K551" s="312"/>
      <c r="L551" s="312"/>
      <c r="M551" s="312"/>
      <c r="N551" s="312"/>
      <c r="O551" s="312"/>
      <c r="P551" s="312"/>
      <c r="Q551" s="312"/>
      <c r="R551" s="312"/>
      <c r="S551" s="312"/>
      <c r="T551" s="312"/>
      <c r="U551" s="312"/>
      <c r="V551" s="312"/>
      <c r="W551" s="312"/>
      <c r="X551" s="312"/>
      <c r="Y551" s="312"/>
      <c r="Z551" s="312"/>
    </row>
    <row r="552" customHeight="1" spans="1:26">
      <c r="A552" s="312"/>
      <c r="B552" s="312"/>
      <c r="C552" s="312"/>
      <c r="D552" s="312"/>
      <c r="E552" s="312"/>
      <c r="F552" s="312"/>
      <c r="G552" s="312"/>
      <c r="H552" s="312"/>
      <c r="I552" s="312"/>
      <c r="J552" s="312"/>
      <c r="K552" s="312"/>
      <c r="L552" s="312"/>
      <c r="M552" s="312"/>
      <c r="N552" s="312"/>
      <c r="O552" s="312"/>
      <c r="P552" s="312"/>
      <c r="Q552" s="312"/>
      <c r="R552" s="312"/>
      <c r="S552" s="312"/>
      <c r="T552" s="312"/>
      <c r="U552" s="312"/>
      <c r="V552" s="312"/>
      <c r="W552" s="312"/>
      <c r="X552" s="312"/>
      <c r="Y552" s="312"/>
      <c r="Z552" s="312"/>
    </row>
    <row r="553" customHeight="1" spans="1:26">
      <c r="A553" s="312"/>
      <c r="B553" s="312"/>
      <c r="C553" s="312"/>
      <c r="D553" s="312"/>
      <c r="E553" s="312"/>
      <c r="F553" s="312"/>
      <c r="G553" s="312"/>
      <c r="H553" s="312"/>
      <c r="I553" s="312"/>
      <c r="J553" s="312"/>
      <c r="K553" s="312"/>
      <c r="L553" s="312"/>
      <c r="M553" s="312"/>
      <c r="N553" s="312"/>
      <c r="O553" s="312"/>
      <c r="P553" s="312"/>
      <c r="Q553" s="312"/>
      <c r="R553" s="312"/>
      <c r="S553" s="312"/>
      <c r="T553" s="312"/>
      <c r="U553" s="312"/>
      <c r="V553" s="312"/>
      <c r="W553" s="312"/>
      <c r="X553" s="312"/>
      <c r="Y553" s="312"/>
      <c r="Z553" s="312"/>
    </row>
    <row r="554" customHeight="1" spans="1:26">
      <c r="A554" s="312"/>
      <c r="B554" s="312"/>
      <c r="C554" s="312"/>
      <c r="D554" s="312"/>
      <c r="E554" s="312"/>
      <c r="F554" s="312"/>
      <c r="G554" s="312"/>
      <c r="H554" s="312"/>
      <c r="I554" s="312"/>
      <c r="J554" s="312"/>
      <c r="K554" s="312"/>
      <c r="L554" s="312"/>
      <c r="M554" s="312"/>
      <c r="N554" s="312"/>
      <c r="O554" s="312"/>
      <c r="P554" s="312"/>
      <c r="Q554" s="312"/>
      <c r="R554" s="312"/>
      <c r="S554" s="312"/>
      <c r="T554" s="312"/>
      <c r="U554" s="312"/>
      <c r="V554" s="312"/>
      <c r="W554" s="312"/>
      <c r="X554" s="312"/>
      <c r="Y554" s="312"/>
      <c r="Z554" s="312"/>
    </row>
    <row r="555" customHeight="1" spans="1:26">
      <c r="A555" s="312"/>
      <c r="B555" s="312"/>
      <c r="C555" s="312"/>
      <c r="D555" s="312"/>
      <c r="E555" s="312"/>
      <c r="F555" s="312"/>
      <c r="G555" s="312"/>
      <c r="H555" s="312"/>
      <c r="I555" s="312"/>
      <c r="J555" s="312"/>
      <c r="K555" s="312"/>
      <c r="L555" s="312"/>
      <c r="M555" s="312"/>
      <c r="N555" s="312"/>
      <c r="O555" s="312"/>
      <c r="P555" s="312"/>
      <c r="Q555" s="312"/>
      <c r="R555" s="312"/>
      <c r="S555" s="312"/>
      <c r="T555" s="312"/>
      <c r="U555" s="312"/>
      <c r="V555" s="312"/>
      <c r="W555" s="312"/>
      <c r="X555" s="312"/>
      <c r="Y555" s="312"/>
      <c r="Z555" s="312"/>
    </row>
    <row r="556" customHeight="1" spans="1:26">
      <c r="A556" s="312"/>
      <c r="B556" s="312"/>
      <c r="C556" s="312"/>
      <c r="D556" s="312"/>
      <c r="E556" s="312"/>
      <c r="F556" s="312"/>
      <c r="G556" s="312"/>
      <c r="H556" s="312"/>
      <c r="I556" s="312"/>
      <c r="J556" s="312"/>
      <c r="K556" s="312"/>
      <c r="L556" s="312"/>
      <c r="M556" s="312"/>
      <c r="N556" s="312"/>
      <c r="O556" s="312"/>
      <c r="P556" s="312"/>
      <c r="Q556" s="312"/>
      <c r="R556" s="312"/>
      <c r="S556" s="312"/>
      <c r="T556" s="312"/>
      <c r="U556" s="312"/>
      <c r="V556" s="312"/>
      <c r="W556" s="312"/>
      <c r="X556" s="312"/>
      <c r="Y556" s="312"/>
      <c r="Z556" s="312"/>
    </row>
    <row r="557" customHeight="1" spans="1:26">
      <c r="A557" s="312"/>
      <c r="B557" s="312"/>
      <c r="C557" s="312"/>
      <c r="D557" s="312"/>
      <c r="E557" s="312"/>
      <c r="F557" s="312"/>
      <c r="G557" s="312"/>
      <c r="H557" s="312"/>
      <c r="I557" s="312"/>
      <c r="J557" s="312"/>
      <c r="K557" s="312"/>
      <c r="L557" s="312"/>
      <c r="M557" s="312"/>
      <c r="N557" s="312"/>
      <c r="O557" s="312"/>
      <c r="P557" s="312"/>
      <c r="Q557" s="312"/>
      <c r="R557" s="312"/>
      <c r="S557" s="312"/>
      <c r="T557" s="312"/>
      <c r="U557" s="312"/>
      <c r="V557" s="312"/>
      <c r="W557" s="312"/>
      <c r="X557" s="312"/>
      <c r="Y557" s="312"/>
      <c r="Z557" s="312"/>
    </row>
    <row r="558" customHeight="1" spans="1:26">
      <c r="A558" s="312"/>
      <c r="B558" s="312"/>
      <c r="C558" s="312"/>
      <c r="D558" s="312"/>
      <c r="E558" s="312"/>
      <c r="F558" s="312"/>
      <c r="G558" s="312"/>
      <c r="H558" s="312"/>
      <c r="I558" s="312"/>
      <c r="J558" s="312"/>
      <c r="K558" s="312"/>
      <c r="L558" s="312"/>
      <c r="M558" s="312"/>
      <c r="N558" s="312"/>
      <c r="O558" s="312"/>
      <c r="P558" s="312"/>
      <c r="Q558" s="312"/>
      <c r="R558" s="312"/>
      <c r="S558" s="312"/>
      <c r="T558" s="312"/>
      <c r="U558" s="312"/>
      <c r="V558" s="312"/>
      <c r="W558" s="312"/>
      <c r="X558" s="312"/>
      <c r="Y558" s="312"/>
      <c r="Z558" s="312"/>
    </row>
    <row r="559" customHeight="1" spans="1:26">
      <c r="A559" s="312"/>
      <c r="B559" s="312"/>
      <c r="C559" s="312"/>
      <c r="D559" s="312"/>
      <c r="E559" s="312"/>
      <c r="F559" s="312"/>
      <c r="G559" s="312"/>
      <c r="H559" s="312"/>
      <c r="I559" s="312"/>
      <c r="J559" s="312"/>
      <c r="K559" s="312"/>
      <c r="L559" s="312"/>
      <c r="M559" s="312"/>
      <c r="N559" s="312"/>
      <c r="O559" s="312"/>
      <c r="P559" s="312"/>
      <c r="Q559" s="312"/>
      <c r="R559" s="312"/>
      <c r="S559" s="312"/>
      <c r="T559" s="312"/>
      <c r="U559" s="312"/>
      <c r="V559" s="312"/>
      <c r="W559" s="312"/>
      <c r="X559" s="312"/>
      <c r="Y559" s="312"/>
      <c r="Z559" s="312"/>
    </row>
    <row r="560" customHeight="1" spans="1:26">
      <c r="A560" s="312"/>
      <c r="B560" s="312"/>
      <c r="C560" s="312"/>
      <c r="D560" s="312"/>
      <c r="E560" s="312"/>
      <c r="F560" s="312"/>
      <c r="G560" s="312"/>
      <c r="H560" s="312"/>
      <c r="I560" s="312"/>
      <c r="J560" s="312"/>
      <c r="K560" s="312"/>
      <c r="L560" s="312"/>
      <c r="M560" s="312"/>
      <c r="N560" s="312"/>
      <c r="O560" s="312"/>
      <c r="P560" s="312"/>
      <c r="Q560" s="312"/>
      <c r="R560" s="312"/>
      <c r="S560" s="312"/>
      <c r="T560" s="312"/>
      <c r="U560" s="312"/>
      <c r="V560" s="312"/>
      <c r="W560" s="312"/>
      <c r="X560" s="312"/>
      <c r="Y560" s="312"/>
      <c r="Z560" s="312"/>
    </row>
    <row r="561" customHeight="1" spans="1:26">
      <c r="A561" s="312"/>
      <c r="B561" s="312"/>
      <c r="C561" s="312"/>
      <c r="D561" s="312"/>
      <c r="E561" s="312"/>
      <c r="F561" s="312"/>
      <c r="G561" s="312"/>
      <c r="H561" s="312"/>
      <c r="I561" s="312"/>
      <c r="J561" s="312"/>
      <c r="K561" s="312"/>
      <c r="L561" s="312"/>
      <c r="M561" s="312"/>
      <c r="N561" s="312"/>
      <c r="O561" s="312"/>
      <c r="P561" s="312"/>
      <c r="Q561" s="312"/>
      <c r="R561" s="312"/>
      <c r="S561" s="312"/>
      <c r="T561" s="312"/>
      <c r="U561" s="312"/>
      <c r="V561" s="312"/>
      <c r="W561" s="312"/>
      <c r="X561" s="312"/>
      <c r="Y561" s="312"/>
      <c r="Z561" s="312"/>
    </row>
    <row r="562" customHeight="1" spans="1:26">
      <c r="A562" s="312"/>
      <c r="B562" s="312"/>
      <c r="C562" s="312"/>
      <c r="D562" s="312"/>
      <c r="E562" s="312"/>
      <c r="F562" s="312"/>
      <c r="G562" s="312"/>
      <c r="H562" s="312"/>
      <c r="I562" s="312"/>
      <c r="J562" s="312"/>
      <c r="K562" s="312"/>
      <c r="L562" s="312"/>
      <c r="M562" s="312"/>
      <c r="N562" s="312"/>
      <c r="O562" s="312"/>
      <c r="P562" s="312"/>
      <c r="Q562" s="312"/>
      <c r="R562" s="312"/>
      <c r="S562" s="312"/>
      <c r="T562" s="312"/>
      <c r="U562" s="312"/>
      <c r="V562" s="312"/>
      <c r="W562" s="312"/>
      <c r="X562" s="312"/>
      <c r="Y562" s="312"/>
      <c r="Z562" s="312"/>
    </row>
    <row r="563" customHeight="1" spans="1:26">
      <c r="A563" s="312"/>
      <c r="B563" s="312"/>
      <c r="C563" s="312"/>
      <c r="D563" s="312"/>
      <c r="E563" s="312"/>
      <c r="F563" s="312"/>
      <c r="G563" s="312"/>
      <c r="H563" s="312"/>
      <c r="I563" s="312"/>
      <c r="J563" s="312"/>
      <c r="K563" s="312"/>
      <c r="L563" s="312"/>
      <c r="M563" s="312"/>
      <c r="N563" s="312"/>
      <c r="O563" s="312"/>
      <c r="P563" s="312"/>
      <c r="Q563" s="312"/>
      <c r="R563" s="312"/>
      <c r="S563" s="312"/>
      <c r="T563" s="312"/>
      <c r="U563" s="312"/>
      <c r="V563" s="312"/>
      <c r="W563" s="312"/>
      <c r="X563" s="312"/>
      <c r="Y563" s="312"/>
      <c r="Z563" s="312"/>
    </row>
    <row r="564" customHeight="1" spans="1:26">
      <c r="A564" s="312"/>
      <c r="B564" s="312"/>
      <c r="C564" s="312"/>
      <c r="D564" s="312"/>
      <c r="E564" s="312"/>
      <c r="F564" s="312"/>
      <c r="G564" s="312"/>
      <c r="H564" s="312"/>
      <c r="I564" s="312"/>
      <c r="J564" s="312"/>
      <c r="K564" s="312"/>
      <c r="L564" s="312"/>
      <c r="M564" s="312"/>
      <c r="N564" s="312"/>
      <c r="O564" s="312"/>
      <c r="P564" s="312"/>
      <c r="Q564" s="312"/>
      <c r="R564" s="312"/>
      <c r="S564" s="312"/>
      <c r="T564" s="312"/>
      <c r="U564" s="312"/>
      <c r="V564" s="312"/>
      <c r="W564" s="312"/>
      <c r="X564" s="312"/>
      <c r="Y564" s="312"/>
      <c r="Z564" s="312"/>
    </row>
    <row r="565" customHeight="1" spans="1:26">
      <c r="A565" s="312"/>
      <c r="B565" s="312"/>
      <c r="C565" s="312"/>
      <c r="D565" s="312"/>
      <c r="E565" s="312"/>
      <c r="F565" s="312"/>
      <c r="G565" s="312"/>
      <c r="H565" s="312"/>
      <c r="I565" s="312"/>
      <c r="J565" s="312"/>
      <c r="K565" s="312"/>
      <c r="L565" s="312"/>
      <c r="M565" s="312"/>
      <c r="N565" s="312"/>
      <c r="O565" s="312"/>
      <c r="P565" s="312"/>
      <c r="Q565" s="312"/>
      <c r="R565" s="312"/>
      <c r="S565" s="312"/>
      <c r="T565" s="312"/>
      <c r="U565" s="312"/>
      <c r="V565" s="312"/>
      <c r="W565" s="312"/>
      <c r="X565" s="312"/>
      <c r="Y565" s="312"/>
      <c r="Z565" s="312"/>
    </row>
    <row r="566" customHeight="1" spans="1:26">
      <c r="A566" s="312"/>
      <c r="B566" s="312"/>
      <c r="C566" s="312"/>
      <c r="D566" s="312"/>
      <c r="E566" s="312"/>
      <c r="F566" s="312"/>
      <c r="G566" s="312"/>
      <c r="H566" s="312"/>
      <c r="I566" s="312"/>
      <c r="J566" s="312"/>
      <c r="K566" s="312"/>
      <c r="L566" s="312"/>
      <c r="M566" s="312"/>
      <c r="N566" s="312"/>
      <c r="O566" s="312"/>
      <c r="P566" s="312"/>
      <c r="Q566" s="312"/>
      <c r="R566" s="312"/>
      <c r="S566" s="312"/>
      <c r="T566" s="312"/>
      <c r="U566" s="312"/>
      <c r="V566" s="312"/>
      <c r="W566" s="312"/>
      <c r="X566" s="312"/>
      <c r="Y566" s="312"/>
      <c r="Z566" s="312"/>
    </row>
    <row r="567" customHeight="1" spans="1:26">
      <c r="A567" s="312"/>
      <c r="B567" s="312"/>
      <c r="C567" s="312"/>
      <c r="D567" s="312"/>
      <c r="E567" s="312"/>
      <c r="F567" s="312"/>
      <c r="G567" s="312"/>
      <c r="H567" s="312"/>
      <c r="I567" s="312"/>
      <c r="J567" s="312"/>
      <c r="K567" s="312"/>
      <c r="L567" s="312"/>
      <c r="M567" s="312"/>
      <c r="N567" s="312"/>
      <c r="O567" s="312"/>
      <c r="P567" s="312"/>
      <c r="Q567" s="312"/>
      <c r="R567" s="312"/>
      <c r="S567" s="312"/>
      <c r="T567" s="312"/>
      <c r="U567" s="312"/>
      <c r="V567" s="312"/>
      <c r="W567" s="312"/>
      <c r="X567" s="312"/>
      <c r="Y567" s="312"/>
      <c r="Z567" s="312"/>
    </row>
    <row r="568" customHeight="1" spans="1:26">
      <c r="A568" s="312"/>
      <c r="B568" s="312"/>
      <c r="C568" s="312"/>
      <c r="D568" s="312"/>
      <c r="E568" s="312"/>
      <c r="F568" s="312"/>
      <c r="G568" s="312"/>
      <c r="H568" s="312"/>
      <c r="I568" s="312"/>
      <c r="J568" s="312"/>
      <c r="K568" s="312"/>
      <c r="L568" s="312"/>
      <c r="M568" s="312"/>
      <c r="N568" s="312"/>
      <c r="O568" s="312"/>
      <c r="P568" s="312"/>
      <c r="Q568" s="312"/>
      <c r="R568" s="312"/>
      <c r="S568" s="312"/>
      <c r="T568" s="312"/>
      <c r="U568" s="312"/>
      <c r="V568" s="312"/>
      <c r="W568" s="312"/>
      <c r="X568" s="312"/>
      <c r="Y568" s="312"/>
      <c r="Z568" s="312"/>
    </row>
    <row r="569" customHeight="1" spans="1:26">
      <c r="A569" s="312"/>
      <c r="B569" s="312"/>
      <c r="C569" s="312"/>
      <c r="D569" s="312"/>
      <c r="E569" s="312"/>
      <c r="F569" s="312"/>
      <c r="G569" s="312"/>
      <c r="H569" s="312"/>
      <c r="I569" s="312"/>
      <c r="J569" s="312"/>
      <c r="K569" s="312"/>
      <c r="L569" s="312"/>
      <c r="M569" s="312"/>
      <c r="N569" s="312"/>
      <c r="O569" s="312"/>
      <c r="P569" s="312"/>
      <c r="Q569" s="312"/>
      <c r="R569" s="312"/>
      <c r="S569" s="312"/>
      <c r="T569" s="312"/>
      <c r="U569" s="312"/>
      <c r="V569" s="312"/>
      <c r="W569" s="312"/>
      <c r="X569" s="312"/>
      <c r="Y569" s="312"/>
      <c r="Z569" s="312"/>
    </row>
    <row r="570" customHeight="1" spans="1:26">
      <c r="A570" s="312"/>
      <c r="B570" s="312"/>
      <c r="C570" s="312"/>
      <c r="D570" s="312"/>
      <c r="E570" s="312"/>
      <c r="F570" s="312"/>
      <c r="G570" s="312"/>
      <c r="H570" s="312"/>
      <c r="I570" s="312"/>
      <c r="J570" s="312"/>
      <c r="K570" s="312"/>
      <c r="L570" s="312"/>
      <c r="M570" s="312"/>
      <c r="N570" s="312"/>
      <c r="O570" s="312"/>
      <c r="P570" s="312"/>
      <c r="Q570" s="312"/>
      <c r="R570" s="312"/>
      <c r="S570" s="312"/>
      <c r="T570" s="312"/>
      <c r="U570" s="312"/>
      <c r="V570" s="312"/>
      <c r="W570" s="312"/>
      <c r="X570" s="312"/>
      <c r="Y570" s="312"/>
      <c r="Z570" s="312"/>
    </row>
    <row r="571" customHeight="1" spans="1:26">
      <c r="A571" s="312"/>
      <c r="B571" s="312"/>
      <c r="C571" s="312"/>
      <c r="D571" s="312"/>
      <c r="E571" s="312"/>
      <c r="F571" s="312"/>
      <c r="G571" s="312"/>
      <c r="H571" s="312"/>
      <c r="I571" s="312"/>
      <c r="J571" s="312"/>
      <c r="K571" s="312"/>
      <c r="L571" s="312"/>
      <c r="M571" s="312"/>
      <c r="N571" s="312"/>
      <c r="O571" s="312"/>
      <c r="P571" s="312"/>
      <c r="Q571" s="312"/>
      <c r="R571" s="312"/>
      <c r="S571" s="312"/>
      <c r="T571" s="312"/>
      <c r="U571" s="312"/>
      <c r="V571" s="312"/>
      <c r="W571" s="312"/>
      <c r="X571" s="312"/>
      <c r="Y571" s="312"/>
      <c r="Z571" s="312"/>
    </row>
    <row r="572" customHeight="1" spans="1:26">
      <c r="A572" s="312"/>
      <c r="B572" s="312"/>
      <c r="C572" s="312"/>
      <c r="D572" s="312"/>
      <c r="E572" s="312"/>
      <c r="F572" s="312"/>
      <c r="G572" s="312"/>
      <c r="H572" s="312"/>
      <c r="I572" s="312"/>
      <c r="J572" s="312"/>
      <c r="K572" s="312"/>
      <c r="L572" s="312"/>
      <c r="M572" s="312"/>
      <c r="N572" s="312"/>
      <c r="O572" s="312"/>
      <c r="P572" s="312"/>
      <c r="Q572" s="312"/>
      <c r="R572" s="312"/>
      <c r="S572" s="312"/>
      <c r="T572" s="312"/>
      <c r="U572" s="312"/>
      <c r="V572" s="312"/>
      <c r="W572" s="312"/>
      <c r="X572" s="312"/>
      <c r="Y572" s="312"/>
      <c r="Z572" s="312"/>
    </row>
    <row r="573" customHeight="1" spans="1:26">
      <c r="A573" s="312"/>
      <c r="B573" s="312"/>
      <c r="C573" s="312"/>
      <c r="D573" s="312"/>
      <c r="E573" s="312"/>
      <c r="F573" s="312"/>
      <c r="G573" s="312"/>
      <c r="H573" s="312"/>
      <c r="I573" s="312"/>
      <c r="J573" s="312"/>
      <c r="K573" s="312"/>
      <c r="L573" s="312"/>
      <c r="M573" s="312"/>
      <c r="N573" s="312"/>
      <c r="O573" s="312"/>
      <c r="P573" s="312"/>
      <c r="Q573" s="312"/>
      <c r="R573" s="312"/>
      <c r="S573" s="312"/>
      <c r="T573" s="312"/>
      <c r="U573" s="312"/>
      <c r="V573" s="312"/>
      <c r="W573" s="312"/>
      <c r="X573" s="312"/>
      <c r="Y573" s="312"/>
      <c r="Z573" s="312"/>
    </row>
    <row r="574" customHeight="1" spans="1:26">
      <c r="A574" s="312"/>
      <c r="B574" s="312"/>
      <c r="C574" s="312"/>
      <c r="D574" s="312"/>
      <c r="E574" s="312"/>
      <c r="F574" s="312"/>
      <c r="G574" s="312"/>
      <c r="H574" s="312"/>
      <c r="I574" s="312"/>
      <c r="J574" s="312"/>
      <c r="K574" s="312"/>
      <c r="L574" s="312"/>
      <c r="M574" s="312"/>
      <c r="N574" s="312"/>
      <c r="O574" s="312"/>
      <c r="P574" s="312"/>
      <c r="Q574" s="312"/>
      <c r="R574" s="312"/>
      <c r="S574" s="312"/>
      <c r="T574" s="312"/>
      <c r="U574" s="312"/>
      <c r="V574" s="312"/>
      <c r="W574" s="312"/>
      <c r="X574" s="312"/>
      <c r="Y574" s="312"/>
      <c r="Z574" s="312"/>
    </row>
    <row r="575" customHeight="1" spans="1:26">
      <c r="A575" s="312"/>
      <c r="B575" s="312"/>
      <c r="C575" s="312"/>
      <c r="D575" s="312"/>
      <c r="E575" s="312"/>
      <c r="F575" s="312"/>
      <c r="G575" s="312"/>
      <c r="H575" s="312"/>
      <c r="I575" s="312"/>
      <c r="J575" s="312"/>
      <c r="K575" s="312"/>
      <c r="L575" s="312"/>
      <c r="M575" s="312"/>
      <c r="N575" s="312"/>
      <c r="O575" s="312"/>
      <c r="P575" s="312"/>
      <c r="Q575" s="312"/>
      <c r="R575" s="312"/>
      <c r="S575" s="312"/>
      <c r="T575" s="312"/>
      <c r="U575" s="312"/>
      <c r="V575" s="312"/>
      <c r="W575" s="312"/>
      <c r="X575" s="312"/>
      <c r="Y575" s="312"/>
      <c r="Z575" s="312"/>
    </row>
    <row r="576" customHeight="1" spans="1:26">
      <c r="A576" s="312"/>
      <c r="B576" s="312"/>
      <c r="C576" s="312"/>
      <c r="D576" s="312"/>
      <c r="E576" s="312"/>
      <c r="F576" s="312"/>
      <c r="G576" s="312"/>
      <c r="H576" s="312"/>
      <c r="I576" s="312"/>
      <c r="J576" s="312"/>
      <c r="K576" s="312"/>
      <c r="L576" s="312"/>
      <c r="M576" s="312"/>
      <c r="N576" s="312"/>
      <c r="O576" s="312"/>
      <c r="P576" s="312"/>
      <c r="Q576" s="312"/>
      <c r="R576" s="312"/>
      <c r="S576" s="312"/>
      <c r="T576" s="312"/>
      <c r="U576" s="312"/>
      <c r="V576" s="312"/>
      <c r="W576" s="312"/>
      <c r="X576" s="312"/>
      <c r="Y576" s="312"/>
      <c r="Z576" s="312"/>
    </row>
    <row r="577" customHeight="1" spans="1:26">
      <c r="A577" s="312"/>
      <c r="B577" s="312"/>
      <c r="C577" s="312"/>
      <c r="D577" s="312"/>
      <c r="E577" s="312"/>
      <c r="F577" s="312"/>
      <c r="G577" s="312"/>
      <c r="H577" s="312"/>
      <c r="I577" s="312"/>
      <c r="J577" s="312"/>
      <c r="K577" s="312"/>
      <c r="L577" s="312"/>
      <c r="M577" s="312"/>
      <c r="N577" s="312"/>
      <c r="O577" s="312"/>
      <c r="P577" s="312"/>
      <c r="Q577" s="312"/>
      <c r="R577" s="312"/>
      <c r="S577" s="312"/>
      <c r="T577" s="312"/>
      <c r="U577" s="312"/>
      <c r="V577" s="312"/>
      <c r="W577" s="312"/>
      <c r="X577" s="312"/>
      <c r="Y577" s="312"/>
      <c r="Z577" s="312"/>
    </row>
    <row r="578" customHeight="1" spans="1:26">
      <c r="A578" s="312"/>
      <c r="B578" s="312"/>
      <c r="C578" s="312"/>
      <c r="D578" s="312"/>
      <c r="E578" s="312"/>
      <c r="F578" s="312"/>
      <c r="G578" s="312"/>
      <c r="H578" s="312"/>
      <c r="I578" s="312"/>
      <c r="J578" s="312"/>
      <c r="K578" s="312"/>
      <c r="L578" s="312"/>
      <c r="M578" s="312"/>
      <c r="N578" s="312"/>
      <c r="O578" s="312"/>
      <c r="P578" s="312"/>
      <c r="Q578" s="312"/>
      <c r="R578" s="312"/>
      <c r="S578" s="312"/>
      <c r="T578" s="312"/>
      <c r="U578" s="312"/>
      <c r="V578" s="312"/>
      <c r="W578" s="312"/>
      <c r="X578" s="312"/>
      <c r="Y578" s="312"/>
      <c r="Z578" s="312"/>
    </row>
    <row r="579" customHeight="1" spans="1:26">
      <c r="A579" s="312"/>
      <c r="B579" s="312"/>
      <c r="C579" s="312"/>
      <c r="D579" s="312"/>
      <c r="E579" s="312"/>
      <c r="F579" s="312"/>
      <c r="G579" s="312"/>
      <c r="H579" s="312"/>
      <c r="I579" s="312"/>
      <c r="J579" s="312"/>
      <c r="K579" s="312"/>
      <c r="L579" s="312"/>
      <c r="M579" s="312"/>
      <c r="N579" s="312"/>
      <c r="O579" s="312"/>
      <c r="P579" s="312"/>
      <c r="Q579" s="312"/>
      <c r="R579" s="312"/>
      <c r="S579" s="312"/>
      <c r="T579" s="312"/>
      <c r="U579" s="312"/>
      <c r="V579" s="312"/>
      <c r="W579" s="312"/>
      <c r="X579" s="312"/>
      <c r="Y579" s="312"/>
      <c r="Z579" s="312"/>
    </row>
    <row r="580" customHeight="1" spans="1:26">
      <c r="A580" s="312"/>
      <c r="B580" s="312"/>
      <c r="C580" s="312"/>
      <c r="D580" s="312"/>
      <c r="E580" s="312"/>
      <c r="F580" s="312"/>
      <c r="G580" s="312"/>
      <c r="H580" s="312"/>
      <c r="I580" s="312"/>
      <c r="J580" s="312"/>
      <c r="K580" s="312"/>
      <c r="L580" s="312"/>
      <c r="M580" s="312"/>
      <c r="N580" s="312"/>
      <c r="O580" s="312"/>
      <c r="P580" s="312"/>
      <c r="Q580" s="312"/>
      <c r="R580" s="312"/>
      <c r="S580" s="312"/>
      <c r="T580" s="312"/>
      <c r="U580" s="312"/>
      <c r="V580" s="312"/>
      <c r="W580" s="312"/>
      <c r="X580" s="312"/>
      <c r="Y580" s="312"/>
      <c r="Z580" s="312"/>
    </row>
    <row r="581" customHeight="1" spans="1:26">
      <c r="A581" s="312"/>
      <c r="B581" s="312"/>
      <c r="C581" s="312"/>
      <c r="D581" s="312"/>
      <c r="E581" s="312"/>
      <c r="F581" s="312"/>
      <c r="G581" s="312"/>
      <c r="H581" s="312"/>
      <c r="I581" s="312"/>
      <c r="J581" s="312"/>
      <c r="K581" s="312"/>
      <c r="L581" s="312"/>
      <c r="M581" s="312"/>
      <c r="N581" s="312"/>
      <c r="O581" s="312"/>
      <c r="P581" s="312"/>
      <c r="Q581" s="312"/>
      <c r="R581" s="312"/>
      <c r="S581" s="312"/>
      <c r="T581" s="312"/>
      <c r="U581" s="312"/>
      <c r="V581" s="312"/>
      <c r="W581" s="312"/>
      <c r="X581" s="312"/>
      <c r="Y581" s="312"/>
      <c r="Z581" s="312"/>
    </row>
    <row r="582" customHeight="1" spans="1:26">
      <c r="A582" s="312"/>
      <c r="B582" s="312"/>
      <c r="C582" s="312"/>
      <c r="D582" s="312"/>
      <c r="E582" s="312"/>
      <c r="F582" s="312"/>
      <c r="G582" s="312"/>
      <c r="H582" s="312"/>
      <c r="I582" s="312"/>
      <c r="J582" s="312"/>
      <c r="K582" s="312"/>
      <c r="L582" s="312"/>
      <c r="M582" s="312"/>
      <c r="N582" s="312"/>
      <c r="O582" s="312"/>
      <c r="P582" s="312"/>
      <c r="Q582" s="312"/>
      <c r="R582" s="312"/>
      <c r="S582" s="312"/>
      <c r="T582" s="312"/>
      <c r="U582" s="312"/>
      <c r="V582" s="312"/>
      <c r="W582" s="312"/>
      <c r="X582" s="312"/>
      <c r="Y582" s="312"/>
      <c r="Z582" s="312"/>
    </row>
    <row r="583" customHeight="1" spans="1:26">
      <c r="A583" s="312"/>
      <c r="B583" s="312"/>
      <c r="C583" s="312"/>
      <c r="D583" s="312"/>
      <c r="E583" s="312"/>
      <c r="F583" s="312"/>
      <c r="G583" s="312"/>
      <c r="H583" s="312"/>
      <c r="I583" s="312"/>
      <c r="J583" s="312"/>
      <c r="K583" s="312"/>
      <c r="L583" s="312"/>
      <c r="M583" s="312"/>
      <c r="N583" s="312"/>
      <c r="O583" s="312"/>
      <c r="P583" s="312"/>
      <c r="Q583" s="312"/>
      <c r="R583" s="312"/>
      <c r="S583" s="312"/>
      <c r="T583" s="312"/>
      <c r="U583" s="312"/>
      <c r="V583" s="312"/>
      <c r="W583" s="312"/>
      <c r="X583" s="312"/>
      <c r="Y583" s="312"/>
      <c r="Z583" s="312"/>
    </row>
    <row r="584" customHeight="1" spans="1:26">
      <c r="A584" s="312"/>
      <c r="B584" s="312"/>
      <c r="C584" s="312"/>
      <c r="D584" s="312"/>
      <c r="E584" s="312"/>
      <c r="F584" s="312"/>
      <c r="G584" s="312"/>
      <c r="H584" s="312"/>
      <c r="I584" s="312"/>
      <c r="J584" s="312"/>
      <c r="K584" s="312"/>
      <c r="L584" s="312"/>
      <c r="M584" s="312"/>
      <c r="N584" s="312"/>
      <c r="O584" s="312"/>
      <c r="P584" s="312"/>
      <c r="Q584" s="312"/>
      <c r="R584" s="312"/>
      <c r="S584" s="312"/>
      <c r="T584" s="312"/>
      <c r="U584" s="312"/>
      <c r="V584" s="312"/>
      <c r="W584" s="312"/>
      <c r="X584" s="312"/>
      <c r="Y584" s="312"/>
      <c r="Z584" s="312"/>
    </row>
    <row r="585" customHeight="1" spans="1:26">
      <c r="A585" s="312"/>
      <c r="B585" s="312"/>
      <c r="C585" s="312"/>
      <c r="D585" s="312"/>
      <c r="E585" s="312"/>
      <c r="F585" s="312"/>
      <c r="G585" s="312"/>
      <c r="H585" s="312"/>
      <c r="I585" s="312"/>
      <c r="J585" s="312"/>
      <c r="K585" s="312"/>
      <c r="L585" s="312"/>
      <c r="M585" s="312"/>
      <c r="N585" s="312"/>
      <c r="O585" s="312"/>
      <c r="P585" s="312"/>
      <c r="Q585" s="312"/>
      <c r="R585" s="312"/>
      <c r="S585" s="312"/>
      <c r="T585" s="312"/>
      <c r="U585" s="312"/>
      <c r="V585" s="312"/>
      <c r="W585" s="312"/>
      <c r="X585" s="312"/>
      <c r="Y585" s="312"/>
      <c r="Z585" s="312"/>
    </row>
    <row r="586" customHeight="1" spans="1:26">
      <c r="A586" s="312"/>
      <c r="B586" s="312"/>
      <c r="C586" s="312"/>
      <c r="D586" s="312"/>
      <c r="E586" s="312"/>
      <c r="F586" s="312"/>
      <c r="G586" s="312"/>
      <c r="H586" s="312"/>
      <c r="I586" s="312"/>
      <c r="J586" s="312"/>
      <c r="K586" s="312"/>
      <c r="L586" s="312"/>
      <c r="M586" s="312"/>
      <c r="N586" s="312"/>
      <c r="O586" s="312"/>
      <c r="P586" s="312"/>
      <c r="Q586" s="312"/>
      <c r="R586" s="312"/>
      <c r="S586" s="312"/>
      <c r="T586" s="312"/>
      <c r="U586" s="312"/>
      <c r="V586" s="312"/>
      <c r="W586" s="312"/>
      <c r="X586" s="312"/>
      <c r="Y586" s="312"/>
      <c r="Z586" s="312"/>
    </row>
    <row r="587" customHeight="1" spans="1:26">
      <c r="A587" s="312"/>
      <c r="B587" s="312"/>
      <c r="C587" s="312"/>
      <c r="D587" s="312"/>
      <c r="E587" s="312"/>
      <c r="F587" s="312"/>
      <c r="G587" s="312"/>
      <c r="H587" s="312"/>
      <c r="I587" s="312"/>
      <c r="J587" s="312"/>
      <c r="K587" s="312"/>
      <c r="L587" s="312"/>
      <c r="M587" s="312"/>
      <c r="N587" s="312"/>
      <c r="O587" s="312"/>
      <c r="P587" s="312"/>
      <c r="Q587" s="312"/>
      <c r="R587" s="312"/>
      <c r="S587" s="312"/>
      <c r="T587" s="312"/>
      <c r="U587" s="312"/>
      <c r="V587" s="312"/>
      <c r="W587" s="312"/>
      <c r="X587" s="312"/>
      <c r="Y587" s="312"/>
      <c r="Z587" s="312"/>
    </row>
    <row r="588" customHeight="1" spans="1:26">
      <c r="A588" s="312"/>
      <c r="B588" s="312"/>
      <c r="C588" s="312"/>
      <c r="D588" s="312"/>
      <c r="E588" s="312"/>
      <c r="F588" s="312"/>
      <c r="G588" s="312"/>
      <c r="H588" s="312"/>
      <c r="I588" s="312"/>
      <c r="J588" s="312"/>
      <c r="K588" s="312"/>
      <c r="L588" s="312"/>
      <c r="M588" s="312"/>
      <c r="N588" s="312"/>
      <c r="O588" s="312"/>
      <c r="P588" s="312"/>
      <c r="Q588" s="312"/>
      <c r="R588" s="312"/>
      <c r="S588" s="312"/>
      <c r="T588" s="312"/>
      <c r="U588" s="312"/>
      <c r="V588" s="312"/>
      <c r="W588" s="312"/>
      <c r="X588" s="312"/>
      <c r="Y588" s="312"/>
      <c r="Z588" s="312"/>
    </row>
    <row r="589" customHeight="1" spans="1:26">
      <c r="A589" s="312"/>
      <c r="B589" s="312"/>
      <c r="C589" s="312"/>
      <c r="D589" s="312"/>
      <c r="E589" s="312"/>
      <c r="F589" s="312"/>
      <c r="G589" s="312"/>
      <c r="H589" s="312"/>
      <c r="I589" s="312"/>
      <c r="J589" s="312"/>
      <c r="K589" s="312"/>
      <c r="L589" s="312"/>
      <c r="M589" s="312"/>
      <c r="N589" s="312"/>
      <c r="O589" s="312"/>
      <c r="P589" s="312"/>
      <c r="Q589" s="312"/>
      <c r="R589" s="312"/>
      <c r="S589" s="312"/>
      <c r="T589" s="312"/>
      <c r="U589" s="312"/>
      <c r="V589" s="312"/>
      <c r="W589" s="312"/>
      <c r="X589" s="312"/>
      <c r="Y589" s="312"/>
      <c r="Z589" s="312"/>
    </row>
    <row r="590" customHeight="1" spans="1:26">
      <c r="A590" s="312"/>
      <c r="B590" s="312"/>
      <c r="C590" s="312"/>
      <c r="D590" s="312"/>
      <c r="E590" s="312"/>
      <c r="F590" s="312"/>
      <c r="G590" s="312"/>
      <c r="H590" s="312"/>
      <c r="I590" s="312"/>
      <c r="J590" s="312"/>
      <c r="K590" s="312"/>
      <c r="L590" s="312"/>
      <c r="M590" s="312"/>
      <c r="N590" s="312"/>
      <c r="O590" s="312"/>
      <c r="P590" s="312"/>
      <c r="Q590" s="312"/>
      <c r="R590" s="312"/>
      <c r="S590" s="312"/>
      <c r="T590" s="312"/>
      <c r="U590" s="312"/>
      <c r="V590" s="312"/>
      <c r="W590" s="312"/>
      <c r="X590" s="312"/>
      <c r="Y590" s="312"/>
      <c r="Z590" s="312"/>
    </row>
    <row r="591" customHeight="1" spans="1:26">
      <c r="A591" s="312"/>
      <c r="B591" s="312"/>
      <c r="C591" s="312"/>
      <c r="D591" s="312"/>
      <c r="E591" s="312"/>
      <c r="F591" s="312"/>
      <c r="G591" s="312"/>
      <c r="H591" s="312"/>
      <c r="I591" s="312"/>
      <c r="J591" s="312"/>
      <c r="K591" s="312"/>
      <c r="L591" s="312"/>
      <c r="M591" s="312"/>
      <c r="N591" s="312"/>
      <c r="O591" s="312"/>
      <c r="P591" s="312"/>
      <c r="Q591" s="312"/>
      <c r="R591" s="312"/>
      <c r="S591" s="312"/>
      <c r="T591" s="312"/>
      <c r="U591" s="312"/>
      <c r="V591" s="312"/>
      <c r="W591" s="312"/>
      <c r="X591" s="312"/>
      <c r="Y591" s="312"/>
      <c r="Z591" s="312"/>
    </row>
    <row r="592" customHeight="1" spans="1:26">
      <c r="A592" s="312"/>
      <c r="B592" s="312"/>
      <c r="C592" s="312"/>
      <c r="D592" s="312"/>
      <c r="E592" s="312"/>
      <c r="F592" s="312"/>
      <c r="G592" s="312"/>
      <c r="H592" s="312"/>
      <c r="I592" s="312"/>
      <c r="J592" s="312"/>
      <c r="K592" s="312"/>
      <c r="L592" s="312"/>
      <c r="M592" s="312"/>
      <c r="N592" s="312"/>
      <c r="O592" s="312"/>
      <c r="P592" s="312"/>
      <c r="Q592" s="312"/>
      <c r="R592" s="312"/>
      <c r="S592" s="312"/>
      <c r="T592" s="312"/>
      <c r="U592" s="312"/>
      <c r="V592" s="312"/>
      <c r="W592" s="312"/>
      <c r="X592" s="312"/>
      <c r="Y592" s="312"/>
      <c r="Z592" s="312"/>
    </row>
    <row r="593" customHeight="1" spans="1:26">
      <c r="A593" s="312"/>
      <c r="B593" s="312"/>
      <c r="C593" s="312"/>
      <c r="D593" s="312"/>
      <c r="E593" s="312"/>
      <c r="F593" s="312"/>
      <c r="G593" s="312"/>
      <c r="H593" s="312"/>
      <c r="I593" s="312"/>
      <c r="J593" s="312"/>
      <c r="K593" s="312"/>
      <c r="L593" s="312"/>
      <c r="M593" s="312"/>
      <c r="N593" s="312"/>
      <c r="O593" s="312"/>
      <c r="P593" s="312"/>
      <c r="Q593" s="312"/>
      <c r="R593" s="312"/>
      <c r="S593" s="312"/>
      <c r="T593" s="312"/>
      <c r="U593" s="312"/>
      <c r="V593" s="312"/>
      <c r="W593" s="312"/>
      <c r="X593" s="312"/>
      <c r="Y593" s="312"/>
      <c r="Z593" s="312"/>
    </row>
    <row r="594" customHeight="1" spans="1:26">
      <c r="A594" s="312"/>
      <c r="B594" s="312"/>
      <c r="C594" s="312"/>
      <c r="D594" s="312"/>
      <c r="E594" s="312"/>
      <c r="F594" s="312"/>
      <c r="G594" s="312"/>
      <c r="H594" s="312"/>
      <c r="I594" s="312"/>
      <c r="J594" s="312"/>
      <c r="K594" s="312"/>
      <c r="L594" s="312"/>
      <c r="M594" s="312"/>
      <c r="N594" s="312"/>
      <c r="O594" s="312"/>
      <c r="P594" s="312"/>
      <c r="Q594" s="312"/>
      <c r="R594" s="312"/>
      <c r="S594" s="312"/>
      <c r="T594" s="312"/>
      <c r="U594" s="312"/>
      <c r="V594" s="312"/>
      <c r="W594" s="312"/>
      <c r="X594" s="312"/>
      <c r="Y594" s="312"/>
      <c r="Z594" s="312"/>
    </row>
    <row r="595" customHeight="1" spans="1:26">
      <c r="A595" s="312"/>
      <c r="B595" s="312"/>
      <c r="C595" s="312"/>
      <c r="D595" s="312"/>
      <c r="E595" s="312"/>
      <c r="F595" s="312"/>
      <c r="G595" s="312"/>
      <c r="H595" s="312"/>
      <c r="I595" s="312"/>
      <c r="J595" s="312"/>
      <c r="K595" s="312"/>
      <c r="L595" s="312"/>
      <c r="M595" s="312"/>
      <c r="N595" s="312"/>
      <c r="O595" s="312"/>
      <c r="P595" s="312"/>
      <c r="Q595" s="312"/>
      <c r="R595" s="312"/>
      <c r="S595" s="312"/>
      <c r="T595" s="312"/>
      <c r="U595" s="312"/>
      <c r="V595" s="312"/>
      <c r="W595" s="312"/>
      <c r="X595" s="312"/>
      <c r="Y595" s="312"/>
      <c r="Z595" s="312"/>
    </row>
    <row r="596" customHeight="1" spans="1:26">
      <c r="A596" s="312"/>
      <c r="B596" s="312"/>
      <c r="C596" s="312"/>
      <c r="D596" s="312"/>
      <c r="E596" s="312"/>
      <c r="F596" s="312"/>
      <c r="G596" s="312"/>
      <c r="H596" s="312"/>
      <c r="I596" s="312"/>
      <c r="J596" s="312"/>
      <c r="K596" s="312"/>
      <c r="L596" s="312"/>
      <c r="M596" s="312"/>
      <c r="N596" s="312"/>
      <c r="O596" s="312"/>
      <c r="P596" s="312"/>
      <c r="Q596" s="312"/>
      <c r="R596" s="312"/>
      <c r="S596" s="312"/>
      <c r="T596" s="312"/>
      <c r="U596" s="312"/>
      <c r="V596" s="312"/>
      <c r="W596" s="312"/>
      <c r="X596" s="312"/>
      <c r="Y596" s="312"/>
      <c r="Z596" s="312"/>
    </row>
    <row r="597" customHeight="1" spans="1:26">
      <c r="A597" s="312"/>
      <c r="B597" s="312"/>
      <c r="C597" s="312"/>
      <c r="D597" s="312"/>
      <c r="E597" s="312"/>
      <c r="F597" s="312"/>
      <c r="G597" s="312"/>
      <c r="H597" s="312"/>
      <c r="I597" s="312"/>
      <c r="J597" s="312"/>
      <c r="K597" s="312"/>
      <c r="L597" s="312"/>
      <c r="M597" s="312"/>
      <c r="N597" s="312"/>
      <c r="O597" s="312"/>
      <c r="P597" s="312"/>
      <c r="Q597" s="312"/>
      <c r="R597" s="312"/>
      <c r="S597" s="312"/>
      <c r="T597" s="312"/>
      <c r="U597" s="312"/>
      <c r="V597" s="312"/>
      <c r="W597" s="312"/>
      <c r="X597" s="312"/>
      <c r="Y597" s="312"/>
      <c r="Z597" s="312"/>
    </row>
    <row r="598" customHeight="1" spans="1:26">
      <c r="A598" s="312"/>
      <c r="B598" s="312"/>
      <c r="C598" s="312"/>
      <c r="D598" s="312"/>
      <c r="E598" s="312"/>
      <c r="F598" s="312"/>
      <c r="G598" s="312"/>
      <c r="H598" s="312"/>
      <c r="I598" s="312"/>
      <c r="J598" s="312"/>
      <c r="K598" s="312"/>
      <c r="L598" s="312"/>
      <c r="M598" s="312"/>
      <c r="N598" s="312"/>
      <c r="O598" s="312"/>
      <c r="P598" s="312"/>
      <c r="Q598" s="312"/>
      <c r="R598" s="312"/>
      <c r="S598" s="312"/>
      <c r="T598" s="312"/>
      <c r="U598" s="312"/>
      <c r="V598" s="312"/>
      <c r="W598" s="312"/>
      <c r="X598" s="312"/>
      <c r="Y598" s="312"/>
      <c r="Z598" s="312"/>
    </row>
    <row r="599" customHeight="1" spans="1:26">
      <c r="A599" s="312"/>
      <c r="B599" s="312"/>
      <c r="C599" s="312"/>
      <c r="D599" s="312"/>
      <c r="E599" s="312"/>
      <c r="F599" s="312"/>
      <c r="G599" s="312"/>
      <c r="H599" s="312"/>
      <c r="I599" s="312"/>
      <c r="J599" s="312"/>
      <c r="K599" s="312"/>
      <c r="L599" s="312"/>
      <c r="M599" s="312"/>
      <c r="N599" s="312"/>
      <c r="O599" s="312"/>
      <c r="P599" s="312"/>
      <c r="Q599" s="312"/>
      <c r="R599" s="312"/>
      <c r="S599" s="312"/>
      <c r="T599" s="312"/>
      <c r="U599" s="312"/>
      <c r="V599" s="312"/>
      <c r="W599" s="312"/>
      <c r="X599" s="312"/>
      <c r="Y599" s="312"/>
      <c r="Z599" s="312"/>
    </row>
    <row r="600" customHeight="1" spans="1:26">
      <c r="A600" s="312"/>
      <c r="B600" s="312"/>
      <c r="C600" s="312"/>
      <c r="D600" s="312"/>
      <c r="E600" s="312"/>
      <c r="F600" s="312"/>
      <c r="G600" s="312"/>
      <c r="H600" s="312"/>
      <c r="I600" s="312"/>
      <c r="J600" s="312"/>
      <c r="K600" s="312"/>
      <c r="L600" s="312"/>
      <c r="M600" s="312"/>
      <c r="N600" s="312"/>
      <c r="O600" s="312"/>
      <c r="P600" s="312"/>
      <c r="Q600" s="312"/>
      <c r="R600" s="312"/>
      <c r="S600" s="312"/>
      <c r="T600" s="312"/>
      <c r="U600" s="312"/>
      <c r="V600" s="312"/>
      <c r="W600" s="312"/>
      <c r="X600" s="312"/>
      <c r="Y600" s="312"/>
      <c r="Z600" s="312"/>
    </row>
    <row r="601" customHeight="1" spans="1:26">
      <c r="A601" s="312"/>
      <c r="B601" s="312"/>
      <c r="C601" s="312"/>
      <c r="D601" s="312"/>
      <c r="E601" s="312"/>
      <c r="F601" s="312"/>
      <c r="G601" s="312"/>
      <c r="H601" s="312"/>
      <c r="I601" s="312"/>
      <c r="J601" s="312"/>
      <c r="K601" s="312"/>
      <c r="L601" s="312"/>
      <c r="M601" s="312"/>
      <c r="N601" s="312"/>
      <c r="O601" s="312"/>
      <c r="P601" s="312"/>
      <c r="Q601" s="312"/>
      <c r="R601" s="312"/>
      <c r="S601" s="312"/>
      <c r="T601" s="312"/>
      <c r="U601" s="312"/>
      <c r="V601" s="312"/>
      <c r="W601" s="312"/>
      <c r="X601" s="312"/>
      <c r="Y601" s="312"/>
      <c r="Z601" s="312"/>
    </row>
    <row r="602" customHeight="1" spans="1:26">
      <c r="A602" s="312"/>
      <c r="B602" s="312"/>
      <c r="C602" s="312"/>
      <c r="D602" s="312"/>
      <c r="E602" s="312"/>
      <c r="F602" s="312"/>
      <c r="G602" s="312"/>
      <c r="H602" s="312"/>
      <c r="I602" s="312"/>
      <c r="J602" s="312"/>
      <c r="K602" s="312"/>
      <c r="L602" s="312"/>
      <c r="M602" s="312"/>
      <c r="N602" s="312"/>
      <c r="O602" s="312"/>
      <c r="P602" s="312"/>
      <c r="Q602" s="312"/>
      <c r="R602" s="312"/>
      <c r="S602" s="312"/>
      <c r="T602" s="312"/>
      <c r="U602" s="312"/>
      <c r="V602" s="312"/>
      <c r="W602" s="312"/>
      <c r="X602" s="312"/>
      <c r="Y602" s="312"/>
      <c r="Z602" s="312"/>
    </row>
    <row r="603" customHeight="1" spans="1:26">
      <c r="A603" s="312"/>
      <c r="B603" s="312"/>
      <c r="C603" s="312"/>
      <c r="D603" s="312"/>
      <c r="E603" s="312"/>
      <c r="F603" s="312"/>
      <c r="G603" s="312"/>
      <c r="H603" s="312"/>
      <c r="I603" s="312"/>
      <c r="J603" s="312"/>
      <c r="K603" s="312"/>
      <c r="L603" s="312"/>
      <c r="M603" s="312"/>
      <c r="N603" s="312"/>
      <c r="O603" s="312"/>
      <c r="P603" s="312"/>
      <c r="Q603" s="312"/>
      <c r="R603" s="312"/>
      <c r="S603" s="312"/>
      <c r="T603" s="312"/>
      <c r="U603" s="312"/>
      <c r="V603" s="312"/>
      <c r="W603" s="312"/>
      <c r="X603" s="312"/>
      <c r="Y603" s="312"/>
      <c r="Z603" s="312"/>
    </row>
    <row r="604" customHeight="1" spans="1:26">
      <c r="A604" s="312"/>
      <c r="B604" s="312"/>
      <c r="C604" s="312"/>
      <c r="D604" s="312"/>
      <c r="E604" s="312"/>
      <c r="F604" s="312"/>
      <c r="G604" s="312"/>
      <c r="H604" s="312"/>
      <c r="I604" s="312"/>
      <c r="J604" s="312"/>
      <c r="K604" s="312"/>
      <c r="L604" s="312"/>
      <c r="M604" s="312"/>
      <c r="N604" s="312"/>
      <c r="O604" s="312"/>
      <c r="P604" s="312"/>
      <c r="Q604" s="312"/>
      <c r="R604" s="312"/>
      <c r="S604" s="312"/>
      <c r="T604" s="312"/>
      <c r="U604" s="312"/>
      <c r="V604" s="312"/>
      <c r="W604" s="312"/>
      <c r="X604" s="312"/>
      <c r="Y604" s="312"/>
      <c r="Z604" s="312"/>
    </row>
    <row r="605" customHeight="1" spans="1:26">
      <c r="A605" s="312"/>
      <c r="B605" s="312"/>
      <c r="C605" s="312"/>
      <c r="D605" s="312"/>
      <c r="E605" s="312"/>
      <c r="F605" s="312"/>
      <c r="G605" s="312"/>
      <c r="H605" s="312"/>
      <c r="I605" s="312"/>
      <c r="J605" s="312"/>
      <c r="K605" s="312"/>
      <c r="L605" s="312"/>
      <c r="M605" s="312"/>
      <c r="N605" s="312"/>
      <c r="O605" s="312"/>
      <c r="P605" s="312"/>
      <c r="Q605" s="312"/>
      <c r="R605" s="312"/>
      <c r="S605" s="312"/>
      <c r="T605" s="312"/>
      <c r="U605" s="312"/>
      <c r="V605" s="312"/>
      <c r="W605" s="312"/>
      <c r="X605" s="312"/>
      <c r="Y605" s="312"/>
      <c r="Z605" s="312"/>
    </row>
    <row r="606" customHeight="1" spans="1:26">
      <c r="A606" s="312"/>
      <c r="B606" s="312"/>
      <c r="C606" s="312"/>
      <c r="D606" s="312"/>
      <c r="E606" s="312"/>
      <c r="F606" s="312"/>
      <c r="G606" s="312"/>
      <c r="H606" s="312"/>
      <c r="I606" s="312"/>
      <c r="J606" s="312"/>
      <c r="K606" s="312"/>
      <c r="L606" s="312"/>
      <c r="M606" s="312"/>
      <c r="N606" s="312"/>
      <c r="O606" s="312"/>
      <c r="P606" s="312"/>
      <c r="Q606" s="312"/>
      <c r="R606" s="312"/>
      <c r="S606" s="312"/>
      <c r="T606" s="312"/>
      <c r="U606" s="312"/>
      <c r="V606" s="312"/>
      <c r="W606" s="312"/>
      <c r="X606" s="312"/>
      <c r="Y606" s="312"/>
      <c r="Z606" s="312"/>
    </row>
    <row r="607" customHeight="1" spans="1:26">
      <c r="A607" s="312"/>
      <c r="B607" s="312"/>
      <c r="C607" s="312"/>
      <c r="D607" s="312"/>
      <c r="E607" s="312"/>
      <c r="F607" s="312"/>
      <c r="G607" s="312"/>
      <c r="H607" s="312"/>
      <c r="I607" s="312"/>
      <c r="J607" s="312"/>
      <c r="K607" s="312"/>
      <c r="L607" s="312"/>
      <c r="M607" s="312"/>
      <c r="N607" s="312"/>
      <c r="O607" s="312"/>
      <c r="P607" s="312"/>
      <c r="Q607" s="312"/>
      <c r="R607" s="312"/>
      <c r="S607" s="312"/>
      <c r="T607" s="312"/>
      <c r="U607" s="312"/>
      <c r="V607" s="312"/>
      <c r="W607" s="312"/>
      <c r="X607" s="312"/>
      <c r="Y607" s="312"/>
      <c r="Z607" s="312"/>
    </row>
    <row r="608" customHeight="1" spans="1:26">
      <c r="A608" s="312"/>
      <c r="B608" s="312"/>
      <c r="C608" s="312"/>
      <c r="D608" s="312"/>
      <c r="E608" s="312"/>
      <c r="F608" s="312"/>
      <c r="G608" s="312"/>
      <c r="H608" s="312"/>
      <c r="I608" s="312"/>
      <c r="J608" s="312"/>
      <c r="K608" s="312"/>
      <c r="L608" s="312"/>
      <c r="M608" s="312"/>
      <c r="N608" s="312"/>
      <c r="O608" s="312"/>
      <c r="P608" s="312"/>
      <c r="Q608" s="312"/>
      <c r="R608" s="312"/>
      <c r="S608" s="312"/>
      <c r="T608" s="312"/>
      <c r="U608" s="312"/>
      <c r="V608" s="312"/>
      <c r="W608" s="312"/>
      <c r="X608" s="312"/>
      <c r="Y608" s="312"/>
      <c r="Z608" s="312"/>
    </row>
    <row r="609" customHeight="1" spans="1:26">
      <c r="A609" s="312"/>
      <c r="B609" s="312"/>
      <c r="C609" s="312"/>
      <c r="D609" s="312"/>
      <c r="E609" s="312"/>
      <c r="F609" s="312"/>
      <c r="G609" s="312"/>
      <c r="H609" s="312"/>
      <c r="I609" s="312"/>
      <c r="J609" s="312"/>
      <c r="K609" s="312"/>
      <c r="L609" s="312"/>
      <c r="M609" s="312"/>
      <c r="N609" s="312"/>
      <c r="O609" s="312"/>
      <c r="P609" s="312"/>
      <c r="Q609" s="312"/>
      <c r="R609" s="312"/>
      <c r="S609" s="312"/>
      <c r="T609" s="312"/>
      <c r="U609" s="312"/>
      <c r="V609" s="312"/>
      <c r="W609" s="312"/>
      <c r="X609" s="312"/>
      <c r="Y609" s="312"/>
      <c r="Z609" s="312"/>
    </row>
    <row r="610" customHeight="1" spans="1:26">
      <c r="A610" s="312"/>
      <c r="B610" s="312"/>
      <c r="C610" s="312"/>
      <c r="D610" s="312"/>
      <c r="E610" s="312"/>
      <c r="F610" s="312"/>
      <c r="G610" s="312"/>
      <c r="H610" s="312"/>
      <c r="I610" s="312"/>
      <c r="J610" s="312"/>
      <c r="K610" s="312"/>
      <c r="L610" s="312"/>
      <c r="M610" s="312"/>
      <c r="N610" s="312"/>
      <c r="O610" s="312"/>
      <c r="P610" s="312"/>
      <c r="Q610" s="312"/>
      <c r="R610" s="312"/>
      <c r="S610" s="312"/>
      <c r="T610" s="312"/>
      <c r="U610" s="312"/>
      <c r="V610" s="312"/>
      <c r="W610" s="312"/>
      <c r="X610" s="312"/>
      <c r="Y610" s="312"/>
      <c r="Z610" s="312"/>
    </row>
    <row r="611" customHeight="1" spans="1:26">
      <c r="A611" s="312"/>
      <c r="B611" s="312"/>
      <c r="C611" s="312"/>
      <c r="D611" s="312"/>
      <c r="E611" s="312"/>
      <c r="F611" s="312"/>
      <c r="G611" s="312"/>
      <c r="H611" s="312"/>
      <c r="I611" s="312"/>
      <c r="J611" s="312"/>
      <c r="K611" s="312"/>
      <c r="L611" s="312"/>
      <c r="M611" s="312"/>
      <c r="N611" s="312"/>
      <c r="O611" s="312"/>
      <c r="P611" s="312"/>
      <c r="Q611" s="312"/>
      <c r="R611" s="312"/>
      <c r="S611" s="312"/>
      <c r="T611" s="312"/>
      <c r="U611" s="312"/>
      <c r="V611" s="312"/>
      <c r="W611" s="312"/>
      <c r="X611" s="312"/>
      <c r="Y611" s="312"/>
      <c r="Z611" s="312"/>
    </row>
    <row r="612" customHeight="1" spans="1:26">
      <c r="A612" s="312"/>
      <c r="B612" s="312"/>
      <c r="C612" s="312"/>
      <c r="D612" s="312"/>
      <c r="E612" s="312"/>
      <c r="F612" s="312"/>
      <c r="G612" s="312"/>
      <c r="H612" s="312"/>
      <c r="I612" s="312"/>
      <c r="J612" s="312"/>
      <c r="K612" s="312"/>
      <c r="L612" s="312"/>
      <c r="M612" s="312"/>
      <c r="N612" s="312"/>
      <c r="O612" s="312"/>
      <c r="P612" s="312"/>
      <c r="Q612" s="312"/>
      <c r="R612" s="312"/>
      <c r="S612" s="312"/>
      <c r="T612" s="312"/>
      <c r="U612" s="312"/>
      <c r="V612" s="312"/>
      <c r="W612" s="312"/>
      <c r="X612" s="312"/>
      <c r="Y612" s="312"/>
      <c r="Z612" s="312"/>
    </row>
    <row r="613" customHeight="1" spans="1:26">
      <c r="A613" s="312"/>
      <c r="B613" s="312"/>
      <c r="C613" s="312"/>
      <c r="D613" s="312"/>
      <c r="E613" s="312"/>
      <c r="F613" s="312"/>
      <c r="G613" s="312"/>
      <c r="H613" s="312"/>
      <c r="I613" s="312"/>
      <c r="J613" s="312"/>
      <c r="K613" s="312"/>
      <c r="L613" s="312"/>
      <c r="M613" s="312"/>
      <c r="N613" s="312"/>
      <c r="O613" s="312"/>
      <c r="P613" s="312"/>
      <c r="Q613" s="312"/>
      <c r="R613" s="312"/>
      <c r="S613" s="312"/>
      <c r="T613" s="312"/>
      <c r="U613" s="312"/>
      <c r="V613" s="312"/>
      <c r="W613" s="312"/>
      <c r="X613" s="312"/>
      <c r="Y613" s="312"/>
      <c r="Z613" s="312"/>
    </row>
    <row r="614" customHeight="1" spans="1:26">
      <c r="A614" s="312"/>
      <c r="B614" s="312"/>
      <c r="C614" s="312"/>
      <c r="D614" s="312"/>
      <c r="E614" s="312"/>
      <c r="F614" s="312"/>
      <c r="G614" s="312"/>
      <c r="H614" s="312"/>
      <c r="I614" s="312"/>
      <c r="J614" s="312"/>
      <c r="K614" s="312"/>
      <c r="L614" s="312"/>
      <c r="M614" s="312"/>
      <c r="N614" s="312"/>
      <c r="O614" s="312"/>
      <c r="P614" s="312"/>
      <c r="Q614" s="312"/>
      <c r="R614" s="312"/>
      <c r="S614" s="312"/>
      <c r="T614" s="312"/>
      <c r="U614" s="312"/>
      <c r="V614" s="312"/>
      <c r="W614" s="312"/>
      <c r="X614" s="312"/>
      <c r="Y614" s="312"/>
      <c r="Z614" s="312"/>
    </row>
    <row r="615" customHeight="1" spans="1:26">
      <c r="A615" s="312"/>
      <c r="B615" s="312"/>
      <c r="C615" s="312"/>
      <c r="D615" s="312"/>
      <c r="E615" s="312"/>
      <c r="F615" s="312"/>
      <c r="G615" s="312"/>
      <c r="H615" s="312"/>
      <c r="I615" s="312"/>
      <c r="J615" s="312"/>
      <c r="K615" s="312"/>
      <c r="L615" s="312"/>
      <c r="M615" s="312"/>
      <c r="N615" s="312"/>
      <c r="O615" s="312"/>
      <c r="P615" s="312"/>
      <c r="Q615" s="312"/>
      <c r="R615" s="312"/>
      <c r="S615" s="312"/>
      <c r="T615" s="312"/>
      <c r="U615" s="312"/>
      <c r="V615" s="312"/>
      <c r="W615" s="312"/>
      <c r="X615" s="312"/>
      <c r="Y615" s="312"/>
      <c r="Z615" s="312"/>
    </row>
    <row r="616" customHeight="1" spans="1:26">
      <c r="A616" s="312"/>
      <c r="B616" s="312"/>
      <c r="C616" s="312"/>
      <c r="D616" s="312"/>
      <c r="E616" s="312"/>
      <c r="F616" s="312"/>
      <c r="G616" s="312"/>
      <c r="H616" s="312"/>
      <c r="I616" s="312"/>
      <c r="J616" s="312"/>
      <c r="K616" s="312"/>
      <c r="L616" s="312"/>
      <c r="M616" s="312"/>
      <c r="N616" s="312"/>
      <c r="O616" s="312"/>
      <c r="P616" s="312"/>
      <c r="Q616" s="312"/>
      <c r="R616" s="312"/>
      <c r="S616" s="312"/>
      <c r="T616" s="312"/>
      <c r="U616" s="312"/>
      <c r="V616" s="312"/>
      <c r="W616" s="312"/>
      <c r="X616" s="312"/>
      <c r="Y616" s="312"/>
      <c r="Z616" s="312"/>
    </row>
    <row r="617" customHeight="1" spans="1:26">
      <c r="A617" s="312"/>
      <c r="B617" s="312"/>
      <c r="C617" s="312"/>
      <c r="D617" s="312"/>
      <c r="E617" s="312"/>
      <c r="F617" s="312"/>
      <c r="G617" s="312"/>
      <c r="H617" s="312"/>
      <c r="I617" s="312"/>
      <c r="J617" s="312"/>
      <c r="K617" s="312"/>
      <c r="L617" s="312"/>
      <c r="M617" s="312"/>
      <c r="N617" s="312"/>
      <c r="O617" s="312"/>
      <c r="P617" s="312"/>
      <c r="Q617" s="312"/>
      <c r="R617" s="312"/>
      <c r="S617" s="312"/>
      <c r="T617" s="312"/>
      <c r="U617" s="312"/>
      <c r="V617" s="312"/>
      <c r="W617" s="312"/>
      <c r="X617" s="312"/>
      <c r="Y617" s="312"/>
      <c r="Z617" s="312"/>
    </row>
    <row r="618" customHeight="1" spans="1:26">
      <c r="A618" s="312"/>
      <c r="B618" s="312"/>
      <c r="C618" s="312"/>
      <c r="D618" s="312"/>
      <c r="E618" s="312"/>
      <c r="F618" s="312"/>
      <c r="G618" s="312"/>
      <c r="H618" s="312"/>
      <c r="I618" s="312"/>
      <c r="J618" s="312"/>
      <c r="K618" s="312"/>
      <c r="L618" s="312"/>
      <c r="M618" s="312"/>
      <c r="N618" s="312"/>
      <c r="O618" s="312"/>
      <c r="P618" s="312"/>
      <c r="Q618" s="312"/>
      <c r="R618" s="312"/>
      <c r="S618" s="312"/>
      <c r="T618" s="312"/>
      <c r="U618" s="312"/>
      <c r="V618" s="312"/>
      <c r="W618" s="312"/>
      <c r="X618" s="312"/>
      <c r="Y618" s="312"/>
      <c r="Z618" s="312"/>
    </row>
    <row r="619" customHeight="1" spans="1:26">
      <c r="A619" s="312"/>
      <c r="B619" s="312"/>
      <c r="C619" s="312"/>
      <c r="D619" s="312"/>
      <c r="E619" s="312"/>
      <c r="F619" s="312"/>
      <c r="G619" s="312"/>
      <c r="H619" s="312"/>
      <c r="I619" s="312"/>
      <c r="J619" s="312"/>
      <c r="K619" s="312"/>
      <c r="L619" s="312"/>
      <c r="M619" s="312"/>
      <c r="N619" s="312"/>
      <c r="O619" s="312"/>
      <c r="P619" s="312"/>
      <c r="Q619" s="312"/>
      <c r="R619" s="312"/>
      <c r="S619" s="312"/>
      <c r="T619" s="312"/>
      <c r="U619" s="312"/>
      <c r="V619" s="312"/>
      <c r="W619" s="312"/>
      <c r="X619" s="312"/>
      <c r="Y619" s="312"/>
      <c r="Z619" s="312"/>
    </row>
    <row r="620" customHeight="1" spans="1:26">
      <c r="A620" s="312"/>
      <c r="B620" s="312"/>
      <c r="C620" s="312"/>
      <c r="D620" s="312"/>
      <c r="E620" s="312"/>
      <c r="F620" s="312"/>
      <c r="G620" s="312"/>
      <c r="H620" s="312"/>
      <c r="I620" s="312"/>
      <c r="J620" s="312"/>
      <c r="K620" s="312"/>
      <c r="L620" s="312"/>
      <c r="M620" s="312"/>
      <c r="N620" s="312"/>
      <c r="O620" s="312"/>
      <c r="P620" s="312"/>
      <c r="Q620" s="312"/>
      <c r="R620" s="312"/>
      <c r="S620" s="312"/>
      <c r="T620" s="312"/>
      <c r="U620" s="312"/>
      <c r="V620" s="312"/>
      <c r="W620" s="312"/>
      <c r="X620" s="312"/>
      <c r="Y620" s="312"/>
      <c r="Z620" s="312"/>
    </row>
    <row r="621" customHeight="1" spans="1:26">
      <c r="A621" s="312"/>
      <c r="B621" s="312"/>
      <c r="C621" s="312"/>
      <c r="D621" s="312"/>
      <c r="E621" s="312"/>
      <c r="F621" s="312"/>
      <c r="G621" s="312"/>
      <c r="H621" s="312"/>
      <c r="I621" s="312"/>
      <c r="J621" s="312"/>
      <c r="K621" s="312"/>
      <c r="L621" s="312"/>
      <c r="M621" s="312"/>
      <c r="N621" s="312"/>
      <c r="O621" s="312"/>
      <c r="P621" s="312"/>
      <c r="Q621" s="312"/>
      <c r="R621" s="312"/>
      <c r="S621" s="312"/>
      <c r="T621" s="312"/>
      <c r="U621" s="312"/>
      <c r="V621" s="312"/>
      <c r="W621" s="312"/>
      <c r="X621" s="312"/>
      <c r="Y621" s="312"/>
      <c r="Z621" s="312"/>
    </row>
    <row r="622" customHeight="1" spans="1:26">
      <c r="A622" s="312"/>
      <c r="B622" s="312"/>
      <c r="C622" s="312"/>
      <c r="D622" s="312"/>
      <c r="E622" s="312"/>
      <c r="F622" s="312"/>
      <c r="G622" s="312"/>
      <c r="H622" s="312"/>
      <c r="I622" s="312"/>
      <c r="J622" s="312"/>
      <c r="K622" s="312"/>
      <c r="L622" s="312"/>
      <c r="M622" s="312"/>
      <c r="N622" s="312"/>
      <c r="O622" s="312"/>
      <c r="P622" s="312"/>
      <c r="Q622" s="312"/>
      <c r="R622" s="312"/>
      <c r="S622" s="312"/>
      <c r="T622" s="312"/>
      <c r="U622" s="312"/>
      <c r="V622" s="312"/>
      <c r="W622" s="312"/>
      <c r="X622" s="312"/>
      <c r="Y622" s="312"/>
      <c r="Z622" s="312"/>
    </row>
    <row r="623" customHeight="1" spans="1:26">
      <c r="A623" s="312"/>
      <c r="B623" s="312"/>
      <c r="C623" s="312"/>
      <c r="D623" s="312"/>
      <c r="E623" s="312"/>
      <c r="F623" s="312"/>
      <c r="G623" s="312"/>
      <c r="H623" s="312"/>
      <c r="I623" s="312"/>
      <c r="J623" s="312"/>
      <c r="K623" s="312"/>
      <c r="L623" s="312"/>
      <c r="M623" s="312"/>
      <c r="N623" s="312"/>
      <c r="O623" s="312"/>
      <c r="P623" s="312"/>
      <c r="Q623" s="312"/>
      <c r="R623" s="312"/>
      <c r="S623" s="312"/>
      <c r="T623" s="312"/>
      <c r="U623" s="312"/>
      <c r="V623" s="312"/>
      <c r="W623" s="312"/>
      <c r="X623" s="312"/>
      <c r="Y623" s="312"/>
      <c r="Z623" s="312"/>
    </row>
    <row r="624" customHeight="1" spans="1:26">
      <c r="A624" s="312"/>
      <c r="B624" s="312"/>
      <c r="C624" s="312"/>
      <c r="D624" s="312"/>
      <c r="E624" s="312"/>
      <c r="F624" s="312"/>
      <c r="G624" s="312"/>
      <c r="H624" s="312"/>
      <c r="I624" s="312"/>
      <c r="J624" s="312"/>
      <c r="K624" s="312"/>
      <c r="L624" s="312"/>
      <c r="M624" s="312"/>
      <c r="N624" s="312"/>
      <c r="O624" s="312"/>
      <c r="P624" s="312"/>
      <c r="Q624" s="312"/>
      <c r="R624" s="312"/>
      <c r="S624" s="312"/>
      <c r="T624" s="312"/>
      <c r="U624" s="312"/>
      <c r="V624" s="312"/>
      <c r="W624" s="312"/>
      <c r="X624" s="312"/>
      <c r="Y624" s="312"/>
      <c r="Z624" s="312"/>
    </row>
    <row r="625" customHeight="1" spans="1:26">
      <c r="A625" s="312"/>
      <c r="B625" s="312"/>
      <c r="C625" s="312"/>
      <c r="D625" s="312"/>
      <c r="E625" s="312"/>
      <c r="F625" s="312"/>
      <c r="G625" s="312"/>
      <c r="H625" s="312"/>
      <c r="I625" s="312"/>
      <c r="J625" s="312"/>
      <c r="K625" s="312"/>
      <c r="L625" s="312"/>
      <c r="M625" s="312"/>
      <c r="N625" s="312"/>
      <c r="O625" s="312"/>
      <c r="P625" s="312"/>
      <c r="Q625" s="312"/>
      <c r="R625" s="312"/>
      <c r="S625" s="312"/>
      <c r="T625" s="312"/>
      <c r="U625" s="312"/>
      <c r="V625" s="312"/>
      <c r="W625" s="312"/>
      <c r="X625" s="312"/>
      <c r="Y625" s="312"/>
      <c r="Z625" s="312"/>
    </row>
    <row r="626" customHeight="1" spans="1:26">
      <c r="A626" s="312"/>
      <c r="B626" s="312"/>
      <c r="C626" s="312"/>
      <c r="D626" s="312"/>
      <c r="E626" s="312"/>
      <c r="F626" s="312"/>
      <c r="G626" s="312"/>
      <c r="H626" s="312"/>
      <c r="I626" s="312"/>
      <c r="J626" s="312"/>
      <c r="K626" s="312"/>
      <c r="L626" s="312"/>
      <c r="M626" s="312"/>
      <c r="N626" s="312"/>
      <c r="O626" s="312"/>
      <c r="P626" s="312"/>
      <c r="Q626" s="312"/>
      <c r="R626" s="312"/>
      <c r="S626" s="312"/>
      <c r="T626" s="312"/>
      <c r="U626" s="312"/>
      <c r="V626" s="312"/>
      <c r="W626" s="312"/>
      <c r="X626" s="312"/>
      <c r="Y626" s="312"/>
      <c r="Z626" s="312"/>
    </row>
    <row r="627" customHeight="1" spans="1:26">
      <c r="A627" s="312"/>
      <c r="B627" s="312"/>
      <c r="C627" s="312"/>
      <c r="D627" s="312"/>
      <c r="E627" s="312"/>
      <c r="F627" s="312"/>
      <c r="G627" s="312"/>
      <c r="H627" s="312"/>
      <c r="I627" s="312"/>
      <c r="J627" s="312"/>
      <c r="K627" s="312"/>
      <c r="L627" s="312"/>
      <c r="M627" s="312"/>
      <c r="N627" s="312"/>
      <c r="O627" s="312"/>
      <c r="P627" s="312"/>
      <c r="Q627" s="312"/>
      <c r="R627" s="312"/>
      <c r="S627" s="312"/>
      <c r="T627" s="312"/>
      <c r="U627" s="312"/>
      <c r="V627" s="312"/>
      <c r="W627" s="312"/>
      <c r="X627" s="312"/>
      <c r="Y627" s="312"/>
      <c r="Z627" s="312"/>
    </row>
    <row r="628" customHeight="1" spans="1:26">
      <c r="A628" s="312"/>
      <c r="B628" s="312"/>
      <c r="C628" s="312"/>
      <c r="D628" s="312"/>
      <c r="E628" s="312"/>
      <c r="F628" s="312"/>
      <c r="G628" s="312"/>
      <c r="H628" s="312"/>
      <c r="I628" s="312"/>
      <c r="J628" s="312"/>
      <c r="K628" s="312"/>
      <c r="L628" s="312"/>
      <c r="M628" s="312"/>
      <c r="N628" s="312"/>
      <c r="O628" s="312"/>
      <c r="P628" s="312"/>
      <c r="Q628" s="312"/>
      <c r="R628" s="312"/>
      <c r="S628" s="312"/>
      <c r="T628" s="312"/>
      <c r="U628" s="312"/>
      <c r="V628" s="312"/>
      <c r="W628" s="312"/>
      <c r="X628" s="312"/>
      <c r="Y628" s="312"/>
      <c r="Z628" s="312"/>
    </row>
    <row r="629" customHeight="1" spans="1:26">
      <c r="A629" s="312"/>
      <c r="B629" s="312"/>
      <c r="C629" s="312"/>
      <c r="D629" s="312"/>
      <c r="E629" s="312"/>
      <c r="F629" s="312"/>
      <c r="G629" s="312"/>
      <c r="H629" s="312"/>
      <c r="I629" s="312"/>
      <c r="J629" s="312"/>
      <c r="K629" s="312"/>
      <c r="L629" s="312"/>
      <c r="M629" s="312"/>
      <c r="N629" s="312"/>
      <c r="O629" s="312"/>
      <c r="P629" s="312"/>
      <c r="Q629" s="312"/>
      <c r="R629" s="312"/>
      <c r="S629" s="312"/>
      <c r="T629" s="312"/>
      <c r="U629" s="312"/>
      <c r="V629" s="312"/>
      <c r="W629" s="312"/>
      <c r="X629" s="312"/>
      <c r="Y629" s="312"/>
      <c r="Z629" s="312"/>
    </row>
    <row r="630" customHeight="1" spans="1:26">
      <c r="A630" s="312"/>
      <c r="B630" s="312"/>
      <c r="C630" s="312"/>
      <c r="D630" s="312"/>
      <c r="E630" s="312"/>
      <c r="F630" s="312"/>
      <c r="G630" s="312"/>
      <c r="H630" s="312"/>
      <c r="I630" s="312"/>
      <c r="J630" s="312"/>
      <c r="K630" s="312"/>
      <c r="L630" s="312"/>
      <c r="M630" s="312"/>
      <c r="N630" s="312"/>
      <c r="O630" s="312"/>
      <c r="P630" s="312"/>
      <c r="Q630" s="312"/>
      <c r="R630" s="312"/>
      <c r="S630" s="312"/>
      <c r="T630" s="312"/>
      <c r="U630" s="312"/>
      <c r="V630" s="312"/>
      <c r="W630" s="312"/>
      <c r="X630" s="312"/>
      <c r="Y630" s="312"/>
      <c r="Z630" s="312"/>
    </row>
    <row r="631" customHeight="1" spans="1:26">
      <c r="A631" s="312"/>
      <c r="B631" s="312"/>
      <c r="C631" s="312"/>
      <c r="D631" s="312"/>
      <c r="E631" s="312"/>
      <c r="F631" s="312"/>
      <c r="G631" s="312"/>
      <c r="H631" s="312"/>
      <c r="I631" s="312"/>
      <c r="J631" s="312"/>
      <c r="K631" s="312"/>
      <c r="L631" s="312"/>
      <c r="M631" s="312"/>
      <c r="N631" s="312"/>
      <c r="O631" s="312"/>
      <c r="P631" s="312"/>
      <c r="Q631" s="312"/>
      <c r="R631" s="312"/>
      <c r="S631" s="312"/>
      <c r="T631" s="312"/>
      <c r="U631" s="312"/>
      <c r="V631" s="312"/>
      <c r="W631" s="312"/>
      <c r="X631" s="312"/>
      <c r="Y631" s="312"/>
      <c r="Z631" s="312"/>
    </row>
    <row r="632" customHeight="1" spans="1:26">
      <c r="A632" s="312"/>
      <c r="B632" s="312"/>
      <c r="C632" s="312"/>
      <c r="D632" s="312"/>
      <c r="E632" s="312"/>
      <c r="F632" s="312"/>
      <c r="G632" s="312"/>
      <c r="H632" s="312"/>
      <c r="I632" s="312"/>
      <c r="J632" s="312"/>
      <c r="K632" s="312"/>
      <c r="L632" s="312"/>
      <c r="M632" s="312"/>
      <c r="N632" s="312"/>
      <c r="O632" s="312"/>
      <c r="P632" s="312"/>
      <c r="Q632" s="312"/>
      <c r="R632" s="312"/>
      <c r="S632" s="312"/>
      <c r="T632" s="312"/>
      <c r="U632" s="312"/>
      <c r="V632" s="312"/>
      <c r="W632" s="312"/>
      <c r="X632" s="312"/>
      <c r="Y632" s="312"/>
      <c r="Z632" s="312"/>
    </row>
    <row r="633" customHeight="1" spans="1:26">
      <c r="A633" s="312"/>
      <c r="B633" s="312"/>
      <c r="C633" s="312"/>
      <c r="D633" s="312"/>
      <c r="E633" s="312"/>
      <c r="F633" s="312"/>
      <c r="G633" s="312"/>
      <c r="H633" s="312"/>
      <c r="I633" s="312"/>
      <c r="J633" s="312"/>
      <c r="K633" s="312"/>
      <c r="L633" s="312"/>
      <c r="M633" s="312"/>
      <c r="N633" s="312"/>
      <c r="O633" s="312"/>
      <c r="P633" s="312"/>
      <c r="Q633" s="312"/>
      <c r="R633" s="312"/>
      <c r="S633" s="312"/>
      <c r="T633" s="312"/>
      <c r="U633" s="312"/>
      <c r="V633" s="312"/>
      <c r="W633" s="312"/>
      <c r="X633" s="312"/>
      <c r="Y633" s="312"/>
      <c r="Z633" s="312"/>
    </row>
    <row r="634" customHeight="1" spans="1:26">
      <c r="A634" s="312"/>
      <c r="B634" s="312"/>
      <c r="C634" s="312"/>
      <c r="D634" s="312"/>
      <c r="E634" s="312"/>
      <c r="F634" s="312"/>
      <c r="G634" s="312"/>
      <c r="H634" s="312"/>
      <c r="I634" s="312"/>
      <c r="J634" s="312"/>
      <c r="K634" s="312"/>
      <c r="L634" s="312"/>
      <c r="M634" s="312"/>
      <c r="N634" s="312"/>
      <c r="O634" s="312"/>
      <c r="P634" s="312"/>
      <c r="Q634" s="312"/>
      <c r="R634" s="312"/>
      <c r="S634" s="312"/>
      <c r="T634" s="312"/>
      <c r="U634" s="312"/>
      <c r="V634" s="312"/>
      <c r="W634" s="312"/>
      <c r="X634" s="312"/>
      <c r="Y634" s="312"/>
      <c r="Z634" s="312"/>
    </row>
    <row r="635" customHeight="1" spans="1:26">
      <c r="A635" s="312"/>
      <c r="B635" s="312"/>
      <c r="C635" s="312"/>
      <c r="D635" s="312"/>
      <c r="E635" s="312"/>
      <c r="F635" s="312"/>
      <c r="G635" s="312"/>
      <c r="H635" s="312"/>
      <c r="I635" s="312"/>
      <c r="J635" s="312"/>
      <c r="K635" s="312"/>
      <c r="L635" s="312"/>
      <c r="M635" s="312"/>
      <c r="N635" s="312"/>
      <c r="O635" s="312"/>
      <c r="P635" s="312"/>
      <c r="Q635" s="312"/>
      <c r="R635" s="312"/>
      <c r="S635" s="312"/>
      <c r="T635" s="312"/>
      <c r="U635" s="312"/>
      <c r="V635" s="312"/>
      <c r="W635" s="312"/>
      <c r="X635" s="312"/>
      <c r="Y635" s="312"/>
      <c r="Z635" s="312"/>
    </row>
    <row r="636" customHeight="1" spans="1:26">
      <c r="A636" s="312"/>
      <c r="B636" s="312"/>
      <c r="C636" s="312"/>
      <c r="D636" s="312"/>
      <c r="E636" s="312"/>
      <c r="F636" s="312"/>
      <c r="G636" s="312"/>
      <c r="H636" s="312"/>
      <c r="I636" s="312"/>
      <c r="J636" s="312"/>
      <c r="K636" s="312"/>
      <c r="L636" s="312"/>
      <c r="M636" s="312"/>
      <c r="N636" s="312"/>
      <c r="O636" s="312"/>
      <c r="P636" s="312"/>
      <c r="Q636" s="312"/>
      <c r="R636" s="312"/>
      <c r="S636" s="312"/>
      <c r="T636" s="312"/>
      <c r="U636" s="312"/>
      <c r="V636" s="312"/>
      <c r="W636" s="312"/>
      <c r="X636" s="312"/>
      <c r="Y636" s="312"/>
      <c r="Z636" s="312"/>
    </row>
    <row r="637" customHeight="1" spans="1:26">
      <c r="A637" s="312"/>
      <c r="B637" s="312"/>
      <c r="C637" s="312"/>
      <c r="D637" s="312"/>
      <c r="E637" s="312"/>
      <c r="F637" s="312"/>
      <c r="G637" s="312"/>
      <c r="H637" s="312"/>
      <c r="I637" s="312"/>
      <c r="J637" s="312"/>
      <c r="K637" s="312"/>
      <c r="L637" s="312"/>
      <c r="M637" s="312"/>
      <c r="N637" s="312"/>
      <c r="O637" s="312"/>
      <c r="P637" s="312"/>
      <c r="Q637" s="312"/>
      <c r="R637" s="312"/>
      <c r="S637" s="312"/>
      <c r="T637" s="312"/>
      <c r="U637" s="312"/>
      <c r="V637" s="312"/>
      <c r="W637" s="312"/>
      <c r="X637" s="312"/>
      <c r="Y637" s="312"/>
      <c r="Z637" s="312"/>
    </row>
    <row r="638" customHeight="1" spans="1:26">
      <c r="A638" s="312"/>
      <c r="B638" s="312"/>
      <c r="C638" s="312"/>
      <c r="D638" s="312"/>
      <c r="E638" s="312"/>
      <c r="F638" s="312"/>
      <c r="G638" s="312"/>
      <c r="H638" s="312"/>
      <c r="I638" s="312"/>
      <c r="J638" s="312"/>
      <c r="K638" s="312"/>
      <c r="L638" s="312"/>
      <c r="M638" s="312"/>
      <c r="N638" s="312"/>
      <c r="O638" s="312"/>
      <c r="P638" s="312"/>
      <c r="Q638" s="312"/>
      <c r="R638" s="312"/>
      <c r="S638" s="312"/>
      <c r="T638" s="312"/>
      <c r="U638" s="312"/>
      <c r="V638" s="312"/>
      <c r="W638" s="312"/>
      <c r="X638" s="312"/>
      <c r="Y638" s="312"/>
      <c r="Z638" s="312"/>
    </row>
    <row r="639" customHeight="1" spans="1:26">
      <c r="A639" s="312"/>
      <c r="B639" s="312"/>
      <c r="C639" s="312"/>
      <c r="D639" s="312"/>
      <c r="E639" s="312"/>
      <c r="F639" s="312"/>
      <c r="G639" s="312"/>
      <c r="H639" s="312"/>
      <c r="I639" s="312"/>
      <c r="J639" s="312"/>
      <c r="K639" s="312"/>
      <c r="L639" s="312"/>
      <c r="M639" s="312"/>
      <c r="N639" s="312"/>
      <c r="O639" s="312"/>
      <c r="P639" s="312"/>
      <c r="Q639" s="312"/>
      <c r="R639" s="312"/>
      <c r="S639" s="312"/>
      <c r="T639" s="312"/>
      <c r="U639" s="312"/>
      <c r="V639" s="312"/>
      <c r="W639" s="312"/>
      <c r="X639" s="312"/>
      <c r="Y639" s="312"/>
      <c r="Z639" s="312"/>
    </row>
    <row r="640" customHeight="1" spans="1:26">
      <c r="A640" s="312"/>
      <c r="B640" s="312"/>
      <c r="C640" s="312"/>
      <c r="D640" s="312"/>
      <c r="E640" s="312"/>
      <c r="F640" s="312"/>
      <c r="G640" s="312"/>
      <c r="H640" s="312"/>
      <c r="I640" s="312"/>
      <c r="J640" s="312"/>
      <c r="K640" s="312"/>
      <c r="L640" s="312"/>
      <c r="M640" s="312"/>
      <c r="N640" s="312"/>
      <c r="O640" s="312"/>
      <c r="P640" s="312"/>
      <c r="Q640" s="312"/>
      <c r="R640" s="312"/>
      <c r="S640" s="312"/>
      <c r="T640" s="312"/>
      <c r="U640" s="312"/>
      <c r="V640" s="312"/>
      <c r="W640" s="312"/>
      <c r="X640" s="312"/>
      <c r="Y640" s="312"/>
      <c r="Z640" s="312"/>
    </row>
    <row r="641" customHeight="1" spans="1:26">
      <c r="A641" s="312"/>
      <c r="B641" s="312"/>
      <c r="C641" s="312"/>
      <c r="D641" s="312"/>
      <c r="E641" s="312"/>
      <c r="F641" s="312"/>
      <c r="G641" s="312"/>
      <c r="H641" s="312"/>
      <c r="I641" s="312"/>
      <c r="J641" s="312"/>
      <c r="K641" s="312"/>
      <c r="L641" s="312"/>
      <c r="M641" s="312"/>
      <c r="N641" s="312"/>
      <c r="O641" s="312"/>
      <c r="P641" s="312"/>
      <c r="Q641" s="312"/>
      <c r="R641" s="312"/>
      <c r="S641" s="312"/>
      <c r="T641" s="312"/>
      <c r="U641" s="312"/>
      <c r="V641" s="312"/>
      <c r="W641" s="312"/>
      <c r="X641" s="312"/>
      <c r="Y641" s="312"/>
      <c r="Z641" s="312"/>
    </row>
    <row r="642" customHeight="1" spans="1:26">
      <c r="A642" s="312"/>
      <c r="B642" s="312"/>
      <c r="C642" s="312"/>
      <c r="D642" s="312"/>
      <c r="E642" s="312"/>
      <c r="F642" s="312"/>
      <c r="G642" s="312"/>
      <c r="H642" s="312"/>
      <c r="I642" s="312"/>
      <c r="J642" s="312"/>
      <c r="K642" s="312"/>
      <c r="L642" s="312"/>
      <c r="M642" s="312"/>
      <c r="N642" s="312"/>
      <c r="O642" s="312"/>
      <c r="P642" s="312"/>
      <c r="Q642" s="312"/>
      <c r="R642" s="312"/>
      <c r="S642" s="312"/>
      <c r="T642" s="312"/>
      <c r="U642" s="312"/>
      <c r="V642" s="312"/>
      <c r="W642" s="312"/>
      <c r="X642" s="312"/>
      <c r="Y642" s="312"/>
      <c r="Z642" s="312"/>
    </row>
    <row r="643" customHeight="1" spans="1:26">
      <c r="A643" s="312"/>
      <c r="B643" s="312"/>
      <c r="C643" s="312"/>
      <c r="D643" s="312"/>
      <c r="E643" s="312"/>
      <c r="F643" s="312"/>
      <c r="G643" s="312"/>
      <c r="H643" s="312"/>
      <c r="I643" s="312"/>
      <c r="J643" s="312"/>
      <c r="K643" s="312"/>
      <c r="L643" s="312"/>
      <c r="M643" s="312"/>
      <c r="N643" s="312"/>
      <c r="O643" s="312"/>
      <c r="P643" s="312"/>
      <c r="Q643" s="312"/>
      <c r="R643" s="312"/>
      <c r="S643" s="312"/>
      <c r="T643" s="312"/>
      <c r="U643" s="312"/>
      <c r="V643" s="312"/>
      <c r="W643" s="312"/>
      <c r="X643" s="312"/>
      <c r="Y643" s="312"/>
      <c r="Z643" s="312"/>
    </row>
    <row r="644" customHeight="1" spans="1:26">
      <c r="A644" s="312"/>
      <c r="B644" s="312"/>
      <c r="C644" s="312"/>
      <c r="D644" s="312"/>
      <c r="E644" s="312"/>
      <c r="F644" s="312"/>
      <c r="G644" s="312"/>
      <c r="H644" s="312"/>
      <c r="I644" s="312"/>
      <c r="J644" s="312"/>
      <c r="K644" s="312"/>
      <c r="L644" s="312"/>
      <c r="M644" s="312"/>
      <c r="N644" s="312"/>
      <c r="O644" s="312"/>
      <c r="P644" s="312"/>
      <c r="Q644" s="312"/>
      <c r="R644" s="312"/>
      <c r="S644" s="312"/>
      <c r="T644" s="312"/>
      <c r="U644" s="312"/>
      <c r="V644" s="312"/>
      <c r="W644" s="312"/>
      <c r="X644" s="312"/>
      <c r="Y644" s="312"/>
      <c r="Z644" s="312"/>
    </row>
    <row r="645" customHeight="1" spans="1:26">
      <c r="A645" s="312"/>
      <c r="B645" s="312"/>
      <c r="C645" s="312"/>
      <c r="D645" s="312"/>
      <c r="E645" s="312"/>
      <c r="F645" s="312"/>
      <c r="G645" s="312"/>
      <c r="H645" s="312"/>
      <c r="I645" s="312"/>
      <c r="J645" s="312"/>
      <c r="K645" s="312"/>
      <c r="L645" s="312"/>
      <c r="M645" s="312"/>
      <c r="N645" s="312"/>
      <c r="O645" s="312"/>
      <c r="P645" s="312"/>
      <c r="Q645" s="312"/>
      <c r="R645" s="312"/>
      <c r="S645" s="312"/>
      <c r="T645" s="312"/>
      <c r="U645" s="312"/>
      <c r="V645" s="312"/>
      <c r="W645" s="312"/>
      <c r="X645" s="312"/>
      <c r="Y645" s="312"/>
      <c r="Z645" s="312"/>
    </row>
    <row r="646" customHeight="1" spans="1:26">
      <c r="A646" s="312"/>
      <c r="B646" s="312"/>
      <c r="C646" s="312"/>
      <c r="D646" s="312"/>
      <c r="E646" s="312"/>
      <c r="F646" s="312"/>
      <c r="G646" s="312"/>
      <c r="H646" s="312"/>
      <c r="I646" s="312"/>
      <c r="J646" s="312"/>
      <c r="K646" s="312"/>
      <c r="L646" s="312"/>
      <c r="M646" s="312"/>
      <c r="N646" s="312"/>
      <c r="O646" s="312"/>
      <c r="P646" s="312"/>
      <c r="Q646" s="312"/>
      <c r="R646" s="312"/>
      <c r="S646" s="312"/>
      <c r="T646" s="312"/>
      <c r="U646" s="312"/>
      <c r="V646" s="312"/>
      <c r="W646" s="312"/>
      <c r="X646" s="312"/>
      <c r="Y646" s="312"/>
      <c r="Z646" s="312"/>
    </row>
    <row r="647" customHeight="1" spans="1:26">
      <c r="A647" s="312"/>
      <c r="B647" s="312"/>
      <c r="C647" s="312"/>
      <c r="D647" s="312"/>
      <c r="E647" s="312"/>
      <c r="F647" s="312"/>
      <c r="G647" s="312"/>
      <c r="H647" s="312"/>
      <c r="I647" s="312"/>
      <c r="J647" s="312"/>
      <c r="K647" s="312"/>
      <c r="L647" s="312"/>
      <c r="M647" s="312"/>
      <c r="N647" s="312"/>
      <c r="O647" s="312"/>
      <c r="P647" s="312"/>
      <c r="Q647" s="312"/>
      <c r="R647" s="312"/>
      <c r="S647" s="312"/>
      <c r="T647" s="312"/>
      <c r="U647" s="312"/>
      <c r="V647" s="312"/>
      <c r="W647" s="312"/>
      <c r="X647" s="312"/>
      <c r="Y647" s="312"/>
      <c r="Z647" s="312"/>
    </row>
    <row r="648" customHeight="1" spans="1:26">
      <c r="A648" s="312"/>
      <c r="B648" s="312"/>
      <c r="C648" s="312"/>
      <c r="D648" s="312"/>
      <c r="E648" s="312"/>
      <c r="F648" s="312"/>
      <c r="G648" s="312"/>
      <c r="H648" s="312"/>
      <c r="I648" s="312"/>
      <c r="J648" s="312"/>
      <c r="K648" s="312"/>
      <c r="L648" s="312"/>
      <c r="M648" s="312"/>
      <c r="N648" s="312"/>
      <c r="O648" s="312"/>
      <c r="P648" s="312"/>
      <c r="Q648" s="312"/>
      <c r="R648" s="312"/>
      <c r="S648" s="312"/>
      <c r="T648" s="312"/>
      <c r="U648" s="312"/>
      <c r="V648" s="312"/>
      <c r="W648" s="312"/>
      <c r="X648" s="312"/>
      <c r="Y648" s="312"/>
      <c r="Z648" s="312"/>
    </row>
    <row r="649" customHeight="1" spans="1:26">
      <c r="A649" s="312"/>
      <c r="B649" s="312"/>
      <c r="C649" s="312"/>
      <c r="D649" s="312"/>
      <c r="E649" s="312"/>
      <c r="F649" s="312"/>
      <c r="G649" s="312"/>
      <c r="H649" s="312"/>
      <c r="I649" s="312"/>
      <c r="J649" s="312"/>
      <c r="K649" s="312"/>
      <c r="L649" s="312"/>
      <c r="M649" s="312"/>
      <c r="N649" s="312"/>
      <c r="O649" s="312"/>
      <c r="P649" s="312"/>
      <c r="Q649" s="312"/>
      <c r="R649" s="312"/>
      <c r="S649" s="312"/>
      <c r="T649" s="312"/>
      <c r="U649" s="312"/>
      <c r="V649" s="312"/>
      <c r="W649" s="312"/>
      <c r="X649" s="312"/>
      <c r="Y649" s="312"/>
      <c r="Z649" s="312"/>
    </row>
    <row r="650" customHeight="1" spans="1:26">
      <c r="A650" s="312"/>
      <c r="B650" s="312"/>
      <c r="C650" s="312"/>
      <c r="D650" s="312"/>
      <c r="E650" s="312"/>
      <c r="F650" s="312"/>
      <c r="G650" s="312"/>
      <c r="H650" s="312"/>
      <c r="I650" s="312"/>
      <c r="J650" s="312"/>
      <c r="K650" s="312"/>
      <c r="L650" s="312"/>
      <c r="M650" s="312"/>
      <c r="N650" s="312"/>
      <c r="O650" s="312"/>
      <c r="P650" s="312"/>
      <c r="Q650" s="312"/>
      <c r="R650" s="312"/>
      <c r="S650" s="312"/>
      <c r="T650" s="312"/>
      <c r="U650" s="312"/>
      <c r="V650" s="312"/>
      <c r="W650" s="312"/>
      <c r="X650" s="312"/>
      <c r="Y650" s="312"/>
      <c r="Z650" s="312"/>
    </row>
    <row r="651" customHeight="1" spans="1:26">
      <c r="A651" s="312"/>
      <c r="B651" s="312"/>
      <c r="C651" s="312"/>
      <c r="D651" s="312"/>
      <c r="E651" s="312"/>
      <c r="F651" s="312"/>
      <c r="G651" s="312"/>
      <c r="H651" s="312"/>
      <c r="I651" s="312"/>
      <c r="J651" s="312"/>
      <c r="K651" s="312"/>
      <c r="L651" s="312"/>
      <c r="M651" s="312"/>
      <c r="N651" s="312"/>
      <c r="O651" s="312"/>
      <c r="P651" s="312"/>
      <c r="Q651" s="312"/>
      <c r="R651" s="312"/>
      <c r="S651" s="312"/>
      <c r="T651" s="312"/>
      <c r="U651" s="312"/>
      <c r="V651" s="312"/>
      <c r="W651" s="312"/>
      <c r="X651" s="312"/>
      <c r="Y651" s="312"/>
      <c r="Z651" s="312"/>
    </row>
    <row r="652" customHeight="1" spans="1:26">
      <c r="A652" s="312"/>
      <c r="B652" s="312"/>
      <c r="C652" s="312"/>
      <c r="D652" s="312"/>
      <c r="E652" s="312"/>
      <c r="F652" s="312"/>
      <c r="G652" s="312"/>
      <c r="H652" s="312"/>
      <c r="I652" s="312"/>
      <c r="J652" s="312"/>
      <c r="K652" s="312"/>
      <c r="L652" s="312"/>
      <c r="M652" s="312"/>
      <c r="N652" s="312"/>
      <c r="O652" s="312"/>
      <c r="P652" s="312"/>
      <c r="Q652" s="312"/>
      <c r="R652" s="312"/>
      <c r="S652" s="312"/>
      <c r="T652" s="312"/>
      <c r="U652" s="312"/>
      <c r="V652" s="312"/>
      <c r="W652" s="312"/>
      <c r="X652" s="312"/>
      <c r="Y652" s="312"/>
      <c r="Z652" s="312"/>
    </row>
    <row r="653" customHeight="1" spans="1:26">
      <c r="A653" s="312"/>
      <c r="B653" s="312"/>
      <c r="C653" s="312"/>
      <c r="D653" s="312"/>
      <c r="E653" s="312"/>
      <c r="F653" s="312"/>
      <c r="G653" s="312"/>
      <c r="H653" s="312"/>
      <c r="I653" s="312"/>
      <c r="J653" s="312"/>
      <c r="K653" s="312"/>
      <c r="L653" s="312"/>
      <c r="M653" s="312"/>
      <c r="N653" s="312"/>
      <c r="O653" s="312"/>
      <c r="P653" s="312"/>
      <c r="Q653" s="312"/>
      <c r="R653" s="312"/>
      <c r="S653" s="312"/>
      <c r="T653" s="312"/>
      <c r="U653" s="312"/>
      <c r="V653" s="312"/>
      <c r="W653" s="312"/>
      <c r="X653" s="312"/>
      <c r="Y653" s="312"/>
      <c r="Z653" s="312"/>
    </row>
    <row r="654" customHeight="1" spans="1:26">
      <c r="A654" s="312"/>
      <c r="B654" s="312"/>
      <c r="C654" s="312"/>
      <c r="D654" s="312"/>
      <c r="E654" s="312"/>
      <c r="F654" s="312"/>
      <c r="G654" s="312"/>
      <c r="H654" s="312"/>
      <c r="I654" s="312"/>
      <c r="J654" s="312"/>
      <c r="K654" s="312"/>
      <c r="L654" s="312"/>
      <c r="M654" s="312"/>
      <c r="N654" s="312"/>
      <c r="O654" s="312"/>
      <c r="P654" s="312"/>
      <c r="Q654" s="312"/>
      <c r="R654" s="312"/>
      <c r="S654" s="312"/>
      <c r="T654" s="312"/>
      <c r="U654" s="312"/>
      <c r="V654" s="312"/>
      <c r="W654" s="312"/>
      <c r="X654" s="312"/>
      <c r="Y654" s="312"/>
      <c r="Z654" s="312"/>
    </row>
    <row r="655" customHeight="1" spans="1:26">
      <c r="A655" s="312"/>
      <c r="B655" s="312"/>
      <c r="C655" s="312"/>
      <c r="D655" s="312"/>
      <c r="E655" s="312"/>
      <c r="F655" s="312"/>
      <c r="G655" s="312"/>
      <c r="H655" s="312"/>
      <c r="I655" s="312"/>
      <c r="J655" s="312"/>
      <c r="K655" s="312"/>
      <c r="L655" s="312"/>
      <c r="M655" s="312"/>
      <c r="N655" s="312"/>
      <c r="O655" s="312"/>
      <c r="P655" s="312"/>
      <c r="Q655" s="312"/>
      <c r="R655" s="312"/>
      <c r="S655" s="312"/>
      <c r="T655" s="312"/>
      <c r="U655" s="312"/>
      <c r="V655" s="312"/>
      <c r="W655" s="312"/>
      <c r="X655" s="312"/>
      <c r="Y655" s="312"/>
      <c r="Z655" s="312"/>
    </row>
    <row r="656" customHeight="1" spans="1:26">
      <c r="A656" s="312"/>
      <c r="B656" s="312"/>
      <c r="C656" s="312"/>
      <c r="D656" s="312"/>
      <c r="E656" s="312"/>
      <c r="F656" s="312"/>
      <c r="G656" s="312"/>
      <c r="H656" s="312"/>
      <c r="I656" s="312"/>
      <c r="J656" s="312"/>
      <c r="K656" s="312"/>
      <c r="L656" s="312"/>
      <c r="M656" s="312"/>
      <c r="N656" s="312"/>
      <c r="O656" s="312"/>
      <c r="P656" s="312"/>
      <c r="Q656" s="312"/>
      <c r="R656" s="312"/>
      <c r="S656" s="312"/>
      <c r="T656" s="312"/>
      <c r="U656" s="312"/>
      <c r="V656" s="312"/>
      <c r="W656" s="312"/>
      <c r="X656" s="312"/>
      <c r="Y656" s="312"/>
      <c r="Z656" s="312"/>
    </row>
    <row r="657" customHeight="1" spans="1:26">
      <c r="A657" s="312"/>
      <c r="B657" s="312"/>
      <c r="C657" s="312"/>
      <c r="D657" s="312"/>
      <c r="E657" s="312"/>
      <c r="F657" s="312"/>
      <c r="G657" s="312"/>
      <c r="H657" s="312"/>
      <c r="I657" s="312"/>
      <c r="J657" s="312"/>
      <c r="K657" s="312"/>
      <c r="L657" s="312"/>
      <c r="M657" s="312"/>
      <c r="N657" s="312"/>
      <c r="O657" s="312"/>
      <c r="P657" s="312"/>
      <c r="Q657" s="312"/>
      <c r="R657" s="312"/>
      <c r="S657" s="312"/>
      <c r="T657" s="312"/>
      <c r="U657" s="312"/>
      <c r="V657" s="312"/>
      <c r="W657" s="312"/>
      <c r="X657" s="312"/>
      <c r="Y657" s="312"/>
      <c r="Z657" s="312"/>
    </row>
    <row r="658" customHeight="1" spans="1:26">
      <c r="A658" s="312"/>
      <c r="B658" s="312"/>
      <c r="C658" s="312"/>
      <c r="D658" s="312"/>
      <c r="E658" s="312"/>
      <c r="F658" s="312"/>
      <c r="G658" s="312"/>
      <c r="H658" s="312"/>
      <c r="I658" s="312"/>
      <c r="J658" s="312"/>
      <c r="K658" s="312"/>
      <c r="L658" s="312"/>
      <c r="M658" s="312"/>
      <c r="N658" s="312"/>
      <c r="O658" s="312"/>
      <c r="P658" s="312"/>
      <c r="Q658" s="312"/>
      <c r="R658" s="312"/>
      <c r="S658" s="312"/>
      <c r="T658" s="312"/>
      <c r="U658" s="312"/>
      <c r="V658" s="312"/>
      <c r="W658" s="312"/>
      <c r="X658" s="312"/>
      <c r="Y658" s="312"/>
      <c r="Z658" s="312"/>
    </row>
    <row r="659" customHeight="1" spans="1:26">
      <c r="A659" s="312"/>
      <c r="B659" s="312"/>
      <c r="C659" s="312"/>
      <c r="D659" s="312"/>
      <c r="E659" s="312"/>
      <c r="F659" s="312"/>
      <c r="G659" s="312"/>
      <c r="H659" s="312"/>
      <c r="I659" s="312"/>
      <c r="J659" s="312"/>
      <c r="K659" s="312"/>
      <c r="L659" s="312"/>
      <c r="M659" s="312"/>
      <c r="N659" s="312"/>
      <c r="O659" s="312"/>
      <c r="P659" s="312"/>
      <c r="Q659" s="312"/>
      <c r="R659" s="312"/>
      <c r="S659" s="312"/>
      <c r="T659" s="312"/>
      <c r="U659" s="312"/>
      <c r="V659" s="312"/>
      <c r="W659" s="312"/>
      <c r="X659" s="312"/>
      <c r="Y659" s="312"/>
      <c r="Z659" s="312"/>
    </row>
    <row r="660" customHeight="1" spans="1:26">
      <c r="A660" s="312"/>
      <c r="B660" s="312"/>
      <c r="C660" s="312"/>
      <c r="D660" s="312"/>
      <c r="E660" s="312"/>
      <c r="F660" s="312"/>
      <c r="G660" s="312"/>
      <c r="H660" s="312"/>
      <c r="I660" s="312"/>
      <c r="J660" s="312"/>
      <c r="K660" s="312"/>
      <c r="L660" s="312"/>
      <c r="M660" s="312"/>
      <c r="N660" s="312"/>
      <c r="O660" s="312"/>
      <c r="P660" s="312"/>
      <c r="Q660" s="312"/>
      <c r="R660" s="312"/>
      <c r="S660" s="312"/>
      <c r="T660" s="312"/>
      <c r="U660" s="312"/>
      <c r="V660" s="312"/>
      <c r="W660" s="312"/>
      <c r="X660" s="312"/>
      <c r="Y660" s="312"/>
      <c r="Z660" s="312"/>
    </row>
    <row r="661" customHeight="1" spans="1:26">
      <c r="A661" s="312"/>
      <c r="B661" s="312"/>
      <c r="C661" s="312"/>
      <c r="D661" s="312"/>
      <c r="E661" s="312"/>
      <c r="F661" s="312"/>
      <c r="G661" s="312"/>
      <c r="H661" s="312"/>
      <c r="I661" s="312"/>
      <c r="J661" s="312"/>
      <c r="K661" s="312"/>
      <c r="L661" s="312"/>
      <c r="M661" s="312"/>
      <c r="N661" s="312"/>
      <c r="O661" s="312"/>
      <c r="P661" s="312"/>
      <c r="Q661" s="312"/>
      <c r="R661" s="312"/>
      <c r="S661" s="312"/>
      <c r="T661" s="312"/>
      <c r="U661" s="312"/>
      <c r="V661" s="312"/>
      <c r="W661" s="312"/>
      <c r="X661" s="312"/>
      <c r="Y661" s="312"/>
      <c r="Z661" s="312"/>
    </row>
    <row r="662" customHeight="1" spans="1:26">
      <c r="A662" s="312"/>
      <c r="B662" s="312"/>
      <c r="C662" s="312"/>
      <c r="D662" s="312"/>
      <c r="E662" s="312"/>
      <c r="F662" s="312"/>
      <c r="G662" s="312"/>
      <c r="H662" s="312"/>
      <c r="I662" s="312"/>
      <c r="J662" s="312"/>
      <c r="K662" s="312"/>
      <c r="L662" s="312"/>
      <c r="M662" s="312"/>
      <c r="N662" s="312"/>
      <c r="O662" s="312"/>
      <c r="P662" s="312"/>
      <c r="Q662" s="312"/>
      <c r="R662" s="312"/>
      <c r="S662" s="312"/>
      <c r="T662" s="312"/>
      <c r="U662" s="312"/>
      <c r="V662" s="312"/>
      <c r="W662" s="312"/>
      <c r="X662" s="312"/>
      <c r="Y662" s="312"/>
      <c r="Z662" s="312"/>
    </row>
    <row r="663" customHeight="1" spans="1:26">
      <c r="A663" s="312"/>
      <c r="B663" s="312"/>
      <c r="C663" s="312"/>
      <c r="D663" s="312"/>
      <c r="E663" s="312"/>
      <c r="F663" s="312"/>
      <c r="G663" s="312"/>
      <c r="H663" s="312"/>
      <c r="I663" s="312"/>
      <c r="J663" s="312"/>
      <c r="K663" s="312"/>
      <c r="L663" s="312"/>
      <c r="M663" s="312"/>
      <c r="N663" s="312"/>
      <c r="O663" s="312"/>
      <c r="P663" s="312"/>
      <c r="Q663" s="312"/>
      <c r="R663" s="312"/>
      <c r="S663" s="312"/>
      <c r="T663" s="312"/>
      <c r="U663" s="312"/>
      <c r="V663" s="312"/>
      <c r="W663" s="312"/>
      <c r="X663" s="312"/>
      <c r="Y663" s="312"/>
      <c r="Z663" s="312"/>
    </row>
    <row r="664" customHeight="1" spans="1:26">
      <c r="A664" s="312"/>
      <c r="B664" s="312"/>
      <c r="C664" s="312"/>
      <c r="D664" s="312"/>
      <c r="E664" s="312"/>
      <c r="F664" s="312"/>
      <c r="G664" s="312"/>
      <c r="H664" s="312"/>
      <c r="I664" s="312"/>
      <c r="J664" s="312"/>
      <c r="K664" s="312"/>
      <c r="L664" s="312"/>
      <c r="M664" s="312"/>
      <c r="N664" s="312"/>
      <c r="O664" s="312"/>
      <c r="P664" s="312"/>
      <c r="Q664" s="312"/>
      <c r="R664" s="312"/>
      <c r="S664" s="312"/>
      <c r="T664" s="312"/>
      <c r="U664" s="312"/>
      <c r="V664" s="312"/>
      <c r="W664" s="312"/>
      <c r="X664" s="312"/>
      <c r="Y664" s="312"/>
      <c r="Z664" s="312"/>
    </row>
    <row r="665" customHeight="1" spans="1:26">
      <c r="A665" s="312"/>
      <c r="B665" s="312"/>
      <c r="C665" s="312"/>
      <c r="D665" s="312"/>
      <c r="E665" s="312"/>
      <c r="F665" s="312"/>
      <c r="G665" s="312"/>
      <c r="H665" s="312"/>
      <c r="I665" s="312"/>
      <c r="J665" s="312"/>
      <c r="K665" s="312"/>
      <c r="L665" s="312"/>
      <c r="M665" s="312"/>
      <c r="N665" s="312"/>
      <c r="O665" s="312"/>
      <c r="P665" s="312"/>
      <c r="Q665" s="312"/>
      <c r="R665" s="312"/>
      <c r="S665" s="312"/>
      <c r="T665" s="312"/>
      <c r="U665" s="312"/>
      <c r="V665" s="312"/>
      <c r="W665" s="312"/>
      <c r="X665" s="312"/>
      <c r="Y665" s="312"/>
      <c r="Z665" s="312"/>
    </row>
    <row r="666" customHeight="1" spans="1:26">
      <c r="A666" s="312"/>
      <c r="B666" s="312"/>
      <c r="C666" s="312"/>
      <c r="D666" s="312"/>
      <c r="E666" s="312"/>
      <c r="F666" s="312"/>
      <c r="G666" s="312"/>
      <c r="H666" s="312"/>
      <c r="I666" s="312"/>
      <c r="J666" s="312"/>
      <c r="K666" s="312"/>
      <c r="L666" s="312"/>
      <c r="M666" s="312"/>
      <c r="N666" s="312"/>
      <c r="O666" s="312"/>
      <c r="P666" s="312"/>
      <c r="Q666" s="312"/>
      <c r="R666" s="312"/>
      <c r="S666" s="312"/>
      <c r="T666" s="312"/>
      <c r="U666" s="312"/>
      <c r="V666" s="312"/>
      <c r="W666" s="312"/>
      <c r="X666" s="312"/>
      <c r="Y666" s="312"/>
      <c r="Z666" s="312"/>
    </row>
    <row r="667" customHeight="1" spans="1:26">
      <c r="A667" s="312"/>
      <c r="B667" s="312"/>
      <c r="C667" s="312"/>
      <c r="D667" s="312"/>
      <c r="E667" s="312"/>
      <c r="F667" s="312"/>
      <c r="G667" s="312"/>
      <c r="H667" s="312"/>
      <c r="I667" s="312"/>
      <c r="J667" s="312"/>
      <c r="K667" s="312"/>
      <c r="L667" s="312"/>
      <c r="M667" s="312"/>
      <c r="N667" s="312"/>
      <c r="O667" s="312"/>
      <c r="P667" s="312"/>
      <c r="Q667" s="312"/>
      <c r="R667" s="312"/>
      <c r="S667" s="312"/>
      <c r="T667" s="312"/>
      <c r="U667" s="312"/>
      <c r="V667" s="312"/>
      <c r="W667" s="312"/>
      <c r="X667" s="312"/>
      <c r="Y667" s="312"/>
      <c r="Z667" s="312"/>
    </row>
    <row r="668" customHeight="1" spans="1:26">
      <c r="A668" s="312"/>
      <c r="B668" s="312"/>
      <c r="C668" s="312"/>
      <c r="D668" s="312"/>
      <c r="E668" s="312"/>
      <c r="F668" s="312"/>
      <c r="G668" s="312"/>
      <c r="H668" s="312"/>
      <c r="I668" s="312"/>
      <c r="J668" s="312"/>
      <c r="K668" s="312"/>
      <c r="L668" s="312"/>
      <c r="M668" s="312"/>
      <c r="N668" s="312"/>
      <c r="O668" s="312"/>
      <c r="P668" s="312"/>
      <c r="Q668" s="312"/>
      <c r="R668" s="312"/>
      <c r="S668" s="312"/>
      <c r="T668" s="312"/>
      <c r="U668" s="312"/>
      <c r="V668" s="312"/>
      <c r="W668" s="312"/>
      <c r="X668" s="312"/>
      <c r="Y668" s="312"/>
      <c r="Z668" s="312"/>
    </row>
    <row r="669" customHeight="1" spans="1:26">
      <c r="A669" s="312"/>
      <c r="B669" s="312"/>
      <c r="C669" s="312"/>
      <c r="D669" s="312"/>
      <c r="E669" s="312"/>
      <c r="F669" s="312"/>
      <c r="G669" s="312"/>
      <c r="H669" s="312"/>
      <c r="I669" s="312"/>
      <c r="J669" s="312"/>
      <c r="K669" s="312"/>
      <c r="L669" s="312"/>
      <c r="M669" s="312"/>
      <c r="N669" s="312"/>
      <c r="O669" s="312"/>
      <c r="P669" s="312"/>
      <c r="Q669" s="312"/>
      <c r="R669" s="312"/>
      <c r="S669" s="312"/>
      <c r="T669" s="312"/>
      <c r="U669" s="312"/>
      <c r="V669" s="312"/>
      <c r="W669" s="312"/>
      <c r="X669" s="312"/>
      <c r="Y669" s="312"/>
      <c r="Z669" s="312"/>
    </row>
    <row r="670" customHeight="1" spans="1:26">
      <c r="A670" s="312"/>
      <c r="B670" s="312"/>
      <c r="C670" s="312"/>
      <c r="D670" s="312"/>
      <c r="E670" s="312"/>
      <c r="F670" s="312"/>
      <c r="G670" s="312"/>
      <c r="H670" s="312"/>
      <c r="I670" s="312"/>
      <c r="J670" s="312"/>
      <c r="K670" s="312"/>
      <c r="L670" s="312"/>
      <c r="M670" s="312"/>
      <c r="N670" s="312"/>
      <c r="O670" s="312"/>
      <c r="P670" s="312"/>
      <c r="Q670" s="312"/>
      <c r="R670" s="312"/>
      <c r="S670" s="312"/>
      <c r="T670" s="312"/>
      <c r="U670" s="312"/>
      <c r="V670" s="312"/>
      <c r="W670" s="312"/>
      <c r="X670" s="312"/>
      <c r="Y670" s="312"/>
      <c r="Z670" s="312"/>
    </row>
    <row r="671" customHeight="1" spans="1:26">
      <c r="A671" s="312"/>
      <c r="B671" s="312"/>
      <c r="C671" s="312"/>
      <c r="D671" s="312"/>
      <c r="E671" s="312"/>
      <c r="F671" s="312"/>
      <c r="G671" s="312"/>
      <c r="H671" s="312"/>
      <c r="I671" s="312"/>
      <c r="J671" s="312"/>
      <c r="K671" s="312"/>
      <c r="L671" s="312"/>
      <c r="M671" s="312"/>
      <c r="N671" s="312"/>
      <c r="O671" s="312"/>
      <c r="P671" s="312"/>
      <c r="Q671" s="312"/>
      <c r="R671" s="312"/>
      <c r="S671" s="312"/>
      <c r="T671" s="312"/>
      <c r="U671" s="312"/>
      <c r="V671" s="312"/>
      <c r="W671" s="312"/>
      <c r="X671" s="312"/>
      <c r="Y671" s="312"/>
      <c r="Z671" s="312"/>
    </row>
    <row r="672" customHeight="1" spans="1:26">
      <c r="A672" s="312"/>
      <c r="B672" s="312"/>
      <c r="C672" s="312"/>
      <c r="D672" s="312"/>
      <c r="E672" s="312"/>
      <c r="F672" s="312"/>
      <c r="G672" s="312"/>
      <c r="H672" s="312"/>
      <c r="I672" s="312"/>
      <c r="J672" s="312"/>
      <c r="K672" s="312"/>
      <c r="L672" s="312"/>
      <c r="M672" s="312"/>
      <c r="N672" s="312"/>
      <c r="O672" s="312"/>
      <c r="P672" s="312"/>
      <c r="Q672" s="312"/>
      <c r="R672" s="312"/>
      <c r="S672" s="312"/>
      <c r="T672" s="312"/>
      <c r="U672" s="312"/>
      <c r="V672" s="312"/>
      <c r="W672" s="312"/>
      <c r="X672" s="312"/>
      <c r="Y672" s="312"/>
      <c r="Z672" s="312"/>
    </row>
    <row r="673" customHeight="1" spans="1:26">
      <c r="A673" s="312"/>
      <c r="B673" s="312"/>
      <c r="C673" s="312"/>
      <c r="D673" s="312"/>
      <c r="E673" s="312"/>
      <c r="F673" s="312"/>
      <c r="G673" s="312"/>
      <c r="H673" s="312"/>
      <c r="I673" s="312"/>
      <c r="J673" s="312"/>
      <c r="K673" s="312"/>
      <c r="L673" s="312"/>
      <c r="M673" s="312"/>
      <c r="N673" s="312"/>
      <c r="O673" s="312"/>
      <c r="P673" s="312"/>
      <c r="Q673" s="312"/>
      <c r="R673" s="312"/>
      <c r="S673" s="312"/>
      <c r="T673" s="312"/>
      <c r="U673" s="312"/>
      <c r="V673" s="312"/>
      <c r="W673" s="312"/>
      <c r="X673" s="312"/>
      <c r="Y673" s="312"/>
      <c r="Z673" s="312"/>
    </row>
    <row r="674" customHeight="1" spans="1:26">
      <c r="A674" s="312"/>
      <c r="B674" s="312"/>
      <c r="C674" s="312"/>
      <c r="D674" s="312"/>
      <c r="E674" s="312"/>
      <c r="F674" s="312"/>
      <c r="G674" s="312"/>
      <c r="H674" s="312"/>
      <c r="I674" s="312"/>
      <c r="J674" s="312"/>
      <c r="K674" s="312"/>
      <c r="L674" s="312"/>
      <c r="M674" s="312"/>
      <c r="N674" s="312"/>
      <c r="O674" s="312"/>
      <c r="P674" s="312"/>
      <c r="Q674" s="312"/>
      <c r="R674" s="312"/>
      <c r="S674" s="312"/>
      <c r="T674" s="312"/>
      <c r="U674" s="312"/>
      <c r="V674" s="312"/>
      <c r="W674" s="312"/>
      <c r="X674" s="312"/>
      <c r="Y674" s="312"/>
      <c r="Z674" s="312"/>
    </row>
    <row r="675" customHeight="1" spans="1:26">
      <c r="A675" s="312"/>
      <c r="B675" s="312"/>
      <c r="C675" s="312"/>
      <c r="D675" s="312"/>
      <c r="E675" s="312"/>
      <c r="F675" s="312"/>
      <c r="G675" s="312"/>
      <c r="H675" s="312"/>
      <c r="I675" s="312"/>
      <c r="J675" s="312"/>
      <c r="K675" s="312"/>
      <c r="L675" s="312"/>
      <c r="M675" s="312"/>
      <c r="N675" s="312"/>
      <c r="O675" s="312"/>
      <c r="P675" s="312"/>
      <c r="Q675" s="312"/>
      <c r="R675" s="312"/>
      <c r="S675" s="312"/>
      <c r="T675" s="312"/>
      <c r="U675" s="312"/>
      <c r="V675" s="312"/>
      <c r="W675" s="312"/>
      <c r="X675" s="312"/>
      <c r="Y675" s="312"/>
      <c r="Z675" s="312"/>
    </row>
    <row r="676" customHeight="1" spans="1:26">
      <c r="A676" s="312"/>
      <c r="B676" s="312"/>
      <c r="C676" s="312"/>
      <c r="D676" s="312"/>
      <c r="E676" s="312"/>
      <c r="F676" s="312"/>
      <c r="G676" s="312"/>
      <c r="H676" s="312"/>
      <c r="I676" s="312"/>
      <c r="J676" s="312"/>
      <c r="K676" s="312"/>
      <c r="L676" s="312"/>
      <c r="M676" s="312"/>
      <c r="N676" s="312"/>
      <c r="O676" s="312"/>
      <c r="P676" s="312"/>
      <c r="Q676" s="312"/>
      <c r="R676" s="312"/>
      <c r="S676" s="312"/>
      <c r="T676" s="312"/>
      <c r="U676" s="312"/>
      <c r="V676" s="312"/>
      <c r="W676" s="312"/>
      <c r="X676" s="312"/>
      <c r="Y676" s="312"/>
      <c r="Z676" s="312"/>
    </row>
    <row r="677" customHeight="1" spans="1:26">
      <c r="A677" s="312"/>
      <c r="B677" s="312"/>
      <c r="C677" s="312"/>
      <c r="D677" s="312"/>
      <c r="E677" s="312"/>
      <c r="F677" s="312"/>
      <c r="G677" s="312"/>
      <c r="H677" s="312"/>
      <c r="I677" s="312"/>
      <c r="J677" s="312"/>
      <c r="K677" s="312"/>
      <c r="L677" s="312"/>
      <c r="M677" s="312"/>
      <c r="N677" s="312"/>
      <c r="O677" s="312"/>
      <c r="P677" s="312"/>
      <c r="Q677" s="312"/>
      <c r="R677" s="312"/>
      <c r="S677" s="312"/>
      <c r="T677" s="312"/>
      <c r="U677" s="312"/>
      <c r="V677" s="312"/>
      <c r="W677" s="312"/>
      <c r="X677" s="312"/>
      <c r="Y677" s="312"/>
      <c r="Z677" s="312"/>
    </row>
    <row r="678" customHeight="1" spans="1:26">
      <c r="A678" s="312"/>
      <c r="B678" s="312"/>
      <c r="C678" s="312"/>
      <c r="D678" s="312"/>
      <c r="E678" s="312"/>
      <c r="F678" s="312"/>
      <c r="G678" s="312"/>
      <c r="H678" s="312"/>
      <c r="I678" s="312"/>
      <c r="J678" s="312"/>
      <c r="K678" s="312"/>
      <c r="L678" s="312"/>
      <c r="M678" s="312"/>
      <c r="N678" s="312"/>
      <c r="O678" s="312"/>
      <c r="P678" s="312"/>
      <c r="Q678" s="312"/>
      <c r="R678" s="312"/>
      <c r="S678" s="312"/>
      <c r="T678" s="312"/>
      <c r="U678" s="312"/>
      <c r="V678" s="312"/>
      <c r="W678" s="312"/>
      <c r="X678" s="312"/>
      <c r="Y678" s="312"/>
      <c r="Z678" s="312"/>
    </row>
    <row r="679" customHeight="1" spans="1:26">
      <c r="A679" s="312"/>
      <c r="B679" s="312"/>
      <c r="C679" s="312"/>
      <c r="D679" s="312"/>
      <c r="E679" s="312"/>
      <c r="F679" s="312"/>
      <c r="G679" s="312"/>
      <c r="H679" s="312"/>
      <c r="I679" s="312"/>
      <c r="J679" s="312"/>
      <c r="K679" s="312"/>
      <c r="L679" s="312"/>
      <c r="M679" s="312"/>
      <c r="N679" s="312"/>
      <c r="O679" s="312"/>
      <c r="P679" s="312"/>
      <c r="Q679" s="312"/>
      <c r="R679" s="312"/>
      <c r="S679" s="312"/>
      <c r="T679" s="312"/>
      <c r="U679" s="312"/>
      <c r="V679" s="312"/>
      <c r="W679" s="312"/>
      <c r="X679" s="312"/>
      <c r="Y679" s="312"/>
      <c r="Z679" s="312"/>
    </row>
    <row r="680" customHeight="1" spans="1:26">
      <c r="A680" s="312"/>
      <c r="B680" s="312"/>
      <c r="C680" s="312"/>
      <c r="D680" s="312"/>
      <c r="E680" s="312"/>
      <c r="F680" s="312"/>
      <c r="G680" s="312"/>
      <c r="H680" s="312"/>
      <c r="I680" s="312"/>
      <c r="J680" s="312"/>
      <c r="K680" s="312"/>
      <c r="L680" s="312"/>
      <c r="M680" s="312"/>
      <c r="N680" s="312"/>
      <c r="O680" s="312"/>
      <c r="P680" s="312"/>
      <c r="Q680" s="312"/>
      <c r="R680" s="312"/>
      <c r="S680" s="312"/>
      <c r="T680" s="312"/>
      <c r="U680" s="312"/>
      <c r="V680" s="312"/>
      <c r="W680" s="312"/>
      <c r="X680" s="312"/>
      <c r="Y680" s="312"/>
      <c r="Z680" s="312"/>
    </row>
    <row r="681" customHeight="1" spans="1:26">
      <c r="A681" s="312"/>
      <c r="B681" s="312"/>
      <c r="C681" s="312"/>
      <c r="D681" s="312"/>
      <c r="E681" s="312"/>
      <c r="F681" s="312"/>
      <c r="G681" s="312"/>
      <c r="H681" s="312"/>
      <c r="I681" s="312"/>
      <c r="J681" s="312"/>
      <c r="K681" s="312"/>
      <c r="L681" s="312"/>
      <c r="M681" s="312"/>
      <c r="N681" s="312"/>
      <c r="O681" s="312"/>
      <c r="P681" s="312"/>
      <c r="Q681" s="312"/>
      <c r="R681" s="312"/>
      <c r="S681" s="312"/>
      <c r="T681" s="312"/>
      <c r="U681" s="312"/>
      <c r="V681" s="312"/>
      <c r="W681" s="312"/>
      <c r="X681" s="312"/>
      <c r="Y681" s="312"/>
      <c r="Z681" s="312"/>
    </row>
    <row r="682" customHeight="1" spans="1:26">
      <c r="A682" s="312"/>
      <c r="B682" s="312"/>
      <c r="C682" s="312"/>
      <c r="D682" s="312"/>
      <c r="E682" s="312"/>
      <c r="F682" s="312"/>
      <c r="G682" s="312"/>
      <c r="H682" s="312"/>
      <c r="I682" s="312"/>
      <c r="J682" s="312"/>
      <c r="K682" s="312"/>
      <c r="L682" s="312"/>
      <c r="M682" s="312"/>
      <c r="N682" s="312"/>
      <c r="O682" s="312"/>
      <c r="P682" s="312"/>
      <c r="Q682" s="312"/>
      <c r="R682" s="312"/>
      <c r="S682" s="312"/>
      <c r="T682" s="312"/>
      <c r="U682" s="312"/>
      <c r="V682" s="312"/>
      <c r="W682" s="312"/>
      <c r="X682" s="312"/>
      <c r="Y682" s="312"/>
      <c r="Z682" s="312"/>
    </row>
    <row r="683" customHeight="1" spans="1:26">
      <c r="A683" s="312"/>
      <c r="B683" s="312"/>
      <c r="C683" s="312"/>
      <c r="D683" s="312"/>
      <c r="E683" s="312"/>
      <c r="F683" s="312"/>
      <c r="G683" s="312"/>
      <c r="H683" s="312"/>
      <c r="I683" s="312"/>
      <c r="J683" s="312"/>
      <c r="K683" s="312"/>
      <c r="L683" s="312"/>
      <c r="M683" s="312"/>
      <c r="N683" s="312"/>
      <c r="O683" s="312"/>
      <c r="P683" s="312"/>
      <c r="Q683" s="312"/>
      <c r="R683" s="312"/>
      <c r="S683" s="312"/>
      <c r="T683" s="312"/>
      <c r="U683" s="312"/>
      <c r="V683" s="312"/>
      <c r="W683" s="312"/>
      <c r="X683" s="312"/>
      <c r="Y683" s="312"/>
      <c r="Z683" s="312"/>
    </row>
    <row r="684" customHeight="1" spans="1:26">
      <c r="A684" s="312"/>
      <c r="B684" s="312"/>
      <c r="C684" s="312"/>
      <c r="D684" s="312"/>
      <c r="E684" s="312"/>
      <c r="F684" s="312"/>
      <c r="G684" s="312"/>
      <c r="H684" s="312"/>
      <c r="I684" s="312"/>
      <c r="J684" s="312"/>
      <c r="K684" s="312"/>
      <c r="L684" s="312"/>
      <c r="M684" s="312"/>
      <c r="N684" s="312"/>
      <c r="O684" s="312"/>
      <c r="P684" s="312"/>
      <c r="Q684" s="312"/>
      <c r="R684" s="312"/>
      <c r="S684" s="312"/>
      <c r="T684" s="312"/>
      <c r="U684" s="312"/>
      <c r="V684" s="312"/>
      <c r="W684" s="312"/>
      <c r="X684" s="312"/>
      <c r="Y684" s="312"/>
      <c r="Z684" s="312"/>
    </row>
    <row r="685" customHeight="1" spans="1:26">
      <c r="A685" s="312"/>
      <c r="B685" s="312"/>
      <c r="C685" s="312"/>
      <c r="D685" s="312"/>
      <c r="E685" s="312"/>
      <c r="F685" s="312"/>
      <c r="G685" s="312"/>
      <c r="H685" s="312"/>
      <c r="I685" s="312"/>
      <c r="J685" s="312"/>
      <c r="K685" s="312"/>
      <c r="L685" s="312"/>
      <c r="M685" s="312"/>
      <c r="N685" s="312"/>
      <c r="O685" s="312"/>
      <c r="P685" s="312"/>
      <c r="Q685" s="312"/>
      <c r="R685" s="312"/>
      <c r="S685" s="312"/>
      <c r="T685" s="312"/>
      <c r="U685" s="312"/>
      <c r="V685" s="312"/>
      <c r="W685" s="312"/>
      <c r="X685" s="312"/>
      <c r="Y685" s="312"/>
      <c r="Z685" s="312"/>
    </row>
    <row r="686" customHeight="1" spans="1:26">
      <c r="A686" s="312"/>
      <c r="B686" s="312"/>
      <c r="C686" s="312"/>
      <c r="D686" s="312"/>
      <c r="E686" s="312"/>
      <c r="F686" s="312"/>
      <c r="G686" s="312"/>
      <c r="H686" s="312"/>
      <c r="I686" s="312"/>
      <c r="J686" s="312"/>
      <c r="K686" s="312"/>
      <c r="L686" s="312"/>
      <c r="M686" s="312"/>
      <c r="N686" s="312"/>
      <c r="O686" s="312"/>
      <c r="P686" s="312"/>
      <c r="Q686" s="312"/>
      <c r="R686" s="312"/>
      <c r="S686" s="312"/>
      <c r="T686" s="312"/>
      <c r="U686" s="312"/>
      <c r="V686" s="312"/>
      <c r="W686" s="312"/>
      <c r="X686" s="312"/>
      <c r="Y686" s="312"/>
      <c r="Z686" s="312"/>
    </row>
    <row r="687" customHeight="1" spans="1:26">
      <c r="A687" s="312"/>
      <c r="B687" s="312"/>
      <c r="C687" s="312"/>
      <c r="D687" s="312"/>
      <c r="E687" s="312"/>
      <c r="F687" s="312"/>
      <c r="G687" s="312"/>
      <c r="H687" s="312"/>
      <c r="I687" s="312"/>
      <c r="J687" s="312"/>
      <c r="K687" s="312"/>
      <c r="L687" s="312"/>
      <c r="M687" s="312"/>
      <c r="N687" s="312"/>
      <c r="O687" s="312"/>
      <c r="P687" s="312"/>
      <c r="Q687" s="312"/>
      <c r="R687" s="312"/>
      <c r="S687" s="312"/>
      <c r="T687" s="312"/>
      <c r="U687" s="312"/>
      <c r="V687" s="312"/>
      <c r="W687" s="312"/>
      <c r="X687" s="312"/>
      <c r="Y687" s="312"/>
      <c r="Z687" s="312"/>
    </row>
    <row r="688" customHeight="1" spans="1:26">
      <c r="A688" s="312"/>
      <c r="B688" s="312"/>
      <c r="C688" s="312"/>
      <c r="D688" s="312"/>
      <c r="E688" s="312"/>
      <c r="F688" s="312"/>
      <c r="G688" s="312"/>
      <c r="H688" s="312"/>
      <c r="I688" s="312"/>
      <c r="J688" s="312"/>
      <c r="K688" s="312"/>
      <c r="L688" s="312"/>
      <c r="M688" s="312"/>
      <c r="N688" s="312"/>
      <c r="O688" s="312"/>
      <c r="P688" s="312"/>
      <c r="Q688" s="312"/>
      <c r="R688" s="312"/>
      <c r="S688" s="312"/>
      <c r="T688" s="312"/>
      <c r="U688" s="312"/>
      <c r="V688" s="312"/>
      <c r="W688" s="312"/>
      <c r="X688" s="312"/>
      <c r="Y688" s="312"/>
      <c r="Z688" s="312"/>
    </row>
    <row r="689" customHeight="1" spans="1:26">
      <c r="A689" s="312"/>
      <c r="B689" s="312"/>
      <c r="C689" s="312"/>
      <c r="D689" s="312"/>
      <c r="E689" s="312"/>
      <c r="F689" s="312"/>
      <c r="G689" s="312"/>
      <c r="H689" s="312"/>
      <c r="I689" s="312"/>
      <c r="J689" s="312"/>
      <c r="K689" s="312"/>
      <c r="L689" s="312"/>
      <c r="M689" s="312"/>
      <c r="N689" s="312"/>
      <c r="O689" s="312"/>
      <c r="P689" s="312"/>
      <c r="Q689" s="312"/>
      <c r="R689" s="312"/>
      <c r="S689" s="312"/>
      <c r="T689" s="312"/>
      <c r="U689" s="312"/>
      <c r="V689" s="312"/>
      <c r="W689" s="312"/>
      <c r="X689" s="312"/>
      <c r="Y689" s="312"/>
      <c r="Z689" s="312"/>
    </row>
    <row r="690" customHeight="1" spans="1:26">
      <c r="A690" s="312"/>
      <c r="B690" s="312"/>
      <c r="C690" s="312"/>
      <c r="D690" s="312"/>
      <c r="E690" s="312"/>
      <c r="F690" s="312"/>
      <c r="G690" s="312"/>
      <c r="H690" s="312"/>
      <c r="I690" s="312"/>
      <c r="J690" s="312"/>
      <c r="K690" s="312"/>
      <c r="L690" s="312"/>
      <c r="M690" s="312"/>
      <c r="N690" s="312"/>
      <c r="O690" s="312"/>
      <c r="P690" s="312"/>
      <c r="Q690" s="312"/>
      <c r="R690" s="312"/>
      <c r="S690" s="312"/>
      <c r="T690" s="312"/>
      <c r="U690" s="312"/>
      <c r="V690" s="312"/>
      <c r="W690" s="312"/>
      <c r="X690" s="312"/>
      <c r="Y690" s="312"/>
      <c r="Z690" s="312"/>
    </row>
    <row r="691" customHeight="1" spans="1:26">
      <c r="A691" s="312"/>
      <c r="B691" s="312"/>
      <c r="C691" s="312"/>
      <c r="D691" s="312"/>
      <c r="E691" s="312"/>
      <c r="F691" s="312"/>
      <c r="G691" s="312"/>
      <c r="H691" s="312"/>
      <c r="I691" s="312"/>
      <c r="J691" s="312"/>
      <c r="K691" s="312"/>
      <c r="L691" s="312"/>
      <c r="M691" s="312"/>
      <c r="N691" s="312"/>
      <c r="O691" s="312"/>
      <c r="P691" s="312"/>
      <c r="Q691" s="312"/>
      <c r="R691" s="312"/>
      <c r="S691" s="312"/>
      <c r="T691" s="312"/>
      <c r="U691" s="312"/>
      <c r="V691" s="312"/>
      <c r="W691" s="312"/>
      <c r="X691" s="312"/>
      <c r="Y691" s="312"/>
      <c r="Z691" s="312"/>
    </row>
    <row r="692" customHeight="1" spans="1:26">
      <c r="A692" s="312"/>
      <c r="B692" s="312"/>
      <c r="C692" s="312"/>
      <c r="D692" s="312"/>
      <c r="E692" s="312"/>
      <c r="F692" s="312"/>
      <c r="G692" s="312"/>
      <c r="H692" s="312"/>
      <c r="I692" s="312"/>
      <c r="J692" s="312"/>
      <c r="K692" s="312"/>
      <c r="L692" s="312"/>
      <c r="M692" s="312"/>
      <c r="N692" s="312"/>
      <c r="O692" s="312"/>
      <c r="P692" s="312"/>
      <c r="Q692" s="312"/>
      <c r="R692" s="312"/>
      <c r="S692" s="312"/>
      <c r="T692" s="312"/>
      <c r="U692" s="312"/>
      <c r="V692" s="312"/>
      <c r="W692" s="312"/>
      <c r="X692" s="312"/>
      <c r="Y692" s="312"/>
      <c r="Z692" s="312"/>
    </row>
    <row r="693" customHeight="1" spans="1:26">
      <c r="A693" s="312"/>
      <c r="B693" s="312"/>
      <c r="C693" s="312"/>
      <c r="D693" s="312"/>
      <c r="E693" s="312"/>
      <c r="F693" s="312"/>
      <c r="G693" s="312"/>
      <c r="H693" s="312"/>
      <c r="I693" s="312"/>
      <c r="J693" s="312"/>
      <c r="K693" s="312"/>
      <c r="L693" s="312"/>
      <c r="M693" s="312"/>
      <c r="N693" s="312"/>
      <c r="O693" s="312"/>
      <c r="P693" s="312"/>
      <c r="Q693" s="312"/>
      <c r="R693" s="312"/>
      <c r="S693" s="312"/>
      <c r="T693" s="312"/>
      <c r="U693" s="312"/>
      <c r="V693" s="312"/>
      <c r="W693" s="312"/>
      <c r="X693" s="312"/>
      <c r="Y693" s="312"/>
      <c r="Z693" s="312"/>
    </row>
    <row r="694" customHeight="1" spans="1:26">
      <c r="A694" s="312"/>
      <c r="B694" s="312"/>
      <c r="C694" s="312"/>
      <c r="D694" s="312"/>
      <c r="E694" s="312"/>
      <c r="F694" s="312"/>
      <c r="G694" s="312"/>
      <c r="H694" s="312"/>
      <c r="I694" s="312"/>
      <c r="J694" s="312"/>
      <c r="K694" s="312"/>
      <c r="L694" s="312"/>
      <c r="M694" s="312"/>
      <c r="N694" s="312"/>
      <c r="O694" s="312"/>
      <c r="P694" s="312"/>
      <c r="Q694" s="312"/>
      <c r="R694" s="312"/>
      <c r="S694" s="312"/>
      <c r="T694" s="312"/>
      <c r="U694" s="312"/>
      <c r="V694" s="312"/>
      <c r="W694" s="312"/>
      <c r="X694" s="312"/>
      <c r="Y694" s="312"/>
      <c r="Z694" s="312"/>
    </row>
    <row r="695" customHeight="1" spans="1:26">
      <c r="A695" s="312"/>
      <c r="B695" s="312"/>
      <c r="C695" s="312"/>
      <c r="D695" s="312"/>
      <c r="E695" s="312"/>
      <c r="F695" s="312"/>
      <c r="G695" s="312"/>
      <c r="H695" s="312"/>
      <c r="I695" s="312"/>
      <c r="J695" s="312"/>
      <c r="K695" s="312"/>
      <c r="L695" s="312"/>
      <c r="M695" s="312"/>
      <c r="N695" s="312"/>
      <c r="O695" s="312"/>
      <c r="P695" s="312"/>
      <c r="Q695" s="312"/>
      <c r="R695" s="312"/>
      <c r="S695" s="312"/>
      <c r="T695" s="312"/>
      <c r="U695" s="312"/>
      <c r="V695" s="312"/>
      <c r="W695" s="312"/>
      <c r="X695" s="312"/>
      <c r="Y695" s="312"/>
      <c r="Z695" s="312"/>
    </row>
    <row r="696" customHeight="1" spans="1:26">
      <c r="A696" s="312"/>
      <c r="B696" s="312"/>
      <c r="C696" s="312"/>
      <c r="D696" s="312"/>
      <c r="E696" s="312"/>
      <c r="F696" s="312"/>
      <c r="G696" s="312"/>
      <c r="H696" s="312"/>
      <c r="I696" s="312"/>
      <c r="J696" s="312"/>
      <c r="K696" s="312"/>
      <c r="L696" s="312"/>
      <c r="M696" s="312"/>
      <c r="N696" s="312"/>
      <c r="O696" s="312"/>
      <c r="P696" s="312"/>
      <c r="Q696" s="312"/>
      <c r="R696" s="312"/>
      <c r="S696" s="312"/>
      <c r="T696" s="312"/>
      <c r="U696" s="312"/>
      <c r="V696" s="312"/>
      <c r="W696" s="312"/>
      <c r="X696" s="312"/>
      <c r="Y696" s="312"/>
      <c r="Z696" s="312"/>
    </row>
    <row r="697" customHeight="1" spans="1:26">
      <c r="A697" s="312"/>
      <c r="B697" s="312"/>
      <c r="C697" s="312"/>
      <c r="D697" s="312"/>
      <c r="E697" s="312"/>
      <c r="F697" s="312"/>
      <c r="G697" s="312"/>
      <c r="H697" s="312"/>
      <c r="I697" s="312"/>
      <c r="J697" s="312"/>
      <c r="K697" s="312"/>
      <c r="L697" s="312"/>
      <c r="M697" s="312"/>
      <c r="N697" s="312"/>
      <c r="O697" s="312"/>
      <c r="P697" s="312"/>
      <c r="Q697" s="312"/>
      <c r="R697" s="312"/>
      <c r="S697" s="312"/>
      <c r="T697" s="312"/>
      <c r="U697" s="312"/>
      <c r="V697" s="312"/>
      <c r="W697" s="312"/>
      <c r="X697" s="312"/>
      <c r="Y697" s="312"/>
      <c r="Z697" s="312"/>
    </row>
    <row r="698" customHeight="1" spans="1:26">
      <c r="A698" s="312"/>
      <c r="B698" s="312"/>
      <c r="C698" s="312"/>
      <c r="D698" s="312"/>
      <c r="E698" s="312"/>
      <c r="F698" s="312"/>
      <c r="G698" s="312"/>
      <c r="H698" s="312"/>
      <c r="I698" s="312"/>
      <c r="J698" s="312"/>
      <c r="K698" s="312"/>
      <c r="L698" s="312"/>
      <c r="M698" s="312"/>
      <c r="N698" s="312"/>
      <c r="O698" s="312"/>
      <c r="P698" s="312"/>
      <c r="Q698" s="312"/>
      <c r="R698" s="312"/>
      <c r="S698" s="312"/>
      <c r="T698" s="312"/>
      <c r="U698" s="312"/>
      <c r="V698" s="312"/>
      <c r="W698" s="312"/>
      <c r="X698" s="312"/>
      <c r="Y698" s="312"/>
      <c r="Z698" s="312"/>
    </row>
    <row r="699" customHeight="1" spans="1:26">
      <c r="A699" s="312"/>
      <c r="B699" s="312"/>
      <c r="C699" s="312"/>
      <c r="D699" s="312"/>
      <c r="E699" s="312"/>
      <c r="F699" s="312"/>
      <c r="G699" s="312"/>
      <c r="H699" s="312"/>
      <c r="I699" s="312"/>
      <c r="J699" s="312"/>
      <c r="K699" s="312"/>
      <c r="L699" s="312"/>
      <c r="M699" s="312"/>
      <c r="N699" s="312"/>
      <c r="O699" s="312"/>
      <c r="P699" s="312"/>
      <c r="Q699" s="312"/>
      <c r="R699" s="312"/>
      <c r="S699" s="312"/>
      <c r="T699" s="312"/>
      <c r="U699" s="312"/>
      <c r="V699" s="312"/>
      <c r="W699" s="312"/>
      <c r="X699" s="312"/>
      <c r="Y699" s="312"/>
      <c r="Z699" s="312"/>
    </row>
    <row r="700" customHeight="1" spans="1:26">
      <c r="A700" s="312"/>
      <c r="B700" s="312"/>
      <c r="C700" s="312"/>
      <c r="D700" s="312"/>
      <c r="E700" s="312"/>
      <c r="F700" s="312"/>
      <c r="G700" s="312"/>
      <c r="H700" s="312"/>
      <c r="I700" s="312"/>
      <c r="J700" s="312"/>
      <c r="K700" s="312"/>
      <c r="L700" s="312"/>
      <c r="M700" s="312"/>
      <c r="N700" s="312"/>
      <c r="O700" s="312"/>
      <c r="P700" s="312"/>
      <c r="Q700" s="312"/>
      <c r="R700" s="312"/>
      <c r="S700" s="312"/>
      <c r="T700" s="312"/>
      <c r="U700" s="312"/>
      <c r="V700" s="312"/>
      <c r="W700" s="312"/>
      <c r="X700" s="312"/>
      <c r="Y700" s="312"/>
      <c r="Z700" s="312"/>
    </row>
    <row r="701" customHeight="1" spans="1:26">
      <c r="A701" s="312"/>
      <c r="B701" s="312"/>
      <c r="C701" s="312"/>
      <c r="D701" s="312"/>
      <c r="E701" s="312"/>
      <c r="F701" s="312"/>
      <c r="G701" s="312"/>
      <c r="H701" s="312"/>
      <c r="I701" s="312"/>
      <c r="J701" s="312"/>
      <c r="K701" s="312"/>
      <c r="L701" s="312"/>
      <c r="M701" s="312"/>
      <c r="N701" s="312"/>
      <c r="O701" s="312"/>
      <c r="P701" s="312"/>
      <c r="Q701" s="312"/>
      <c r="R701" s="312"/>
      <c r="S701" s="312"/>
      <c r="T701" s="312"/>
      <c r="U701" s="312"/>
      <c r="V701" s="312"/>
      <c r="W701" s="312"/>
      <c r="X701" s="312"/>
      <c r="Y701" s="312"/>
      <c r="Z701" s="312"/>
    </row>
    <row r="702" customHeight="1" spans="1:26">
      <c r="A702" s="312"/>
      <c r="B702" s="312"/>
      <c r="C702" s="312"/>
      <c r="D702" s="312"/>
      <c r="E702" s="312"/>
      <c r="F702" s="312"/>
      <c r="G702" s="312"/>
      <c r="H702" s="312"/>
      <c r="I702" s="312"/>
      <c r="J702" s="312"/>
      <c r="K702" s="312"/>
      <c r="L702" s="312"/>
      <c r="M702" s="312"/>
      <c r="N702" s="312"/>
      <c r="O702" s="312"/>
      <c r="P702" s="312"/>
      <c r="Q702" s="312"/>
      <c r="R702" s="312"/>
      <c r="S702" s="312"/>
      <c r="T702" s="312"/>
      <c r="U702" s="312"/>
      <c r="V702" s="312"/>
      <c r="W702" s="312"/>
      <c r="X702" s="312"/>
      <c r="Y702" s="312"/>
      <c r="Z702" s="312"/>
    </row>
    <row r="703" customHeight="1" spans="1:26">
      <c r="A703" s="312"/>
      <c r="B703" s="312"/>
      <c r="C703" s="312"/>
      <c r="D703" s="312"/>
      <c r="E703" s="312"/>
      <c r="F703" s="312"/>
      <c r="G703" s="312"/>
      <c r="H703" s="312"/>
      <c r="I703" s="312"/>
      <c r="J703" s="312"/>
      <c r="K703" s="312"/>
      <c r="L703" s="312"/>
      <c r="M703" s="312"/>
      <c r="N703" s="312"/>
      <c r="O703" s="312"/>
      <c r="P703" s="312"/>
      <c r="Q703" s="312"/>
      <c r="R703" s="312"/>
      <c r="S703" s="312"/>
      <c r="T703" s="312"/>
      <c r="U703" s="312"/>
      <c r="V703" s="312"/>
      <c r="W703" s="312"/>
      <c r="X703" s="312"/>
      <c r="Y703" s="312"/>
      <c r="Z703" s="312"/>
    </row>
    <row r="704" customHeight="1" spans="1:26">
      <c r="A704" s="312"/>
      <c r="B704" s="312"/>
      <c r="C704" s="312"/>
      <c r="D704" s="312"/>
      <c r="E704" s="312"/>
      <c r="F704" s="312"/>
      <c r="G704" s="312"/>
      <c r="H704" s="312"/>
      <c r="I704" s="312"/>
      <c r="J704" s="312"/>
      <c r="K704" s="312"/>
      <c r="L704" s="312"/>
      <c r="M704" s="312"/>
      <c r="N704" s="312"/>
      <c r="O704" s="312"/>
      <c r="P704" s="312"/>
      <c r="Q704" s="312"/>
      <c r="R704" s="312"/>
      <c r="S704" s="312"/>
      <c r="T704" s="312"/>
      <c r="U704" s="312"/>
      <c r="V704" s="312"/>
      <c r="W704" s="312"/>
      <c r="X704" s="312"/>
      <c r="Y704" s="312"/>
      <c r="Z704" s="312"/>
    </row>
    <row r="705" customHeight="1" spans="1:26">
      <c r="A705" s="312"/>
      <c r="B705" s="312"/>
      <c r="C705" s="312"/>
      <c r="D705" s="312"/>
      <c r="E705" s="312"/>
      <c r="F705" s="312"/>
      <c r="G705" s="312"/>
      <c r="H705" s="312"/>
      <c r="I705" s="312"/>
      <c r="J705" s="312"/>
      <c r="K705" s="312"/>
      <c r="L705" s="312"/>
      <c r="M705" s="312"/>
      <c r="N705" s="312"/>
      <c r="O705" s="312"/>
      <c r="P705" s="312"/>
      <c r="Q705" s="312"/>
      <c r="R705" s="312"/>
      <c r="S705" s="312"/>
      <c r="T705" s="312"/>
      <c r="U705" s="312"/>
      <c r="V705" s="312"/>
      <c r="W705" s="312"/>
      <c r="X705" s="312"/>
      <c r="Y705" s="312"/>
      <c r="Z705" s="312"/>
    </row>
    <row r="706" customHeight="1" spans="1:26">
      <c r="A706" s="312"/>
      <c r="B706" s="312"/>
      <c r="C706" s="312"/>
      <c r="D706" s="312"/>
      <c r="E706" s="312"/>
      <c r="F706" s="312"/>
      <c r="G706" s="312"/>
      <c r="H706" s="312"/>
      <c r="I706" s="312"/>
      <c r="J706" s="312"/>
      <c r="K706" s="312"/>
      <c r="L706" s="312"/>
      <c r="M706" s="312"/>
      <c r="N706" s="312"/>
      <c r="O706" s="312"/>
      <c r="P706" s="312"/>
      <c r="Q706" s="312"/>
      <c r="R706" s="312"/>
      <c r="S706" s="312"/>
      <c r="T706" s="312"/>
      <c r="U706" s="312"/>
      <c r="V706" s="312"/>
      <c r="W706" s="312"/>
      <c r="X706" s="312"/>
      <c r="Y706" s="312"/>
      <c r="Z706" s="312"/>
    </row>
    <row r="707" customHeight="1" spans="1:26">
      <c r="A707" s="312"/>
      <c r="B707" s="312"/>
      <c r="C707" s="312"/>
      <c r="D707" s="312"/>
      <c r="E707" s="312"/>
      <c r="F707" s="312"/>
      <c r="G707" s="312"/>
      <c r="H707" s="312"/>
      <c r="I707" s="312"/>
      <c r="J707" s="312"/>
      <c r="K707" s="312"/>
      <c r="L707" s="312"/>
      <c r="M707" s="312"/>
      <c r="N707" s="312"/>
      <c r="O707" s="312"/>
      <c r="P707" s="312"/>
      <c r="Q707" s="312"/>
      <c r="R707" s="312"/>
      <c r="S707" s="312"/>
      <c r="T707" s="312"/>
      <c r="U707" s="312"/>
      <c r="V707" s="312"/>
      <c r="W707" s="312"/>
      <c r="X707" s="312"/>
      <c r="Y707" s="312"/>
      <c r="Z707" s="312"/>
    </row>
    <row r="708" customHeight="1" spans="1:26">
      <c r="A708" s="312"/>
      <c r="B708" s="312"/>
      <c r="C708" s="312"/>
      <c r="D708" s="312"/>
      <c r="E708" s="312"/>
      <c r="F708" s="312"/>
      <c r="G708" s="312"/>
      <c r="H708" s="312"/>
      <c r="I708" s="312"/>
      <c r="J708" s="312"/>
      <c r="K708" s="312"/>
      <c r="L708" s="312"/>
      <c r="M708" s="312"/>
      <c r="N708" s="312"/>
      <c r="O708" s="312"/>
      <c r="P708" s="312"/>
      <c r="Q708" s="312"/>
      <c r="R708" s="312"/>
      <c r="S708" s="312"/>
      <c r="T708" s="312"/>
      <c r="U708" s="312"/>
      <c r="V708" s="312"/>
      <c r="W708" s="312"/>
      <c r="X708" s="312"/>
      <c r="Y708" s="312"/>
      <c r="Z708" s="312"/>
    </row>
    <row r="709" customHeight="1" spans="1:26">
      <c r="A709" s="312"/>
      <c r="B709" s="312"/>
      <c r="C709" s="312"/>
      <c r="D709" s="312"/>
      <c r="E709" s="312"/>
      <c r="F709" s="312"/>
      <c r="G709" s="312"/>
      <c r="H709" s="312"/>
      <c r="I709" s="312"/>
      <c r="J709" s="312"/>
      <c r="K709" s="312"/>
      <c r="L709" s="312"/>
      <c r="M709" s="312"/>
      <c r="N709" s="312"/>
      <c r="O709" s="312"/>
      <c r="P709" s="312"/>
      <c r="Q709" s="312"/>
      <c r="R709" s="312"/>
      <c r="S709" s="312"/>
      <c r="T709" s="312"/>
      <c r="U709" s="312"/>
      <c r="V709" s="312"/>
      <c r="W709" s="312"/>
      <c r="X709" s="312"/>
      <c r="Y709" s="312"/>
      <c r="Z709" s="312"/>
    </row>
    <row r="710" customHeight="1" spans="1:26">
      <c r="A710" s="312"/>
      <c r="B710" s="312"/>
      <c r="C710" s="312"/>
      <c r="D710" s="312"/>
      <c r="E710" s="312"/>
      <c r="F710" s="312"/>
      <c r="G710" s="312"/>
      <c r="H710" s="312"/>
      <c r="I710" s="312"/>
      <c r="J710" s="312"/>
      <c r="K710" s="312"/>
      <c r="L710" s="312"/>
      <c r="M710" s="312"/>
      <c r="N710" s="312"/>
      <c r="O710" s="312"/>
      <c r="P710" s="312"/>
      <c r="Q710" s="312"/>
      <c r="R710" s="312"/>
      <c r="S710" s="312"/>
      <c r="T710" s="312"/>
      <c r="U710" s="312"/>
      <c r="V710" s="312"/>
      <c r="W710" s="312"/>
      <c r="X710" s="312"/>
      <c r="Y710" s="312"/>
      <c r="Z710" s="312"/>
    </row>
    <row r="711" customHeight="1" spans="1:26">
      <c r="A711" s="312"/>
      <c r="B711" s="312"/>
      <c r="C711" s="312"/>
      <c r="D711" s="312"/>
      <c r="E711" s="312"/>
      <c r="F711" s="312"/>
      <c r="G711" s="312"/>
      <c r="H711" s="312"/>
      <c r="I711" s="312"/>
      <c r="J711" s="312"/>
      <c r="K711" s="312"/>
      <c r="L711" s="312"/>
      <c r="M711" s="312"/>
      <c r="N711" s="312"/>
      <c r="O711" s="312"/>
      <c r="P711" s="312"/>
      <c r="Q711" s="312"/>
      <c r="R711" s="312"/>
      <c r="S711" s="312"/>
      <c r="T711" s="312"/>
      <c r="U711" s="312"/>
      <c r="V711" s="312"/>
      <c r="W711" s="312"/>
      <c r="X711" s="312"/>
      <c r="Y711" s="312"/>
      <c r="Z711" s="312"/>
    </row>
    <row r="712" customHeight="1" spans="1:26">
      <c r="A712" s="312"/>
      <c r="B712" s="312"/>
      <c r="C712" s="312"/>
      <c r="D712" s="312"/>
      <c r="E712" s="312"/>
      <c r="F712" s="312"/>
      <c r="G712" s="312"/>
      <c r="H712" s="312"/>
      <c r="I712" s="312"/>
      <c r="J712" s="312"/>
      <c r="K712" s="312"/>
      <c r="L712" s="312"/>
      <c r="M712" s="312"/>
      <c r="N712" s="312"/>
      <c r="O712" s="312"/>
      <c r="P712" s="312"/>
      <c r="Q712" s="312"/>
      <c r="R712" s="312"/>
      <c r="S712" s="312"/>
      <c r="T712" s="312"/>
      <c r="U712" s="312"/>
      <c r="V712" s="312"/>
      <c r="W712" s="312"/>
      <c r="X712" s="312"/>
      <c r="Y712" s="312"/>
      <c r="Z712" s="312"/>
    </row>
    <row r="713" customHeight="1" spans="1:26">
      <c r="A713" s="312"/>
      <c r="B713" s="312"/>
      <c r="C713" s="312"/>
      <c r="D713" s="312"/>
      <c r="E713" s="312"/>
      <c r="F713" s="312"/>
      <c r="G713" s="312"/>
      <c r="H713" s="312"/>
      <c r="I713" s="312"/>
      <c r="J713" s="312"/>
      <c r="K713" s="312"/>
      <c r="L713" s="312"/>
      <c r="M713" s="312"/>
      <c r="N713" s="312"/>
      <c r="O713" s="312"/>
      <c r="P713" s="312"/>
      <c r="Q713" s="312"/>
      <c r="R713" s="312"/>
      <c r="S713" s="312"/>
      <c r="T713" s="312"/>
      <c r="U713" s="312"/>
      <c r="V713" s="312"/>
      <c r="W713" s="312"/>
      <c r="X713" s="312"/>
      <c r="Y713" s="312"/>
      <c r="Z713" s="312"/>
    </row>
    <row r="714" customHeight="1" spans="1:26">
      <c r="A714" s="312"/>
      <c r="B714" s="312"/>
      <c r="C714" s="312"/>
      <c r="D714" s="312"/>
      <c r="E714" s="312"/>
      <c r="F714" s="312"/>
      <c r="G714" s="312"/>
      <c r="H714" s="312"/>
      <c r="I714" s="312"/>
      <c r="J714" s="312"/>
      <c r="K714" s="312"/>
      <c r="L714" s="312"/>
      <c r="M714" s="312"/>
      <c r="N714" s="312"/>
      <c r="O714" s="312"/>
      <c r="P714" s="312"/>
      <c r="Q714" s="312"/>
      <c r="R714" s="312"/>
      <c r="S714" s="312"/>
      <c r="T714" s="312"/>
      <c r="U714" s="312"/>
      <c r="V714" s="312"/>
      <c r="W714" s="312"/>
      <c r="X714" s="312"/>
      <c r="Y714" s="312"/>
      <c r="Z714" s="312"/>
    </row>
    <row r="715" customHeight="1" spans="1:26">
      <c r="A715" s="312"/>
      <c r="B715" s="312"/>
      <c r="C715" s="312"/>
      <c r="D715" s="312"/>
      <c r="E715" s="312"/>
      <c r="F715" s="312"/>
      <c r="G715" s="312"/>
      <c r="H715" s="312"/>
      <c r="I715" s="312"/>
      <c r="J715" s="312"/>
      <c r="K715" s="312"/>
      <c r="L715" s="312"/>
      <c r="M715" s="312"/>
      <c r="N715" s="312"/>
      <c r="O715" s="312"/>
      <c r="P715" s="312"/>
      <c r="Q715" s="312"/>
      <c r="R715" s="312"/>
      <c r="S715" s="312"/>
      <c r="T715" s="312"/>
      <c r="U715" s="312"/>
      <c r="V715" s="312"/>
      <c r="W715" s="312"/>
      <c r="X715" s="312"/>
      <c r="Y715" s="312"/>
      <c r="Z715" s="312"/>
    </row>
    <row r="716" customHeight="1" spans="1:26">
      <c r="A716" s="312"/>
      <c r="B716" s="312"/>
      <c r="C716" s="312"/>
      <c r="D716" s="312"/>
      <c r="E716" s="312"/>
      <c r="F716" s="312"/>
      <c r="G716" s="312"/>
      <c r="H716" s="312"/>
      <c r="I716" s="312"/>
      <c r="J716" s="312"/>
      <c r="K716" s="312"/>
      <c r="L716" s="312"/>
      <c r="M716" s="312"/>
      <c r="N716" s="312"/>
      <c r="O716" s="312"/>
      <c r="P716" s="312"/>
      <c r="Q716" s="312"/>
      <c r="R716" s="312"/>
      <c r="S716" s="312"/>
      <c r="T716" s="312"/>
      <c r="U716" s="312"/>
      <c r="V716" s="312"/>
      <c r="W716" s="312"/>
      <c r="X716" s="312"/>
      <c r="Y716" s="312"/>
      <c r="Z716" s="312"/>
    </row>
    <row r="717" customHeight="1" spans="1:26">
      <c r="A717" s="312"/>
      <c r="B717" s="312"/>
      <c r="C717" s="312"/>
      <c r="D717" s="312"/>
      <c r="E717" s="312"/>
      <c r="F717" s="312"/>
      <c r="G717" s="312"/>
      <c r="H717" s="312"/>
      <c r="I717" s="312"/>
      <c r="J717" s="312"/>
      <c r="K717" s="312"/>
      <c r="L717" s="312"/>
      <c r="M717" s="312"/>
      <c r="N717" s="312"/>
      <c r="O717" s="312"/>
      <c r="P717" s="312"/>
      <c r="Q717" s="312"/>
      <c r="R717" s="312"/>
      <c r="S717" s="312"/>
      <c r="T717" s="312"/>
      <c r="U717" s="312"/>
      <c r="V717" s="312"/>
      <c r="W717" s="312"/>
      <c r="X717" s="312"/>
      <c r="Y717" s="312"/>
      <c r="Z717" s="312"/>
    </row>
    <row r="718" customHeight="1" spans="1:26">
      <c r="A718" s="312"/>
      <c r="B718" s="312"/>
      <c r="C718" s="312"/>
      <c r="D718" s="312"/>
      <c r="E718" s="312"/>
      <c r="F718" s="312"/>
      <c r="G718" s="312"/>
      <c r="H718" s="312"/>
      <c r="I718" s="312"/>
      <c r="J718" s="312"/>
      <c r="K718" s="312"/>
      <c r="L718" s="312"/>
      <c r="M718" s="312"/>
      <c r="N718" s="312"/>
      <c r="O718" s="312"/>
      <c r="P718" s="312"/>
      <c r="Q718" s="312"/>
      <c r="R718" s="312"/>
      <c r="S718" s="312"/>
      <c r="T718" s="312"/>
      <c r="U718" s="312"/>
      <c r="V718" s="312"/>
      <c r="W718" s="312"/>
      <c r="X718" s="312"/>
      <c r="Y718" s="312"/>
      <c r="Z718" s="312"/>
    </row>
    <row r="719" customHeight="1" spans="1:26">
      <c r="A719" s="312"/>
      <c r="B719" s="312"/>
      <c r="C719" s="312"/>
      <c r="D719" s="312"/>
      <c r="E719" s="312"/>
      <c r="F719" s="312"/>
      <c r="G719" s="312"/>
      <c r="H719" s="312"/>
      <c r="I719" s="312"/>
      <c r="J719" s="312"/>
      <c r="K719" s="312"/>
      <c r="L719" s="312"/>
      <c r="M719" s="312"/>
      <c r="N719" s="312"/>
      <c r="O719" s="312"/>
      <c r="P719" s="312"/>
      <c r="Q719" s="312"/>
      <c r="R719" s="312"/>
      <c r="S719" s="312"/>
      <c r="T719" s="312"/>
      <c r="U719" s="312"/>
      <c r="V719" s="312"/>
      <c r="W719" s="312"/>
      <c r="X719" s="312"/>
      <c r="Y719" s="312"/>
      <c r="Z719" s="312"/>
    </row>
    <row r="720" customHeight="1" spans="1:26">
      <c r="A720" s="312"/>
      <c r="B720" s="312"/>
      <c r="C720" s="312"/>
      <c r="D720" s="312"/>
      <c r="E720" s="312"/>
      <c r="F720" s="312"/>
      <c r="G720" s="312"/>
      <c r="H720" s="312"/>
      <c r="I720" s="312"/>
      <c r="J720" s="312"/>
      <c r="K720" s="312"/>
      <c r="L720" s="312"/>
      <c r="M720" s="312"/>
      <c r="N720" s="312"/>
      <c r="O720" s="312"/>
      <c r="P720" s="312"/>
      <c r="Q720" s="312"/>
      <c r="R720" s="312"/>
      <c r="S720" s="312"/>
      <c r="T720" s="312"/>
      <c r="U720" s="312"/>
      <c r="V720" s="312"/>
      <c r="W720" s="312"/>
      <c r="X720" s="312"/>
      <c r="Y720" s="312"/>
      <c r="Z720" s="312"/>
    </row>
    <row r="721" customHeight="1" spans="1:26">
      <c r="A721" s="312"/>
      <c r="B721" s="312"/>
      <c r="C721" s="312"/>
      <c r="D721" s="312"/>
      <c r="E721" s="312"/>
      <c r="F721" s="312"/>
      <c r="G721" s="312"/>
      <c r="H721" s="312"/>
      <c r="I721" s="312"/>
      <c r="J721" s="312"/>
      <c r="K721" s="312"/>
      <c r="L721" s="312"/>
      <c r="M721" s="312"/>
      <c r="N721" s="312"/>
      <c r="O721" s="312"/>
      <c r="P721" s="312"/>
      <c r="Q721" s="312"/>
      <c r="R721" s="312"/>
      <c r="S721" s="312"/>
      <c r="T721" s="312"/>
      <c r="U721" s="312"/>
      <c r="V721" s="312"/>
      <c r="W721" s="312"/>
      <c r="X721" s="312"/>
      <c r="Y721" s="312"/>
      <c r="Z721" s="312"/>
    </row>
    <row r="722" customHeight="1" spans="1:26">
      <c r="A722" s="312"/>
      <c r="B722" s="312"/>
      <c r="C722" s="312"/>
      <c r="D722" s="312"/>
      <c r="E722" s="312"/>
      <c r="F722" s="312"/>
      <c r="G722" s="312"/>
      <c r="H722" s="312"/>
      <c r="I722" s="312"/>
      <c r="J722" s="312"/>
      <c r="K722" s="312"/>
      <c r="L722" s="312"/>
      <c r="M722" s="312"/>
      <c r="N722" s="312"/>
      <c r="O722" s="312"/>
      <c r="P722" s="312"/>
      <c r="Q722" s="312"/>
      <c r="R722" s="312"/>
      <c r="S722" s="312"/>
      <c r="T722" s="312"/>
      <c r="U722" s="312"/>
      <c r="V722" s="312"/>
      <c r="W722" s="312"/>
      <c r="X722" s="312"/>
      <c r="Y722" s="312"/>
      <c r="Z722" s="312"/>
    </row>
    <row r="723" customHeight="1" spans="1:26">
      <c r="A723" s="312"/>
      <c r="B723" s="312"/>
      <c r="C723" s="312"/>
      <c r="D723" s="312"/>
      <c r="E723" s="312"/>
      <c r="F723" s="312"/>
      <c r="G723" s="312"/>
      <c r="H723" s="312"/>
      <c r="I723" s="312"/>
      <c r="J723" s="312"/>
      <c r="K723" s="312"/>
      <c r="L723" s="312"/>
      <c r="M723" s="312"/>
      <c r="N723" s="312"/>
      <c r="O723" s="312"/>
      <c r="P723" s="312"/>
      <c r="Q723" s="312"/>
      <c r="R723" s="312"/>
      <c r="S723" s="312"/>
      <c r="T723" s="312"/>
      <c r="U723" s="312"/>
      <c r="V723" s="312"/>
      <c r="W723" s="312"/>
      <c r="X723" s="312"/>
      <c r="Y723" s="312"/>
      <c r="Z723" s="312"/>
    </row>
    <row r="724" customHeight="1" spans="1:26">
      <c r="A724" s="312"/>
      <c r="B724" s="312"/>
      <c r="C724" s="312"/>
      <c r="D724" s="312"/>
      <c r="E724" s="312"/>
      <c r="F724" s="312"/>
      <c r="G724" s="312"/>
      <c r="H724" s="312"/>
      <c r="I724" s="312"/>
      <c r="J724" s="312"/>
      <c r="K724" s="312"/>
      <c r="L724" s="312"/>
      <c r="M724" s="312"/>
      <c r="N724" s="312"/>
      <c r="O724" s="312"/>
      <c r="P724" s="312"/>
      <c r="Q724" s="312"/>
      <c r="R724" s="312"/>
      <c r="S724" s="312"/>
      <c r="T724" s="312"/>
      <c r="U724" s="312"/>
      <c r="V724" s="312"/>
      <c r="W724" s="312"/>
      <c r="X724" s="312"/>
      <c r="Y724" s="312"/>
      <c r="Z724" s="312"/>
    </row>
    <row r="725" customHeight="1" spans="1:26">
      <c r="A725" s="312"/>
      <c r="B725" s="312"/>
      <c r="C725" s="312"/>
      <c r="D725" s="312"/>
      <c r="E725" s="312"/>
      <c r="F725" s="312"/>
      <c r="G725" s="312"/>
      <c r="H725" s="312"/>
      <c r="I725" s="312"/>
      <c r="J725" s="312"/>
      <c r="K725" s="312"/>
      <c r="L725" s="312"/>
      <c r="M725" s="312"/>
      <c r="N725" s="312"/>
      <c r="O725" s="312"/>
      <c r="P725" s="312"/>
      <c r="Q725" s="312"/>
      <c r="R725" s="312"/>
      <c r="S725" s="312"/>
      <c r="T725" s="312"/>
      <c r="U725" s="312"/>
      <c r="V725" s="312"/>
      <c r="W725" s="312"/>
      <c r="X725" s="312"/>
      <c r="Y725" s="312"/>
      <c r="Z725" s="312"/>
    </row>
    <row r="726" customHeight="1" spans="1:26">
      <c r="A726" s="312"/>
      <c r="B726" s="312"/>
      <c r="C726" s="312"/>
      <c r="D726" s="312"/>
      <c r="E726" s="312"/>
      <c r="F726" s="312"/>
      <c r="G726" s="312"/>
      <c r="H726" s="312"/>
      <c r="I726" s="312"/>
      <c r="J726" s="312"/>
      <c r="K726" s="312"/>
      <c r="L726" s="312"/>
      <c r="M726" s="312"/>
      <c r="N726" s="312"/>
      <c r="O726" s="312"/>
      <c r="P726" s="312"/>
      <c r="Q726" s="312"/>
      <c r="R726" s="312"/>
      <c r="S726" s="312"/>
      <c r="T726" s="312"/>
      <c r="U726" s="312"/>
      <c r="V726" s="312"/>
      <c r="W726" s="312"/>
      <c r="X726" s="312"/>
      <c r="Y726" s="312"/>
      <c r="Z726" s="312"/>
    </row>
    <row r="727" customHeight="1" spans="1:26">
      <c r="A727" s="312"/>
      <c r="B727" s="312"/>
      <c r="C727" s="312"/>
      <c r="D727" s="312"/>
      <c r="E727" s="312"/>
      <c r="F727" s="312"/>
      <c r="G727" s="312"/>
      <c r="H727" s="312"/>
      <c r="I727" s="312"/>
      <c r="J727" s="312"/>
      <c r="K727" s="312"/>
      <c r="L727" s="312"/>
      <c r="M727" s="312"/>
      <c r="N727" s="312"/>
      <c r="O727" s="312"/>
      <c r="P727" s="312"/>
      <c r="Q727" s="312"/>
      <c r="R727" s="312"/>
      <c r="S727" s="312"/>
      <c r="T727" s="312"/>
      <c r="U727" s="312"/>
      <c r="V727" s="312"/>
      <c r="W727" s="312"/>
      <c r="X727" s="312"/>
      <c r="Y727" s="312"/>
      <c r="Z727" s="312"/>
    </row>
    <row r="728" customHeight="1" spans="1:26">
      <c r="A728" s="312"/>
      <c r="B728" s="312"/>
      <c r="C728" s="312"/>
      <c r="D728" s="312"/>
      <c r="E728" s="312"/>
      <c r="F728" s="312"/>
      <c r="G728" s="312"/>
      <c r="H728" s="312"/>
      <c r="I728" s="312"/>
      <c r="J728" s="312"/>
      <c r="K728" s="312"/>
      <c r="L728" s="312"/>
      <c r="M728" s="312"/>
      <c r="N728" s="312"/>
      <c r="O728" s="312"/>
      <c r="P728" s="312"/>
      <c r="Q728" s="312"/>
      <c r="R728" s="312"/>
      <c r="S728" s="312"/>
      <c r="T728" s="312"/>
      <c r="U728" s="312"/>
      <c r="V728" s="312"/>
      <c r="W728" s="312"/>
      <c r="X728" s="312"/>
      <c r="Y728" s="312"/>
      <c r="Z728" s="312"/>
    </row>
    <row r="729" customHeight="1" spans="1:26">
      <c r="A729" s="312"/>
      <c r="B729" s="312"/>
      <c r="C729" s="312"/>
      <c r="D729" s="312"/>
      <c r="E729" s="312"/>
      <c r="F729" s="312"/>
      <c r="G729" s="312"/>
      <c r="H729" s="312"/>
      <c r="I729" s="312"/>
      <c r="J729" s="312"/>
      <c r="K729" s="312"/>
      <c r="L729" s="312"/>
      <c r="M729" s="312"/>
      <c r="N729" s="312"/>
      <c r="O729" s="312"/>
      <c r="P729" s="312"/>
      <c r="Q729" s="312"/>
      <c r="R729" s="312"/>
      <c r="S729" s="312"/>
      <c r="T729" s="312"/>
      <c r="U729" s="312"/>
      <c r="V729" s="312"/>
      <c r="W729" s="312"/>
      <c r="X729" s="312"/>
      <c r="Y729" s="312"/>
      <c r="Z729" s="312"/>
    </row>
    <row r="730" customHeight="1" spans="1:26">
      <c r="A730" s="312"/>
      <c r="B730" s="312"/>
      <c r="C730" s="312"/>
      <c r="D730" s="312"/>
      <c r="E730" s="312"/>
      <c r="F730" s="312"/>
      <c r="G730" s="312"/>
      <c r="H730" s="312"/>
      <c r="I730" s="312"/>
      <c r="J730" s="312"/>
      <c r="K730" s="312"/>
      <c r="L730" s="312"/>
      <c r="M730" s="312"/>
      <c r="N730" s="312"/>
      <c r="O730" s="312"/>
      <c r="P730" s="312"/>
      <c r="Q730" s="312"/>
      <c r="R730" s="312"/>
      <c r="S730" s="312"/>
      <c r="T730" s="312"/>
      <c r="U730" s="312"/>
      <c r="V730" s="312"/>
      <c r="W730" s="312"/>
      <c r="X730" s="312"/>
      <c r="Y730" s="312"/>
      <c r="Z730" s="312"/>
    </row>
    <row r="731" customHeight="1" spans="1:26">
      <c r="A731" s="312"/>
      <c r="B731" s="312"/>
      <c r="C731" s="312"/>
      <c r="D731" s="312"/>
      <c r="E731" s="312"/>
      <c r="F731" s="312"/>
      <c r="G731" s="312"/>
      <c r="H731" s="312"/>
      <c r="I731" s="312"/>
      <c r="J731" s="312"/>
      <c r="K731" s="312"/>
      <c r="L731" s="312"/>
      <c r="M731" s="312"/>
      <c r="N731" s="312"/>
      <c r="O731" s="312"/>
      <c r="P731" s="312"/>
      <c r="Q731" s="312"/>
      <c r="R731" s="312"/>
      <c r="S731" s="312"/>
      <c r="T731" s="312"/>
      <c r="U731" s="312"/>
      <c r="V731" s="312"/>
      <c r="W731" s="312"/>
      <c r="X731" s="312"/>
      <c r="Y731" s="312"/>
      <c r="Z731" s="312"/>
    </row>
    <row r="732" customHeight="1" spans="1:26">
      <c r="A732" s="312"/>
      <c r="B732" s="312"/>
      <c r="C732" s="312"/>
      <c r="D732" s="312"/>
      <c r="E732" s="312"/>
      <c r="F732" s="312"/>
      <c r="G732" s="312"/>
      <c r="H732" s="312"/>
      <c r="I732" s="312"/>
      <c r="J732" s="312"/>
      <c r="K732" s="312"/>
      <c r="L732" s="312"/>
      <c r="M732" s="312"/>
      <c r="N732" s="312"/>
      <c r="O732" s="312"/>
      <c r="P732" s="312"/>
      <c r="Q732" s="312"/>
      <c r="R732" s="312"/>
      <c r="S732" s="312"/>
      <c r="T732" s="312"/>
      <c r="U732" s="312"/>
      <c r="V732" s="312"/>
      <c r="W732" s="312"/>
      <c r="X732" s="312"/>
      <c r="Y732" s="312"/>
      <c r="Z732" s="312"/>
    </row>
    <row r="733" customHeight="1" spans="1:26">
      <c r="A733" s="312"/>
      <c r="B733" s="312"/>
      <c r="C733" s="312"/>
      <c r="D733" s="312"/>
      <c r="E733" s="312"/>
      <c r="F733" s="312"/>
      <c r="G733" s="312"/>
      <c r="H733" s="312"/>
      <c r="I733" s="312"/>
      <c r="J733" s="312"/>
      <c r="K733" s="312"/>
      <c r="L733" s="312"/>
      <c r="M733" s="312"/>
      <c r="N733" s="312"/>
      <c r="O733" s="312"/>
      <c r="P733" s="312"/>
      <c r="Q733" s="312"/>
      <c r="R733" s="312"/>
      <c r="S733" s="312"/>
      <c r="T733" s="312"/>
      <c r="U733" s="312"/>
      <c r="V733" s="312"/>
      <c r="W733" s="312"/>
      <c r="X733" s="312"/>
      <c r="Y733" s="312"/>
      <c r="Z733" s="312"/>
    </row>
    <row r="734" customHeight="1" spans="1:26">
      <c r="A734" s="312"/>
      <c r="B734" s="312"/>
      <c r="C734" s="312"/>
      <c r="D734" s="312"/>
      <c r="E734" s="312"/>
      <c r="F734" s="312"/>
      <c r="G734" s="312"/>
      <c r="H734" s="312"/>
      <c r="I734" s="312"/>
      <c r="J734" s="312"/>
      <c r="K734" s="312"/>
      <c r="L734" s="312"/>
      <c r="M734" s="312"/>
      <c r="N734" s="312"/>
      <c r="O734" s="312"/>
      <c r="P734" s="312"/>
      <c r="Q734" s="312"/>
      <c r="R734" s="312"/>
      <c r="S734" s="312"/>
      <c r="T734" s="312"/>
      <c r="U734" s="312"/>
      <c r="V734" s="312"/>
      <c r="W734" s="312"/>
      <c r="X734" s="312"/>
      <c r="Y734" s="312"/>
      <c r="Z734" s="312"/>
    </row>
    <row r="735" customHeight="1" spans="1:26">
      <c r="A735" s="312"/>
      <c r="B735" s="312"/>
      <c r="C735" s="312"/>
      <c r="D735" s="312"/>
      <c r="E735" s="312"/>
      <c r="F735" s="312"/>
      <c r="G735" s="312"/>
      <c r="H735" s="312"/>
      <c r="I735" s="312"/>
      <c r="J735" s="312"/>
      <c r="K735" s="312"/>
      <c r="L735" s="312"/>
      <c r="M735" s="312"/>
      <c r="N735" s="312"/>
      <c r="O735" s="312"/>
      <c r="P735" s="312"/>
      <c r="Q735" s="312"/>
      <c r="R735" s="312"/>
      <c r="S735" s="312"/>
      <c r="T735" s="312"/>
      <c r="U735" s="312"/>
      <c r="V735" s="312"/>
      <c r="W735" s="312"/>
      <c r="X735" s="312"/>
      <c r="Y735" s="312"/>
      <c r="Z735" s="312"/>
    </row>
    <row r="736" customHeight="1" spans="1:26">
      <c r="A736" s="312"/>
      <c r="B736" s="312"/>
      <c r="C736" s="312"/>
      <c r="D736" s="312"/>
      <c r="E736" s="312"/>
      <c r="F736" s="312"/>
      <c r="G736" s="312"/>
      <c r="H736" s="312"/>
      <c r="I736" s="312"/>
      <c r="J736" s="312"/>
      <c r="K736" s="312"/>
      <c r="L736" s="312"/>
      <c r="M736" s="312"/>
      <c r="N736" s="312"/>
      <c r="O736" s="312"/>
      <c r="P736" s="312"/>
      <c r="Q736" s="312"/>
      <c r="R736" s="312"/>
      <c r="S736" s="312"/>
      <c r="T736" s="312"/>
      <c r="U736" s="312"/>
      <c r="V736" s="312"/>
      <c r="W736" s="312"/>
      <c r="X736" s="312"/>
      <c r="Y736" s="312"/>
      <c r="Z736" s="312"/>
    </row>
    <row r="737" customHeight="1" spans="1:26">
      <c r="A737" s="312"/>
      <c r="B737" s="312"/>
      <c r="C737" s="312"/>
      <c r="D737" s="312"/>
      <c r="E737" s="312"/>
      <c r="F737" s="312"/>
      <c r="G737" s="312"/>
      <c r="H737" s="312"/>
      <c r="I737" s="312"/>
      <c r="J737" s="312"/>
      <c r="K737" s="312"/>
      <c r="L737" s="312"/>
      <c r="M737" s="312"/>
      <c r="N737" s="312"/>
      <c r="O737" s="312"/>
      <c r="P737" s="312"/>
      <c r="Q737" s="312"/>
      <c r="R737" s="312"/>
      <c r="S737" s="312"/>
      <c r="T737" s="312"/>
      <c r="U737" s="312"/>
      <c r="V737" s="312"/>
      <c r="W737" s="312"/>
      <c r="X737" s="312"/>
      <c r="Y737" s="312"/>
      <c r="Z737" s="312"/>
    </row>
    <row r="738" customHeight="1" spans="1:26">
      <c r="A738" s="312"/>
      <c r="B738" s="312"/>
      <c r="C738" s="312"/>
      <c r="D738" s="312"/>
      <c r="E738" s="312"/>
      <c r="F738" s="312"/>
      <c r="G738" s="312"/>
      <c r="H738" s="312"/>
      <c r="I738" s="312"/>
      <c r="J738" s="312"/>
      <c r="K738" s="312"/>
      <c r="L738" s="312"/>
      <c r="M738" s="312"/>
      <c r="N738" s="312"/>
      <c r="O738" s="312"/>
      <c r="P738" s="312"/>
      <c r="Q738" s="312"/>
      <c r="R738" s="312"/>
      <c r="S738" s="312"/>
      <c r="T738" s="312"/>
      <c r="U738" s="312"/>
      <c r="V738" s="312"/>
      <c r="W738" s="312"/>
      <c r="X738" s="312"/>
      <c r="Y738" s="312"/>
      <c r="Z738" s="312"/>
    </row>
    <row r="739" customHeight="1" spans="1:26">
      <c r="A739" s="312"/>
      <c r="B739" s="312"/>
      <c r="C739" s="312"/>
      <c r="D739" s="312"/>
      <c r="E739" s="312"/>
      <c r="F739" s="312"/>
      <c r="G739" s="312"/>
      <c r="H739" s="312"/>
      <c r="I739" s="312"/>
      <c r="J739" s="312"/>
      <c r="K739" s="312"/>
      <c r="L739" s="312"/>
      <c r="M739" s="312"/>
      <c r="N739" s="312"/>
      <c r="O739" s="312"/>
      <c r="P739" s="312"/>
      <c r="Q739" s="312"/>
      <c r="R739" s="312"/>
      <c r="S739" s="312"/>
      <c r="T739" s="312"/>
      <c r="U739" s="312"/>
      <c r="V739" s="312"/>
      <c r="W739" s="312"/>
      <c r="X739" s="312"/>
      <c r="Y739" s="312"/>
      <c r="Z739" s="312"/>
    </row>
    <row r="740" customHeight="1" spans="1:26">
      <c r="A740" s="312"/>
      <c r="B740" s="312"/>
      <c r="C740" s="312"/>
      <c r="D740" s="312"/>
      <c r="E740" s="312"/>
      <c r="F740" s="312"/>
      <c r="G740" s="312"/>
      <c r="H740" s="312"/>
      <c r="I740" s="312"/>
      <c r="J740" s="312"/>
      <c r="K740" s="312"/>
      <c r="L740" s="312"/>
      <c r="M740" s="312"/>
      <c r="N740" s="312"/>
      <c r="O740" s="312"/>
      <c r="P740" s="312"/>
      <c r="Q740" s="312"/>
      <c r="R740" s="312"/>
      <c r="S740" s="312"/>
      <c r="T740" s="312"/>
      <c r="U740" s="312"/>
      <c r="V740" s="312"/>
      <c r="W740" s="312"/>
      <c r="X740" s="312"/>
      <c r="Y740" s="312"/>
      <c r="Z740" s="312"/>
    </row>
    <row r="741" customHeight="1" spans="1:26">
      <c r="A741" s="312"/>
      <c r="B741" s="312"/>
      <c r="C741" s="312"/>
      <c r="D741" s="312"/>
      <c r="E741" s="312"/>
      <c r="F741" s="312"/>
      <c r="G741" s="312"/>
      <c r="H741" s="312"/>
      <c r="I741" s="312"/>
      <c r="J741" s="312"/>
      <c r="K741" s="312"/>
      <c r="L741" s="312"/>
      <c r="M741" s="312"/>
      <c r="N741" s="312"/>
      <c r="O741" s="312"/>
      <c r="P741" s="312"/>
      <c r="Q741" s="312"/>
      <c r="R741" s="312"/>
      <c r="S741" s="312"/>
      <c r="T741" s="312"/>
      <c r="U741" s="312"/>
      <c r="V741" s="312"/>
      <c r="W741" s="312"/>
      <c r="X741" s="312"/>
      <c r="Y741" s="312"/>
      <c r="Z741" s="312"/>
    </row>
    <row r="742" customHeight="1" spans="1:26">
      <c r="A742" s="312"/>
      <c r="B742" s="312"/>
      <c r="C742" s="312"/>
      <c r="D742" s="312"/>
      <c r="E742" s="312"/>
      <c r="F742" s="312"/>
      <c r="G742" s="312"/>
      <c r="H742" s="312"/>
      <c r="I742" s="312"/>
      <c r="J742" s="312"/>
      <c r="K742" s="312"/>
      <c r="L742" s="312"/>
      <c r="M742" s="312"/>
      <c r="N742" s="312"/>
      <c r="O742" s="312"/>
      <c r="P742" s="312"/>
      <c r="Q742" s="312"/>
      <c r="R742" s="312"/>
      <c r="S742" s="312"/>
      <c r="T742" s="312"/>
      <c r="U742" s="312"/>
      <c r="V742" s="312"/>
      <c r="W742" s="312"/>
      <c r="X742" s="312"/>
      <c r="Y742" s="312"/>
      <c r="Z742" s="312"/>
    </row>
    <row r="743" customHeight="1" spans="1:26">
      <c r="A743" s="312"/>
      <c r="B743" s="312"/>
      <c r="C743" s="312"/>
      <c r="D743" s="312"/>
      <c r="E743" s="312"/>
      <c r="F743" s="312"/>
      <c r="G743" s="312"/>
      <c r="H743" s="312"/>
      <c r="I743" s="312"/>
      <c r="J743" s="312"/>
      <c r="K743" s="312"/>
      <c r="L743" s="312"/>
      <c r="M743" s="312"/>
      <c r="N743" s="312"/>
      <c r="O743" s="312"/>
      <c r="P743" s="312"/>
      <c r="Q743" s="312"/>
      <c r="R743" s="312"/>
      <c r="S743" s="312"/>
      <c r="T743" s="312"/>
      <c r="U743" s="312"/>
      <c r="V743" s="312"/>
      <c r="W743" s="312"/>
      <c r="X743" s="312"/>
      <c r="Y743" s="312"/>
      <c r="Z743" s="312"/>
    </row>
    <row r="744" customHeight="1" spans="1:26">
      <c r="A744" s="312"/>
      <c r="B744" s="312"/>
      <c r="C744" s="312"/>
      <c r="D744" s="312"/>
      <c r="E744" s="312"/>
      <c r="F744" s="312"/>
      <c r="G744" s="312"/>
      <c r="H744" s="312"/>
      <c r="I744" s="312"/>
      <c r="J744" s="312"/>
      <c r="K744" s="312"/>
      <c r="L744" s="312"/>
      <c r="M744" s="312"/>
      <c r="N744" s="312"/>
      <c r="O744" s="312"/>
      <c r="P744" s="312"/>
      <c r="Q744" s="312"/>
      <c r="R744" s="312"/>
      <c r="S744" s="312"/>
      <c r="T744" s="312"/>
      <c r="U744" s="312"/>
      <c r="V744" s="312"/>
      <c r="W744" s="312"/>
      <c r="X744" s="312"/>
      <c r="Y744" s="312"/>
      <c r="Z744" s="312"/>
    </row>
    <row r="745" customHeight="1" spans="1:26">
      <c r="A745" s="312"/>
      <c r="B745" s="312"/>
      <c r="C745" s="312"/>
      <c r="D745" s="312"/>
      <c r="E745" s="312"/>
      <c r="F745" s="312"/>
      <c r="G745" s="312"/>
      <c r="H745" s="312"/>
      <c r="I745" s="312"/>
      <c r="J745" s="312"/>
      <c r="K745" s="312"/>
      <c r="L745" s="312"/>
      <c r="M745" s="312"/>
      <c r="N745" s="312"/>
      <c r="O745" s="312"/>
      <c r="P745" s="312"/>
      <c r="Q745" s="312"/>
      <c r="R745" s="312"/>
      <c r="S745" s="312"/>
      <c r="T745" s="312"/>
      <c r="U745" s="312"/>
      <c r="V745" s="312"/>
      <c r="W745" s="312"/>
      <c r="X745" s="312"/>
      <c r="Y745" s="312"/>
      <c r="Z745" s="312"/>
    </row>
    <row r="746" customHeight="1" spans="1:26">
      <c r="A746" s="312"/>
      <c r="B746" s="312"/>
      <c r="C746" s="312"/>
      <c r="D746" s="312"/>
      <c r="E746" s="312"/>
      <c r="F746" s="312"/>
      <c r="G746" s="312"/>
      <c r="H746" s="312"/>
      <c r="I746" s="312"/>
      <c r="J746" s="312"/>
      <c r="K746" s="312"/>
      <c r="L746" s="312"/>
      <c r="M746" s="312"/>
      <c r="N746" s="312"/>
      <c r="O746" s="312"/>
      <c r="P746" s="312"/>
      <c r="Q746" s="312"/>
      <c r="R746" s="312"/>
      <c r="S746" s="312"/>
      <c r="T746" s="312"/>
      <c r="U746" s="312"/>
      <c r="V746" s="312"/>
      <c r="W746" s="312"/>
      <c r="X746" s="312"/>
      <c r="Y746" s="312"/>
      <c r="Z746" s="312"/>
    </row>
    <row r="747" customHeight="1" spans="1:26">
      <c r="A747" s="312"/>
      <c r="B747" s="312"/>
      <c r="C747" s="312"/>
      <c r="D747" s="312"/>
      <c r="E747" s="312"/>
      <c r="F747" s="312"/>
      <c r="G747" s="312"/>
      <c r="H747" s="312"/>
      <c r="I747" s="312"/>
      <c r="J747" s="312"/>
      <c r="K747" s="312"/>
      <c r="L747" s="312"/>
      <c r="M747" s="312"/>
      <c r="N747" s="312"/>
      <c r="O747" s="312"/>
      <c r="P747" s="312"/>
      <c r="Q747" s="312"/>
      <c r="R747" s="312"/>
      <c r="S747" s="312"/>
      <c r="T747" s="312"/>
      <c r="U747" s="312"/>
      <c r="V747" s="312"/>
      <c r="W747" s="312"/>
      <c r="X747" s="312"/>
      <c r="Y747" s="312"/>
      <c r="Z747" s="312"/>
    </row>
    <row r="748" customHeight="1" spans="1:26">
      <c r="A748" s="312"/>
      <c r="B748" s="312"/>
      <c r="C748" s="312"/>
      <c r="D748" s="312"/>
      <c r="E748" s="312"/>
      <c r="F748" s="312"/>
      <c r="G748" s="312"/>
      <c r="H748" s="312"/>
      <c r="I748" s="312"/>
      <c r="J748" s="312"/>
      <c r="K748" s="312"/>
      <c r="L748" s="312"/>
      <c r="M748" s="312"/>
      <c r="N748" s="312"/>
      <c r="O748" s="312"/>
      <c r="P748" s="312"/>
      <c r="Q748" s="312"/>
      <c r="R748" s="312"/>
      <c r="S748" s="312"/>
      <c r="T748" s="312"/>
      <c r="U748" s="312"/>
      <c r="V748" s="312"/>
      <c r="W748" s="312"/>
      <c r="X748" s="312"/>
      <c r="Y748" s="312"/>
      <c r="Z748" s="312"/>
    </row>
    <row r="749" customHeight="1" spans="1:26">
      <c r="A749" s="312"/>
      <c r="B749" s="312"/>
      <c r="C749" s="312"/>
      <c r="D749" s="312"/>
      <c r="E749" s="312"/>
      <c r="F749" s="312"/>
      <c r="G749" s="312"/>
      <c r="H749" s="312"/>
      <c r="I749" s="312"/>
      <c r="J749" s="312"/>
      <c r="K749" s="312"/>
      <c r="L749" s="312"/>
      <c r="M749" s="312"/>
      <c r="N749" s="312"/>
      <c r="O749" s="312"/>
      <c r="P749" s="312"/>
      <c r="Q749" s="312"/>
      <c r="R749" s="312"/>
      <c r="S749" s="312"/>
      <c r="T749" s="312"/>
      <c r="U749" s="312"/>
      <c r="V749" s="312"/>
      <c r="W749" s="312"/>
      <c r="X749" s="312"/>
      <c r="Y749" s="312"/>
      <c r="Z749" s="312"/>
    </row>
    <row r="750" customHeight="1" spans="1:26">
      <c r="A750" s="312"/>
      <c r="B750" s="312"/>
      <c r="C750" s="312"/>
      <c r="D750" s="312"/>
      <c r="E750" s="312"/>
      <c r="F750" s="312"/>
      <c r="G750" s="312"/>
      <c r="H750" s="312"/>
      <c r="I750" s="312"/>
      <c r="J750" s="312"/>
      <c r="K750" s="312"/>
      <c r="L750" s="312"/>
      <c r="M750" s="312"/>
      <c r="N750" s="312"/>
      <c r="O750" s="312"/>
      <c r="P750" s="312"/>
      <c r="Q750" s="312"/>
      <c r="R750" s="312"/>
      <c r="S750" s="312"/>
      <c r="T750" s="312"/>
      <c r="U750" s="312"/>
      <c r="V750" s="312"/>
      <c r="W750" s="312"/>
      <c r="X750" s="312"/>
      <c r="Y750" s="312"/>
      <c r="Z750" s="312"/>
    </row>
    <row r="751" customHeight="1" spans="1:26">
      <c r="A751" s="312"/>
      <c r="B751" s="312"/>
      <c r="C751" s="312"/>
      <c r="D751" s="312"/>
      <c r="E751" s="312"/>
      <c r="F751" s="312"/>
      <c r="G751" s="312"/>
      <c r="H751" s="312"/>
      <c r="I751" s="312"/>
      <c r="J751" s="312"/>
      <c r="K751" s="312"/>
      <c r="L751" s="312"/>
      <c r="M751" s="312"/>
      <c r="N751" s="312"/>
      <c r="O751" s="312"/>
      <c r="P751" s="312"/>
      <c r="Q751" s="312"/>
      <c r="R751" s="312"/>
      <c r="S751" s="312"/>
      <c r="T751" s="312"/>
      <c r="U751" s="312"/>
      <c r="V751" s="312"/>
      <c r="W751" s="312"/>
      <c r="X751" s="312"/>
      <c r="Y751" s="312"/>
      <c r="Z751" s="312"/>
    </row>
    <row r="752" customHeight="1" spans="1:26">
      <c r="A752" s="312"/>
      <c r="B752" s="312"/>
      <c r="C752" s="312"/>
      <c r="D752" s="312"/>
      <c r="E752" s="312"/>
      <c r="F752" s="312"/>
      <c r="G752" s="312"/>
      <c r="H752" s="312"/>
      <c r="I752" s="312"/>
      <c r="J752" s="312"/>
      <c r="K752" s="312"/>
      <c r="L752" s="312"/>
      <c r="M752" s="312"/>
      <c r="N752" s="312"/>
      <c r="O752" s="312"/>
      <c r="P752" s="312"/>
      <c r="Q752" s="312"/>
      <c r="R752" s="312"/>
      <c r="S752" s="312"/>
      <c r="T752" s="312"/>
      <c r="U752" s="312"/>
      <c r="V752" s="312"/>
      <c r="W752" s="312"/>
      <c r="X752" s="312"/>
      <c r="Y752" s="312"/>
      <c r="Z752" s="312"/>
    </row>
    <row r="753" customHeight="1" spans="1:26">
      <c r="A753" s="312"/>
      <c r="B753" s="312"/>
      <c r="C753" s="312"/>
      <c r="D753" s="312"/>
      <c r="E753" s="312"/>
      <c r="F753" s="312"/>
      <c r="G753" s="312"/>
      <c r="H753" s="312"/>
      <c r="I753" s="312"/>
      <c r="J753" s="312"/>
      <c r="K753" s="312"/>
      <c r="L753" s="312"/>
      <c r="M753" s="312"/>
      <c r="N753" s="312"/>
      <c r="O753" s="312"/>
      <c r="P753" s="312"/>
      <c r="Q753" s="312"/>
      <c r="R753" s="312"/>
      <c r="S753" s="312"/>
      <c r="T753" s="312"/>
      <c r="U753" s="312"/>
      <c r="V753" s="312"/>
      <c r="W753" s="312"/>
      <c r="X753" s="312"/>
      <c r="Y753" s="312"/>
      <c r="Z753" s="312"/>
    </row>
    <row r="754" customHeight="1" spans="1:26">
      <c r="A754" s="312"/>
      <c r="B754" s="312"/>
      <c r="C754" s="312"/>
      <c r="D754" s="312"/>
      <c r="E754" s="312"/>
      <c r="F754" s="312"/>
      <c r="G754" s="312"/>
      <c r="H754" s="312"/>
      <c r="I754" s="312"/>
      <c r="J754" s="312"/>
      <c r="K754" s="312"/>
      <c r="L754" s="312"/>
      <c r="M754" s="312"/>
      <c r="N754" s="312"/>
      <c r="O754" s="312"/>
      <c r="P754" s="312"/>
      <c r="Q754" s="312"/>
      <c r="R754" s="312"/>
      <c r="S754" s="312"/>
      <c r="T754" s="312"/>
      <c r="U754" s="312"/>
      <c r="V754" s="312"/>
      <c r="W754" s="312"/>
      <c r="X754" s="312"/>
      <c r="Y754" s="312"/>
      <c r="Z754" s="312"/>
    </row>
    <row r="755" customHeight="1" spans="1:26">
      <c r="A755" s="312"/>
      <c r="B755" s="312"/>
      <c r="C755" s="312"/>
      <c r="D755" s="312"/>
      <c r="E755" s="312"/>
      <c r="F755" s="312"/>
      <c r="G755" s="312"/>
      <c r="H755" s="312"/>
      <c r="I755" s="312"/>
      <c r="J755" s="312"/>
      <c r="K755" s="312"/>
      <c r="L755" s="312"/>
      <c r="M755" s="312"/>
      <c r="N755" s="312"/>
      <c r="O755" s="312"/>
      <c r="P755" s="312"/>
      <c r="Q755" s="312"/>
      <c r="R755" s="312"/>
      <c r="S755" s="312"/>
      <c r="T755" s="312"/>
      <c r="U755" s="312"/>
      <c r="V755" s="312"/>
      <c r="W755" s="312"/>
      <c r="X755" s="312"/>
      <c r="Y755" s="312"/>
      <c r="Z755" s="312"/>
    </row>
    <row r="756" customHeight="1" spans="1:26">
      <c r="A756" s="312"/>
      <c r="B756" s="312"/>
      <c r="C756" s="312"/>
      <c r="D756" s="312"/>
      <c r="E756" s="312"/>
      <c r="F756" s="312"/>
      <c r="G756" s="312"/>
      <c r="H756" s="312"/>
      <c r="I756" s="312"/>
      <c r="J756" s="312"/>
      <c r="K756" s="312"/>
      <c r="L756" s="312"/>
      <c r="M756" s="312"/>
      <c r="N756" s="312"/>
      <c r="O756" s="312"/>
      <c r="P756" s="312"/>
      <c r="Q756" s="312"/>
      <c r="R756" s="312"/>
      <c r="S756" s="312"/>
      <c r="T756" s="312"/>
      <c r="U756" s="312"/>
      <c r="V756" s="312"/>
      <c r="W756" s="312"/>
      <c r="X756" s="312"/>
      <c r="Y756" s="312"/>
      <c r="Z756" s="312"/>
    </row>
    <row r="757" customHeight="1" spans="1:26">
      <c r="A757" s="312"/>
      <c r="B757" s="312"/>
      <c r="C757" s="312"/>
      <c r="D757" s="312"/>
      <c r="E757" s="312"/>
      <c r="F757" s="312"/>
      <c r="G757" s="312"/>
      <c r="H757" s="312"/>
      <c r="I757" s="312"/>
      <c r="J757" s="312"/>
      <c r="K757" s="312"/>
      <c r="L757" s="312"/>
      <c r="M757" s="312"/>
      <c r="N757" s="312"/>
      <c r="O757" s="312"/>
      <c r="P757" s="312"/>
      <c r="Q757" s="312"/>
      <c r="R757" s="312"/>
      <c r="S757" s="312"/>
      <c r="T757" s="312"/>
      <c r="U757" s="312"/>
      <c r="V757" s="312"/>
      <c r="W757" s="312"/>
      <c r="X757" s="312"/>
      <c r="Y757" s="312"/>
      <c r="Z757" s="312"/>
    </row>
    <row r="758" customHeight="1" spans="1:26">
      <c r="A758" s="312"/>
      <c r="B758" s="312"/>
      <c r="C758" s="312"/>
      <c r="D758" s="312"/>
      <c r="E758" s="312"/>
      <c r="F758" s="312"/>
      <c r="G758" s="312"/>
      <c r="H758" s="312"/>
      <c r="I758" s="312"/>
      <c r="J758" s="312"/>
      <c r="K758" s="312"/>
      <c r="L758" s="312"/>
      <c r="M758" s="312"/>
      <c r="N758" s="312"/>
      <c r="O758" s="312"/>
      <c r="P758" s="312"/>
      <c r="Q758" s="312"/>
      <c r="R758" s="312"/>
      <c r="S758" s="312"/>
      <c r="T758" s="312"/>
      <c r="U758" s="312"/>
      <c r="V758" s="312"/>
      <c r="W758" s="312"/>
      <c r="X758" s="312"/>
      <c r="Y758" s="312"/>
      <c r="Z758" s="312"/>
    </row>
    <row r="759" customHeight="1" spans="1:26">
      <c r="A759" s="312"/>
      <c r="B759" s="312"/>
      <c r="C759" s="312"/>
      <c r="D759" s="312"/>
      <c r="E759" s="312"/>
      <c r="F759" s="312"/>
      <c r="G759" s="312"/>
      <c r="H759" s="312"/>
      <c r="I759" s="312"/>
      <c r="J759" s="312"/>
      <c r="K759" s="312"/>
      <c r="L759" s="312"/>
      <c r="M759" s="312"/>
      <c r="N759" s="312"/>
      <c r="O759" s="312"/>
      <c r="P759" s="312"/>
      <c r="Q759" s="312"/>
      <c r="R759" s="312"/>
      <c r="S759" s="312"/>
      <c r="T759" s="312"/>
      <c r="U759" s="312"/>
      <c r="V759" s="312"/>
      <c r="W759" s="312"/>
      <c r="X759" s="312"/>
      <c r="Y759" s="312"/>
      <c r="Z759" s="312"/>
    </row>
    <row r="760" customHeight="1" spans="1:26">
      <c r="A760" s="312"/>
      <c r="B760" s="312"/>
      <c r="C760" s="312"/>
      <c r="D760" s="312"/>
      <c r="E760" s="312"/>
      <c r="F760" s="312"/>
      <c r="G760" s="312"/>
      <c r="H760" s="312"/>
      <c r="I760" s="312"/>
      <c r="J760" s="312"/>
      <c r="K760" s="312"/>
      <c r="L760" s="312"/>
      <c r="M760" s="312"/>
      <c r="N760" s="312"/>
      <c r="O760" s="312"/>
      <c r="P760" s="312"/>
      <c r="Q760" s="312"/>
      <c r="R760" s="312"/>
      <c r="S760" s="312"/>
      <c r="T760" s="312"/>
      <c r="U760" s="312"/>
      <c r="V760" s="312"/>
      <c r="W760" s="312"/>
      <c r="X760" s="312"/>
      <c r="Y760" s="312"/>
      <c r="Z760" s="312"/>
    </row>
    <row r="761" customHeight="1" spans="1:26">
      <c r="A761" s="312"/>
      <c r="B761" s="312"/>
      <c r="C761" s="312"/>
      <c r="D761" s="312"/>
      <c r="E761" s="312"/>
      <c r="F761" s="312"/>
      <c r="G761" s="312"/>
      <c r="H761" s="312"/>
      <c r="I761" s="312"/>
      <c r="J761" s="312"/>
      <c r="K761" s="312"/>
      <c r="L761" s="312"/>
      <c r="M761" s="312"/>
      <c r="N761" s="312"/>
      <c r="O761" s="312"/>
      <c r="P761" s="312"/>
      <c r="Q761" s="312"/>
      <c r="R761" s="312"/>
      <c r="S761" s="312"/>
      <c r="T761" s="312"/>
      <c r="U761" s="312"/>
      <c r="V761" s="312"/>
      <c r="W761" s="312"/>
      <c r="X761" s="312"/>
      <c r="Y761" s="312"/>
      <c r="Z761" s="312"/>
    </row>
    <row r="762" customHeight="1" spans="1:26">
      <c r="A762" s="312"/>
      <c r="B762" s="312"/>
      <c r="C762" s="312"/>
      <c r="D762" s="312"/>
      <c r="E762" s="312"/>
      <c r="F762" s="312"/>
      <c r="G762" s="312"/>
      <c r="H762" s="312"/>
      <c r="I762" s="312"/>
      <c r="J762" s="312"/>
      <c r="K762" s="312"/>
      <c r="L762" s="312"/>
      <c r="M762" s="312"/>
      <c r="N762" s="312"/>
      <c r="O762" s="312"/>
      <c r="P762" s="312"/>
      <c r="Q762" s="312"/>
      <c r="R762" s="312"/>
      <c r="S762" s="312"/>
      <c r="T762" s="312"/>
      <c r="U762" s="312"/>
      <c r="V762" s="312"/>
      <c r="W762" s="312"/>
      <c r="X762" s="312"/>
      <c r="Y762" s="312"/>
      <c r="Z762" s="312"/>
    </row>
    <row r="763" customHeight="1" spans="1:26">
      <c r="A763" s="312"/>
      <c r="B763" s="312"/>
      <c r="C763" s="312"/>
      <c r="D763" s="312"/>
      <c r="E763" s="312"/>
      <c r="F763" s="312"/>
      <c r="G763" s="312"/>
      <c r="H763" s="312"/>
      <c r="I763" s="312"/>
      <c r="J763" s="312"/>
      <c r="K763" s="312"/>
      <c r="L763" s="312"/>
      <c r="M763" s="312"/>
      <c r="N763" s="312"/>
      <c r="O763" s="312"/>
      <c r="P763" s="312"/>
      <c r="Q763" s="312"/>
      <c r="R763" s="312"/>
      <c r="S763" s="312"/>
      <c r="T763" s="312"/>
      <c r="U763" s="312"/>
      <c r="V763" s="312"/>
      <c r="W763" s="312"/>
      <c r="X763" s="312"/>
      <c r="Y763" s="312"/>
      <c r="Z763" s="312"/>
    </row>
    <row r="764" customHeight="1" spans="1:26">
      <c r="A764" s="312"/>
      <c r="B764" s="312"/>
      <c r="C764" s="312"/>
      <c r="D764" s="312"/>
      <c r="E764" s="312"/>
      <c r="F764" s="312"/>
      <c r="G764" s="312"/>
      <c r="H764" s="312"/>
      <c r="I764" s="312"/>
      <c r="J764" s="312"/>
      <c r="K764" s="312"/>
      <c r="L764" s="312"/>
      <c r="M764" s="312"/>
      <c r="N764" s="312"/>
      <c r="O764" s="312"/>
      <c r="P764" s="312"/>
      <c r="Q764" s="312"/>
      <c r="R764" s="312"/>
      <c r="S764" s="312"/>
      <c r="T764" s="312"/>
      <c r="U764" s="312"/>
      <c r="V764" s="312"/>
      <c r="W764" s="312"/>
      <c r="X764" s="312"/>
      <c r="Y764" s="312"/>
      <c r="Z764" s="312"/>
    </row>
    <row r="765" customHeight="1" spans="1:26">
      <c r="A765" s="312"/>
      <c r="B765" s="312"/>
      <c r="C765" s="312"/>
      <c r="D765" s="312"/>
      <c r="E765" s="312"/>
      <c r="F765" s="312"/>
      <c r="G765" s="312"/>
      <c r="H765" s="312"/>
      <c r="I765" s="312"/>
      <c r="J765" s="312"/>
      <c r="K765" s="312"/>
      <c r="L765" s="312"/>
      <c r="M765" s="312"/>
      <c r="N765" s="312"/>
      <c r="O765" s="312"/>
      <c r="P765" s="312"/>
      <c r="Q765" s="312"/>
      <c r="R765" s="312"/>
      <c r="S765" s="312"/>
      <c r="T765" s="312"/>
      <c r="U765" s="312"/>
      <c r="V765" s="312"/>
      <c r="W765" s="312"/>
      <c r="X765" s="312"/>
      <c r="Y765" s="312"/>
      <c r="Z765" s="312"/>
    </row>
    <row r="766" customHeight="1" spans="1:26">
      <c r="A766" s="312"/>
      <c r="B766" s="312"/>
      <c r="C766" s="312"/>
      <c r="D766" s="312"/>
      <c r="E766" s="312"/>
      <c r="F766" s="312"/>
      <c r="G766" s="312"/>
      <c r="H766" s="312"/>
      <c r="I766" s="312"/>
      <c r="J766" s="312"/>
      <c r="K766" s="312"/>
      <c r="L766" s="312"/>
      <c r="M766" s="312"/>
      <c r="N766" s="312"/>
      <c r="O766" s="312"/>
      <c r="P766" s="312"/>
      <c r="Q766" s="312"/>
      <c r="R766" s="312"/>
      <c r="S766" s="312"/>
      <c r="T766" s="312"/>
      <c r="U766" s="312"/>
      <c r="V766" s="312"/>
      <c r="W766" s="312"/>
      <c r="X766" s="312"/>
      <c r="Y766" s="312"/>
      <c r="Z766" s="312"/>
    </row>
    <row r="767" customHeight="1" spans="1:26">
      <c r="A767" s="312"/>
      <c r="B767" s="312"/>
      <c r="C767" s="312"/>
      <c r="D767" s="312"/>
      <c r="E767" s="312"/>
      <c r="F767" s="312"/>
      <c r="G767" s="312"/>
      <c r="H767" s="312"/>
      <c r="I767" s="312"/>
      <c r="J767" s="312"/>
      <c r="K767" s="312"/>
      <c r="L767" s="312"/>
      <c r="M767" s="312"/>
      <c r="N767" s="312"/>
      <c r="O767" s="312"/>
      <c r="P767" s="312"/>
      <c r="Q767" s="312"/>
      <c r="R767" s="312"/>
      <c r="S767" s="312"/>
      <c r="T767" s="312"/>
      <c r="U767" s="312"/>
      <c r="V767" s="312"/>
      <c r="W767" s="312"/>
      <c r="X767" s="312"/>
      <c r="Y767" s="312"/>
      <c r="Z767" s="312"/>
    </row>
    <row r="768" customHeight="1" spans="1:26">
      <c r="A768" s="312"/>
      <c r="B768" s="312"/>
      <c r="C768" s="312"/>
      <c r="D768" s="312"/>
      <c r="E768" s="312"/>
      <c r="F768" s="312"/>
      <c r="G768" s="312"/>
      <c r="H768" s="312"/>
      <c r="I768" s="312"/>
      <c r="J768" s="312"/>
      <c r="K768" s="312"/>
      <c r="L768" s="312"/>
      <c r="M768" s="312"/>
      <c r="N768" s="312"/>
      <c r="O768" s="312"/>
      <c r="P768" s="312"/>
      <c r="Q768" s="312"/>
      <c r="R768" s="312"/>
      <c r="S768" s="312"/>
      <c r="T768" s="312"/>
      <c r="U768" s="312"/>
      <c r="V768" s="312"/>
      <c r="W768" s="312"/>
      <c r="X768" s="312"/>
      <c r="Y768" s="312"/>
      <c r="Z768" s="312"/>
    </row>
    <row r="769" customHeight="1" spans="1:26">
      <c r="A769" s="312"/>
      <c r="B769" s="312"/>
      <c r="C769" s="312"/>
      <c r="D769" s="312"/>
      <c r="E769" s="312"/>
      <c r="F769" s="312"/>
      <c r="G769" s="312"/>
      <c r="H769" s="312"/>
      <c r="I769" s="312"/>
      <c r="J769" s="312"/>
      <c r="K769" s="312"/>
      <c r="L769" s="312"/>
      <c r="M769" s="312"/>
      <c r="N769" s="312"/>
      <c r="O769" s="312"/>
      <c r="P769" s="312"/>
      <c r="Q769" s="312"/>
      <c r="R769" s="312"/>
      <c r="S769" s="312"/>
      <c r="T769" s="312"/>
      <c r="U769" s="312"/>
      <c r="V769" s="312"/>
      <c r="W769" s="312"/>
      <c r="X769" s="312"/>
      <c r="Y769" s="312"/>
      <c r="Z769" s="312"/>
    </row>
    <row r="770" customHeight="1" spans="1:26">
      <c r="A770" s="312"/>
      <c r="B770" s="312"/>
      <c r="C770" s="312"/>
      <c r="D770" s="312"/>
      <c r="E770" s="312"/>
      <c r="F770" s="312"/>
      <c r="G770" s="312"/>
      <c r="H770" s="312"/>
      <c r="I770" s="312"/>
      <c r="J770" s="312"/>
      <c r="K770" s="312"/>
      <c r="L770" s="312"/>
      <c r="M770" s="312"/>
      <c r="N770" s="312"/>
      <c r="O770" s="312"/>
      <c r="P770" s="312"/>
      <c r="Q770" s="312"/>
      <c r="R770" s="312"/>
      <c r="S770" s="312"/>
      <c r="T770" s="312"/>
      <c r="U770" s="312"/>
      <c r="V770" s="312"/>
      <c r="W770" s="312"/>
      <c r="X770" s="312"/>
      <c r="Y770" s="312"/>
      <c r="Z770" s="312"/>
    </row>
    <row r="771" customHeight="1" spans="1:26">
      <c r="A771" s="312"/>
      <c r="B771" s="312"/>
      <c r="C771" s="312"/>
      <c r="D771" s="312"/>
      <c r="E771" s="312"/>
      <c r="F771" s="312"/>
      <c r="G771" s="312"/>
      <c r="H771" s="312"/>
      <c r="I771" s="312"/>
      <c r="J771" s="312"/>
      <c r="K771" s="312"/>
      <c r="L771" s="312"/>
      <c r="M771" s="312"/>
      <c r="N771" s="312"/>
      <c r="O771" s="312"/>
      <c r="P771" s="312"/>
      <c r="Q771" s="312"/>
      <c r="R771" s="312"/>
      <c r="S771" s="312"/>
      <c r="T771" s="312"/>
      <c r="U771" s="312"/>
      <c r="V771" s="312"/>
      <c r="W771" s="312"/>
      <c r="X771" s="312"/>
      <c r="Y771" s="312"/>
      <c r="Z771" s="312"/>
    </row>
    <row r="772" customHeight="1" spans="1:26">
      <c r="A772" s="312"/>
      <c r="B772" s="312"/>
      <c r="C772" s="312"/>
      <c r="D772" s="312"/>
      <c r="E772" s="312"/>
      <c r="F772" s="312"/>
      <c r="G772" s="312"/>
      <c r="H772" s="312"/>
      <c r="I772" s="312"/>
      <c r="J772" s="312"/>
      <c r="K772" s="312"/>
      <c r="L772" s="312"/>
      <c r="M772" s="312"/>
      <c r="N772" s="312"/>
      <c r="O772" s="312"/>
      <c r="P772" s="312"/>
      <c r="Q772" s="312"/>
      <c r="R772" s="312"/>
      <c r="S772" s="312"/>
      <c r="T772" s="312"/>
      <c r="U772" s="312"/>
      <c r="V772" s="312"/>
      <c r="W772" s="312"/>
      <c r="X772" s="312"/>
      <c r="Y772" s="312"/>
      <c r="Z772" s="312"/>
    </row>
    <row r="773" customHeight="1" spans="1:26">
      <c r="A773" s="312"/>
      <c r="B773" s="312"/>
      <c r="C773" s="312"/>
      <c r="D773" s="312"/>
      <c r="E773" s="312"/>
      <c r="F773" s="312"/>
      <c r="G773" s="312"/>
      <c r="H773" s="312"/>
      <c r="I773" s="312"/>
      <c r="J773" s="312"/>
      <c r="K773" s="312"/>
      <c r="L773" s="312"/>
      <c r="M773" s="312"/>
      <c r="N773" s="312"/>
      <c r="O773" s="312"/>
      <c r="P773" s="312"/>
      <c r="Q773" s="312"/>
      <c r="R773" s="312"/>
      <c r="S773" s="312"/>
      <c r="T773" s="312"/>
      <c r="U773" s="312"/>
      <c r="V773" s="312"/>
      <c r="W773" s="312"/>
      <c r="X773" s="312"/>
      <c r="Y773" s="312"/>
      <c r="Z773" s="312"/>
    </row>
    <row r="774" customHeight="1" spans="1:26">
      <c r="A774" s="312"/>
      <c r="B774" s="312"/>
      <c r="C774" s="312"/>
      <c r="D774" s="312"/>
      <c r="E774" s="312"/>
      <c r="F774" s="312"/>
      <c r="G774" s="312"/>
      <c r="H774" s="312"/>
      <c r="I774" s="312"/>
      <c r="J774" s="312"/>
      <c r="K774" s="312"/>
      <c r="L774" s="312"/>
      <c r="M774" s="312"/>
      <c r="N774" s="312"/>
      <c r="O774" s="312"/>
      <c r="P774" s="312"/>
      <c r="Q774" s="312"/>
      <c r="R774" s="312"/>
      <c r="S774" s="312"/>
      <c r="T774" s="312"/>
      <c r="U774" s="312"/>
      <c r="V774" s="312"/>
      <c r="W774" s="312"/>
      <c r="X774" s="312"/>
      <c r="Y774" s="312"/>
      <c r="Z774" s="312"/>
    </row>
    <row r="775" customHeight="1" spans="1:26">
      <c r="A775" s="312"/>
      <c r="B775" s="312"/>
      <c r="C775" s="312"/>
      <c r="D775" s="312"/>
      <c r="E775" s="312"/>
      <c r="F775" s="312"/>
      <c r="G775" s="312"/>
      <c r="H775" s="312"/>
      <c r="I775" s="312"/>
      <c r="J775" s="312"/>
      <c r="K775" s="312"/>
      <c r="L775" s="312"/>
      <c r="M775" s="312"/>
      <c r="N775" s="312"/>
      <c r="O775" s="312"/>
      <c r="P775" s="312"/>
      <c r="Q775" s="312"/>
      <c r="R775" s="312"/>
      <c r="S775" s="312"/>
      <c r="T775" s="312"/>
      <c r="U775" s="312"/>
      <c r="V775" s="312"/>
      <c r="W775" s="312"/>
      <c r="X775" s="312"/>
      <c r="Y775" s="312"/>
      <c r="Z775" s="312"/>
    </row>
    <row r="776" customHeight="1" spans="1:26">
      <c r="A776" s="312"/>
      <c r="B776" s="312"/>
      <c r="C776" s="312"/>
      <c r="D776" s="312"/>
      <c r="E776" s="312"/>
      <c r="F776" s="312"/>
      <c r="G776" s="312"/>
      <c r="H776" s="312"/>
      <c r="I776" s="312"/>
      <c r="J776" s="312"/>
      <c r="K776" s="312"/>
      <c r="L776" s="312"/>
      <c r="M776" s="312"/>
      <c r="N776" s="312"/>
      <c r="O776" s="312"/>
      <c r="P776" s="312"/>
      <c r="Q776" s="312"/>
      <c r="R776" s="312"/>
      <c r="S776" s="312"/>
      <c r="T776" s="312"/>
      <c r="U776" s="312"/>
      <c r="V776" s="312"/>
      <c r="W776" s="312"/>
      <c r="X776" s="312"/>
      <c r="Y776" s="312"/>
      <c r="Z776" s="312"/>
    </row>
    <row r="777" customHeight="1" spans="1:26">
      <c r="A777" s="312"/>
      <c r="B777" s="312"/>
      <c r="C777" s="312"/>
      <c r="D777" s="312"/>
      <c r="E777" s="312"/>
      <c r="F777" s="312"/>
      <c r="G777" s="312"/>
      <c r="H777" s="312"/>
      <c r="I777" s="312"/>
      <c r="J777" s="312"/>
      <c r="K777" s="312"/>
      <c r="L777" s="312"/>
      <c r="M777" s="312"/>
      <c r="N777" s="312"/>
      <c r="O777" s="312"/>
      <c r="P777" s="312"/>
      <c r="Q777" s="312"/>
      <c r="R777" s="312"/>
      <c r="S777" s="312"/>
      <c r="T777" s="312"/>
      <c r="U777" s="312"/>
      <c r="V777" s="312"/>
      <c r="W777" s="312"/>
      <c r="X777" s="312"/>
      <c r="Y777" s="312"/>
      <c r="Z777" s="312"/>
    </row>
    <row r="778" customHeight="1" spans="1:26">
      <c r="A778" s="312"/>
      <c r="B778" s="312"/>
      <c r="C778" s="312"/>
      <c r="D778" s="312"/>
      <c r="E778" s="312"/>
      <c r="F778" s="312"/>
      <c r="G778" s="312"/>
      <c r="H778" s="312"/>
      <c r="I778" s="312"/>
      <c r="J778" s="312"/>
      <c r="K778" s="312"/>
      <c r="L778" s="312"/>
      <c r="M778" s="312"/>
      <c r="N778" s="312"/>
      <c r="O778" s="312"/>
      <c r="P778" s="312"/>
      <c r="Q778" s="312"/>
      <c r="R778" s="312"/>
      <c r="S778" s="312"/>
      <c r="T778" s="312"/>
      <c r="U778" s="312"/>
      <c r="V778" s="312"/>
      <c r="W778" s="312"/>
      <c r="X778" s="312"/>
      <c r="Y778" s="312"/>
      <c r="Z778" s="312"/>
    </row>
    <row r="779" customHeight="1" spans="1:26">
      <c r="A779" s="312"/>
      <c r="B779" s="312"/>
      <c r="C779" s="312"/>
      <c r="D779" s="312"/>
      <c r="E779" s="312"/>
      <c r="F779" s="312"/>
      <c r="G779" s="312"/>
      <c r="H779" s="312"/>
      <c r="I779" s="312"/>
      <c r="J779" s="312"/>
      <c r="K779" s="312"/>
      <c r="L779" s="312"/>
      <c r="M779" s="312"/>
      <c r="N779" s="312"/>
      <c r="O779" s="312"/>
      <c r="P779" s="312"/>
      <c r="Q779" s="312"/>
      <c r="R779" s="312"/>
      <c r="S779" s="312"/>
      <c r="T779" s="312"/>
      <c r="U779" s="312"/>
      <c r="V779" s="312"/>
      <c r="W779" s="312"/>
      <c r="X779" s="312"/>
      <c r="Y779" s="312"/>
      <c r="Z779" s="312"/>
    </row>
    <row r="780" customHeight="1" spans="1:26">
      <c r="A780" s="312"/>
      <c r="B780" s="312"/>
      <c r="C780" s="312"/>
      <c r="D780" s="312"/>
      <c r="E780" s="312"/>
      <c r="F780" s="312"/>
      <c r="G780" s="312"/>
      <c r="H780" s="312"/>
      <c r="I780" s="312"/>
      <c r="J780" s="312"/>
      <c r="K780" s="312"/>
      <c r="L780" s="312"/>
      <c r="M780" s="312"/>
      <c r="N780" s="312"/>
      <c r="O780" s="312"/>
      <c r="P780" s="312"/>
      <c r="Q780" s="312"/>
      <c r="R780" s="312"/>
      <c r="S780" s="312"/>
      <c r="T780" s="312"/>
      <c r="U780" s="312"/>
      <c r="V780" s="312"/>
      <c r="W780" s="312"/>
      <c r="X780" s="312"/>
      <c r="Y780" s="312"/>
      <c r="Z780" s="312"/>
    </row>
    <row r="781" customHeight="1" spans="1:26">
      <c r="A781" s="312"/>
      <c r="B781" s="312"/>
      <c r="C781" s="312"/>
      <c r="D781" s="312"/>
      <c r="E781" s="312"/>
      <c r="F781" s="312"/>
      <c r="G781" s="312"/>
      <c r="H781" s="312"/>
      <c r="I781" s="312"/>
      <c r="J781" s="312"/>
      <c r="K781" s="312"/>
      <c r="L781" s="312"/>
      <c r="M781" s="312"/>
      <c r="N781" s="312"/>
      <c r="O781" s="312"/>
      <c r="P781" s="312"/>
      <c r="Q781" s="312"/>
      <c r="R781" s="312"/>
      <c r="S781" s="312"/>
      <c r="T781" s="312"/>
      <c r="U781" s="312"/>
      <c r="V781" s="312"/>
      <c r="W781" s="312"/>
      <c r="X781" s="312"/>
      <c r="Y781" s="312"/>
      <c r="Z781" s="312"/>
    </row>
    <row r="782" customHeight="1" spans="1:26">
      <c r="A782" s="312"/>
      <c r="B782" s="312"/>
      <c r="C782" s="312"/>
      <c r="D782" s="312"/>
      <c r="E782" s="312"/>
      <c r="F782" s="312"/>
      <c r="G782" s="312"/>
      <c r="H782" s="312"/>
      <c r="I782" s="312"/>
      <c r="J782" s="312"/>
      <c r="K782" s="312"/>
      <c r="L782" s="312"/>
      <c r="M782" s="312"/>
      <c r="N782" s="312"/>
      <c r="O782" s="312"/>
      <c r="P782" s="312"/>
      <c r="Q782" s="312"/>
      <c r="R782" s="312"/>
      <c r="S782" s="312"/>
      <c r="T782" s="312"/>
      <c r="U782" s="312"/>
      <c r="V782" s="312"/>
      <c r="W782" s="312"/>
      <c r="X782" s="312"/>
      <c r="Y782" s="312"/>
      <c r="Z782" s="312"/>
    </row>
    <row r="783" customHeight="1" spans="1:26">
      <c r="A783" s="312"/>
      <c r="B783" s="312"/>
      <c r="C783" s="312"/>
      <c r="D783" s="312"/>
      <c r="E783" s="312"/>
      <c r="F783" s="312"/>
      <c r="G783" s="312"/>
      <c r="H783" s="312"/>
      <c r="I783" s="312"/>
      <c r="J783" s="312"/>
      <c r="K783" s="312"/>
      <c r="L783" s="312"/>
      <c r="M783" s="312"/>
      <c r="N783" s="312"/>
      <c r="O783" s="312"/>
      <c r="P783" s="312"/>
      <c r="Q783" s="312"/>
      <c r="R783" s="312"/>
      <c r="S783" s="312"/>
      <c r="T783" s="312"/>
      <c r="U783" s="312"/>
      <c r="V783" s="312"/>
      <c r="W783" s="312"/>
      <c r="X783" s="312"/>
      <c r="Y783" s="312"/>
      <c r="Z783" s="312"/>
    </row>
    <row r="784" customHeight="1" spans="1:26">
      <c r="A784" s="312"/>
      <c r="B784" s="312"/>
      <c r="C784" s="312"/>
      <c r="D784" s="312"/>
      <c r="E784" s="312"/>
      <c r="F784" s="312"/>
      <c r="G784" s="312"/>
      <c r="H784" s="312"/>
      <c r="I784" s="312"/>
      <c r="J784" s="312"/>
      <c r="K784" s="312"/>
      <c r="L784" s="312"/>
      <c r="M784" s="312"/>
      <c r="N784" s="312"/>
      <c r="O784" s="312"/>
      <c r="P784" s="312"/>
      <c r="Q784" s="312"/>
      <c r="R784" s="312"/>
      <c r="S784" s="312"/>
      <c r="T784" s="312"/>
      <c r="U784" s="312"/>
      <c r="V784" s="312"/>
      <c r="W784" s="312"/>
      <c r="X784" s="312"/>
      <c r="Y784" s="312"/>
      <c r="Z784" s="312"/>
    </row>
    <row r="785" customHeight="1" spans="1:26">
      <c r="A785" s="312"/>
      <c r="B785" s="312"/>
      <c r="C785" s="312"/>
      <c r="D785" s="312"/>
      <c r="E785" s="312"/>
      <c r="F785" s="312"/>
      <c r="G785" s="312"/>
      <c r="H785" s="312"/>
      <c r="I785" s="312"/>
      <c r="J785" s="312"/>
      <c r="K785" s="312"/>
      <c r="L785" s="312"/>
      <c r="M785" s="312"/>
      <c r="N785" s="312"/>
      <c r="O785" s="312"/>
      <c r="P785" s="312"/>
      <c r="Q785" s="312"/>
      <c r="R785" s="312"/>
      <c r="S785" s="312"/>
      <c r="T785" s="312"/>
      <c r="U785" s="312"/>
      <c r="V785" s="312"/>
      <c r="W785" s="312"/>
      <c r="X785" s="312"/>
      <c r="Y785" s="312"/>
      <c r="Z785" s="312"/>
    </row>
    <row r="786" customHeight="1" spans="1:26">
      <c r="A786" s="312"/>
      <c r="B786" s="312"/>
      <c r="C786" s="312"/>
      <c r="D786" s="312"/>
      <c r="E786" s="312"/>
      <c r="F786" s="312"/>
      <c r="G786" s="312"/>
      <c r="H786" s="312"/>
      <c r="I786" s="312"/>
      <c r="J786" s="312"/>
      <c r="K786" s="312"/>
      <c r="L786" s="312"/>
      <c r="M786" s="312"/>
      <c r="N786" s="312"/>
      <c r="O786" s="312"/>
      <c r="P786" s="312"/>
      <c r="Q786" s="312"/>
      <c r="R786" s="312"/>
      <c r="S786" s="312"/>
      <c r="T786" s="312"/>
      <c r="U786" s="312"/>
      <c r="V786" s="312"/>
      <c r="W786" s="312"/>
      <c r="X786" s="312"/>
      <c r="Y786" s="312"/>
      <c r="Z786" s="312"/>
    </row>
    <row r="787" customHeight="1" spans="1:26">
      <c r="A787" s="312"/>
      <c r="B787" s="312"/>
      <c r="C787" s="312"/>
      <c r="D787" s="312"/>
      <c r="E787" s="312"/>
      <c r="F787" s="312"/>
      <c r="G787" s="312"/>
      <c r="H787" s="312"/>
      <c r="I787" s="312"/>
      <c r="J787" s="312"/>
      <c r="K787" s="312"/>
      <c r="L787" s="312"/>
      <c r="M787" s="312"/>
      <c r="N787" s="312"/>
      <c r="O787" s="312"/>
      <c r="P787" s="312"/>
      <c r="Q787" s="312"/>
      <c r="R787" s="312"/>
      <c r="S787" s="312"/>
      <c r="T787" s="312"/>
      <c r="U787" s="312"/>
      <c r="V787" s="312"/>
      <c r="W787" s="312"/>
      <c r="X787" s="312"/>
      <c r="Y787" s="312"/>
      <c r="Z787" s="312"/>
    </row>
    <row r="788" customHeight="1" spans="1:26">
      <c r="A788" s="312"/>
      <c r="B788" s="312"/>
      <c r="C788" s="312"/>
      <c r="D788" s="312"/>
      <c r="E788" s="312"/>
      <c r="F788" s="312"/>
      <c r="G788" s="312"/>
      <c r="H788" s="312"/>
      <c r="I788" s="312"/>
      <c r="J788" s="312"/>
      <c r="K788" s="312"/>
      <c r="L788" s="312"/>
      <c r="M788" s="312"/>
      <c r="N788" s="312"/>
      <c r="O788" s="312"/>
      <c r="P788" s="312"/>
      <c r="Q788" s="312"/>
      <c r="R788" s="312"/>
      <c r="S788" s="312"/>
      <c r="T788" s="312"/>
      <c r="U788" s="312"/>
      <c r="V788" s="312"/>
      <c r="W788" s="312"/>
      <c r="X788" s="312"/>
      <c r="Y788" s="312"/>
      <c r="Z788" s="312"/>
    </row>
    <row r="789" customHeight="1" spans="1:26">
      <c r="A789" s="312"/>
      <c r="B789" s="312"/>
      <c r="C789" s="312"/>
      <c r="D789" s="312"/>
      <c r="E789" s="312"/>
      <c r="F789" s="312"/>
      <c r="G789" s="312"/>
      <c r="H789" s="312"/>
      <c r="I789" s="312"/>
      <c r="J789" s="312"/>
      <c r="K789" s="312"/>
      <c r="L789" s="312"/>
      <c r="M789" s="312"/>
      <c r="N789" s="312"/>
      <c r="O789" s="312"/>
      <c r="P789" s="312"/>
      <c r="Q789" s="312"/>
      <c r="R789" s="312"/>
      <c r="S789" s="312"/>
      <c r="T789" s="312"/>
      <c r="U789" s="312"/>
      <c r="V789" s="312"/>
      <c r="W789" s="312"/>
      <c r="X789" s="312"/>
      <c r="Y789" s="312"/>
      <c r="Z789" s="312"/>
    </row>
    <row r="790" customHeight="1" spans="1:26">
      <c r="A790" s="312"/>
      <c r="B790" s="312"/>
      <c r="C790" s="312"/>
      <c r="D790" s="312"/>
      <c r="E790" s="312"/>
      <c r="F790" s="312"/>
      <c r="G790" s="312"/>
      <c r="H790" s="312"/>
      <c r="I790" s="312"/>
      <c r="J790" s="312"/>
      <c r="K790" s="312"/>
      <c r="L790" s="312"/>
      <c r="M790" s="312"/>
      <c r="N790" s="312"/>
      <c r="O790" s="312"/>
      <c r="P790" s="312"/>
      <c r="Q790" s="312"/>
      <c r="R790" s="312"/>
      <c r="S790" s="312"/>
      <c r="T790" s="312"/>
      <c r="U790" s="312"/>
      <c r="V790" s="312"/>
      <c r="W790" s="312"/>
      <c r="X790" s="312"/>
      <c r="Y790" s="312"/>
      <c r="Z790" s="312"/>
    </row>
    <row r="791" customHeight="1" spans="1:26">
      <c r="A791" s="312"/>
      <c r="B791" s="312"/>
      <c r="C791" s="312"/>
      <c r="D791" s="312"/>
      <c r="E791" s="312"/>
      <c r="F791" s="312"/>
      <c r="G791" s="312"/>
      <c r="H791" s="312"/>
      <c r="I791" s="312"/>
      <c r="J791" s="312"/>
      <c r="K791" s="312"/>
      <c r="L791" s="312"/>
      <c r="M791" s="312"/>
      <c r="N791" s="312"/>
      <c r="O791" s="312"/>
      <c r="P791" s="312"/>
      <c r="Q791" s="312"/>
      <c r="R791" s="312"/>
      <c r="S791" s="312"/>
      <c r="T791" s="312"/>
      <c r="U791" s="312"/>
      <c r="V791" s="312"/>
      <c r="W791" s="312"/>
      <c r="X791" s="312"/>
      <c r="Y791" s="312"/>
      <c r="Z791" s="312"/>
    </row>
    <row r="792" customHeight="1" spans="1:26">
      <c r="A792" s="312"/>
      <c r="B792" s="312"/>
      <c r="C792" s="312"/>
      <c r="D792" s="312"/>
      <c r="E792" s="312"/>
      <c r="F792" s="312"/>
      <c r="G792" s="312"/>
      <c r="H792" s="312"/>
      <c r="I792" s="312"/>
      <c r="J792" s="312"/>
      <c r="K792" s="312"/>
      <c r="L792" s="312"/>
      <c r="M792" s="312"/>
      <c r="N792" s="312"/>
      <c r="O792" s="312"/>
      <c r="P792" s="312"/>
      <c r="Q792" s="312"/>
      <c r="R792" s="312"/>
      <c r="S792" s="312"/>
      <c r="T792" s="312"/>
      <c r="U792" s="312"/>
      <c r="V792" s="312"/>
      <c r="W792" s="312"/>
      <c r="X792" s="312"/>
      <c r="Y792" s="312"/>
      <c r="Z792" s="312"/>
    </row>
    <row r="793" customHeight="1" spans="1:26">
      <c r="A793" s="312"/>
      <c r="B793" s="312"/>
      <c r="C793" s="312"/>
      <c r="D793" s="312"/>
      <c r="E793" s="312"/>
      <c r="F793" s="312"/>
      <c r="G793" s="312"/>
      <c r="H793" s="312"/>
      <c r="I793" s="312"/>
      <c r="J793" s="312"/>
      <c r="K793" s="312"/>
      <c r="L793" s="312"/>
      <c r="M793" s="312"/>
      <c r="N793" s="312"/>
      <c r="O793" s="312"/>
      <c r="P793" s="312"/>
      <c r="Q793" s="312"/>
      <c r="R793" s="312"/>
      <c r="S793" s="312"/>
      <c r="T793" s="312"/>
      <c r="U793" s="312"/>
      <c r="V793" s="312"/>
      <c r="W793" s="312"/>
      <c r="X793" s="312"/>
      <c r="Y793" s="312"/>
      <c r="Z793" s="312"/>
    </row>
    <row r="794" customHeight="1" spans="1:26">
      <c r="A794" s="312"/>
      <c r="B794" s="312"/>
      <c r="C794" s="312"/>
      <c r="D794" s="312"/>
      <c r="E794" s="312"/>
      <c r="F794" s="312"/>
      <c r="G794" s="312"/>
      <c r="H794" s="312"/>
      <c r="I794" s="312"/>
      <c r="J794" s="312"/>
      <c r="K794" s="312"/>
      <c r="L794" s="312"/>
      <c r="M794" s="312"/>
      <c r="N794" s="312"/>
      <c r="O794" s="312"/>
      <c r="P794" s="312"/>
      <c r="Q794" s="312"/>
      <c r="R794" s="312"/>
      <c r="S794" s="312"/>
      <c r="T794" s="312"/>
      <c r="U794" s="312"/>
      <c r="V794" s="312"/>
      <c r="W794" s="312"/>
      <c r="X794" s="312"/>
      <c r="Y794" s="312"/>
      <c r="Z794" s="312"/>
    </row>
    <row r="795" customHeight="1" spans="1:26">
      <c r="A795" s="312"/>
      <c r="B795" s="312"/>
      <c r="C795" s="312"/>
      <c r="D795" s="312"/>
      <c r="E795" s="312"/>
      <c r="F795" s="312"/>
      <c r="G795" s="312"/>
      <c r="H795" s="312"/>
      <c r="I795" s="312"/>
      <c r="J795" s="312"/>
      <c r="K795" s="312"/>
      <c r="L795" s="312"/>
      <c r="M795" s="312"/>
      <c r="N795" s="312"/>
      <c r="O795" s="312"/>
      <c r="P795" s="312"/>
      <c r="Q795" s="312"/>
      <c r="R795" s="312"/>
      <c r="S795" s="312"/>
      <c r="T795" s="312"/>
      <c r="U795" s="312"/>
      <c r="V795" s="312"/>
      <c r="W795" s="312"/>
      <c r="X795" s="312"/>
      <c r="Y795" s="312"/>
      <c r="Z795" s="312"/>
    </row>
    <row r="796" customHeight="1" spans="1:26">
      <c r="A796" s="312"/>
      <c r="B796" s="312"/>
      <c r="C796" s="312"/>
      <c r="D796" s="312"/>
      <c r="E796" s="312"/>
      <c r="F796" s="312"/>
      <c r="G796" s="312"/>
      <c r="H796" s="312"/>
      <c r="I796" s="312"/>
      <c r="J796" s="312"/>
      <c r="K796" s="312"/>
      <c r="L796" s="312"/>
      <c r="M796" s="312"/>
      <c r="N796" s="312"/>
      <c r="O796" s="312"/>
      <c r="P796" s="312"/>
      <c r="Q796" s="312"/>
      <c r="R796" s="312"/>
      <c r="S796" s="312"/>
      <c r="T796" s="312"/>
      <c r="U796" s="312"/>
      <c r="V796" s="312"/>
      <c r="W796" s="312"/>
      <c r="X796" s="312"/>
      <c r="Y796" s="312"/>
      <c r="Z796" s="312"/>
    </row>
    <row r="797" customHeight="1" spans="1:26">
      <c r="A797" s="312"/>
      <c r="B797" s="312"/>
      <c r="C797" s="312"/>
      <c r="D797" s="312"/>
      <c r="E797" s="312"/>
      <c r="F797" s="312"/>
      <c r="G797" s="312"/>
      <c r="H797" s="312"/>
      <c r="I797" s="312"/>
      <c r="J797" s="312"/>
      <c r="K797" s="312"/>
      <c r="L797" s="312"/>
      <c r="M797" s="312"/>
      <c r="N797" s="312"/>
      <c r="O797" s="312"/>
      <c r="P797" s="312"/>
      <c r="Q797" s="312"/>
      <c r="R797" s="312"/>
      <c r="S797" s="312"/>
      <c r="T797" s="312"/>
      <c r="U797" s="312"/>
      <c r="V797" s="312"/>
      <c r="W797" s="312"/>
      <c r="X797" s="312"/>
      <c r="Y797" s="312"/>
      <c r="Z797" s="312"/>
    </row>
    <row r="798" customHeight="1" spans="1:26">
      <c r="A798" s="312"/>
      <c r="B798" s="312"/>
      <c r="C798" s="312"/>
      <c r="D798" s="312"/>
      <c r="E798" s="312"/>
      <c r="F798" s="312"/>
      <c r="G798" s="312"/>
      <c r="H798" s="312"/>
      <c r="I798" s="312"/>
      <c r="J798" s="312"/>
      <c r="K798" s="312"/>
      <c r="L798" s="312"/>
      <c r="M798" s="312"/>
      <c r="N798" s="312"/>
      <c r="O798" s="312"/>
      <c r="P798" s="312"/>
      <c r="Q798" s="312"/>
      <c r="R798" s="312"/>
      <c r="S798" s="312"/>
      <c r="T798" s="312"/>
      <c r="U798" s="312"/>
      <c r="V798" s="312"/>
      <c r="W798" s="312"/>
      <c r="X798" s="312"/>
      <c r="Y798" s="312"/>
      <c r="Z798" s="312"/>
    </row>
    <row r="799" customHeight="1" spans="1:26">
      <c r="A799" s="312"/>
      <c r="B799" s="312"/>
      <c r="C799" s="312"/>
      <c r="D799" s="312"/>
      <c r="E799" s="312"/>
      <c r="F799" s="312"/>
      <c r="G799" s="312"/>
      <c r="H799" s="312"/>
      <c r="I799" s="312"/>
      <c r="J799" s="312"/>
      <c r="K799" s="312"/>
      <c r="L799" s="312"/>
      <c r="M799" s="312"/>
      <c r="N799" s="312"/>
      <c r="O799" s="312"/>
      <c r="P799" s="312"/>
      <c r="Q799" s="312"/>
      <c r="R799" s="312"/>
      <c r="S799" s="312"/>
      <c r="T799" s="312"/>
      <c r="U799" s="312"/>
      <c r="V799" s="312"/>
      <c r="W799" s="312"/>
      <c r="X799" s="312"/>
      <c r="Y799" s="312"/>
      <c r="Z799" s="312"/>
    </row>
    <row r="800" customHeight="1" spans="1:26">
      <c r="A800" s="312"/>
      <c r="B800" s="312"/>
      <c r="C800" s="312"/>
      <c r="D800" s="312"/>
      <c r="E800" s="312"/>
      <c r="F800" s="312"/>
      <c r="G800" s="312"/>
      <c r="H800" s="312"/>
      <c r="I800" s="312"/>
      <c r="J800" s="312"/>
      <c r="K800" s="312"/>
      <c r="L800" s="312"/>
      <c r="M800" s="312"/>
      <c r="N800" s="312"/>
      <c r="O800" s="312"/>
      <c r="P800" s="312"/>
      <c r="Q800" s="312"/>
      <c r="R800" s="312"/>
      <c r="S800" s="312"/>
      <c r="T800" s="312"/>
      <c r="U800" s="312"/>
      <c r="V800" s="312"/>
      <c r="W800" s="312"/>
      <c r="X800" s="312"/>
      <c r="Y800" s="312"/>
      <c r="Z800" s="312"/>
    </row>
    <row r="801" customHeight="1" spans="1:26">
      <c r="A801" s="312"/>
      <c r="B801" s="312"/>
      <c r="C801" s="312"/>
      <c r="D801" s="312"/>
      <c r="E801" s="312"/>
      <c r="F801" s="312"/>
      <c r="G801" s="312"/>
      <c r="H801" s="312"/>
      <c r="I801" s="312"/>
      <c r="J801" s="312"/>
      <c r="K801" s="312"/>
      <c r="L801" s="312"/>
      <c r="M801" s="312"/>
      <c r="N801" s="312"/>
      <c r="O801" s="312"/>
      <c r="P801" s="312"/>
      <c r="Q801" s="312"/>
      <c r="R801" s="312"/>
      <c r="S801" s="312"/>
      <c r="T801" s="312"/>
      <c r="U801" s="312"/>
      <c r="V801" s="312"/>
      <c r="W801" s="312"/>
      <c r="X801" s="312"/>
      <c r="Y801" s="312"/>
      <c r="Z801" s="312"/>
    </row>
    <row r="802" customHeight="1" spans="1:26">
      <c r="A802" s="312"/>
      <c r="B802" s="312"/>
      <c r="C802" s="312"/>
      <c r="D802" s="312"/>
      <c r="E802" s="312"/>
      <c r="F802" s="312"/>
      <c r="G802" s="312"/>
      <c r="H802" s="312"/>
      <c r="I802" s="312"/>
      <c r="J802" s="312"/>
      <c r="K802" s="312"/>
      <c r="L802" s="312"/>
      <c r="M802" s="312"/>
      <c r="N802" s="312"/>
      <c r="O802" s="312"/>
      <c r="P802" s="312"/>
      <c r="Q802" s="312"/>
      <c r="R802" s="312"/>
      <c r="S802" s="312"/>
      <c r="T802" s="312"/>
      <c r="U802" s="312"/>
      <c r="V802" s="312"/>
      <c r="W802" s="312"/>
      <c r="X802" s="312"/>
      <c r="Y802" s="312"/>
      <c r="Z802" s="312"/>
    </row>
    <row r="803" customHeight="1" spans="1:26">
      <c r="A803" s="312"/>
      <c r="B803" s="312"/>
      <c r="C803" s="312"/>
      <c r="D803" s="312"/>
      <c r="E803" s="312"/>
      <c r="F803" s="312"/>
      <c r="G803" s="312"/>
      <c r="H803" s="312"/>
      <c r="I803" s="312"/>
      <c r="J803" s="312"/>
      <c r="K803" s="312"/>
      <c r="L803" s="312"/>
      <c r="M803" s="312"/>
      <c r="N803" s="312"/>
      <c r="O803" s="312"/>
      <c r="P803" s="312"/>
      <c r="Q803" s="312"/>
      <c r="R803" s="312"/>
      <c r="S803" s="312"/>
      <c r="T803" s="312"/>
      <c r="U803" s="312"/>
      <c r="V803" s="312"/>
      <c r="W803" s="312"/>
      <c r="X803" s="312"/>
      <c r="Y803" s="312"/>
      <c r="Z803" s="312"/>
    </row>
    <row r="804" customHeight="1" spans="1:26">
      <c r="A804" s="312"/>
      <c r="B804" s="312"/>
      <c r="C804" s="312"/>
      <c r="D804" s="312"/>
      <c r="E804" s="312"/>
      <c r="F804" s="312"/>
      <c r="G804" s="312"/>
      <c r="H804" s="312"/>
      <c r="I804" s="312"/>
      <c r="J804" s="312"/>
      <c r="K804" s="312"/>
      <c r="L804" s="312"/>
      <c r="M804" s="312"/>
      <c r="N804" s="312"/>
      <c r="O804" s="312"/>
      <c r="P804" s="312"/>
      <c r="Q804" s="312"/>
      <c r="R804" s="312"/>
      <c r="S804" s="312"/>
      <c r="T804" s="312"/>
      <c r="U804" s="312"/>
      <c r="V804" s="312"/>
      <c r="W804" s="312"/>
      <c r="X804" s="312"/>
      <c r="Y804" s="312"/>
      <c r="Z804" s="312"/>
    </row>
    <row r="805" customHeight="1" spans="1:26">
      <c r="A805" s="312"/>
      <c r="B805" s="312"/>
      <c r="C805" s="312"/>
      <c r="D805" s="312"/>
      <c r="E805" s="312"/>
      <c r="F805" s="312"/>
      <c r="G805" s="312"/>
      <c r="H805" s="312"/>
      <c r="I805" s="312"/>
      <c r="J805" s="312"/>
      <c r="K805" s="312"/>
      <c r="L805" s="312"/>
      <c r="M805" s="312"/>
      <c r="N805" s="312"/>
      <c r="O805" s="312"/>
      <c r="P805" s="312"/>
      <c r="Q805" s="312"/>
      <c r="R805" s="312"/>
      <c r="S805" s="312"/>
      <c r="T805" s="312"/>
      <c r="U805" s="312"/>
      <c r="V805" s="312"/>
      <c r="W805" s="312"/>
      <c r="X805" s="312"/>
      <c r="Y805" s="312"/>
      <c r="Z805" s="312"/>
    </row>
    <row r="806" customHeight="1" spans="1:26">
      <c r="A806" s="312"/>
      <c r="B806" s="312"/>
      <c r="C806" s="312"/>
      <c r="D806" s="312"/>
      <c r="E806" s="312"/>
      <c r="F806" s="312"/>
      <c r="G806" s="312"/>
      <c r="H806" s="312"/>
      <c r="I806" s="312"/>
      <c r="J806" s="312"/>
      <c r="K806" s="312"/>
      <c r="L806" s="312"/>
      <c r="M806" s="312"/>
      <c r="N806" s="312"/>
      <c r="O806" s="312"/>
      <c r="P806" s="312"/>
      <c r="Q806" s="312"/>
      <c r="R806" s="312"/>
      <c r="S806" s="312"/>
      <c r="T806" s="312"/>
      <c r="U806" s="312"/>
      <c r="V806" s="312"/>
      <c r="W806" s="312"/>
      <c r="X806" s="312"/>
      <c r="Y806" s="312"/>
      <c r="Z806" s="312"/>
    </row>
    <row r="807" customHeight="1" spans="1:26">
      <c r="A807" s="312"/>
      <c r="B807" s="312"/>
      <c r="C807" s="312"/>
      <c r="D807" s="312"/>
      <c r="E807" s="312"/>
      <c r="F807" s="312"/>
      <c r="G807" s="312"/>
      <c r="H807" s="312"/>
      <c r="I807" s="312"/>
      <c r="J807" s="312"/>
      <c r="K807" s="312"/>
      <c r="L807" s="312"/>
      <c r="M807" s="312"/>
      <c r="N807" s="312"/>
      <c r="O807" s="312"/>
      <c r="P807" s="312"/>
      <c r="Q807" s="312"/>
      <c r="R807" s="312"/>
      <c r="S807" s="312"/>
      <c r="T807" s="312"/>
      <c r="U807" s="312"/>
      <c r="V807" s="312"/>
      <c r="W807" s="312"/>
      <c r="X807" s="312"/>
      <c r="Y807" s="312"/>
      <c r="Z807" s="312"/>
    </row>
    <row r="808" customHeight="1" spans="1:26">
      <c r="A808" s="312"/>
      <c r="B808" s="312"/>
      <c r="C808" s="312"/>
      <c r="D808" s="312"/>
      <c r="E808" s="312"/>
      <c r="F808" s="312"/>
      <c r="G808" s="312"/>
      <c r="H808" s="312"/>
      <c r="I808" s="312"/>
      <c r="J808" s="312"/>
      <c r="K808" s="312"/>
      <c r="L808" s="312"/>
      <c r="M808" s="312"/>
      <c r="N808" s="312"/>
      <c r="O808" s="312"/>
      <c r="P808" s="312"/>
      <c r="Q808" s="312"/>
      <c r="R808" s="312"/>
      <c r="S808" s="312"/>
      <c r="T808" s="312"/>
      <c r="U808" s="312"/>
      <c r="V808" s="312"/>
      <c r="W808" s="312"/>
      <c r="X808" s="312"/>
      <c r="Y808" s="312"/>
      <c r="Z808" s="312"/>
    </row>
    <row r="809" customHeight="1" spans="1:26">
      <c r="A809" s="312"/>
      <c r="B809" s="312"/>
      <c r="C809" s="312"/>
      <c r="D809" s="312"/>
      <c r="E809" s="312"/>
      <c r="F809" s="312"/>
      <c r="G809" s="312"/>
      <c r="H809" s="312"/>
      <c r="I809" s="312"/>
      <c r="J809" s="312"/>
      <c r="K809" s="312"/>
      <c r="L809" s="312"/>
      <c r="M809" s="312"/>
      <c r="N809" s="312"/>
      <c r="O809" s="312"/>
      <c r="P809" s="312"/>
      <c r="Q809" s="312"/>
      <c r="R809" s="312"/>
      <c r="S809" s="312"/>
      <c r="T809" s="312"/>
      <c r="U809" s="312"/>
      <c r="V809" s="312"/>
      <c r="W809" s="312"/>
      <c r="X809" s="312"/>
      <c r="Y809" s="312"/>
      <c r="Z809" s="312"/>
    </row>
    <row r="810" customHeight="1" spans="1:26">
      <c r="A810" s="312"/>
      <c r="B810" s="312"/>
      <c r="C810" s="312"/>
      <c r="D810" s="312"/>
      <c r="E810" s="312"/>
      <c r="F810" s="312"/>
      <c r="G810" s="312"/>
      <c r="H810" s="312"/>
      <c r="I810" s="312"/>
      <c r="J810" s="312"/>
      <c r="K810" s="312"/>
      <c r="L810" s="312"/>
      <c r="M810" s="312"/>
      <c r="N810" s="312"/>
      <c r="O810" s="312"/>
      <c r="P810" s="312"/>
      <c r="Q810" s="312"/>
      <c r="R810" s="312"/>
      <c r="S810" s="312"/>
      <c r="T810" s="312"/>
      <c r="U810" s="312"/>
      <c r="V810" s="312"/>
      <c r="W810" s="312"/>
      <c r="X810" s="312"/>
      <c r="Y810" s="312"/>
      <c r="Z810" s="312"/>
    </row>
    <row r="811" customHeight="1" spans="1:26">
      <c r="A811" s="312"/>
      <c r="B811" s="312"/>
      <c r="C811" s="312"/>
      <c r="D811" s="312"/>
      <c r="E811" s="312"/>
      <c r="F811" s="312"/>
      <c r="G811" s="312"/>
      <c r="H811" s="312"/>
      <c r="I811" s="312"/>
      <c r="J811" s="312"/>
      <c r="K811" s="312"/>
      <c r="L811" s="312"/>
      <c r="M811" s="312"/>
      <c r="N811" s="312"/>
      <c r="O811" s="312"/>
      <c r="P811" s="312"/>
      <c r="Q811" s="312"/>
      <c r="R811" s="312"/>
      <c r="S811" s="312"/>
      <c r="T811" s="312"/>
      <c r="U811" s="312"/>
      <c r="V811" s="312"/>
      <c r="W811" s="312"/>
      <c r="X811" s="312"/>
      <c r="Y811" s="312"/>
      <c r="Z811" s="312"/>
    </row>
    <row r="812" customHeight="1" spans="1:26">
      <c r="A812" s="312"/>
      <c r="B812" s="312"/>
      <c r="C812" s="312"/>
      <c r="D812" s="312"/>
      <c r="E812" s="312"/>
      <c r="F812" s="312"/>
      <c r="G812" s="312"/>
      <c r="H812" s="312"/>
      <c r="I812" s="312"/>
      <c r="J812" s="312"/>
      <c r="K812" s="312"/>
      <c r="L812" s="312"/>
      <c r="M812" s="312"/>
      <c r="N812" s="312"/>
      <c r="O812" s="312"/>
      <c r="P812" s="312"/>
      <c r="Q812" s="312"/>
      <c r="R812" s="312"/>
      <c r="S812" s="312"/>
      <c r="T812" s="312"/>
      <c r="U812" s="312"/>
      <c r="V812" s="312"/>
      <c r="W812" s="312"/>
      <c r="X812" s="312"/>
      <c r="Y812" s="312"/>
      <c r="Z812" s="312"/>
    </row>
    <row r="813" customHeight="1" spans="1:26">
      <c r="A813" s="312"/>
      <c r="B813" s="312"/>
      <c r="C813" s="312"/>
      <c r="D813" s="312"/>
      <c r="E813" s="312"/>
      <c r="F813" s="312"/>
      <c r="G813" s="312"/>
      <c r="H813" s="312"/>
      <c r="I813" s="312"/>
      <c r="J813" s="312"/>
      <c r="K813" s="312"/>
      <c r="L813" s="312"/>
      <c r="M813" s="312"/>
      <c r="N813" s="312"/>
      <c r="O813" s="312"/>
      <c r="P813" s="312"/>
      <c r="Q813" s="312"/>
      <c r="R813" s="312"/>
      <c r="S813" s="312"/>
      <c r="T813" s="312"/>
      <c r="U813" s="312"/>
      <c r="V813" s="312"/>
      <c r="W813" s="312"/>
      <c r="X813" s="312"/>
      <c r="Y813" s="312"/>
      <c r="Z813" s="312"/>
    </row>
    <row r="814" customHeight="1" spans="1:26">
      <c r="A814" s="312"/>
      <c r="B814" s="312"/>
      <c r="C814" s="312"/>
      <c r="D814" s="312"/>
      <c r="E814" s="312"/>
      <c r="F814" s="312"/>
      <c r="G814" s="312"/>
      <c r="H814" s="312"/>
      <c r="I814" s="312"/>
      <c r="J814" s="312"/>
      <c r="K814" s="312"/>
      <c r="L814" s="312"/>
      <c r="M814" s="312"/>
      <c r="N814" s="312"/>
      <c r="O814" s="312"/>
      <c r="P814" s="312"/>
      <c r="Q814" s="312"/>
      <c r="R814" s="312"/>
      <c r="S814" s="312"/>
      <c r="T814" s="312"/>
      <c r="U814" s="312"/>
      <c r="V814" s="312"/>
      <c r="W814" s="312"/>
      <c r="X814" s="312"/>
      <c r="Y814" s="312"/>
      <c r="Z814" s="312"/>
    </row>
    <row r="815" customHeight="1" spans="1:26">
      <c r="A815" s="312"/>
      <c r="B815" s="312"/>
      <c r="C815" s="312"/>
      <c r="D815" s="312"/>
      <c r="E815" s="312"/>
      <c r="F815" s="312"/>
      <c r="G815" s="312"/>
      <c r="H815" s="312"/>
      <c r="I815" s="312"/>
      <c r="J815" s="312"/>
      <c r="K815" s="312"/>
      <c r="L815" s="312"/>
      <c r="M815" s="312"/>
      <c r="N815" s="312"/>
      <c r="O815" s="312"/>
      <c r="P815" s="312"/>
      <c r="Q815" s="312"/>
      <c r="R815" s="312"/>
      <c r="S815" s="312"/>
      <c r="T815" s="312"/>
      <c r="U815" s="312"/>
      <c r="V815" s="312"/>
      <c r="W815" s="312"/>
      <c r="X815" s="312"/>
      <c r="Y815" s="312"/>
      <c r="Z815" s="312"/>
    </row>
    <row r="816" customHeight="1" spans="1:26">
      <c r="A816" s="312"/>
      <c r="B816" s="312"/>
      <c r="C816" s="312"/>
      <c r="D816" s="312"/>
      <c r="E816" s="312"/>
      <c r="F816" s="312"/>
      <c r="G816" s="312"/>
      <c r="H816" s="312"/>
      <c r="I816" s="312"/>
      <c r="J816" s="312"/>
      <c r="K816" s="312"/>
      <c r="L816" s="312"/>
      <c r="M816" s="312"/>
      <c r="N816" s="312"/>
      <c r="O816" s="312"/>
      <c r="P816" s="312"/>
      <c r="Q816" s="312"/>
      <c r="R816" s="312"/>
      <c r="S816" s="312"/>
      <c r="T816" s="312"/>
      <c r="U816" s="312"/>
      <c r="V816" s="312"/>
      <c r="W816" s="312"/>
      <c r="X816" s="312"/>
      <c r="Y816" s="312"/>
      <c r="Z816" s="312"/>
    </row>
    <row r="817" customHeight="1" spans="1:26">
      <c r="A817" s="312"/>
      <c r="B817" s="312"/>
      <c r="C817" s="312"/>
      <c r="D817" s="312"/>
      <c r="E817" s="312"/>
      <c r="F817" s="312"/>
      <c r="G817" s="312"/>
      <c r="H817" s="312"/>
      <c r="I817" s="312"/>
      <c r="J817" s="312"/>
      <c r="K817" s="312"/>
      <c r="L817" s="312"/>
      <c r="M817" s="312"/>
      <c r="N817" s="312"/>
      <c r="O817" s="312"/>
      <c r="P817" s="312"/>
      <c r="Q817" s="312"/>
      <c r="R817" s="312"/>
      <c r="S817" s="312"/>
      <c r="T817" s="312"/>
      <c r="U817" s="312"/>
      <c r="V817" s="312"/>
      <c r="W817" s="312"/>
      <c r="X817" s="312"/>
      <c r="Y817" s="312"/>
      <c r="Z817" s="312"/>
    </row>
    <row r="818" customHeight="1" spans="1:26">
      <c r="A818" s="312"/>
      <c r="B818" s="312"/>
      <c r="C818" s="312"/>
      <c r="D818" s="312"/>
      <c r="E818" s="312"/>
      <c r="F818" s="312"/>
      <c r="G818" s="312"/>
      <c r="H818" s="312"/>
      <c r="I818" s="312"/>
      <c r="J818" s="312"/>
      <c r="K818" s="312"/>
      <c r="L818" s="312"/>
      <c r="M818" s="312"/>
      <c r="N818" s="312"/>
      <c r="O818" s="312"/>
      <c r="P818" s="312"/>
      <c r="Q818" s="312"/>
      <c r="R818" s="312"/>
      <c r="S818" s="312"/>
      <c r="T818" s="312"/>
      <c r="U818" s="312"/>
      <c r="V818" s="312"/>
      <c r="W818" s="312"/>
      <c r="X818" s="312"/>
      <c r="Y818" s="312"/>
      <c r="Z818" s="312"/>
    </row>
    <row r="819" customHeight="1" spans="1:26">
      <c r="A819" s="312"/>
      <c r="B819" s="312"/>
      <c r="C819" s="312"/>
      <c r="D819" s="312"/>
      <c r="E819" s="312"/>
      <c r="F819" s="312"/>
      <c r="G819" s="312"/>
      <c r="H819" s="312"/>
      <c r="I819" s="312"/>
      <c r="J819" s="312"/>
      <c r="K819" s="312"/>
      <c r="L819" s="312"/>
      <c r="M819" s="312"/>
      <c r="N819" s="312"/>
      <c r="O819" s="312"/>
      <c r="P819" s="312"/>
      <c r="Q819" s="312"/>
      <c r="R819" s="312"/>
      <c r="S819" s="312"/>
      <c r="T819" s="312"/>
      <c r="U819" s="312"/>
      <c r="V819" s="312"/>
      <c r="W819" s="312"/>
      <c r="X819" s="312"/>
      <c r="Y819" s="312"/>
      <c r="Z819" s="312"/>
    </row>
    <row r="820" customHeight="1" spans="1:26">
      <c r="A820" s="312"/>
      <c r="B820" s="312"/>
      <c r="C820" s="312"/>
      <c r="D820" s="312"/>
      <c r="E820" s="312"/>
      <c r="F820" s="312"/>
      <c r="G820" s="312"/>
      <c r="H820" s="312"/>
      <c r="I820" s="312"/>
      <c r="J820" s="312"/>
      <c r="K820" s="312"/>
      <c r="L820" s="312"/>
      <c r="M820" s="312"/>
      <c r="N820" s="312"/>
      <c r="O820" s="312"/>
      <c r="P820" s="312"/>
      <c r="Q820" s="312"/>
      <c r="R820" s="312"/>
      <c r="S820" s="312"/>
      <c r="T820" s="312"/>
      <c r="U820" s="312"/>
      <c r="V820" s="312"/>
      <c r="W820" s="312"/>
      <c r="X820" s="312"/>
      <c r="Y820" s="312"/>
      <c r="Z820" s="312"/>
    </row>
    <row r="821" customHeight="1" spans="1:26">
      <c r="A821" s="312"/>
      <c r="B821" s="312"/>
      <c r="C821" s="312"/>
      <c r="D821" s="312"/>
      <c r="E821" s="312"/>
      <c r="F821" s="312"/>
      <c r="G821" s="312"/>
      <c r="H821" s="312"/>
      <c r="I821" s="312"/>
      <c r="J821" s="312"/>
      <c r="K821" s="312"/>
      <c r="L821" s="312"/>
      <c r="M821" s="312"/>
      <c r="N821" s="312"/>
      <c r="O821" s="312"/>
      <c r="P821" s="312"/>
      <c r="Q821" s="312"/>
      <c r="R821" s="312"/>
      <c r="S821" s="312"/>
      <c r="T821" s="312"/>
      <c r="U821" s="312"/>
      <c r="V821" s="312"/>
      <c r="W821" s="312"/>
      <c r="X821" s="312"/>
      <c r="Y821" s="312"/>
      <c r="Z821" s="312"/>
    </row>
    <row r="822" customHeight="1" spans="1:26">
      <c r="A822" s="312"/>
      <c r="B822" s="312"/>
      <c r="C822" s="312"/>
      <c r="D822" s="312"/>
      <c r="E822" s="312"/>
      <c r="F822" s="312"/>
      <c r="G822" s="312"/>
      <c r="H822" s="312"/>
      <c r="I822" s="312"/>
      <c r="J822" s="312"/>
      <c r="K822" s="312"/>
      <c r="L822" s="312"/>
      <c r="M822" s="312"/>
      <c r="N822" s="312"/>
      <c r="O822" s="312"/>
      <c r="P822" s="312"/>
      <c r="Q822" s="312"/>
      <c r="R822" s="312"/>
      <c r="S822" s="312"/>
      <c r="T822" s="312"/>
      <c r="U822" s="312"/>
      <c r="V822" s="312"/>
      <c r="W822" s="312"/>
      <c r="X822" s="312"/>
      <c r="Y822" s="312"/>
      <c r="Z822" s="312"/>
    </row>
    <row r="823" customHeight="1" spans="1:26">
      <c r="A823" s="312"/>
      <c r="B823" s="312"/>
      <c r="C823" s="312"/>
      <c r="D823" s="312"/>
      <c r="E823" s="312"/>
      <c r="F823" s="312"/>
      <c r="G823" s="312"/>
      <c r="H823" s="312"/>
      <c r="I823" s="312"/>
      <c r="J823" s="312"/>
      <c r="K823" s="312"/>
      <c r="L823" s="312"/>
      <c r="M823" s="312"/>
      <c r="N823" s="312"/>
      <c r="O823" s="312"/>
      <c r="P823" s="312"/>
      <c r="Q823" s="312"/>
      <c r="R823" s="312"/>
      <c r="S823" s="312"/>
      <c r="T823" s="312"/>
      <c r="U823" s="312"/>
      <c r="V823" s="312"/>
      <c r="W823" s="312"/>
      <c r="X823" s="312"/>
      <c r="Y823" s="312"/>
      <c r="Z823" s="312"/>
    </row>
    <row r="824" customHeight="1" spans="1:26">
      <c r="A824" s="312"/>
      <c r="B824" s="312"/>
      <c r="C824" s="312"/>
      <c r="D824" s="312"/>
      <c r="E824" s="312"/>
      <c r="F824" s="312"/>
      <c r="G824" s="312"/>
      <c r="H824" s="312"/>
      <c r="I824" s="312"/>
      <c r="J824" s="312"/>
      <c r="K824" s="312"/>
      <c r="L824" s="312"/>
      <c r="M824" s="312"/>
      <c r="N824" s="312"/>
      <c r="O824" s="312"/>
      <c r="P824" s="312"/>
      <c r="Q824" s="312"/>
      <c r="R824" s="312"/>
      <c r="S824" s="312"/>
      <c r="T824" s="312"/>
      <c r="U824" s="312"/>
      <c r="V824" s="312"/>
      <c r="W824" s="312"/>
      <c r="X824" s="312"/>
      <c r="Y824" s="312"/>
      <c r="Z824" s="312"/>
    </row>
    <row r="825" customHeight="1" spans="1:26">
      <c r="A825" s="312"/>
      <c r="B825" s="312"/>
      <c r="C825" s="312"/>
      <c r="D825" s="312"/>
      <c r="E825" s="312"/>
      <c r="F825" s="312"/>
      <c r="G825" s="312"/>
      <c r="H825" s="312"/>
      <c r="I825" s="312"/>
      <c r="J825" s="312"/>
      <c r="K825" s="312"/>
      <c r="L825" s="312"/>
      <c r="M825" s="312"/>
      <c r="N825" s="312"/>
      <c r="O825" s="312"/>
      <c r="P825" s="312"/>
      <c r="Q825" s="312"/>
      <c r="R825" s="312"/>
      <c r="S825" s="312"/>
      <c r="T825" s="312"/>
      <c r="U825" s="312"/>
      <c r="V825" s="312"/>
      <c r="W825" s="312"/>
      <c r="X825" s="312"/>
      <c r="Y825" s="312"/>
      <c r="Z825" s="312"/>
    </row>
    <row r="826" customHeight="1" spans="1:26">
      <c r="A826" s="312"/>
      <c r="B826" s="312"/>
      <c r="C826" s="312"/>
      <c r="D826" s="312"/>
      <c r="E826" s="312"/>
      <c r="F826" s="312"/>
      <c r="G826" s="312"/>
      <c r="H826" s="312"/>
      <c r="I826" s="312"/>
      <c r="J826" s="312"/>
      <c r="K826" s="312"/>
      <c r="L826" s="312"/>
      <c r="M826" s="312"/>
      <c r="N826" s="312"/>
      <c r="O826" s="312"/>
      <c r="P826" s="312"/>
      <c r="Q826" s="312"/>
      <c r="R826" s="312"/>
      <c r="S826" s="312"/>
      <c r="T826" s="312"/>
      <c r="U826" s="312"/>
      <c r="V826" s="312"/>
      <c r="W826" s="312"/>
      <c r="X826" s="312"/>
      <c r="Y826" s="312"/>
      <c r="Z826" s="312"/>
    </row>
    <row r="827" customHeight="1" spans="1:26">
      <c r="A827" s="312"/>
      <c r="B827" s="312"/>
      <c r="C827" s="312"/>
      <c r="D827" s="312"/>
      <c r="E827" s="312"/>
      <c r="F827" s="312"/>
      <c r="G827" s="312"/>
      <c r="H827" s="312"/>
      <c r="I827" s="312"/>
      <c r="J827" s="312"/>
      <c r="K827" s="312"/>
      <c r="L827" s="312"/>
      <c r="M827" s="312"/>
      <c r="N827" s="312"/>
      <c r="O827" s="312"/>
      <c r="P827" s="312"/>
      <c r="Q827" s="312"/>
      <c r="R827" s="312"/>
      <c r="S827" s="312"/>
      <c r="T827" s="312"/>
      <c r="U827" s="312"/>
      <c r="V827" s="312"/>
      <c r="W827" s="312"/>
      <c r="X827" s="312"/>
      <c r="Y827" s="312"/>
      <c r="Z827" s="312"/>
    </row>
    <row r="828" customHeight="1" spans="1:26">
      <c r="A828" s="312"/>
      <c r="B828" s="312"/>
      <c r="C828" s="312"/>
      <c r="D828" s="312"/>
      <c r="E828" s="312"/>
      <c r="F828" s="312"/>
      <c r="G828" s="312"/>
      <c r="H828" s="312"/>
      <c r="I828" s="312"/>
      <c r="J828" s="312"/>
      <c r="K828" s="312"/>
      <c r="L828" s="312"/>
      <c r="M828" s="312"/>
      <c r="N828" s="312"/>
      <c r="O828" s="312"/>
      <c r="P828" s="312"/>
      <c r="Q828" s="312"/>
      <c r="R828" s="312"/>
      <c r="S828" s="312"/>
      <c r="T828" s="312"/>
      <c r="U828" s="312"/>
      <c r="V828" s="312"/>
      <c r="W828" s="312"/>
      <c r="X828" s="312"/>
      <c r="Y828" s="312"/>
      <c r="Z828" s="312"/>
    </row>
    <row r="829" customHeight="1" spans="1:26">
      <c r="A829" s="312"/>
      <c r="B829" s="312"/>
      <c r="C829" s="312"/>
      <c r="D829" s="312"/>
      <c r="E829" s="312"/>
      <c r="F829" s="312"/>
      <c r="G829" s="312"/>
      <c r="H829" s="312"/>
      <c r="I829" s="312"/>
      <c r="J829" s="312"/>
      <c r="K829" s="312"/>
      <c r="L829" s="312"/>
      <c r="M829" s="312"/>
      <c r="N829" s="312"/>
      <c r="O829" s="312"/>
      <c r="P829" s="312"/>
      <c r="Q829" s="312"/>
      <c r="R829" s="312"/>
      <c r="S829" s="312"/>
      <c r="T829" s="312"/>
      <c r="U829" s="312"/>
      <c r="V829" s="312"/>
      <c r="W829" s="312"/>
      <c r="X829" s="312"/>
      <c r="Y829" s="312"/>
      <c r="Z829" s="312"/>
    </row>
    <row r="830" customHeight="1" spans="1:26">
      <c r="A830" s="312"/>
      <c r="B830" s="312"/>
      <c r="C830" s="312"/>
      <c r="D830" s="312"/>
      <c r="E830" s="312"/>
      <c r="F830" s="312"/>
      <c r="G830" s="312"/>
      <c r="H830" s="312"/>
      <c r="I830" s="312"/>
      <c r="J830" s="312"/>
      <c r="K830" s="312"/>
      <c r="L830" s="312"/>
      <c r="M830" s="312"/>
      <c r="N830" s="312"/>
      <c r="O830" s="312"/>
      <c r="P830" s="312"/>
      <c r="Q830" s="312"/>
      <c r="R830" s="312"/>
      <c r="S830" s="312"/>
      <c r="T830" s="312"/>
      <c r="U830" s="312"/>
      <c r="V830" s="312"/>
      <c r="W830" s="312"/>
      <c r="X830" s="312"/>
      <c r="Y830" s="312"/>
      <c r="Z830" s="312"/>
    </row>
    <row r="831" customHeight="1" spans="1:26">
      <c r="A831" s="312"/>
      <c r="B831" s="312"/>
      <c r="C831" s="312"/>
      <c r="D831" s="312"/>
      <c r="E831" s="312"/>
      <c r="F831" s="312"/>
      <c r="G831" s="312"/>
      <c r="H831" s="312"/>
      <c r="I831" s="312"/>
      <c r="J831" s="312"/>
      <c r="K831" s="312"/>
      <c r="L831" s="312"/>
      <c r="M831" s="312"/>
      <c r="N831" s="312"/>
      <c r="O831" s="312"/>
      <c r="P831" s="312"/>
      <c r="Q831" s="312"/>
      <c r="R831" s="312"/>
      <c r="S831" s="312"/>
      <c r="T831" s="312"/>
      <c r="U831" s="312"/>
      <c r="V831" s="312"/>
      <c r="W831" s="312"/>
      <c r="X831" s="312"/>
      <c r="Y831" s="312"/>
      <c r="Z831" s="312"/>
    </row>
    <row r="832" customHeight="1" spans="1:26">
      <c r="A832" s="312"/>
      <c r="B832" s="312"/>
      <c r="C832" s="312"/>
      <c r="D832" s="312"/>
      <c r="E832" s="312"/>
      <c r="F832" s="312"/>
      <c r="G832" s="312"/>
      <c r="H832" s="312"/>
      <c r="I832" s="312"/>
      <c r="J832" s="312"/>
      <c r="K832" s="312"/>
      <c r="L832" s="312"/>
      <c r="M832" s="312"/>
      <c r="N832" s="312"/>
      <c r="O832" s="312"/>
      <c r="P832" s="312"/>
      <c r="Q832" s="312"/>
      <c r="R832" s="312"/>
      <c r="S832" s="312"/>
      <c r="T832" s="312"/>
      <c r="U832" s="312"/>
      <c r="V832" s="312"/>
      <c r="W832" s="312"/>
      <c r="X832" s="312"/>
      <c r="Y832" s="312"/>
      <c r="Z832" s="312"/>
    </row>
    <row r="833" customHeight="1" spans="1:26">
      <c r="A833" s="312"/>
      <c r="B833" s="312"/>
      <c r="C833" s="312"/>
      <c r="D833" s="312"/>
      <c r="E833" s="312"/>
      <c r="F833" s="312"/>
      <c r="G833" s="312"/>
      <c r="H833" s="312"/>
      <c r="I833" s="312"/>
      <c r="J833" s="312"/>
      <c r="K833" s="312"/>
      <c r="L833" s="312"/>
      <c r="M833" s="312"/>
      <c r="N833" s="312"/>
      <c r="O833" s="312"/>
      <c r="P833" s="312"/>
      <c r="Q833" s="312"/>
      <c r="R833" s="312"/>
      <c r="S833" s="312"/>
      <c r="T833" s="312"/>
      <c r="U833" s="312"/>
      <c r="V833" s="312"/>
      <c r="W833" s="312"/>
      <c r="X833" s="312"/>
      <c r="Y833" s="312"/>
      <c r="Z833" s="312"/>
    </row>
    <row r="834" customHeight="1" spans="1:26">
      <c r="A834" s="312"/>
      <c r="B834" s="312"/>
      <c r="C834" s="312"/>
      <c r="D834" s="312"/>
      <c r="E834" s="312"/>
      <c r="F834" s="312"/>
      <c r="G834" s="312"/>
      <c r="H834" s="312"/>
      <c r="I834" s="312"/>
      <c r="J834" s="312"/>
      <c r="K834" s="312"/>
      <c r="L834" s="312"/>
      <c r="M834" s="312"/>
      <c r="N834" s="312"/>
      <c r="O834" s="312"/>
      <c r="P834" s="312"/>
      <c r="Q834" s="312"/>
      <c r="R834" s="312"/>
      <c r="S834" s="312"/>
      <c r="T834" s="312"/>
      <c r="U834" s="312"/>
      <c r="V834" s="312"/>
      <c r="W834" s="312"/>
      <c r="X834" s="312"/>
      <c r="Y834" s="312"/>
      <c r="Z834" s="312"/>
    </row>
    <row r="835" customHeight="1" spans="1:26">
      <c r="A835" s="312"/>
      <c r="B835" s="312"/>
      <c r="C835" s="312"/>
      <c r="D835" s="312"/>
      <c r="E835" s="312"/>
      <c r="F835" s="312"/>
      <c r="G835" s="312"/>
      <c r="H835" s="312"/>
      <c r="I835" s="312"/>
      <c r="J835" s="312"/>
      <c r="K835" s="312"/>
      <c r="L835" s="312"/>
      <c r="M835" s="312"/>
      <c r="N835" s="312"/>
      <c r="O835" s="312"/>
      <c r="P835" s="312"/>
      <c r="Q835" s="312"/>
      <c r="R835" s="312"/>
      <c r="S835" s="312"/>
      <c r="T835" s="312"/>
      <c r="U835" s="312"/>
      <c r="V835" s="312"/>
      <c r="W835" s="312"/>
      <c r="X835" s="312"/>
      <c r="Y835" s="312"/>
      <c r="Z835" s="312"/>
    </row>
    <row r="836" customHeight="1" spans="1:26">
      <c r="A836" s="312"/>
      <c r="B836" s="312"/>
      <c r="C836" s="312"/>
      <c r="D836" s="312"/>
      <c r="E836" s="312"/>
      <c r="F836" s="312"/>
      <c r="G836" s="312"/>
      <c r="H836" s="312"/>
      <c r="I836" s="312"/>
      <c r="J836" s="312"/>
      <c r="K836" s="312"/>
      <c r="L836" s="312"/>
      <c r="M836" s="312"/>
      <c r="N836" s="312"/>
      <c r="O836" s="312"/>
      <c r="P836" s="312"/>
      <c r="Q836" s="312"/>
      <c r="R836" s="312"/>
      <c r="S836" s="312"/>
      <c r="T836" s="312"/>
      <c r="U836" s="312"/>
      <c r="V836" s="312"/>
      <c r="W836" s="312"/>
      <c r="X836" s="312"/>
      <c r="Y836" s="312"/>
      <c r="Z836" s="312"/>
    </row>
    <row r="837" customHeight="1" spans="1:26">
      <c r="A837" s="312"/>
      <c r="B837" s="312"/>
      <c r="C837" s="312"/>
      <c r="D837" s="312"/>
      <c r="E837" s="312"/>
      <c r="F837" s="312"/>
      <c r="G837" s="312"/>
      <c r="H837" s="312"/>
      <c r="I837" s="312"/>
      <c r="J837" s="312"/>
      <c r="K837" s="312"/>
      <c r="L837" s="312"/>
      <c r="M837" s="312"/>
      <c r="N837" s="312"/>
      <c r="O837" s="312"/>
      <c r="P837" s="312"/>
      <c r="Q837" s="312"/>
      <c r="R837" s="312"/>
      <c r="S837" s="312"/>
      <c r="T837" s="312"/>
      <c r="U837" s="312"/>
      <c r="V837" s="312"/>
      <c r="W837" s="312"/>
      <c r="X837" s="312"/>
      <c r="Y837" s="312"/>
      <c r="Z837" s="312"/>
    </row>
    <row r="838" customHeight="1" spans="1:26">
      <c r="A838" s="312"/>
      <c r="B838" s="312"/>
      <c r="C838" s="312"/>
      <c r="D838" s="312"/>
      <c r="E838" s="312"/>
      <c r="F838" s="312"/>
      <c r="G838" s="312"/>
      <c r="H838" s="312"/>
      <c r="I838" s="312"/>
      <c r="J838" s="312"/>
      <c r="K838" s="312"/>
      <c r="L838" s="312"/>
      <c r="M838" s="312"/>
      <c r="N838" s="312"/>
      <c r="O838" s="312"/>
      <c r="P838" s="312"/>
      <c r="Q838" s="312"/>
      <c r="R838" s="312"/>
      <c r="S838" s="312"/>
      <c r="T838" s="312"/>
      <c r="U838" s="312"/>
      <c r="V838" s="312"/>
      <c r="W838" s="312"/>
      <c r="X838" s="312"/>
      <c r="Y838" s="312"/>
      <c r="Z838" s="312"/>
    </row>
    <row r="839" customHeight="1" spans="1:26">
      <c r="A839" s="312"/>
      <c r="B839" s="312"/>
      <c r="C839" s="312"/>
      <c r="D839" s="312"/>
      <c r="E839" s="312"/>
      <c r="F839" s="312"/>
      <c r="G839" s="312"/>
      <c r="H839" s="312"/>
      <c r="I839" s="312"/>
      <c r="J839" s="312"/>
      <c r="K839" s="312"/>
      <c r="L839" s="312"/>
      <c r="M839" s="312"/>
      <c r="N839" s="312"/>
      <c r="O839" s="312"/>
      <c r="P839" s="312"/>
      <c r="Q839" s="312"/>
      <c r="R839" s="312"/>
      <c r="S839" s="312"/>
      <c r="T839" s="312"/>
      <c r="U839" s="312"/>
      <c r="V839" s="312"/>
      <c r="W839" s="312"/>
      <c r="X839" s="312"/>
      <c r="Y839" s="312"/>
      <c r="Z839" s="312"/>
    </row>
    <row r="840" customHeight="1" spans="1:26">
      <c r="A840" s="312"/>
      <c r="B840" s="312"/>
      <c r="C840" s="312"/>
      <c r="D840" s="312"/>
      <c r="E840" s="312"/>
      <c r="F840" s="312"/>
      <c r="G840" s="312"/>
      <c r="H840" s="312"/>
      <c r="I840" s="312"/>
      <c r="J840" s="312"/>
      <c r="K840" s="312"/>
      <c r="L840" s="312"/>
      <c r="M840" s="312"/>
      <c r="N840" s="312"/>
      <c r="O840" s="312"/>
      <c r="P840" s="312"/>
      <c r="Q840" s="312"/>
      <c r="R840" s="312"/>
      <c r="S840" s="312"/>
      <c r="T840" s="312"/>
      <c r="U840" s="312"/>
      <c r="V840" s="312"/>
      <c r="W840" s="312"/>
      <c r="X840" s="312"/>
      <c r="Y840" s="312"/>
      <c r="Z840" s="312"/>
    </row>
    <row r="841" customHeight="1" spans="1:26">
      <c r="A841" s="312"/>
      <c r="B841" s="312"/>
      <c r="C841" s="312"/>
      <c r="D841" s="312"/>
      <c r="E841" s="312"/>
      <c r="F841" s="312"/>
      <c r="G841" s="312"/>
      <c r="H841" s="312"/>
      <c r="I841" s="312"/>
      <c r="J841" s="312"/>
      <c r="K841" s="312"/>
      <c r="L841" s="312"/>
      <c r="M841" s="312"/>
      <c r="N841" s="312"/>
      <c r="O841" s="312"/>
      <c r="P841" s="312"/>
      <c r="Q841" s="312"/>
      <c r="R841" s="312"/>
      <c r="S841" s="312"/>
      <c r="T841" s="312"/>
      <c r="U841" s="312"/>
      <c r="V841" s="312"/>
      <c r="W841" s="312"/>
      <c r="X841" s="312"/>
      <c r="Y841" s="312"/>
      <c r="Z841" s="312"/>
    </row>
    <row r="842" customHeight="1" spans="1:26">
      <c r="A842" s="312"/>
      <c r="B842" s="312"/>
      <c r="C842" s="312"/>
      <c r="D842" s="312"/>
      <c r="E842" s="312"/>
      <c r="F842" s="312"/>
      <c r="G842" s="312"/>
      <c r="H842" s="312"/>
      <c r="I842" s="312"/>
      <c r="J842" s="312"/>
      <c r="K842" s="312"/>
      <c r="L842" s="312"/>
      <c r="M842" s="312"/>
      <c r="N842" s="312"/>
      <c r="O842" s="312"/>
      <c r="P842" s="312"/>
      <c r="Q842" s="312"/>
      <c r="R842" s="312"/>
      <c r="S842" s="312"/>
      <c r="T842" s="312"/>
      <c r="U842" s="312"/>
      <c r="V842" s="312"/>
      <c r="W842" s="312"/>
      <c r="X842" s="312"/>
      <c r="Y842" s="312"/>
      <c r="Z842" s="312"/>
    </row>
    <row r="843" customHeight="1" spans="1:26">
      <c r="A843" s="312"/>
      <c r="B843" s="312"/>
      <c r="C843" s="312"/>
      <c r="D843" s="312"/>
      <c r="E843" s="312"/>
      <c r="F843" s="312"/>
      <c r="G843" s="312"/>
      <c r="H843" s="312"/>
      <c r="I843" s="312"/>
      <c r="J843" s="312"/>
      <c r="K843" s="312"/>
      <c r="L843" s="312"/>
      <c r="M843" s="312"/>
      <c r="N843" s="312"/>
      <c r="O843" s="312"/>
      <c r="P843" s="312"/>
      <c r="Q843" s="312"/>
      <c r="R843" s="312"/>
      <c r="S843" s="312"/>
      <c r="T843" s="312"/>
      <c r="U843" s="312"/>
      <c r="V843" s="312"/>
      <c r="W843" s="312"/>
      <c r="X843" s="312"/>
      <c r="Y843" s="312"/>
      <c r="Z843" s="312"/>
    </row>
    <row r="844" customHeight="1" spans="1:26">
      <c r="A844" s="312"/>
      <c r="B844" s="312"/>
      <c r="C844" s="312"/>
      <c r="D844" s="312"/>
      <c r="E844" s="312"/>
      <c r="F844" s="312"/>
      <c r="G844" s="312"/>
      <c r="H844" s="312"/>
      <c r="I844" s="312"/>
      <c r="J844" s="312"/>
      <c r="K844" s="312"/>
      <c r="L844" s="312"/>
      <c r="M844" s="312"/>
      <c r="N844" s="312"/>
      <c r="O844" s="312"/>
      <c r="P844" s="312"/>
      <c r="Q844" s="312"/>
      <c r="R844" s="312"/>
      <c r="S844" s="312"/>
      <c r="T844" s="312"/>
      <c r="U844" s="312"/>
      <c r="V844" s="312"/>
      <c r="W844" s="312"/>
      <c r="X844" s="312"/>
      <c r="Y844" s="312"/>
      <c r="Z844" s="312"/>
    </row>
    <row r="845" customHeight="1" spans="1:26">
      <c r="A845" s="312"/>
      <c r="B845" s="312"/>
      <c r="C845" s="312"/>
      <c r="D845" s="312"/>
      <c r="E845" s="312"/>
      <c r="F845" s="312"/>
      <c r="G845" s="312"/>
      <c r="H845" s="312"/>
      <c r="I845" s="312"/>
      <c r="J845" s="312"/>
      <c r="K845" s="312"/>
      <c r="L845" s="312"/>
      <c r="M845" s="312"/>
      <c r="N845" s="312"/>
      <c r="O845" s="312"/>
      <c r="P845" s="312"/>
      <c r="Q845" s="312"/>
      <c r="R845" s="312"/>
      <c r="S845" s="312"/>
      <c r="T845" s="312"/>
      <c r="U845" s="312"/>
      <c r="V845" s="312"/>
      <c r="W845" s="312"/>
      <c r="X845" s="312"/>
      <c r="Y845" s="312"/>
      <c r="Z845" s="312"/>
    </row>
    <row r="846" customHeight="1" spans="1:26">
      <c r="A846" s="312"/>
      <c r="B846" s="312"/>
      <c r="C846" s="312"/>
      <c r="D846" s="312"/>
      <c r="E846" s="312"/>
      <c r="F846" s="312"/>
      <c r="G846" s="312"/>
      <c r="H846" s="312"/>
      <c r="I846" s="312"/>
      <c r="J846" s="312"/>
      <c r="K846" s="312"/>
      <c r="L846" s="312"/>
      <c r="M846" s="312"/>
      <c r="N846" s="312"/>
      <c r="O846" s="312"/>
      <c r="P846" s="312"/>
      <c r="Q846" s="312"/>
      <c r="R846" s="312"/>
      <c r="S846" s="312"/>
      <c r="T846" s="312"/>
      <c r="U846" s="312"/>
      <c r="V846" s="312"/>
      <c r="W846" s="312"/>
      <c r="X846" s="312"/>
      <c r="Y846" s="312"/>
      <c r="Z846" s="312"/>
    </row>
    <row r="847" customHeight="1" spans="1:26">
      <c r="A847" s="312"/>
      <c r="B847" s="312"/>
      <c r="C847" s="312"/>
      <c r="D847" s="312"/>
      <c r="E847" s="312"/>
      <c r="F847" s="312"/>
      <c r="G847" s="312"/>
      <c r="H847" s="312"/>
      <c r="I847" s="312"/>
      <c r="J847" s="312"/>
      <c r="K847" s="312"/>
      <c r="L847" s="312"/>
      <c r="M847" s="312"/>
      <c r="N847" s="312"/>
      <c r="O847" s="312"/>
      <c r="P847" s="312"/>
      <c r="Q847" s="312"/>
      <c r="R847" s="312"/>
      <c r="S847" s="312"/>
      <c r="T847" s="312"/>
      <c r="U847" s="312"/>
      <c r="V847" s="312"/>
      <c r="W847" s="312"/>
      <c r="X847" s="312"/>
      <c r="Y847" s="312"/>
      <c r="Z847" s="312"/>
    </row>
    <row r="848" customHeight="1" spans="1:26">
      <c r="A848" s="312"/>
      <c r="B848" s="312"/>
      <c r="C848" s="312"/>
      <c r="D848" s="312"/>
      <c r="E848" s="312"/>
      <c r="F848" s="312"/>
      <c r="G848" s="312"/>
      <c r="H848" s="312"/>
      <c r="I848" s="312"/>
      <c r="J848" s="312"/>
      <c r="K848" s="312"/>
      <c r="L848" s="312"/>
      <c r="M848" s="312"/>
      <c r="N848" s="312"/>
      <c r="O848" s="312"/>
      <c r="P848" s="312"/>
      <c r="Q848" s="312"/>
      <c r="R848" s="312"/>
      <c r="S848" s="312"/>
      <c r="T848" s="312"/>
      <c r="U848" s="312"/>
      <c r="V848" s="312"/>
      <c r="W848" s="312"/>
      <c r="X848" s="312"/>
      <c r="Y848" s="312"/>
      <c r="Z848" s="312"/>
    </row>
    <row r="849" customHeight="1" spans="1:26">
      <c r="A849" s="312"/>
      <c r="B849" s="312"/>
      <c r="C849" s="312"/>
      <c r="D849" s="312"/>
      <c r="E849" s="312"/>
      <c r="F849" s="312"/>
      <c r="G849" s="312"/>
      <c r="H849" s="312"/>
      <c r="I849" s="312"/>
      <c r="J849" s="312"/>
      <c r="K849" s="312"/>
      <c r="L849" s="312"/>
      <c r="M849" s="312"/>
      <c r="N849" s="312"/>
      <c r="O849" s="312"/>
      <c r="P849" s="312"/>
      <c r="Q849" s="312"/>
      <c r="R849" s="312"/>
      <c r="S849" s="312"/>
      <c r="T849" s="312"/>
      <c r="U849" s="312"/>
      <c r="V849" s="312"/>
      <c r="W849" s="312"/>
      <c r="X849" s="312"/>
      <c r="Y849" s="312"/>
      <c r="Z849" s="312"/>
    </row>
    <row r="850" customHeight="1" spans="1:26">
      <c r="A850" s="312"/>
      <c r="B850" s="312"/>
      <c r="C850" s="312"/>
      <c r="D850" s="312"/>
      <c r="E850" s="312"/>
      <c r="F850" s="312"/>
      <c r="G850" s="312"/>
      <c r="H850" s="312"/>
      <c r="I850" s="312"/>
      <c r="J850" s="312"/>
      <c r="K850" s="312"/>
      <c r="L850" s="312"/>
      <c r="M850" s="312"/>
      <c r="N850" s="312"/>
      <c r="O850" s="312"/>
      <c r="P850" s="312"/>
      <c r="Q850" s="312"/>
      <c r="R850" s="312"/>
      <c r="S850" s="312"/>
      <c r="T850" s="312"/>
      <c r="U850" s="312"/>
      <c r="V850" s="312"/>
      <c r="W850" s="312"/>
      <c r="X850" s="312"/>
      <c r="Y850" s="312"/>
      <c r="Z850" s="312"/>
    </row>
    <row r="851" customHeight="1" spans="1:26">
      <c r="A851" s="312"/>
      <c r="B851" s="312"/>
      <c r="C851" s="312"/>
      <c r="D851" s="312"/>
      <c r="E851" s="312"/>
      <c r="F851" s="312"/>
      <c r="G851" s="312"/>
      <c r="H851" s="312"/>
      <c r="I851" s="312"/>
      <c r="J851" s="312"/>
      <c r="K851" s="312"/>
      <c r="L851" s="312"/>
      <c r="M851" s="312"/>
      <c r="N851" s="312"/>
      <c r="O851" s="312"/>
      <c r="P851" s="312"/>
      <c r="Q851" s="312"/>
      <c r="R851" s="312"/>
      <c r="S851" s="312"/>
      <c r="T851" s="312"/>
      <c r="U851" s="312"/>
      <c r="V851" s="312"/>
      <c r="W851" s="312"/>
      <c r="X851" s="312"/>
      <c r="Y851" s="312"/>
      <c r="Z851" s="312"/>
    </row>
    <row r="852" customHeight="1" spans="1:26">
      <c r="A852" s="312"/>
      <c r="B852" s="312"/>
      <c r="C852" s="312"/>
      <c r="D852" s="312"/>
      <c r="E852" s="312"/>
      <c r="F852" s="312"/>
      <c r="G852" s="312"/>
      <c r="H852" s="312"/>
      <c r="I852" s="312"/>
      <c r="J852" s="312"/>
      <c r="K852" s="312"/>
      <c r="L852" s="312"/>
      <c r="M852" s="312"/>
      <c r="N852" s="312"/>
      <c r="O852" s="312"/>
      <c r="P852" s="312"/>
      <c r="Q852" s="312"/>
      <c r="R852" s="312"/>
      <c r="S852" s="312"/>
      <c r="T852" s="312"/>
      <c r="U852" s="312"/>
      <c r="V852" s="312"/>
      <c r="W852" s="312"/>
      <c r="X852" s="312"/>
      <c r="Y852" s="312"/>
      <c r="Z852" s="312"/>
    </row>
    <row r="853" customHeight="1" spans="1:26">
      <c r="A853" s="312"/>
      <c r="B853" s="312"/>
      <c r="C853" s="312"/>
      <c r="D853" s="312"/>
      <c r="E853" s="312"/>
      <c r="F853" s="312"/>
      <c r="G853" s="312"/>
      <c r="H853" s="312"/>
      <c r="I853" s="312"/>
      <c r="J853" s="312"/>
      <c r="K853" s="312"/>
      <c r="L853" s="312"/>
      <c r="M853" s="312"/>
      <c r="N853" s="312"/>
      <c r="O853" s="312"/>
      <c r="P853" s="312"/>
      <c r="Q853" s="312"/>
      <c r="R853" s="312"/>
      <c r="S853" s="312"/>
      <c r="T853" s="312"/>
      <c r="U853" s="312"/>
      <c r="V853" s="312"/>
      <c r="W853" s="312"/>
      <c r="X853" s="312"/>
      <c r="Y853" s="312"/>
      <c r="Z853" s="312"/>
    </row>
    <row r="854" customHeight="1" spans="1:26">
      <c r="A854" s="312"/>
      <c r="B854" s="312"/>
      <c r="C854" s="312"/>
      <c r="D854" s="312"/>
      <c r="E854" s="312"/>
      <c r="F854" s="312"/>
      <c r="G854" s="312"/>
      <c r="H854" s="312"/>
      <c r="I854" s="312"/>
      <c r="J854" s="312"/>
      <c r="K854" s="312"/>
      <c r="L854" s="312"/>
      <c r="M854" s="312"/>
      <c r="N854" s="312"/>
      <c r="O854" s="312"/>
      <c r="P854" s="312"/>
      <c r="Q854" s="312"/>
      <c r="R854" s="312"/>
      <c r="S854" s="312"/>
      <c r="T854" s="312"/>
      <c r="U854" s="312"/>
      <c r="V854" s="312"/>
      <c r="W854" s="312"/>
      <c r="X854" s="312"/>
      <c r="Y854" s="312"/>
      <c r="Z854" s="312"/>
    </row>
    <row r="855" customHeight="1" spans="1:26">
      <c r="A855" s="312"/>
      <c r="B855" s="312"/>
      <c r="C855" s="312"/>
      <c r="D855" s="312"/>
      <c r="E855" s="312"/>
      <c r="F855" s="312"/>
      <c r="G855" s="312"/>
      <c r="H855" s="312"/>
      <c r="I855" s="312"/>
      <c r="J855" s="312"/>
      <c r="K855" s="312"/>
      <c r="L855" s="312"/>
      <c r="M855" s="312"/>
      <c r="N855" s="312"/>
      <c r="O855" s="312"/>
      <c r="P855" s="312"/>
      <c r="Q855" s="312"/>
      <c r="R855" s="312"/>
      <c r="S855" s="312"/>
      <c r="T855" s="312"/>
      <c r="U855" s="312"/>
      <c r="V855" s="312"/>
      <c r="W855" s="312"/>
      <c r="X855" s="312"/>
      <c r="Y855" s="312"/>
      <c r="Z855" s="312"/>
    </row>
    <row r="856" customHeight="1" spans="1:26">
      <c r="A856" s="312"/>
      <c r="B856" s="312"/>
      <c r="C856" s="312"/>
      <c r="D856" s="312"/>
      <c r="E856" s="312"/>
      <c r="F856" s="312"/>
      <c r="G856" s="312"/>
      <c r="H856" s="312"/>
      <c r="I856" s="312"/>
      <c r="J856" s="312"/>
      <c r="K856" s="312"/>
      <c r="L856" s="312"/>
      <c r="M856" s="312"/>
      <c r="N856" s="312"/>
      <c r="O856" s="312"/>
      <c r="P856" s="312"/>
      <c r="Q856" s="312"/>
      <c r="R856" s="312"/>
      <c r="S856" s="312"/>
      <c r="T856" s="312"/>
      <c r="U856" s="312"/>
      <c r="V856" s="312"/>
      <c r="W856" s="312"/>
      <c r="X856" s="312"/>
      <c r="Y856" s="312"/>
      <c r="Z856" s="312"/>
    </row>
    <row r="857" customHeight="1" spans="1:26">
      <c r="A857" s="312"/>
      <c r="B857" s="312"/>
      <c r="C857" s="312"/>
      <c r="D857" s="312"/>
      <c r="E857" s="312"/>
      <c r="F857" s="312"/>
      <c r="G857" s="312"/>
      <c r="H857" s="312"/>
      <c r="I857" s="312"/>
      <c r="J857" s="312"/>
      <c r="K857" s="312"/>
      <c r="L857" s="312"/>
      <c r="M857" s="312"/>
      <c r="N857" s="312"/>
      <c r="O857" s="312"/>
      <c r="P857" s="312"/>
      <c r="Q857" s="312"/>
      <c r="R857" s="312"/>
      <c r="S857" s="312"/>
      <c r="T857" s="312"/>
      <c r="U857" s="312"/>
      <c r="V857" s="312"/>
      <c r="W857" s="312"/>
      <c r="X857" s="312"/>
      <c r="Y857" s="312"/>
      <c r="Z857" s="312"/>
    </row>
    <row r="858" customHeight="1" spans="1:26">
      <c r="A858" s="312"/>
      <c r="B858" s="312"/>
      <c r="C858" s="312"/>
      <c r="D858" s="312"/>
      <c r="E858" s="312"/>
      <c r="F858" s="312"/>
      <c r="G858" s="312"/>
      <c r="H858" s="312"/>
      <c r="I858" s="312"/>
      <c r="J858" s="312"/>
      <c r="K858" s="312"/>
      <c r="L858" s="312"/>
      <c r="M858" s="312"/>
      <c r="N858" s="312"/>
      <c r="O858" s="312"/>
      <c r="P858" s="312"/>
      <c r="Q858" s="312"/>
      <c r="R858" s="312"/>
      <c r="S858" s="312"/>
      <c r="T858" s="312"/>
      <c r="U858" s="312"/>
      <c r="V858" s="312"/>
      <c r="W858" s="312"/>
      <c r="X858" s="312"/>
      <c r="Y858" s="312"/>
      <c r="Z858" s="312"/>
    </row>
    <row r="859" customHeight="1" spans="1:26">
      <c r="A859" s="312"/>
      <c r="B859" s="312"/>
      <c r="C859" s="312"/>
      <c r="D859" s="312"/>
      <c r="E859" s="312"/>
      <c r="F859" s="312"/>
      <c r="G859" s="312"/>
      <c r="H859" s="312"/>
      <c r="I859" s="312"/>
      <c r="J859" s="312"/>
      <c r="K859" s="312"/>
      <c r="L859" s="312"/>
      <c r="M859" s="312"/>
      <c r="N859" s="312"/>
      <c r="O859" s="312"/>
      <c r="P859" s="312"/>
      <c r="Q859" s="312"/>
      <c r="R859" s="312"/>
      <c r="S859" s="312"/>
      <c r="T859" s="312"/>
      <c r="U859" s="312"/>
      <c r="V859" s="312"/>
      <c r="W859" s="312"/>
      <c r="X859" s="312"/>
      <c r="Y859" s="312"/>
      <c r="Z859" s="312"/>
    </row>
    <row r="860" customHeight="1" spans="1:26">
      <c r="A860" s="312"/>
      <c r="B860" s="312"/>
      <c r="C860" s="312"/>
      <c r="D860" s="312"/>
      <c r="E860" s="312"/>
      <c r="F860" s="312"/>
      <c r="G860" s="312"/>
      <c r="H860" s="312"/>
      <c r="I860" s="312"/>
      <c r="J860" s="312"/>
      <c r="K860" s="312"/>
      <c r="L860" s="312"/>
      <c r="M860" s="312"/>
      <c r="N860" s="312"/>
      <c r="O860" s="312"/>
      <c r="P860" s="312"/>
      <c r="Q860" s="312"/>
      <c r="R860" s="312"/>
      <c r="S860" s="312"/>
      <c r="T860" s="312"/>
      <c r="U860" s="312"/>
      <c r="V860" s="312"/>
      <c r="W860" s="312"/>
      <c r="X860" s="312"/>
      <c r="Y860" s="312"/>
      <c r="Z860" s="312"/>
    </row>
    <row r="861" customHeight="1" spans="1:26">
      <c r="A861" s="312"/>
      <c r="B861" s="312"/>
      <c r="C861" s="312"/>
      <c r="D861" s="312"/>
      <c r="E861" s="312"/>
      <c r="F861" s="312"/>
      <c r="G861" s="312"/>
      <c r="H861" s="312"/>
      <c r="I861" s="312"/>
      <c r="J861" s="312"/>
      <c r="K861" s="312"/>
      <c r="L861" s="312"/>
      <c r="M861" s="312"/>
      <c r="N861" s="312"/>
      <c r="O861" s="312"/>
      <c r="P861" s="312"/>
      <c r="Q861" s="312"/>
      <c r="R861" s="312"/>
      <c r="S861" s="312"/>
      <c r="T861" s="312"/>
      <c r="U861" s="312"/>
      <c r="V861" s="312"/>
      <c r="W861" s="312"/>
      <c r="X861" s="312"/>
      <c r="Y861" s="312"/>
      <c r="Z861" s="312"/>
    </row>
    <row r="862" customHeight="1" spans="1:26">
      <c r="A862" s="312"/>
      <c r="B862" s="312"/>
      <c r="C862" s="312"/>
      <c r="D862" s="312"/>
      <c r="E862" s="312"/>
      <c r="F862" s="312"/>
      <c r="G862" s="312"/>
      <c r="H862" s="312"/>
      <c r="I862" s="312"/>
      <c r="J862" s="312"/>
      <c r="K862" s="312"/>
      <c r="L862" s="312"/>
      <c r="M862" s="312"/>
      <c r="N862" s="312"/>
      <c r="O862" s="312"/>
      <c r="P862" s="312"/>
      <c r="Q862" s="312"/>
      <c r="R862" s="312"/>
      <c r="S862" s="312"/>
      <c r="T862" s="312"/>
      <c r="U862" s="312"/>
      <c r="V862" s="312"/>
      <c r="W862" s="312"/>
      <c r="X862" s="312"/>
      <c r="Y862" s="312"/>
      <c r="Z862" s="312"/>
    </row>
    <row r="863" customHeight="1" spans="1:26">
      <c r="A863" s="312"/>
      <c r="B863" s="312"/>
      <c r="C863" s="312"/>
      <c r="D863" s="312"/>
      <c r="E863" s="312"/>
      <c r="F863" s="312"/>
      <c r="G863" s="312"/>
      <c r="H863" s="312"/>
      <c r="I863" s="312"/>
      <c r="J863" s="312"/>
      <c r="K863" s="312"/>
      <c r="L863" s="312"/>
      <c r="M863" s="312"/>
      <c r="N863" s="312"/>
      <c r="O863" s="312"/>
      <c r="P863" s="312"/>
      <c r="Q863" s="312"/>
      <c r="R863" s="312"/>
      <c r="S863" s="312"/>
      <c r="T863" s="312"/>
      <c r="U863" s="312"/>
      <c r="V863" s="312"/>
      <c r="W863" s="312"/>
      <c r="X863" s="312"/>
      <c r="Y863" s="312"/>
      <c r="Z863" s="312"/>
    </row>
    <row r="864" customHeight="1" spans="1:26">
      <c r="A864" s="312"/>
      <c r="B864" s="312"/>
      <c r="C864" s="312"/>
      <c r="D864" s="312"/>
      <c r="E864" s="312"/>
      <c r="F864" s="312"/>
      <c r="G864" s="312"/>
      <c r="H864" s="312"/>
      <c r="I864" s="312"/>
      <c r="J864" s="312"/>
      <c r="K864" s="312"/>
      <c r="L864" s="312"/>
      <c r="M864" s="312"/>
      <c r="N864" s="312"/>
      <c r="O864" s="312"/>
      <c r="P864" s="312"/>
      <c r="Q864" s="312"/>
      <c r="R864" s="312"/>
      <c r="S864" s="312"/>
      <c r="T864" s="312"/>
      <c r="U864" s="312"/>
      <c r="V864" s="312"/>
      <c r="W864" s="312"/>
      <c r="X864" s="312"/>
      <c r="Y864" s="312"/>
      <c r="Z864" s="312"/>
    </row>
    <row r="865" customHeight="1" spans="1:26">
      <c r="A865" s="312"/>
      <c r="B865" s="312"/>
      <c r="C865" s="312"/>
      <c r="D865" s="312"/>
      <c r="E865" s="312"/>
      <c r="F865" s="312"/>
      <c r="G865" s="312"/>
      <c r="H865" s="312"/>
      <c r="I865" s="312"/>
      <c r="J865" s="312"/>
      <c r="K865" s="312"/>
      <c r="L865" s="312"/>
      <c r="M865" s="312"/>
      <c r="N865" s="312"/>
      <c r="O865" s="312"/>
      <c r="P865" s="312"/>
      <c r="Q865" s="312"/>
      <c r="R865" s="312"/>
      <c r="S865" s="312"/>
      <c r="T865" s="312"/>
      <c r="U865" s="312"/>
      <c r="V865" s="312"/>
      <c r="W865" s="312"/>
      <c r="X865" s="312"/>
      <c r="Y865" s="312"/>
      <c r="Z865" s="312"/>
    </row>
    <row r="866" customHeight="1" spans="1:26">
      <c r="A866" s="312"/>
      <c r="B866" s="312"/>
      <c r="C866" s="312"/>
      <c r="D866" s="312"/>
      <c r="E866" s="312"/>
      <c r="F866" s="312"/>
      <c r="G866" s="312"/>
      <c r="H866" s="312"/>
      <c r="I866" s="312"/>
      <c r="J866" s="312"/>
      <c r="K866" s="312"/>
      <c r="L866" s="312"/>
      <c r="M866" s="312"/>
      <c r="N866" s="312"/>
      <c r="O866" s="312"/>
      <c r="P866" s="312"/>
      <c r="Q866" s="312"/>
      <c r="R866" s="312"/>
      <c r="S866" s="312"/>
      <c r="T866" s="312"/>
      <c r="U866" s="312"/>
      <c r="V866" s="312"/>
      <c r="W866" s="312"/>
      <c r="X866" s="312"/>
      <c r="Y866" s="312"/>
      <c r="Z866" s="312"/>
    </row>
    <row r="867" customHeight="1" spans="1:26">
      <c r="A867" s="312"/>
      <c r="B867" s="312"/>
      <c r="C867" s="312"/>
      <c r="D867" s="312"/>
      <c r="E867" s="312"/>
      <c r="F867" s="312"/>
      <c r="G867" s="312"/>
      <c r="H867" s="312"/>
      <c r="I867" s="312"/>
      <c r="J867" s="312"/>
      <c r="K867" s="312"/>
      <c r="L867" s="312"/>
      <c r="M867" s="312"/>
      <c r="N867" s="312"/>
      <c r="O867" s="312"/>
      <c r="P867" s="312"/>
      <c r="Q867" s="312"/>
      <c r="R867" s="312"/>
      <c r="S867" s="312"/>
      <c r="T867" s="312"/>
      <c r="U867" s="312"/>
      <c r="V867" s="312"/>
      <c r="W867" s="312"/>
      <c r="X867" s="312"/>
      <c r="Y867" s="312"/>
      <c r="Z867" s="312"/>
    </row>
    <row r="868" customHeight="1" spans="1:26">
      <c r="A868" s="312"/>
      <c r="B868" s="312"/>
      <c r="C868" s="312"/>
      <c r="D868" s="312"/>
      <c r="E868" s="312"/>
      <c r="F868" s="312"/>
      <c r="G868" s="312"/>
      <c r="H868" s="312"/>
      <c r="I868" s="312"/>
      <c r="J868" s="312"/>
      <c r="K868" s="312"/>
      <c r="L868" s="312"/>
      <c r="M868" s="312"/>
      <c r="N868" s="312"/>
      <c r="O868" s="312"/>
      <c r="P868" s="312"/>
      <c r="Q868" s="312"/>
      <c r="R868" s="312"/>
      <c r="S868" s="312"/>
      <c r="T868" s="312"/>
      <c r="U868" s="312"/>
      <c r="V868" s="312"/>
      <c r="W868" s="312"/>
      <c r="X868" s="312"/>
      <c r="Y868" s="312"/>
      <c r="Z868" s="312"/>
    </row>
    <row r="869" customHeight="1" spans="1:26">
      <c r="A869" s="312"/>
      <c r="B869" s="312"/>
      <c r="C869" s="312"/>
      <c r="D869" s="312"/>
      <c r="E869" s="312"/>
      <c r="F869" s="312"/>
      <c r="G869" s="312"/>
      <c r="H869" s="312"/>
      <c r="I869" s="312"/>
      <c r="J869" s="312"/>
      <c r="K869" s="312"/>
      <c r="L869" s="312"/>
      <c r="M869" s="312"/>
      <c r="N869" s="312"/>
      <c r="O869" s="312"/>
      <c r="P869" s="312"/>
      <c r="Q869" s="312"/>
      <c r="R869" s="312"/>
      <c r="S869" s="312"/>
      <c r="T869" s="312"/>
      <c r="U869" s="312"/>
      <c r="V869" s="312"/>
      <c r="W869" s="312"/>
      <c r="X869" s="312"/>
      <c r="Y869" s="312"/>
      <c r="Z869" s="312"/>
    </row>
    <row r="870" customHeight="1" spans="1:26">
      <c r="A870" s="312"/>
      <c r="B870" s="312"/>
      <c r="C870" s="312"/>
      <c r="D870" s="312"/>
      <c r="E870" s="312"/>
      <c r="F870" s="312"/>
      <c r="G870" s="312"/>
      <c r="H870" s="312"/>
      <c r="I870" s="312"/>
      <c r="J870" s="312"/>
      <c r="K870" s="312"/>
      <c r="L870" s="312"/>
      <c r="M870" s="312"/>
      <c r="N870" s="312"/>
      <c r="O870" s="312"/>
      <c r="P870" s="312"/>
      <c r="Q870" s="312"/>
      <c r="R870" s="312"/>
      <c r="S870" s="312"/>
      <c r="T870" s="312"/>
      <c r="U870" s="312"/>
      <c r="V870" s="312"/>
      <c r="W870" s="312"/>
      <c r="X870" s="312"/>
      <c r="Y870" s="312"/>
      <c r="Z870" s="312"/>
    </row>
    <row r="871" customHeight="1" spans="1:26">
      <c r="A871" s="312"/>
      <c r="B871" s="312"/>
      <c r="C871" s="312"/>
      <c r="D871" s="312"/>
      <c r="E871" s="312"/>
      <c r="F871" s="312"/>
      <c r="G871" s="312"/>
      <c r="H871" s="312"/>
      <c r="I871" s="312"/>
      <c r="J871" s="312"/>
      <c r="K871" s="312"/>
      <c r="L871" s="312"/>
      <c r="M871" s="312"/>
      <c r="N871" s="312"/>
      <c r="O871" s="312"/>
      <c r="P871" s="312"/>
      <c r="Q871" s="312"/>
      <c r="R871" s="312"/>
      <c r="S871" s="312"/>
      <c r="T871" s="312"/>
      <c r="U871" s="312"/>
      <c r="V871" s="312"/>
      <c r="W871" s="312"/>
      <c r="X871" s="312"/>
      <c r="Y871" s="312"/>
      <c r="Z871" s="312"/>
    </row>
    <row r="872" customHeight="1" spans="1:26">
      <c r="A872" s="312"/>
      <c r="B872" s="312"/>
      <c r="C872" s="312"/>
      <c r="D872" s="312"/>
      <c r="E872" s="312"/>
      <c r="F872" s="312"/>
      <c r="G872" s="312"/>
      <c r="H872" s="312"/>
      <c r="I872" s="312"/>
      <c r="J872" s="312"/>
      <c r="K872" s="312"/>
      <c r="L872" s="312"/>
      <c r="M872" s="312"/>
      <c r="N872" s="312"/>
      <c r="O872" s="312"/>
      <c r="P872" s="312"/>
      <c r="Q872" s="312"/>
      <c r="R872" s="312"/>
      <c r="S872" s="312"/>
      <c r="T872" s="312"/>
      <c r="U872" s="312"/>
      <c r="V872" s="312"/>
      <c r="W872" s="312"/>
      <c r="X872" s="312"/>
      <c r="Y872" s="312"/>
      <c r="Z872" s="312"/>
    </row>
    <row r="873" customHeight="1" spans="1:26">
      <c r="A873" s="312"/>
      <c r="B873" s="312"/>
      <c r="C873" s="312"/>
      <c r="D873" s="312"/>
      <c r="E873" s="312"/>
      <c r="F873" s="312"/>
      <c r="G873" s="312"/>
      <c r="H873" s="312"/>
      <c r="I873" s="312"/>
      <c r="J873" s="312"/>
      <c r="K873" s="312"/>
      <c r="L873" s="312"/>
      <c r="M873" s="312"/>
      <c r="N873" s="312"/>
      <c r="O873" s="312"/>
      <c r="P873" s="312"/>
      <c r="Q873" s="312"/>
      <c r="R873" s="312"/>
      <c r="S873" s="312"/>
      <c r="T873" s="312"/>
      <c r="U873" s="312"/>
      <c r="V873" s="312"/>
      <c r="W873" s="312"/>
      <c r="X873" s="312"/>
      <c r="Y873" s="312"/>
      <c r="Z873" s="312"/>
    </row>
    <row r="874" customHeight="1" spans="1:26">
      <c r="A874" s="312"/>
      <c r="B874" s="312"/>
      <c r="C874" s="312"/>
      <c r="D874" s="312"/>
      <c r="E874" s="312"/>
      <c r="F874" s="312"/>
      <c r="G874" s="312"/>
      <c r="H874" s="312"/>
      <c r="I874" s="312"/>
      <c r="J874" s="312"/>
      <c r="K874" s="312"/>
      <c r="L874" s="312"/>
      <c r="M874" s="312"/>
      <c r="N874" s="312"/>
      <c r="O874" s="312"/>
      <c r="P874" s="312"/>
      <c r="Q874" s="312"/>
      <c r="R874" s="312"/>
      <c r="S874" s="312"/>
      <c r="T874" s="312"/>
      <c r="U874" s="312"/>
      <c r="V874" s="312"/>
      <c r="W874" s="312"/>
      <c r="X874" s="312"/>
      <c r="Y874" s="312"/>
      <c r="Z874" s="312"/>
    </row>
    <row r="875" customHeight="1" spans="1:26">
      <c r="A875" s="312"/>
      <c r="B875" s="312"/>
      <c r="C875" s="312"/>
      <c r="D875" s="312"/>
      <c r="E875" s="312"/>
      <c r="F875" s="312"/>
      <c r="G875" s="312"/>
      <c r="H875" s="312"/>
      <c r="I875" s="312"/>
      <c r="J875" s="312"/>
      <c r="K875" s="312"/>
      <c r="L875" s="312"/>
      <c r="M875" s="312"/>
      <c r="N875" s="312"/>
      <c r="O875" s="312"/>
      <c r="P875" s="312"/>
      <c r="Q875" s="312"/>
      <c r="R875" s="312"/>
      <c r="S875" s="312"/>
      <c r="T875" s="312"/>
      <c r="U875" s="312"/>
      <c r="V875" s="312"/>
      <c r="W875" s="312"/>
      <c r="X875" s="312"/>
      <c r="Y875" s="312"/>
      <c r="Z875" s="312"/>
    </row>
    <row r="876" customHeight="1" spans="1:26">
      <c r="A876" s="312"/>
      <c r="B876" s="312"/>
      <c r="C876" s="312"/>
      <c r="D876" s="312"/>
      <c r="E876" s="312"/>
      <c r="F876" s="312"/>
      <c r="G876" s="312"/>
      <c r="H876" s="312"/>
      <c r="I876" s="312"/>
      <c r="J876" s="312"/>
      <c r="K876" s="312"/>
      <c r="L876" s="312"/>
      <c r="M876" s="312"/>
      <c r="N876" s="312"/>
      <c r="O876" s="312"/>
      <c r="P876" s="312"/>
      <c r="Q876" s="312"/>
      <c r="R876" s="312"/>
      <c r="S876" s="312"/>
      <c r="T876" s="312"/>
      <c r="U876" s="312"/>
      <c r="V876" s="312"/>
      <c r="W876" s="312"/>
      <c r="X876" s="312"/>
      <c r="Y876" s="312"/>
      <c r="Z876" s="312"/>
    </row>
    <row r="877" customHeight="1" spans="1:26">
      <c r="A877" s="312"/>
      <c r="B877" s="312"/>
      <c r="C877" s="312"/>
      <c r="D877" s="312"/>
      <c r="E877" s="312"/>
      <c r="F877" s="312"/>
      <c r="G877" s="312"/>
      <c r="H877" s="312"/>
      <c r="I877" s="312"/>
      <c r="J877" s="312"/>
      <c r="K877" s="312"/>
      <c r="L877" s="312"/>
      <c r="M877" s="312"/>
      <c r="N877" s="312"/>
      <c r="O877" s="312"/>
      <c r="P877" s="312"/>
      <c r="Q877" s="312"/>
      <c r="R877" s="312"/>
      <c r="S877" s="312"/>
      <c r="T877" s="312"/>
      <c r="U877" s="312"/>
      <c r="V877" s="312"/>
      <c r="W877" s="312"/>
      <c r="X877" s="312"/>
      <c r="Y877" s="312"/>
      <c r="Z877" s="312"/>
    </row>
    <row r="878" customHeight="1" spans="1:26">
      <c r="A878" s="312"/>
      <c r="B878" s="312"/>
      <c r="C878" s="312"/>
      <c r="D878" s="312"/>
      <c r="E878" s="312"/>
      <c r="F878" s="312"/>
      <c r="G878" s="312"/>
      <c r="H878" s="312"/>
      <c r="I878" s="312"/>
      <c r="J878" s="312"/>
      <c r="K878" s="312"/>
      <c r="L878" s="312"/>
      <c r="M878" s="312"/>
      <c r="N878" s="312"/>
      <c r="O878" s="312"/>
      <c r="P878" s="312"/>
      <c r="Q878" s="312"/>
      <c r="R878" s="312"/>
      <c r="S878" s="312"/>
      <c r="T878" s="312"/>
      <c r="U878" s="312"/>
      <c r="V878" s="312"/>
      <c r="W878" s="312"/>
      <c r="X878" s="312"/>
      <c r="Y878" s="312"/>
      <c r="Z878" s="312"/>
    </row>
    <row r="879" customHeight="1" spans="1:26">
      <c r="A879" s="312"/>
      <c r="B879" s="312"/>
      <c r="C879" s="312"/>
      <c r="D879" s="312"/>
      <c r="E879" s="312"/>
      <c r="F879" s="312"/>
      <c r="G879" s="312"/>
      <c r="H879" s="312"/>
      <c r="I879" s="312"/>
      <c r="J879" s="312"/>
      <c r="K879" s="312"/>
      <c r="L879" s="312"/>
      <c r="M879" s="312"/>
      <c r="N879" s="312"/>
      <c r="O879" s="312"/>
      <c r="P879" s="312"/>
      <c r="Q879" s="312"/>
      <c r="R879" s="312"/>
      <c r="S879" s="312"/>
      <c r="T879" s="312"/>
      <c r="U879" s="312"/>
      <c r="V879" s="312"/>
      <c r="W879" s="312"/>
      <c r="X879" s="312"/>
      <c r="Y879" s="312"/>
      <c r="Z879" s="312"/>
    </row>
    <row r="880" customHeight="1" spans="1:26">
      <c r="A880" s="312"/>
      <c r="B880" s="312"/>
      <c r="C880" s="312"/>
      <c r="D880" s="312"/>
      <c r="E880" s="312"/>
      <c r="F880" s="312"/>
      <c r="G880" s="312"/>
      <c r="H880" s="312"/>
      <c r="I880" s="312"/>
      <c r="J880" s="312"/>
      <c r="K880" s="312"/>
      <c r="L880" s="312"/>
      <c r="M880" s="312"/>
      <c r="N880" s="312"/>
      <c r="O880" s="312"/>
      <c r="P880" s="312"/>
      <c r="Q880" s="312"/>
      <c r="R880" s="312"/>
      <c r="S880" s="312"/>
      <c r="T880" s="312"/>
      <c r="U880" s="312"/>
      <c r="V880" s="312"/>
      <c r="W880" s="312"/>
      <c r="X880" s="312"/>
      <c r="Y880" s="312"/>
      <c r="Z880" s="312"/>
    </row>
    <row r="881" customHeight="1" spans="1:26">
      <c r="A881" s="312"/>
      <c r="B881" s="312"/>
      <c r="C881" s="312"/>
      <c r="D881" s="312"/>
      <c r="E881" s="312"/>
      <c r="F881" s="312"/>
      <c r="G881" s="312"/>
      <c r="H881" s="312"/>
      <c r="I881" s="312"/>
      <c r="J881" s="312"/>
      <c r="K881" s="312"/>
      <c r="L881" s="312"/>
      <c r="M881" s="312"/>
      <c r="N881" s="312"/>
      <c r="O881" s="312"/>
      <c r="P881" s="312"/>
      <c r="Q881" s="312"/>
      <c r="R881" s="312"/>
      <c r="S881" s="312"/>
      <c r="T881" s="312"/>
      <c r="U881" s="312"/>
      <c r="V881" s="312"/>
      <c r="W881" s="312"/>
      <c r="X881" s="312"/>
      <c r="Y881" s="312"/>
      <c r="Z881" s="312"/>
    </row>
    <row r="882" customHeight="1" spans="1:26">
      <c r="A882" s="312"/>
      <c r="B882" s="312"/>
      <c r="C882" s="312"/>
      <c r="D882" s="312"/>
      <c r="E882" s="312"/>
      <c r="F882" s="312"/>
      <c r="G882" s="312"/>
      <c r="H882" s="312"/>
      <c r="I882" s="312"/>
      <c r="J882" s="312"/>
      <c r="K882" s="312"/>
      <c r="L882" s="312"/>
      <c r="M882" s="312"/>
      <c r="N882" s="312"/>
      <c r="O882" s="312"/>
      <c r="P882" s="312"/>
      <c r="Q882" s="312"/>
      <c r="R882" s="312"/>
      <c r="S882" s="312"/>
      <c r="T882" s="312"/>
      <c r="U882" s="312"/>
      <c r="V882" s="312"/>
      <c r="W882" s="312"/>
      <c r="X882" s="312"/>
      <c r="Y882" s="312"/>
      <c r="Z882" s="312"/>
    </row>
    <row r="883" customHeight="1" spans="1:26">
      <c r="A883" s="312"/>
      <c r="B883" s="312"/>
      <c r="C883" s="312"/>
      <c r="D883" s="312"/>
      <c r="E883" s="312"/>
      <c r="F883" s="312"/>
      <c r="G883" s="312"/>
      <c r="H883" s="312"/>
      <c r="I883" s="312"/>
      <c r="J883" s="312"/>
      <c r="K883" s="312"/>
      <c r="L883" s="312"/>
      <c r="M883" s="312"/>
      <c r="N883" s="312"/>
      <c r="O883" s="312"/>
      <c r="P883" s="312"/>
      <c r="Q883" s="312"/>
      <c r="R883" s="312"/>
      <c r="S883" s="312"/>
      <c r="T883" s="312"/>
      <c r="U883" s="312"/>
      <c r="V883" s="312"/>
      <c r="W883" s="312"/>
      <c r="X883" s="312"/>
      <c r="Y883" s="312"/>
      <c r="Z883" s="312"/>
    </row>
    <row r="884" customHeight="1" spans="1:26">
      <c r="A884" s="312"/>
      <c r="B884" s="312"/>
      <c r="C884" s="312"/>
      <c r="D884" s="312"/>
      <c r="E884" s="312"/>
      <c r="F884" s="312"/>
      <c r="G884" s="312"/>
      <c r="H884" s="312"/>
      <c r="I884" s="312"/>
      <c r="J884" s="312"/>
      <c r="K884" s="312"/>
      <c r="L884" s="312"/>
      <c r="M884" s="312"/>
      <c r="N884" s="312"/>
      <c r="O884" s="312"/>
      <c r="P884" s="312"/>
      <c r="Q884" s="312"/>
      <c r="R884" s="312"/>
      <c r="S884" s="312"/>
      <c r="T884" s="312"/>
      <c r="U884" s="312"/>
      <c r="V884" s="312"/>
      <c r="W884" s="312"/>
      <c r="X884" s="312"/>
      <c r="Y884" s="312"/>
      <c r="Z884" s="312"/>
    </row>
    <row r="885" customHeight="1" spans="1:26">
      <c r="A885" s="312"/>
      <c r="B885" s="312"/>
      <c r="C885" s="312"/>
      <c r="D885" s="312"/>
      <c r="E885" s="312"/>
      <c r="F885" s="312"/>
      <c r="G885" s="312"/>
      <c r="H885" s="312"/>
      <c r="I885" s="312"/>
      <c r="J885" s="312"/>
      <c r="K885" s="312"/>
      <c r="L885" s="312"/>
      <c r="M885" s="312"/>
      <c r="N885" s="312"/>
      <c r="O885" s="312"/>
      <c r="P885" s="312"/>
      <c r="Q885" s="312"/>
      <c r="R885" s="312"/>
      <c r="S885" s="312"/>
      <c r="T885" s="312"/>
      <c r="U885" s="312"/>
      <c r="V885" s="312"/>
      <c r="W885" s="312"/>
      <c r="X885" s="312"/>
      <c r="Y885" s="312"/>
      <c r="Z885" s="312"/>
    </row>
    <row r="886" customHeight="1" spans="1:26">
      <c r="A886" s="312"/>
      <c r="B886" s="312"/>
      <c r="C886" s="312"/>
      <c r="D886" s="312"/>
      <c r="E886" s="312"/>
      <c r="F886" s="312"/>
      <c r="G886" s="312"/>
      <c r="H886" s="312"/>
      <c r="I886" s="312"/>
      <c r="J886" s="312"/>
      <c r="K886" s="312"/>
      <c r="L886" s="312"/>
      <c r="M886" s="312"/>
      <c r="N886" s="312"/>
      <c r="O886" s="312"/>
      <c r="P886" s="312"/>
      <c r="Q886" s="312"/>
      <c r="R886" s="312"/>
      <c r="S886" s="312"/>
      <c r="T886" s="312"/>
      <c r="U886" s="312"/>
      <c r="V886" s="312"/>
      <c r="W886" s="312"/>
      <c r="X886" s="312"/>
      <c r="Y886" s="312"/>
      <c r="Z886" s="312"/>
    </row>
    <row r="887" customHeight="1" spans="1:26">
      <c r="A887" s="312"/>
      <c r="B887" s="312"/>
      <c r="C887" s="312"/>
      <c r="D887" s="312"/>
      <c r="E887" s="312"/>
      <c r="F887" s="312"/>
      <c r="G887" s="312"/>
      <c r="H887" s="312"/>
      <c r="I887" s="312"/>
      <c r="J887" s="312"/>
      <c r="K887" s="312"/>
      <c r="L887" s="312"/>
      <c r="M887" s="312"/>
      <c r="N887" s="312"/>
      <c r="O887" s="312"/>
      <c r="P887" s="312"/>
      <c r="Q887" s="312"/>
      <c r="R887" s="312"/>
      <c r="S887" s="312"/>
      <c r="T887" s="312"/>
      <c r="U887" s="312"/>
      <c r="V887" s="312"/>
      <c r="W887" s="312"/>
      <c r="X887" s="312"/>
      <c r="Y887" s="312"/>
      <c r="Z887" s="312"/>
    </row>
    <row r="888" customHeight="1" spans="1:26">
      <c r="A888" s="312"/>
      <c r="B888" s="312"/>
      <c r="C888" s="312"/>
      <c r="D888" s="312"/>
      <c r="E888" s="312"/>
      <c r="F888" s="312"/>
      <c r="G888" s="312"/>
      <c r="H888" s="312"/>
      <c r="I888" s="312"/>
      <c r="J888" s="312"/>
      <c r="K888" s="312"/>
      <c r="L888" s="312"/>
      <c r="M888" s="312"/>
      <c r="N888" s="312"/>
      <c r="O888" s="312"/>
      <c r="P888" s="312"/>
      <c r="Q888" s="312"/>
      <c r="R888" s="312"/>
      <c r="S888" s="312"/>
      <c r="T888" s="312"/>
      <c r="U888" s="312"/>
      <c r="V888" s="312"/>
      <c r="W888" s="312"/>
      <c r="X888" s="312"/>
      <c r="Y888" s="312"/>
      <c r="Z888" s="312"/>
    </row>
    <row r="889" customHeight="1" spans="1:26">
      <c r="A889" s="312"/>
      <c r="B889" s="312"/>
      <c r="C889" s="312"/>
      <c r="D889" s="312"/>
      <c r="E889" s="312"/>
      <c r="F889" s="312"/>
      <c r="G889" s="312"/>
      <c r="H889" s="312"/>
      <c r="I889" s="312"/>
      <c r="J889" s="312"/>
      <c r="K889" s="312"/>
      <c r="L889" s="312"/>
      <c r="M889" s="312"/>
      <c r="N889" s="312"/>
      <c r="O889" s="312"/>
      <c r="P889" s="312"/>
      <c r="Q889" s="312"/>
      <c r="R889" s="312"/>
      <c r="S889" s="312"/>
      <c r="T889" s="312"/>
      <c r="U889" s="312"/>
      <c r="V889" s="312"/>
      <c r="W889" s="312"/>
      <c r="X889" s="312"/>
      <c r="Y889" s="312"/>
      <c r="Z889" s="312"/>
    </row>
    <row r="890" customHeight="1" spans="1:26">
      <c r="A890" s="312"/>
      <c r="B890" s="312"/>
      <c r="C890" s="312"/>
      <c r="D890" s="312"/>
      <c r="E890" s="312"/>
      <c r="F890" s="312"/>
      <c r="G890" s="312"/>
      <c r="H890" s="312"/>
      <c r="I890" s="312"/>
      <c r="J890" s="312"/>
      <c r="K890" s="312"/>
      <c r="L890" s="312"/>
      <c r="M890" s="312"/>
      <c r="N890" s="312"/>
      <c r="O890" s="312"/>
      <c r="P890" s="312"/>
      <c r="Q890" s="312"/>
      <c r="R890" s="312"/>
      <c r="S890" s="312"/>
      <c r="T890" s="312"/>
      <c r="U890" s="312"/>
      <c r="V890" s="312"/>
      <c r="W890" s="312"/>
      <c r="X890" s="312"/>
      <c r="Y890" s="312"/>
      <c r="Z890" s="312"/>
    </row>
    <row r="891" customHeight="1" spans="1:26">
      <c r="A891" s="312"/>
      <c r="B891" s="312"/>
      <c r="C891" s="312"/>
      <c r="D891" s="312"/>
      <c r="E891" s="312"/>
      <c r="F891" s="312"/>
      <c r="G891" s="312"/>
      <c r="H891" s="312"/>
      <c r="I891" s="312"/>
      <c r="J891" s="312"/>
      <c r="K891" s="312"/>
      <c r="L891" s="312"/>
      <c r="M891" s="312"/>
      <c r="N891" s="312"/>
      <c r="O891" s="312"/>
      <c r="P891" s="312"/>
      <c r="Q891" s="312"/>
      <c r="R891" s="312"/>
      <c r="S891" s="312"/>
      <c r="T891" s="312"/>
      <c r="U891" s="312"/>
      <c r="V891" s="312"/>
      <c r="W891" s="312"/>
      <c r="X891" s="312"/>
      <c r="Y891" s="312"/>
      <c r="Z891" s="312"/>
    </row>
    <row r="892" customHeight="1" spans="1:26">
      <c r="A892" s="312"/>
      <c r="B892" s="312"/>
      <c r="C892" s="312"/>
      <c r="D892" s="312"/>
      <c r="E892" s="312"/>
      <c r="F892" s="312"/>
      <c r="G892" s="312"/>
      <c r="H892" s="312"/>
      <c r="I892" s="312"/>
      <c r="J892" s="312"/>
      <c r="K892" s="312"/>
      <c r="L892" s="312"/>
      <c r="M892" s="312"/>
      <c r="N892" s="312"/>
      <c r="O892" s="312"/>
      <c r="P892" s="312"/>
      <c r="Q892" s="312"/>
      <c r="R892" s="312"/>
      <c r="S892" s="312"/>
      <c r="T892" s="312"/>
      <c r="U892" s="312"/>
      <c r="V892" s="312"/>
      <c r="W892" s="312"/>
      <c r="X892" s="312"/>
      <c r="Y892" s="312"/>
      <c r="Z892" s="312"/>
    </row>
    <row r="893" customHeight="1" spans="1:26">
      <c r="A893" s="312"/>
      <c r="B893" s="312"/>
      <c r="C893" s="312"/>
      <c r="D893" s="312"/>
      <c r="E893" s="312"/>
      <c r="F893" s="312"/>
      <c r="G893" s="312"/>
      <c r="H893" s="312"/>
      <c r="I893" s="312"/>
      <c r="J893" s="312"/>
      <c r="K893" s="312"/>
      <c r="L893" s="312"/>
      <c r="M893" s="312"/>
      <c r="N893" s="312"/>
      <c r="O893" s="312"/>
      <c r="P893" s="312"/>
      <c r="Q893" s="312"/>
      <c r="R893" s="312"/>
      <c r="S893" s="312"/>
      <c r="T893" s="312"/>
      <c r="U893" s="312"/>
      <c r="V893" s="312"/>
      <c r="W893" s="312"/>
      <c r="X893" s="312"/>
      <c r="Y893" s="312"/>
      <c r="Z893" s="312"/>
    </row>
    <row r="894" customHeight="1" spans="1:26">
      <c r="A894" s="312"/>
      <c r="B894" s="312"/>
      <c r="C894" s="312"/>
      <c r="D894" s="312"/>
      <c r="E894" s="312"/>
      <c r="F894" s="312"/>
      <c r="G894" s="312"/>
      <c r="H894" s="312"/>
      <c r="I894" s="312"/>
      <c r="J894" s="312"/>
      <c r="K894" s="312"/>
      <c r="L894" s="312"/>
      <c r="M894" s="312"/>
      <c r="N894" s="312"/>
      <c r="O894" s="312"/>
      <c r="P894" s="312"/>
      <c r="Q894" s="312"/>
      <c r="R894" s="312"/>
      <c r="S894" s="312"/>
      <c r="T894" s="312"/>
      <c r="U894" s="312"/>
      <c r="V894" s="312"/>
      <c r="W894" s="312"/>
      <c r="X894" s="312"/>
      <c r="Y894" s="312"/>
      <c r="Z894" s="312"/>
    </row>
    <row r="895" customHeight="1" spans="1:26">
      <c r="A895" s="312"/>
      <c r="B895" s="312"/>
      <c r="C895" s="312"/>
      <c r="D895" s="312"/>
      <c r="E895" s="312"/>
      <c r="F895" s="312"/>
      <c r="G895" s="312"/>
      <c r="H895" s="312"/>
      <c r="I895" s="312"/>
      <c r="J895" s="312"/>
      <c r="K895" s="312"/>
      <c r="L895" s="312"/>
      <c r="M895" s="312"/>
      <c r="N895" s="312"/>
      <c r="O895" s="312"/>
      <c r="P895" s="312"/>
      <c r="Q895" s="312"/>
      <c r="R895" s="312"/>
      <c r="S895" s="312"/>
      <c r="T895" s="312"/>
      <c r="U895" s="312"/>
      <c r="V895" s="312"/>
      <c r="W895" s="312"/>
      <c r="X895" s="312"/>
      <c r="Y895" s="312"/>
      <c r="Z895" s="312"/>
    </row>
    <row r="896" customHeight="1" spans="1:26">
      <c r="A896" s="312"/>
      <c r="B896" s="312"/>
      <c r="C896" s="312"/>
      <c r="D896" s="312"/>
      <c r="E896" s="312"/>
      <c r="F896" s="312"/>
      <c r="G896" s="312"/>
      <c r="H896" s="312"/>
      <c r="I896" s="312"/>
      <c r="J896" s="312"/>
      <c r="K896" s="312"/>
      <c r="L896" s="312"/>
      <c r="M896" s="312"/>
      <c r="N896" s="312"/>
      <c r="O896" s="312"/>
      <c r="P896" s="312"/>
      <c r="Q896" s="312"/>
      <c r="R896" s="312"/>
      <c r="S896" s="312"/>
      <c r="T896" s="312"/>
      <c r="U896" s="312"/>
      <c r="V896" s="312"/>
      <c r="W896" s="312"/>
      <c r="X896" s="312"/>
      <c r="Y896" s="312"/>
      <c r="Z896" s="312"/>
    </row>
    <row r="897" customHeight="1" spans="1:26">
      <c r="A897" s="312"/>
      <c r="B897" s="312"/>
      <c r="C897" s="312"/>
      <c r="D897" s="312"/>
      <c r="E897" s="312"/>
      <c r="F897" s="312"/>
      <c r="G897" s="312"/>
      <c r="H897" s="312"/>
      <c r="I897" s="312"/>
      <c r="J897" s="312"/>
      <c r="K897" s="312"/>
      <c r="L897" s="312"/>
      <c r="M897" s="312"/>
      <c r="N897" s="312"/>
      <c r="O897" s="312"/>
      <c r="P897" s="312"/>
      <c r="Q897" s="312"/>
      <c r="R897" s="312"/>
      <c r="S897" s="312"/>
      <c r="T897" s="312"/>
      <c r="U897" s="312"/>
      <c r="V897" s="312"/>
      <c r="W897" s="312"/>
      <c r="X897" s="312"/>
      <c r="Y897" s="312"/>
      <c r="Z897" s="312"/>
    </row>
    <row r="898" customHeight="1" spans="1:26">
      <c r="A898" s="312"/>
      <c r="B898" s="312"/>
      <c r="C898" s="312"/>
      <c r="D898" s="312"/>
      <c r="E898" s="312"/>
      <c r="F898" s="312"/>
      <c r="G898" s="312"/>
      <c r="H898" s="312"/>
      <c r="I898" s="312"/>
      <c r="J898" s="312"/>
      <c r="K898" s="312"/>
      <c r="L898" s="312"/>
      <c r="M898" s="312"/>
      <c r="N898" s="312"/>
      <c r="O898" s="312"/>
      <c r="P898" s="312"/>
      <c r="Q898" s="312"/>
      <c r="R898" s="312"/>
      <c r="S898" s="312"/>
      <c r="T898" s="312"/>
      <c r="U898" s="312"/>
      <c r="V898" s="312"/>
      <c r="W898" s="312"/>
      <c r="X898" s="312"/>
      <c r="Y898" s="312"/>
      <c r="Z898" s="312"/>
    </row>
    <row r="899" customHeight="1" spans="1:26">
      <c r="A899" s="312"/>
      <c r="B899" s="312"/>
      <c r="C899" s="312"/>
      <c r="D899" s="312"/>
      <c r="E899" s="312"/>
      <c r="F899" s="312"/>
      <c r="G899" s="312"/>
      <c r="H899" s="312"/>
      <c r="I899" s="312"/>
      <c r="J899" s="312"/>
      <c r="K899" s="312"/>
      <c r="L899" s="312"/>
      <c r="M899" s="312"/>
      <c r="N899" s="312"/>
      <c r="O899" s="312"/>
      <c r="P899" s="312"/>
      <c r="Q899" s="312"/>
      <c r="R899" s="312"/>
      <c r="S899" s="312"/>
      <c r="T899" s="312"/>
      <c r="U899" s="312"/>
      <c r="V899" s="312"/>
      <c r="W899" s="312"/>
      <c r="X899" s="312"/>
      <c r="Y899" s="312"/>
      <c r="Z899" s="312"/>
    </row>
    <row r="900" customHeight="1" spans="1:26">
      <c r="A900" s="312"/>
      <c r="B900" s="312"/>
      <c r="C900" s="312"/>
      <c r="D900" s="312"/>
      <c r="E900" s="312"/>
      <c r="F900" s="312"/>
      <c r="G900" s="312"/>
      <c r="H900" s="312"/>
      <c r="I900" s="312"/>
      <c r="J900" s="312"/>
      <c r="K900" s="312"/>
      <c r="L900" s="312"/>
      <c r="M900" s="312"/>
      <c r="N900" s="312"/>
      <c r="O900" s="312"/>
      <c r="P900" s="312"/>
      <c r="Q900" s="312"/>
      <c r="R900" s="312"/>
      <c r="S900" s="312"/>
      <c r="T900" s="312"/>
      <c r="U900" s="312"/>
      <c r="V900" s="312"/>
      <c r="W900" s="312"/>
      <c r="X900" s="312"/>
      <c r="Y900" s="312"/>
      <c r="Z900" s="312"/>
    </row>
    <row r="901" customHeight="1" spans="1:26">
      <c r="A901" s="312"/>
      <c r="B901" s="312"/>
      <c r="C901" s="312"/>
      <c r="D901" s="312"/>
      <c r="E901" s="312"/>
      <c r="F901" s="312"/>
      <c r="G901" s="312"/>
      <c r="H901" s="312"/>
      <c r="I901" s="312"/>
      <c r="J901" s="312"/>
      <c r="K901" s="312"/>
      <c r="L901" s="312"/>
      <c r="M901" s="312"/>
      <c r="N901" s="312"/>
      <c r="O901" s="312"/>
      <c r="P901" s="312"/>
      <c r="Q901" s="312"/>
      <c r="R901" s="312"/>
      <c r="S901" s="312"/>
      <c r="T901" s="312"/>
      <c r="U901" s="312"/>
      <c r="V901" s="312"/>
      <c r="W901" s="312"/>
      <c r="X901" s="312"/>
      <c r="Y901" s="312"/>
      <c r="Z901" s="312"/>
    </row>
    <row r="902" customHeight="1" spans="1:26">
      <c r="A902" s="312"/>
      <c r="B902" s="312"/>
      <c r="C902" s="312"/>
      <c r="D902" s="312"/>
      <c r="E902" s="312"/>
      <c r="F902" s="312"/>
      <c r="G902" s="312"/>
      <c r="H902" s="312"/>
      <c r="I902" s="312"/>
      <c r="J902" s="312"/>
      <c r="K902" s="312"/>
      <c r="L902" s="312"/>
      <c r="M902" s="312"/>
      <c r="N902" s="312"/>
      <c r="O902" s="312"/>
      <c r="P902" s="312"/>
      <c r="Q902" s="312"/>
      <c r="R902" s="312"/>
      <c r="S902" s="312"/>
      <c r="T902" s="312"/>
      <c r="U902" s="312"/>
      <c r="V902" s="312"/>
      <c r="W902" s="312"/>
      <c r="X902" s="312"/>
      <c r="Y902" s="312"/>
      <c r="Z902" s="312"/>
    </row>
    <row r="903" customHeight="1" spans="1:26">
      <c r="A903" s="312"/>
      <c r="B903" s="312"/>
      <c r="C903" s="312"/>
      <c r="D903" s="312"/>
      <c r="E903" s="312"/>
      <c r="F903" s="312"/>
      <c r="G903" s="312"/>
      <c r="H903" s="312"/>
      <c r="I903" s="312"/>
      <c r="J903" s="312"/>
      <c r="K903" s="312"/>
      <c r="L903" s="312"/>
      <c r="M903" s="312"/>
      <c r="N903" s="312"/>
      <c r="O903" s="312"/>
      <c r="P903" s="312"/>
      <c r="Q903" s="312"/>
      <c r="R903" s="312"/>
      <c r="S903" s="312"/>
      <c r="T903" s="312"/>
      <c r="U903" s="312"/>
      <c r="V903" s="312"/>
      <c r="W903" s="312"/>
      <c r="X903" s="312"/>
      <c r="Y903" s="312"/>
      <c r="Z903" s="312"/>
    </row>
    <row r="904" customHeight="1" spans="1:26">
      <c r="A904" s="312"/>
      <c r="B904" s="312"/>
      <c r="C904" s="312"/>
      <c r="D904" s="312"/>
      <c r="E904" s="312"/>
      <c r="F904" s="312"/>
      <c r="G904" s="312"/>
      <c r="H904" s="312"/>
      <c r="I904" s="312"/>
      <c r="J904" s="312"/>
      <c r="K904" s="312"/>
      <c r="L904" s="312"/>
      <c r="M904" s="312"/>
      <c r="N904" s="312"/>
      <c r="O904" s="312"/>
      <c r="P904" s="312"/>
      <c r="Q904" s="312"/>
      <c r="R904" s="312"/>
      <c r="S904" s="312"/>
      <c r="T904" s="312"/>
      <c r="U904" s="312"/>
      <c r="V904" s="312"/>
      <c r="W904" s="312"/>
      <c r="X904" s="312"/>
      <c r="Y904" s="312"/>
      <c r="Z904" s="312"/>
    </row>
    <row r="905" customHeight="1" spans="1:26">
      <c r="A905" s="312"/>
      <c r="B905" s="312"/>
      <c r="C905" s="312"/>
      <c r="D905" s="312"/>
      <c r="E905" s="312"/>
      <c r="F905" s="312"/>
      <c r="G905" s="312"/>
      <c r="H905" s="312"/>
      <c r="I905" s="312"/>
      <c r="J905" s="312"/>
      <c r="K905" s="312"/>
      <c r="L905" s="312"/>
      <c r="M905" s="312"/>
      <c r="N905" s="312"/>
      <c r="O905" s="312"/>
      <c r="P905" s="312"/>
      <c r="Q905" s="312"/>
      <c r="R905" s="312"/>
      <c r="S905" s="312"/>
      <c r="T905" s="312"/>
      <c r="U905" s="312"/>
      <c r="V905" s="312"/>
      <c r="W905" s="312"/>
      <c r="X905" s="312"/>
      <c r="Y905" s="312"/>
      <c r="Z905" s="312"/>
    </row>
    <row r="906" customHeight="1" spans="1:26">
      <c r="A906" s="312"/>
      <c r="B906" s="312"/>
      <c r="C906" s="312"/>
      <c r="D906" s="312"/>
      <c r="E906" s="312"/>
      <c r="F906" s="312"/>
      <c r="G906" s="312"/>
      <c r="H906" s="312"/>
      <c r="I906" s="312"/>
      <c r="J906" s="312"/>
      <c r="K906" s="312"/>
      <c r="L906" s="312"/>
      <c r="M906" s="312"/>
      <c r="N906" s="312"/>
      <c r="O906" s="312"/>
      <c r="P906" s="312"/>
      <c r="Q906" s="312"/>
      <c r="R906" s="312"/>
      <c r="S906" s="312"/>
      <c r="T906" s="312"/>
      <c r="U906" s="312"/>
      <c r="V906" s="312"/>
      <c r="W906" s="312"/>
      <c r="X906" s="312"/>
      <c r="Y906" s="312"/>
      <c r="Z906" s="312"/>
    </row>
    <row r="907" customHeight="1" spans="1:26">
      <c r="A907" s="312"/>
      <c r="B907" s="312"/>
      <c r="C907" s="312"/>
      <c r="D907" s="312"/>
      <c r="E907" s="312"/>
      <c r="F907" s="312"/>
      <c r="G907" s="312"/>
      <c r="H907" s="312"/>
      <c r="I907" s="312"/>
      <c r="J907" s="312"/>
      <c r="K907" s="312"/>
      <c r="L907" s="312"/>
      <c r="M907" s="312"/>
      <c r="N907" s="312"/>
      <c r="O907" s="312"/>
      <c r="P907" s="312"/>
      <c r="Q907" s="312"/>
      <c r="R907" s="312"/>
      <c r="S907" s="312"/>
      <c r="T907" s="312"/>
      <c r="U907" s="312"/>
      <c r="V907" s="312"/>
      <c r="W907" s="312"/>
      <c r="X907" s="312"/>
      <c r="Y907" s="312"/>
      <c r="Z907" s="312"/>
    </row>
    <row r="908" customHeight="1" spans="1:26">
      <c r="A908" s="312"/>
      <c r="B908" s="312"/>
      <c r="C908" s="312"/>
      <c r="D908" s="312"/>
      <c r="E908" s="312"/>
      <c r="F908" s="312"/>
      <c r="G908" s="312"/>
      <c r="H908" s="312"/>
      <c r="I908" s="312"/>
      <c r="J908" s="312"/>
      <c r="K908" s="312"/>
      <c r="L908" s="312"/>
      <c r="M908" s="312"/>
      <c r="N908" s="312"/>
      <c r="O908" s="312"/>
      <c r="P908" s="312"/>
      <c r="Q908" s="312"/>
      <c r="R908" s="312"/>
      <c r="S908" s="312"/>
      <c r="T908" s="312"/>
      <c r="U908" s="312"/>
      <c r="V908" s="312"/>
      <c r="W908" s="312"/>
      <c r="X908" s="312"/>
      <c r="Y908" s="312"/>
      <c r="Z908" s="312"/>
    </row>
    <row r="909" customHeight="1" spans="1:26">
      <c r="A909" s="312"/>
      <c r="B909" s="312"/>
      <c r="C909" s="312"/>
      <c r="D909" s="312"/>
      <c r="E909" s="312"/>
      <c r="F909" s="312"/>
      <c r="G909" s="312"/>
      <c r="H909" s="312"/>
      <c r="I909" s="312"/>
      <c r="J909" s="312"/>
      <c r="K909" s="312"/>
      <c r="L909" s="312"/>
      <c r="M909" s="312"/>
      <c r="N909" s="312"/>
      <c r="O909" s="312"/>
      <c r="P909" s="312"/>
      <c r="Q909" s="312"/>
      <c r="R909" s="312"/>
      <c r="S909" s="312"/>
      <c r="T909" s="312"/>
      <c r="U909" s="312"/>
      <c r="V909" s="312"/>
      <c r="W909" s="312"/>
      <c r="X909" s="312"/>
      <c r="Y909" s="312"/>
      <c r="Z909" s="312"/>
    </row>
    <row r="910" customHeight="1" spans="1:26">
      <c r="A910" s="312"/>
      <c r="B910" s="312"/>
      <c r="C910" s="312"/>
      <c r="D910" s="312"/>
      <c r="E910" s="312"/>
      <c r="F910" s="312"/>
      <c r="G910" s="312"/>
      <c r="H910" s="312"/>
      <c r="I910" s="312"/>
      <c r="J910" s="312"/>
      <c r="K910" s="312"/>
      <c r="L910" s="312"/>
      <c r="M910" s="312"/>
      <c r="N910" s="312"/>
      <c r="O910" s="312"/>
      <c r="P910" s="312"/>
      <c r="Q910" s="312"/>
      <c r="R910" s="312"/>
      <c r="S910" s="312"/>
      <c r="T910" s="312"/>
      <c r="U910" s="312"/>
      <c r="V910" s="312"/>
      <c r="W910" s="312"/>
      <c r="X910" s="312"/>
      <c r="Y910" s="312"/>
      <c r="Z910" s="312"/>
    </row>
    <row r="911" customHeight="1" spans="1:26">
      <c r="A911" s="312"/>
      <c r="B911" s="312"/>
      <c r="C911" s="312"/>
      <c r="D911" s="312"/>
      <c r="E911" s="312"/>
      <c r="F911" s="312"/>
      <c r="G911" s="312"/>
      <c r="H911" s="312"/>
      <c r="I911" s="312"/>
      <c r="J911" s="312"/>
      <c r="K911" s="312"/>
      <c r="L911" s="312"/>
      <c r="M911" s="312"/>
      <c r="N911" s="312"/>
      <c r="O911" s="312"/>
      <c r="P911" s="312"/>
      <c r="Q911" s="312"/>
      <c r="R911" s="312"/>
      <c r="S911" s="312"/>
      <c r="T911" s="312"/>
      <c r="U911" s="312"/>
      <c r="V911" s="312"/>
      <c r="W911" s="312"/>
      <c r="X911" s="312"/>
      <c r="Y911" s="312"/>
      <c r="Z911" s="312"/>
    </row>
    <row r="912" customHeight="1" spans="1:26">
      <c r="A912" s="312"/>
      <c r="B912" s="312"/>
      <c r="C912" s="312"/>
      <c r="D912" s="312"/>
      <c r="E912" s="312"/>
      <c r="F912" s="312"/>
      <c r="G912" s="312"/>
      <c r="H912" s="312"/>
      <c r="I912" s="312"/>
      <c r="J912" s="312"/>
      <c r="K912" s="312"/>
      <c r="L912" s="312"/>
      <c r="M912" s="312"/>
      <c r="N912" s="312"/>
      <c r="O912" s="312"/>
      <c r="P912" s="312"/>
      <c r="Q912" s="312"/>
      <c r="R912" s="312"/>
      <c r="S912" s="312"/>
      <c r="T912" s="312"/>
      <c r="U912" s="312"/>
      <c r="V912" s="312"/>
      <c r="W912" s="312"/>
      <c r="X912" s="312"/>
      <c r="Y912" s="312"/>
      <c r="Z912" s="312"/>
    </row>
    <row r="913" customHeight="1" spans="1:26">
      <c r="A913" s="312"/>
      <c r="B913" s="312"/>
      <c r="C913" s="312"/>
      <c r="D913" s="312"/>
      <c r="E913" s="312"/>
      <c r="F913" s="312"/>
      <c r="G913" s="312"/>
      <c r="H913" s="312"/>
      <c r="I913" s="312"/>
      <c r="J913" s="312"/>
      <c r="K913" s="312"/>
      <c r="L913" s="312"/>
      <c r="M913" s="312"/>
      <c r="N913" s="312"/>
      <c r="O913" s="312"/>
      <c r="P913" s="312"/>
      <c r="Q913" s="312"/>
      <c r="R913" s="312"/>
      <c r="S913" s="312"/>
      <c r="T913" s="312"/>
      <c r="U913" s="312"/>
      <c r="V913" s="312"/>
      <c r="W913" s="312"/>
      <c r="X913" s="312"/>
      <c r="Y913" s="312"/>
      <c r="Z913" s="312"/>
    </row>
    <row r="914" customHeight="1" spans="1:26">
      <c r="A914" s="312"/>
      <c r="B914" s="312"/>
      <c r="C914" s="312"/>
      <c r="D914" s="312"/>
      <c r="E914" s="312"/>
      <c r="F914" s="312"/>
      <c r="G914" s="312"/>
      <c r="H914" s="312"/>
      <c r="I914" s="312"/>
      <c r="J914" s="312"/>
      <c r="K914" s="312"/>
      <c r="L914" s="312"/>
      <c r="M914" s="312"/>
      <c r="N914" s="312"/>
      <c r="O914" s="312"/>
      <c r="P914" s="312"/>
      <c r="Q914" s="312"/>
      <c r="R914" s="312"/>
      <c r="S914" s="312"/>
      <c r="T914" s="312"/>
      <c r="U914" s="312"/>
      <c r="V914" s="312"/>
      <c r="W914" s="312"/>
      <c r="X914" s="312"/>
      <c r="Y914" s="312"/>
      <c r="Z914" s="312"/>
    </row>
    <row r="915" customHeight="1" spans="1:26">
      <c r="A915" s="312"/>
      <c r="B915" s="312"/>
      <c r="C915" s="312"/>
      <c r="D915" s="312"/>
      <c r="E915" s="312"/>
      <c r="F915" s="312"/>
      <c r="G915" s="312"/>
      <c r="H915" s="312"/>
      <c r="I915" s="312"/>
      <c r="J915" s="312"/>
      <c r="K915" s="312"/>
      <c r="L915" s="312"/>
      <c r="M915" s="312"/>
      <c r="N915" s="312"/>
      <c r="O915" s="312"/>
      <c r="P915" s="312"/>
      <c r="Q915" s="312"/>
      <c r="R915" s="312"/>
      <c r="S915" s="312"/>
      <c r="T915" s="312"/>
      <c r="U915" s="312"/>
      <c r="V915" s="312"/>
      <c r="W915" s="312"/>
      <c r="X915" s="312"/>
      <c r="Y915" s="312"/>
      <c r="Z915" s="312"/>
    </row>
    <row r="916" customHeight="1" spans="1:26">
      <c r="A916" s="312"/>
      <c r="B916" s="312"/>
      <c r="C916" s="312"/>
      <c r="D916" s="312"/>
      <c r="E916" s="312"/>
      <c r="F916" s="312"/>
      <c r="G916" s="312"/>
      <c r="H916" s="312"/>
      <c r="I916" s="312"/>
      <c r="J916" s="312"/>
      <c r="K916" s="312"/>
      <c r="L916" s="312"/>
      <c r="M916" s="312"/>
      <c r="N916" s="312"/>
      <c r="O916" s="312"/>
      <c r="P916" s="312"/>
      <c r="Q916" s="312"/>
      <c r="R916" s="312"/>
      <c r="S916" s="312"/>
      <c r="T916" s="312"/>
      <c r="U916" s="312"/>
      <c r="V916" s="312"/>
      <c r="W916" s="312"/>
      <c r="X916" s="312"/>
      <c r="Y916" s="312"/>
      <c r="Z916" s="312"/>
    </row>
    <row r="917" customHeight="1" spans="1:26">
      <c r="A917" s="312"/>
      <c r="B917" s="312"/>
      <c r="C917" s="312"/>
      <c r="D917" s="312"/>
      <c r="E917" s="312"/>
      <c r="F917" s="312"/>
      <c r="G917" s="312"/>
      <c r="H917" s="312"/>
      <c r="I917" s="312"/>
      <c r="J917" s="312"/>
      <c r="K917" s="312"/>
      <c r="L917" s="312"/>
      <c r="M917" s="312"/>
      <c r="N917" s="312"/>
      <c r="O917" s="312"/>
      <c r="P917" s="312"/>
      <c r="Q917" s="312"/>
      <c r="R917" s="312"/>
      <c r="S917" s="312"/>
      <c r="T917" s="312"/>
      <c r="U917" s="312"/>
      <c r="V917" s="312"/>
      <c r="W917" s="312"/>
      <c r="X917" s="312"/>
      <c r="Y917" s="312"/>
      <c r="Z917" s="312"/>
    </row>
    <row r="918" customHeight="1" spans="1:26">
      <c r="A918" s="312"/>
      <c r="B918" s="312"/>
      <c r="C918" s="312"/>
      <c r="D918" s="312"/>
      <c r="E918" s="312"/>
      <c r="F918" s="312"/>
      <c r="G918" s="312"/>
      <c r="H918" s="312"/>
      <c r="I918" s="312"/>
      <c r="J918" s="312"/>
      <c r="K918" s="312"/>
      <c r="L918" s="312"/>
      <c r="M918" s="312"/>
      <c r="N918" s="312"/>
      <c r="O918" s="312"/>
      <c r="P918" s="312"/>
      <c r="Q918" s="312"/>
      <c r="R918" s="312"/>
      <c r="S918" s="312"/>
      <c r="T918" s="312"/>
      <c r="U918" s="312"/>
      <c r="V918" s="312"/>
      <c r="W918" s="312"/>
      <c r="X918" s="312"/>
      <c r="Y918" s="312"/>
      <c r="Z918" s="312"/>
    </row>
    <row r="919" customHeight="1" spans="1:26">
      <c r="A919" s="312"/>
      <c r="B919" s="312"/>
      <c r="C919" s="312"/>
      <c r="D919" s="312"/>
      <c r="E919" s="312"/>
      <c r="F919" s="312"/>
      <c r="G919" s="312"/>
      <c r="H919" s="312"/>
      <c r="I919" s="312"/>
      <c r="J919" s="312"/>
      <c r="K919" s="312"/>
      <c r="L919" s="312"/>
      <c r="M919" s="312"/>
      <c r="N919" s="312"/>
      <c r="O919" s="312"/>
      <c r="P919" s="312"/>
      <c r="Q919" s="312"/>
      <c r="R919" s="312"/>
      <c r="S919" s="312"/>
      <c r="T919" s="312"/>
      <c r="U919" s="312"/>
      <c r="V919" s="312"/>
      <c r="W919" s="312"/>
      <c r="X919" s="312"/>
      <c r="Y919" s="312"/>
      <c r="Z919" s="312"/>
    </row>
    <row r="920" customHeight="1" spans="1:26">
      <c r="A920" s="312"/>
      <c r="B920" s="312"/>
      <c r="C920" s="312"/>
      <c r="D920" s="312"/>
      <c r="E920" s="312"/>
      <c r="F920" s="312"/>
      <c r="G920" s="312"/>
      <c r="H920" s="312"/>
      <c r="I920" s="312"/>
      <c r="J920" s="312"/>
      <c r="K920" s="312"/>
      <c r="L920" s="312"/>
      <c r="M920" s="312"/>
      <c r="N920" s="312"/>
      <c r="O920" s="312"/>
      <c r="P920" s="312"/>
      <c r="Q920" s="312"/>
      <c r="R920" s="312"/>
      <c r="S920" s="312"/>
      <c r="T920" s="312"/>
      <c r="U920" s="312"/>
      <c r="V920" s="312"/>
      <c r="W920" s="312"/>
      <c r="X920" s="312"/>
      <c r="Y920" s="312"/>
      <c r="Z920" s="312"/>
    </row>
    <row r="921" customHeight="1" spans="1:26">
      <c r="A921" s="312"/>
      <c r="B921" s="312"/>
      <c r="C921" s="312"/>
      <c r="D921" s="312"/>
      <c r="E921" s="312"/>
      <c r="F921" s="312"/>
      <c r="G921" s="312"/>
      <c r="H921" s="312"/>
      <c r="I921" s="312"/>
      <c r="J921" s="312"/>
      <c r="K921" s="312"/>
      <c r="L921" s="312"/>
      <c r="M921" s="312"/>
      <c r="N921" s="312"/>
      <c r="O921" s="312"/>
      <c r="P921" s="312"/>
      <c r="Q921" s="312"/>
      <c r="R921" s="312"/>
      <c r="S921" s="312"/>
      <c r="T921" s="312"/>
      <c r="U921" s="312"/>
      <c r="V921" s="312"/>
      <c r="W921" s="312"/>
      <c r="X921" s="312"/>
      <c r="Y921" s="312"/>
      <c r="Z921" s="312"/>
    </row>
    <row r="922" customHeight="1" spans="1:26">
      <c r="A922" s="312"/>
      <c r="B922" s="312"/>
      <c r="C922" s="312"/>
      <c r="D922" s="312"/>
      <c r="E922" s="312"/>
      <c r="F922" s="312"/>
      <c r="G922" s="312"/>
      <c r="H922" s="312"/>
      <c r="I922" s="312"/>
      <c r="J922" s="312"/>
      <c r="K922" s="312"/>
      <c r="L922" s="312"/>
      <c r="M922" s="312"/>
      <c r="N922" s="312"/>
      <c r="O922" s="312"/>
      <c r="P922" s="312"/>
      <c r="Q922" s="312"/>
      <c r="R922" s="312"/>
      <c r="S922" s="312"/>
      <c r="T922" s="312"/>
      <c r="U922" s="312"/>
      <c r="V922" s="312"/>
      <c r="W922" s="312"/>
      <c r="X922" s="312"/>
      <c r="Y922" s="312"/>
      <c r="Z922" s="312"/>
    </row>
    <row r="923" customHeight="1" spans="1:26">
      <c r="A923" s="312"/>
      <c r="B923" s="312"/>
      <c r="C923" s="312"/>
      <c r="D923" s="312"/>
      <c r="E923" s="312"/>
      <c r="F923" s="312"/>
      <c r="G923" s="312"/>
      <c r="H923" s="312"/>
      <c r="I923" s="312"/>
      <c r="J923" s="312"/>
      <c r="K923" s="312"/>
      <c r="L923" s="312"/>
      <c r="M923" s="312"/>
      <c r="N923" s="312"/>
      <c r="O923" s="312"/>
      <c r="P923" s="312"/>
      <c r="Q923" s="312"/>
      <c r="R923" s="312"/>
      <c r="S923" s="312"/>
      <c r="T923" s="312"/>
      <c r="U923" s="312"/>
      <c r="V923" s="312"/>
      <c r="W923" s="312"/>
      <c r="X923" s="312"/>
      <c r="Y923" s="312"/>
      <c r="Z923" s="312"/>
    </row>
    <row r="924" customHeight="1" spans="1:26">
      <c r="A924" s="312"/>
      <c r="B924" s="312"/>
      <c r="C924" s="312"/>
      <c r="D924" s="312"/>
      <c r="E924" s="312"/>
      <c r="F924" s="312"/>
      <c r="G924" s="312"/>
      <c r="H924" s="312"/>
      <c r="I924" s="312"/>
      <c r="J924" s="312"/>
      <c r="K924" s="312"/>
      <c r="L924" s="312"/>
      <c r="M924" s="312"/>
      <c r="N924" s="312"/>
      <c r="O924" s="312"/>
      <c r="P924" s="312"/>
      <c r="Q924" s="312"/>
      <c r="R924" s="312"/>
      <c r="S924" s="312"/>
      <c r="T924" s="312"/>
      <c r="U924" s="312"/>
      <c r="V924" s="312"/>
      <c r="W924" s="312"/>
      <c r="X924" s="312"/>
      <c r="Y924" s="312"/>
      <c r="Z924" s="312"/>
    </row>
    <row r="925" customHeight="1" spans="1:26">
      <c r="A925" s="312"/>
      <c r="B925" s="312"/>
      <c r="C925" s="312"/>
      <c r="D925" s="312"/>
      <c r="E925" s="312"/>
      <c r="F925" s="312"/>
      <c r="G925" s="312"/>
      <c r="H925" s="312"/>
      <c r="I925" s="312"/>
      <c r="J925" s="312"/>
      <c r="K925" s="312"/>
      <c r="L925" s="312"/>
      <c r="M925" s="312"/>
      <c r="N925" s="312"/>
      <c r="O925" s="312"/>
      <c r="P925" s="312"/>
      <c r="Q925" s="312"/>
      <c r="R925" s="312"/>
      <c r="S925" s="312"/>
      <c r="T925" s="312"/>
      <c r="U925" s="312"/>
      <c r="V925" s="312"/>
      <c r="W925" s="312"/>
      <c r="X925" s="312"/>
      <c r="Y925" s="312"/>
      <c r="Z925" s="312"/>
    </row>
    <row r="926" customHeight="1" spans="1:26">
      <c r="A926" s="312"/>
      <c r="B926" s="312"/>
      <c r="C926" s="312"/>
      <c r="D926" s="312"/>
      <c r="E926" s="312"/>
      <c r="F926" s="312"/>
      <c r="G926" s="312"/>
      <c r="H926" s="312"/>
      <c r="I926" s="312"/>
      <c r="J926" s="312"/>
      <c r="K926" s="312"/>
      <c r="L926" s="312"/>
      <c r="M926" s="312"/>
      <c r="N926" s="312"/>
      <c r="O926" s="312"/>
      <c r="P926" s="312"/>
      <c r="Q926" s="312"/>
      <c r="R926" s="312"/>
      <c r="S926" s="312"/>
      <c r="T926" s="312"/>
      <c r="U926" s="312"/>
      <c r="V926" s="312"/>
      <c r="W926" s="312"/>
      <c r="X926" s="312"/>
      <c r="Y926" s="312"/>
      <c r="Z926" s="312"/>
    </row>
    <row r="927" customHeight="1" spans="1:26">
      <c r="A927" s="312"/>
      <c r="B927" s="312"/>
      <c r="C927" s="312"/>
      <c r="D927" s="312"/>
      <c r="E927" s="312"/>
      <c r="F927" s="312"/>
      <c r="G927" s="312"/>
      <c r="H927" s="312"/>
      <c r="I927" s="312"/>
      <c r="J927" s="312"/>
      <c r="K927" s="312"/>
      <c r="L927" s="312"/>
      <c r="M927" s="312"/>
      <c r="N927" s="312"/>
      <c r="O927" s="312"/>
      <c r="P927" s="312"/>
      <c r="Q927" s="312"/>
      <c r="R927" s="312"/>
      <c r="S927" s="312"/>
      <c r="T927" s="312"/>
      <c r="U927" s="312"/>
      <c r="V927" s="312"/>
      <c r="W927" s="312"/>
      <c r="X927" s="312"/>
      <c r="Y927" s="312"/>
      <c r="Z927" s="312"/>
    </row>
    <row r="928" customHeight="1" spans="1:26">
      <c r="A928" s="312"/>
      <c r="B928" s="312"/>
      <c r="C928" s="312"/>
      <c r="D928" s="312"/>
      <c r="E928" s="312"/>
      <c r="F928" s="312"/>
      <c r="G928" s="312"/>
      <c r="H928" s="312"/>
      <c r="I928" s="312"/>
      <c r="J928" s="312"/>
      <c r="K928" s="312"/>
      <c r="L928" s="312"/>
      <c r="M928" s="312"/>
      <c r="N928" s="312"/>
      <c r="O928" s="312"/>
      <c r="P928" s="312"/>
      <c r="Q928" s="312"/>
      <c r="R928" s="312"/>
      <c r="S928" s="312"/>
      <c r="T928" s="312"/>
      <c r="U928" s="312"/>
      <c r="V928" s="312"/>
      <c r="W928" s="312"/>
      <c r="X928" s="312"/>
      <c r="Y928" s="312"/>
      <c r="Z928" s="312"/>
    </row>
    <row r="929" customHeight="1" spans="1:26">
      <c r="A929" s="312"/>
      <c r="B929" s="312"/>
      <c r="C929" s="312"/>
      <c r="D929" s="312"/>
      <c r="E929" s="312"/>
      <c r="F929" s="312"/>
      <c r="G929" s="312"/>
      <c r="H929" s="312"/>
      <c r="I929" s="312"/>
      <c r="J929" s="312"/>
      <c r="K929" s="312"/>
      <c r="L929" s="312"/>
      <c r="M929" s="312"/>
      <c r="N929" s="312"/>
      <c r="O929" s="312"/>
      <c r="P929" s="312"/>
      <c r="Q929" s="312"/>
      <c r="R929" s="312"/>
      <c r="S929" s="312"/>
      <c r="T929" s="312"/>
      <c r="U929" s="312"/>
      <c r="V929" s="312"/>
      <c r="W929" s="312"/>
      <c r="X929" s="312"/>
      <c r="Y929" s="312"/>
      <c r="Z929" s="312"/>
    </row>
    <row r="930" customHeight="1" spans="1:26">
      <c r="A930" s="312"/>
      <c r="B930" s="312"/>
      <c r="C930" s="312"/>
      <c r="D930" s="312"/>
      <c r="E930" s="312"/>
      <c r="F930" s="312"/>
      <c r="G930" s="312"/>
      <c r="H930" s="312"/>
      <c r="I930" s="312"/>
      <c r="J930" s="312"/>
      <c r="K930" s="312"/>
      <c r="L930" s="312"/>
      <c r="M930" s="312"/>
      <c r="N930" s="312"/>
      <c r="O930" s="312"/>
      <c r="P930" s="312"/>
      <c r="Q930" s="312"/>
      <c r="R930" s="312"/>
      <c r="S930" s="312"/>
      <c r="T930" s="312"/>
      <c r="U930" s="312"/>
      <c r="V930" s="312"/>
      <c r="W930" s="312"/>
      <c r="X930" s="312"/>
      <c r="Y930" s="312"/>
      <c r="Z930" s="312"/>
    </row>
    <row r="931" customHeight="1" spans="1:26">
      <c r="A931" s="312"/>
      <c r="B931" s="312"/>
      <c r="C931" s="312"/>
      <c r="D931" s="312"/>
      <c r="E931" s="312"/>
      <c r="F931" s="312"/>
      <c r="G931" s="312"/>
      <c r="H931" s="312"/>
      <c r="I931" s="312"/>
      <c r="J931" s="312"/>
      <c r="K931" s="312"/>
      <c r="L931" s="312"/>
      <c r="M931" s="312"/>
      <c r="N931" s="312"/>
      <c r="O931" s="312"/>
      <c r="P931" s="312"/>
      <c r="Q931" s="312"/>
      <c r="R931" s="312"/>
      <c r="S931" s="312"/>
      <c r="T931" s="312"/>
      <c r="U931" s="312"/>
      <c r="V931" s="312"/>
      <c r="W931" s="312"/>
      <c r="X931" s="312"/>
      <c r="Y931" s="312"/>
      <c r="Z931" s="312"/>
    </row>
    <row r="932" customHeight="1" spans="1:26">
      <c r="A932" s="312"/>
      <c r="B932" s="312"/>
      <c r="C932" s="312"/>
      <c r="D932" s="312"/>
      <c r="E932" s="312"/>
      <c r="F932" s="312"/>
      <c r="G932" s="312"/>
      <c r="H932" s="312"/>
      <c r="I932" s="312"/>
      <c r="J932" s="312"/>
      <c r="K932" s="312"/>
      <c r="L932" s="312"/>
      <c r="M932" s="312"/>
      <c r="N932" s="312"/>
      <c r="O932" s="312"/>
      <c r="P932" s="312"/>
      <c r="Q932" s="312"/>
      <c r="R932" s="312"/>
      <c r="S932" s="312"/>
      <c r="T932" s="312"/>
      <c r="U932" s="312"/>
      <c r="V932" s="312"/>
      <c r="W932" s="312"/>
      <c r="X932" s="312"/>
      <c r="Y932" s="312"/>
      <c r="Z932" s="312"/>
    </row>
    <row r="933" customHeight="1" spans="1:26">
      <c r="A933" s="312"/>
      <c r="B933" s="312"/>
      <c r="C933" s="312"/>
      <c r="D933" s="312"/>
      <c r="E933" s="312"/>
      <c r="F933" s="312"/>
      <c r="G933" s="312"/>
      <c r="H933" s="312"/>
      <c r="I933" s="312"/>
      <c r="J933" s="312"/>
      <c r="K933" s="312"/>
      <c r="L933" s="312"/>
      <c r="M933" s="312"/>
      <c r="N933" s="312"/>
      <c r="O933" s="312"/>
      <c r="P933" s="312"/>
      <c r="Q933" s="312"/>
      <c r="R933" s="312"/>
      <c r="S933" s="312"/>
      <c r="T933" s="312"/>
      <c r="U933" s="312"/>
      <c r="V933" s="312"/>
      <c r="W933" s="312"/>
      <c r="X933" s="312"/>
      <c r="Y933" s="312"/>
      <c r="Z933" s="312"/>
    </row>
    <row r="934" customHeight="1" spans="1:26">
      <c r="A934" s="312"/>
      <c r="B934" s="312"/>
      <c r="C934" s="312"/>
      <c r="D934" s="312"/>
      <c r="E934" s="312"/>
      <c r="F934" s="312"/>
      <c r="G934" s="312"/>
      <c r="H934" s="312"/>
      <c r="I934" s="312"/>
      <c r="J934" s="312"/>
      <c r="K934" s="312"/>
      <c r="L934" s="312"/>
      <c r="M934" s="312"/>
      <c r="N934" s="312"/>
      <c r="O934" s="312"/>
      <c r="P934" s="312"/>
      <c r="Q934" s="312"/>
      <c r="R934" s="312"/>
      <c r="S934" s="312"/>
      <c r="T934" s="312"/>
      <c r="U934" s="312"/>
      <c r="V934" s="312"/>
      <c r="W934" s="312"/>
      <c r="X934" s="312"/>
      <c r="Y934" s="312"/>
      <c r="Z934" s="312"/>
    </row>
    <row r="935" customHeight="1" spans="1:26">
      <c r="A935" s="312"/>
      <c r="B935" s="312"/>
      <c r="C935" s="312"/>
      <c r="D935" s="312"/>
      <c r="E935" s="312"/>
      <c r="F935" s="312"/>
      <c r="G935" s="312"/>
      <c r="H935" s="312"/>
      <c r="I935" s="312"/>
      <c r="J935" s="312"/>
      <c r="K935" s="312"/>
      <c r="L935" s="312"/>
      <c r="M935" s="312"/>
      <c r="N935" s="312"/>
      <c r="O935" s="312"/>
      <c r="P935" s="312"/>
      <c r="Q935" s="312"/>
      <c r="R935" s="312"/>
      <c r="S935" s="312"/>
      <c r="T935" s="312"/>
      <c r="U935" s="312"/>
      <c r="V935" s="312"/>
      <c r="W935" s="312"/>
      <c r="X935" s="312"/>
      <c r="Y935" s="312"/>
      <c r="Z935" s="312"/>
    </row>
    <row r="936" customHeight="1" spans="1:26">
      <c r="A936" s="312"/>
      <c r="B936" s="312"/>
      <c r="C936" s="312"/>
      <c r="D936" s="312"/>
      <c r="E936" s="312"/>
      <c r="F936" s="312"/>
      <c r="G936" s="312"/>
      <c r="H936" s="312"/>
      <c r="I936" s="312"/>
      <c r="J936" s="312"/>
      <c r="K936" s="312"/>
      <c r="L936" s="312"/>
      <c r="M936" s="312"/>
      <c r="N936" s="312"/>
      <c r="O936" s="312"/>
      <c r="P936" s="312"/>
      <c r="Q936" s="312"/>
      <c r="R936" s="312"/>
      <c r="S936" s="312"/>
      <c r="T936" s="312"/>
      <c r="U936" s="312"/>
      <c r="V936" s="312"/>
      <c r="W936" s="312"/>
      <c r="X936" s="312"/>
      <c r="Y936" s="312"/>
      <c r="Z936" s="312"/>
    </row>
    <row r="937" customHeight="1" spans="1:26">
      <c r="A937" s="312"/>
      <c r="B937" s="312"/>
      <c r="C937" s="312"/>
      <c r="D937" s="312"/>
      <c r="E937" s="312"/>
      <c r="F937" s="312"/>
      <c r="G937" s="312"/>
      <c r="H937" s="312"/>
      <c r="I937" s="312"/>
      <c r="J937" s="312"/>
      <c r="K937" s="312"/>
      <c r="L937" s="312"/>
      <c r="M937" s="312"/>
      <c r="N937" s="312"/>
      <c r="O937" s="312"/>
      <c r="P937" s="312"/>
      <c r="Q937" s="312"/>
      <c r="R937" s="312"/>
      <c r="S937" s="312"/>
      <c r="T937" s="312"/>
      <c r="U937" s="312"/>
      <c r="V937" s="312"/>
      <c r="W937" s="312"/>
      <c r="X937" s="312"/>
      <c r="Y937" s="312"/>
      <c r="Z937" s="312"/>
    </row>
    <row r="938" customHeight="1" spans="1:26">
      <c r="A938" s="312"/>
      <c r="B938" s="312"/>
      <c r="C938" s="312"/>
      <c r="D938" s="312"/>
      <c r="E938" s="312"/>
      <c r="F938" s="312"/>
      <c r="G938" s="312"/>
      <c r="H938" s="312"/>
      <c r="I938" s="312"/>
      <c r="J938" s="312"/>
      <c r="K938" s="312"/>
      <c r="L938" s="312"/>
      <c r="M938" s="312"/>
      <c r="N938" s="312"/>
      <c r="O938" s="312"/>
      <c r="P938" s="312"/>
      <c r="Q938" s="312"/>
      <c r="R938" s="312"/>
      <c r="S938" s="312"/>
      <c r="T938" s="312"/>
      <c r="U938" s="312"/>
      <c r="V938" s="312"/>
      <c r="W938" s="312"/>
      <c r="X938" s="312"/>
      <c r="Y938" s="312"/>
      <c r="Z938" s="312"/>
    </row>
    <row r="939" customHeight="1" spans="1:26">
      <c r="A939" s="312"/>
      <c r="B939" s="312"/>
      <c r="C939" s="312"/>
      <c r="D939" s="312"/>
      <c r="E939" s="312"/>
      <c r="F939" s="312"/>
      <c r="G939" s="312"/>
      <c r="H939" s="312"/>
      <c r="I939" s="312"/>
      <c r="J939" s="312"/>
      <c r="K939" s="312"/>
      <c r="L939" s="312"/>
      <c r="M939" s="312"/>
      <c r="N939" s="312"/>
      <c r="O939" s="312"/>
      <c r="P939" s="312"/>
      <c r="Q939" s="312"/>
      <c r="R939" s="312"/>
      <c r="S939" s="312"/>
      <c r="T939" s="312"/>
      <c r="U939" s="312"/>
      <c r="V939" s="312"/>
      <c r="W939" s="312"/>
      <c r="X939" s="312"/>
      <c r="Y939" s="312"/>
      <c r="Z939" s="312"/>
    </row>
    <row r="940" customHeight="1" spans="1:26">
      <c r="A940" s="312"/>
      <c r="B940" s="312"/>
      <c r="C940" s="312"/>
      <c r="D940" s="312"/>
      <c r="E940" s="312"/>
      <c r="F940" s="312"/>
      <c r="G940" s="312"/>
      <c r="H940" s="312"/>
      <c r="I940" s="312"/>
      <c r="J940" s="312"/>
      <c r="K940" s="312"/>
      <c r="L940" s="312"/>
      <c r="M940" s="312"/>
      <c r="N940" s="312"/>
      <c r="O940" s="312"/>
      <c r="P940" s="312"/>
      <c r="Q940" s="312"/>
      <c r="R940" s="312"/>
      <c r="S940" s="312"/>
      <c r="T940" s="312"/>
      <c r="U940" s="312"/>
      <c r="V940" s="312"/>
      <c r="W940" s="312"/>
      <c r="X940" s="312"/>
      <c r="Y940" s="312"/>
      <c r="Z940" s="312"/>
    </row>
    <row r="941" customHeight="1" spans="1:26">
      <c r="A941" s="312"/>
      <c r="B941" s="312"/>
      <c r="C941" s="312"/>
      <c r="D941" s="312"/>
      <c r="E941" s="312"/>
      <c r="F941" s="312"/>
      <c r="G941" s="312"/>
      <c r="H941" s="312"/>
      <c r="I941" s="312"/>
      <c r="J941" s="312"/>
      <c r="K941" s="312"/>
      <c r="L941" s="312"/>
      <c r="M941" s="312"/>
      <c r="N941" s="312"/>
      <c r="O941" s="312"/>
      <c r="P941" s="312"/>
      <c r="Q941" s="312"/>
      <c r="R941" s="312"/>
      <c r="S941" s="312"/>
      <c r="T941" s="312"/>
      <c r="U941" s="312"/>
      <c r="V941" s="312"/>
      <c r="W941" s="312"/>
      <c r="X941" s="312"/>
      <c r="Y941" s="312"/>
      <c r="Z941" s="312"/>
    </row>
    <row r="942" customHeight="1" spans="1:26">
      <c r="A942" s="312"/>
      <c r="B942" s="312"/>
      <c r="C942" s="312"/>
      <c r="D942" s="312"/>
      <c r="E942" s="312"/>
      <c r="F942" s="312"/>
      <c r="G942" s="312"/>
      <c r="H942" s="312"/>
      <c r="I942" s="312"/>
      <c r="J942" s="312"/>
      <c r="K942" s="312"/>
      <c r="L942" s="312"/>
      <c r="M942" s="312"/>
      <c r="N942" s="312"/>
      <c r="O942" s="312"/>
      <c r="P942" s="312"/>
      <c r="Q942" s="312"/>
      <c r="R942" s="312"/>
      <c r="S942" s="312"/>
      <c r="T942" s="312"/>
      <c r="U942" s="312"/>
      <c r="V942" s="312"/>
      <c r="W942" s="312"/>
      <c r="X942" s="312"/>
      <c r="Y942" s="312"/>
      <c r="Z942" s="312"/>
    </row>
    <row r="943" customHeight="1" spans="1:26">
      <c r="A943" s="312"/>
      <c r="B943" s="312"/>
      <c r="C943" s="312"/>
      <c r="D943" s="312"/>
      <c r="E943" s="312"/>
      <c r="F943" s="312"/>
      <c r="G943" s="312"/>
      <c r="H943" s="312"/>
      <c r="I943" s="312"/>
      <c r="J943" s="312"/>
      <c r="K943" s="312"/>
      <c r="L943" s="312"/>
      <c r="M943" s="312"/>
      <c r="N943" s="312"/>
      <c r="O943" s="312"/>
      <c r="P943" s="312"/>
      <c r="Q943" s="312"/>
      <c r="R943" s="312"/>
      <c r="S943" s="312"/>
      <c r="T943" s="312"/>
      <c r="U943" s="312"/>
      <c r="V943" s="312"/>
      <c r="W943" s="312"/>
      <c r="X943" s="312"/>
      <c r="Y943" s="312"/>
      <c r="Z943" s="312"/>
    </row>
    <row r="944" customHeight="1" spans="1:26">
      <c r="A944" s="312"/>
      <c r="B944" s="312"/>
      <c r="C944" s="312"/>
      <c r="D944" s="312"/>
      <c r="E944" s="312"/>
      <c r="F944" s="312"/>
      <c r="G944" s="312"/>
      <c r="H944" s="312"/>
      <c r="I944" s="312"/>
      <c r="J944" s="312"/>
      <c r="K944" s="312"/>
      <c r="L944" s="312"/>
      <c r="M944" s="312"/>
      <c r="N944" s="312"/>
      <c r="O944" s="312"/>
      <c r="P944" s="312"/>
      <c r="Q944" s="312"/>
      <c r="R944" s="312"/>
      <c r="S944" s="312"/>
      <c r="T944" s="312"/>
      <c r="U944" s="312"/>
      <c r="V944" s="312"/>
      <c r="W944" s="312"/>
      <c r="X944" s="312"/>
      <c r="Y944" s="312"/>
      <c r="Z944" s="312"/>
    </row>
    <row r="945" customHeight="1" spans="1:26">
      <c r="A945" s="312"/>
      <c r="B945" s="312"/>
      <c r="C945" s="312"/>
      <c r="D945" s="312"/>
      <c r="E945" s="312"/>
      <c r="F945" s="312"/>
      <c r="G945" s="312"/>
      <c r="H945" s="312"/>
      <c r="I945" s="312"/>
      <c r="J945" s="312"/>
      <c r="K945" s="312"/>
      <c r="L945" s="312"/>
      <c r="M945" s="312"/>
      <c r="N945" s="312"/>
      <c r="O945" s="312"/>
      <c r="P945" s="312"/>
      <c r="Q945" s="312"/>
      <c r="R945" s="312"/>
      <c r="S945" s="312"/>
      <c r="T945" s="312"/>
      <c r="U945" s="312"/>
      <c r="V945" s="312"/>
      <c r="W945" s="312"/>
      <c r="X945" s="312"/>
      <c r="Y945" s="312"/>
      <c r="Z945" s="312"/>
    </row>
    <row r="946" customHeight="1" spans="1:26">
      <c r="A946" s="312"/>
      <c r="B946" s="312"/>
      <c r="C946" s="312"/>
      <c r="D946" s="312"/>
      <c r="E946" s="312"/>
      <c r="F946" s="312"/>
      <c r="G946" s="312"/>
      <c r="H946" s="312"/>
      <c r="I946" s="312"/>
      <c r="J946" s="312"/>
      <c r="K946" s="312"/>
      <c r="L946" s="312"/>
      <c r="M946" s="312"/>
      <c r="N946" s="312"/>
      <c r="O946" s="312"/>
      <c r="P946" s="312"/>
      <c r="Q946" s="312"/>
      <c r="R946" s="312"/>
      <c r="S946" s="312"/>
      <c r="T946" s="312"/>
      <c r="U946" s="312"/>
      <c r="V946" s="312"/>
      <c r="W946" s="312"/>
      <c r="X946" s="312"/>
      <c r="Y946" s="312"/>
      <c r="Z946" s="312"/>
    </row>
    <row r="947" customHeight="1" spans="1:26">
      <c r="A947" s="312"/>
      <c r="B947" s="312"/>
      <c r="C947" s="312"/>
      <c r="D947" s="312"/>
      <c r="E947" s="312"/>
      <c r="F947" s="312"/>
      <c r="G947" s="312"/>
      <c r="H947" s="312"/>
      <c r="I947" s="312"/>
      <c r="J947" s="312"/>
      <c r="K947" s="312"/>
      <c r="L947" s="312"/>
      <c r="M947" s="312"/>
      <c r="N947" s="312"/>
      <c r="O947" s="312"/>
      <c r="P947" s="312"/>
      <c r="Q947" s="312"/>
      <c r="R947" s="312"/>
      <c r="S947" s="312"/>
      <c r="T947" s="312"/>
      <c r="U947" s="312"/>
      <c r="V947" s="312"/>
      <c r="W947" s="312"/>
      <c r="X947" s="312"/>
      <c r="Y947" s="312"/>
      <c r="Z947" s="312"/>
    </row>
    <row r="948" customHeight="1" spans="1:26">
      <c r="A948" s="312"/>
      <c r="B948" s="312"/>
      <c r="C948" s="312"/>
      <c r="D948" s="312"/>
      <c r="E948" s="312"/>
      <c r="F948" s="312"/>
      <c r="G948" s="312"/>
      <c r="H948" s="312"/>
      <c r="I948" s="312"/>
      <c r="J948" s="312"/>
      <c r="K948" s="312"/>
      <c r="L948" s="312"/>
      <c r="M948" s="312"/>
      <c r="N948" s="312"/>
      <c r="O948" s="312"/>
      <c r="P948" s="312"/>
      <c r="Q948" s="312"/>
      <c r="R948" s="312"/>
      <c r="S948" s="312"/>
      <c r="T948" s="312"/>
      <c r="U948" s="312"/>
      <c r="V948" s="312"/>
      <c r="W948" s="312"/>
      <c r="X948" s="312"/>
      <c r="Y948" s="312"/>
      <c r="Z948" s="312"/>
    </row>
    <row r="949" customHeight="1" spans="1:26">
      <c r="A949" s="312"/>
      <c r="B949" s="312"/>
      <c r="C949" s="312"/>
      <c r="D949" s="312"/>
      <c r="E949" s="312"/>
      <c r="F949" s="312"/>
      <c r="G949" s="312"/>
      <c r="H949" s="312"/>
      <c r="I949" s="312"/>
      <c r="J949" s="312"/>
      <c r="K949" s="312"/>
      <c r="L949" s="312"/>
      <c r="M949" s="312"/>
      <c r="N949" s="312"/>
      <c r="O949" s="312"/>
      <c r="P949" s="312"/>
      <c r="Q949" s="312"/>
      <c r="R949" s="312"/>
      <c r="S949" s="312"/>
      <c r="T949" s="312"/>
      <c r="U949" s="312"/>
      <c r="V949" s="312"/>
      <c r="W949" s="312"/>
      <c r="X949" s="312"/>
      <c r="Y949" s="312"/>
      <c r="Z949" s="312"/>
    </row>
    <row r="950" customHeight="1" spans="1:26">
      <c r="A950" s="312"/>
      <c r="B950" s="312"/>
      <c r="C950" s="312"/>
      <c r="D950" s="312"/>
      <c r="E950" s="312"/>
      <c r="F950" s="312"/>
      <c r="G950" s="312"/>
      <c r="H950" s="312"/>
      <c r="I950" s="312"/>
      <c r="J950" s="312"/>
      <c r="K950" s="312"/>
      <c r="L950" s="312"/>
      <c r="M950" s="312"/>
      <c r="N950" s="312"/>
      <c r="O950" s="312"/>
      <c r="P950" s="312"/>
      <c r="Q950" s="312"/>
      <c r="R950" s="312"/>
      <c r="S950" s="312"/>
      <c r="T950" s="312"/>
      <c r="U950" s="312"/>
      <c r="V950" s="312"/>
      <c r="W950" s="312"/>
      <c r="X950" s="312"/>
      <c r="Y950" s="312"/>
      <c r="Z950" s="312"/>
    </row>
    <row r="951" customHeight="1" spans="1:26">
      <c r="A951" s="312"/>
      <c r="B951" s="312"/>
      <c r="C951" s="312"/>
      <c r="D951" s="312"/>
      <c r="E951" s="312"/>
      <c r="F951" s="312"/>
      <c r="G951" s="312"/>
      <c r="H951" s="312"/>
      <c r="I951" s="312"/>
      <c r="J951" s="312"/>
      <c r="K951" s="312"/>
      <c r="L951" s="312"/>
      <c r="M951" s="312"/>
      <c r="N951" s="312"/>
      <c r="O951" s="312"/>
      <c r="P951" s="312"/>
      <c r="Q951" s="312"/>
      <c r="R951" s="312"/>
      <c r="S951" s="312"/>
      <c r="T951" s="312"/>
      <c r="U951" s="312"/>
      <c r="V951" s="312"/>
      <c r="W951" s="312"/>
      <c r="X951" s="312"/>
      <c r="Y951" s="312"/>
      <c r="Z951" s="312"/>
    </row>
    <row r="952" customHeight="1" spans="1:26">
      <c r="A952" s="312"/>
      <c r="B952" s="312"/>
      <c r="C952" s="312"/>
      <c r="D952" s="312"/>
      <c r="E952" s="312"/>
      <c r="F952" s="312"/>
      <c r="G952" s="312"/>
      <c r="H952" s="312"/>
      <c r="I952" s="312"/>
      <c r="J952" s="312"/>
      <c r="K952" s="312"/>
      <c r="L952" s="312"/>
      <c r="M952" s="312"/>
      <c r="N952" s="312"/>
      <c r="O952" s="312"/>
      <c r="P952" s="312"/>
      <c r="Q952" s="312"/>
      <c r="R952" s="312"/>
      <c r="S952" s="312"/>
      <c r="T952" s="312"/>
      <c r="U952" s="312"/>
      <c r="V952" s="312"/>
      <c r="W952" s="312"/>
      <c r="X952" s="312"/>
      <c r="Y952" s="312"/>
      <c r="Z952" s="312"/>
    </row>
    <row r="953" customHeight="1" spans="1:26">
      <c r="A953" s="312"/>
      <c r="B953" s="312"/>
      <c r="C953" s="312"/>
      <c r="D953" s="312"/>
      <c r="E953" s="312"/>
      <c r="F953" s="312"/>
      <c r="G953" s="312"/>
      <c r="H953" s="312"/>
      <c r="I953" s="312"/>
      <c r="J953" s="312"/>
      <c r="K953" s="312"/>
      <c r="L953" s="312"/>
      <c r="M953" s="312"/>
      <c r="N953" s="312"/>
      <c r="O953" s="312"/>
      <c r="P953" s="312"/>
      <c r="Q953" s="312"/>
      <c r="R953" s="312"/>
      <c r="S953" s="312"/>
      <c r="T953" s="312"/>
      <c r="U953" s="312"/>
      <c r="V953" s="312"/>
      <c r="W953" s="312"/>
      <c r="X953" s="312"/>
      <c r="Y953" s="312"/>
      <c r="Z953" s="312"/>
    </row>
    <row r="954" customHeight="1" spans="1:26">
      <c r="A954" s="312"/>
      <c r="B954" s="312"/>
      <c r="C954" s="312"/>
      <c r="D954" s="312"/>
      <c r="E954" s="312"/>
      <c r="F954" s="312"/>
      <c r="G954" s="312"/>
      <c r="H954" s="312"/>
      <c r="I954" s="312"/>
      <c r="J954" s="312"/>
      <c r="K954" s="312"/>
      <c r="L954" s="312"/>
      <c r="M954" s="312"/>
      <c r="N954" s="312"/>
      <c r="O954" s="312"/>
      <c r="P954" s="312"/>
      <c r="Q954" s="312"/>
      <c r="R954" s="312"/>
      <c r="S954" s="312"/>
      <c r="T954" s="312"/>
      <c r="U954" s="312"/>
      <c r="V954" s="312"/>
      <c r="W954" s="312"/>
      <c r="X954" s="312"/>
      <c r="Y954" s="312"/>
      <c r="Z954" s="312"/>
    </row>
    <row r="955" customHeight="1" spans="1:26">
      <c r="A955" s="312"/>
      <c r="B955" s="312"/>
      <c r="C955" s="312"/>
      <c r="D955" s="312"/>
      <c r="E955" s="312"/>
      <c r="F955" s="312"/>
      <c r="G955" s="312"/>
      <c r="H955" s="312"/>
      <c r="I955" s="312"/>
      <c r="J955" s="312"/>
      <c r="K955" s="312"/>
      <c r="L955" s="312"/>
      <c r="M955" s="312"/>
      <c r="N955" s="312"/>
      <c r="O955" s="312"/>
      <c r="P955" s="312"/>
      <c r="Q955" s="312"/>
      <c r="R955" s="312"/>
      <c r="S955" s="312"/>
      <c r="T955" s="312"/>
      <c r="U955" s="312"/>
      <c r="V955" s="312"/>
      <c r="W955" s="312"/>
      <c r="X955" s="312"/>
      <c r="Y955" s="312"/>
      <c r="Z955" s="312"/>
    </row>
    <row r="956" customHeight="1" spans="1:26">
      <c r="A956" s="312"/>
      <c r="B956" s="312"/>
      <c r="C956" s="312"/>
      <c r="D956" s="312"/>
      <c r="E956" s="312"/>
      <c r="F956" s="312"/>
      <c r="G956" s="312"/>
      <c r="H956" s="312"/>
      <c r="I956" s="312"/>
      <c r="J956" s="312"/>
      <c r="K956" s="312"/>
      <c r="L956" s="312"/>
      <c r="M956" s="312"/>
      <c r="N956" s="312"/>
      <c r="O956" s="312"/>
      <c r="P956" s="312"/>
      <c r="Q956" s="312"/>
      <c r="R956" s="312"/>
      <c r="S956" s="312"/>
      <c r="T956" s="312"/>
      <c r="U956" s="312"/>
      <c r="V956" s="312"/>
      <c r="W956" s="312"/>
      <c r="X956" s="312"/>
      <c r="Y956" s="312"/>
      <c r="Z956" s="312"/>
    </row>
    <row r="957" customHeight="1" spans="1:26">
      <c r="A957" s="312"/>
      <c r="B957" s="312"/>
      <c r="C957" s="312"/>
      <c r="D957" s="312"/>
      <c r="E957" s="312"/>
      <c r="F957" s="312"/>
      <c r="G957" s="312"/>
      <c r="H957" s="312"/>
      <c r="I957" s="312"/>
      <c r="J957" s="312"/>
      <c r="K957" s="312"/>
      <c r="L957" s="312"/>
      <c r="M957" s="312"/>
      <c r="N957" s="312"/>
      <c r="O957" s="312"/>
      <c r="P957" s="312"/>
      <c r="Q957" s="312"/>
      <c r="R957" s="312"/>
      <c r="S957" s="312"/>
      <c r="T957" s="312"/>
      <c r="U957" s="312"/>
      <c r="V957" s="312"/>
      <c r="W957" s="312"/>
      <c r="X957" s="312"/>
      <c r="Y957" s="312"/>
      <c r="Z957" s="312"/>
    </row>
    <row r="958" customHeight="1" spans="1:26">
      <c r="A958" s="312"/>
      <c r="B958" s="312"/>
      <c r="C958" s="312"/>
      <c r="D958" s="312"/>
      <c r="E958" s="312"/>
      <c r="F958" s="312"/>
      <c r="G958" s="312"/>
      <c r="H958" s="312"/>
      <c r="I958" s="312"/>
      <c r="J958" s="312"/>
      <c r="K958" s="312"/>
      <c r="L958" s="312"/>
      <c r="M958" s="312"/>
      <c r="N958" s="312"/>
      <c r="O958" s="312"/>
      <c r="P958" s="312"/>
      <c r="Q958" s="312"/>
      <c r="R958" s="312"/>
      <c r="S958" s="312"/>
      <c r="T958" s="312"/>
      <c r="U958" s="312"/>
      <c r="V958" s="312"/>
      <c r="W958" s="312"/>
      <c r="X958" s="312"/>
      <c r="Y958" s="312"/>
      <c r="Z958" s="312"/>
    </row>
    <row r="959" customHeight="1" spans="1:26">
      <c r="A959" s="312"/>
      <c r="B959" s="312"/>
      <c r="C959" s="312"/>
      <c r="D959" s="312"/>
      <c r="E959" s="312"/>
      <c r="F959" s="312"/>
      <c r="G959" s="312"/>
      <c r="H959" s="312"/>
      <c r="I959" s="312"/>
      <c r="J959" s="312"/>
      <c r="K959" s="312"/>
      <c r="L959" s="312"/>
      <c r="M959" s="312"/>
      <c r="N959" s="312"/>
      <c r="O959" s="312"/>
      <c r="P959" s="312"/>
      <c r="Q959" s="312"/>
      <c r="R959" s="312"/>
      <c r="S959" s="312"/>
      <c r="T959" s="312"/>
      <c r="U959" s="312"/>
      <c r="V959" s="312"/>
      <c r="W959" s="312"/>
      <c r="X959" s="312"/>
      <c r="Y959" s="312"/>
      <c r="Z959" s="312"/>
    </row>
    <row r="960" customHeight="1" spans="1:26">
      <c r="A960" s="312"/>
      <c r="B960" s="312"/>
      <c r="C960" s="312"/>
      <c r="D960" s="312"/>
      <c r="E960" s="312"/>
      <c r="F960" s="312"/>
      <c r="G960" s="312"/>
      <c r="H960" s="312"/>
      <c r="I960" s="312"/>
      <c r="J960" s="312"/>
      <c r="K960" s="312"/>
      <c r="L960" s="312"/>
      <c r="M960" s="312"/>
      <c r="N960" s="312"/>
      <c r="O960" s="312"/>
      <c r="P960" s="312"/>
      <c r="Q960" s="312"/>
      <c r="R960" s="312"/>
      <c r="S960" s="312"/>
      <c r="T960" s="312"/>
      <c r="U960" s="312"/>
      <c r="V960" s="312"/>
      <c r="W960" s="312"/>
      <c r="X960" s="312"/>
      <c r="Y960" s="312"/>
      <c r="Z960" s="312"/>
    </row>
    <row r="961" customHeight="1" spans="1:26">
      <c r="A961" s="312"/>
      <c r="B961" s="312"/>
      <c r="C961" s="312"/>
      <c r="D961" s="312"/>
      <c r="E961" s="312"/>
      <c r="F961" s="312"/>
      <c r="G961" s="312"/>
      <c r="H961" s="312"/>
      <c r="I961" s="312"/>
      <c r="J961" s="312"/>
      <c r="K961" s="312"/>
      <c r="L961" s="312"/>
      <c r="M961" s="312"/>
      <c r="N961" s="312"/>
      <c r="O961" s="312"/>
      <c r="P961" s="312"/>
      <c r="Q961" s="312"/>
      <c r="R961" s="312"/>
      <c r="S961" s="312"/>
      <c r="T961" s="312"/>
      <c r="U961" s="312"/>
      <c r="V961" s="312"/>
      <c r="W961" s="312"/>
      <c r="X961" s="312"/>
      <c r="Y961" s="312"/>
      <c r="Z961" s="312"/>
    </row>
    <row r="962" customHeight="1" spans="1:26">
      <c r="A962" s="312"/>
      <c r="B962" s="312"/>
      <c r="C962" s="312"/>
      <c r="D962" s="312"/>
      <c r="E962" s="312"/>
      <c r="F962" s="312"/>
      <c r="G962" s="312"/>
      <c r="H962" s="312"/>
      <c r="I962" s="312"/>
      <c r="J962" s="312"/>
      <c r="K962" s="312"/>
      <c r="L962" s="312"/>
      <c r="M962" s="312"/>
      <c r="N962" s="312"/>
      <c r="O962" s="312"/>
      <c r="P962" s="312"/>
      <c r="Q962" s="312"/>
      <c r="R962" s="312"/>
      <c r="S962" s="312"/>
      <c r="T962" s="312"/>
      <c r="U962" s="312"/>
      <c r="V962" s="312"/>
      <c r="W962" s="312"/>
      <c r="X962" s="312"/>
      <c r="Y962" s="312"/>
      <c r="Z962" s="312"/>
    </row>
    <row r="963" customHeight="1" spans="1:26">
      <c r="A963" s="312"/>
      <c r="B963" s="312"/>
      <c r="C963" s="312"/>
      <c r="D963" s="312"/>
      <c r="E963" s="312"/>
      <c r="F963" s="312"/>
      <c r="G963" s="312"/>
      <c r="H963" s="312"/>
      <c r="I963" s="312"/>
      <c r="J963" s="312"/>
      <c r="K963" s="312"/>
      <c r="L963" s="312"/>
      <c r="M963" s="312"/>
      <c r="N963" s="312"/>
      <c r="O963" s="312"/>
      <c r="P963" s="312"/>
      <c r="Q963" s="312"/>
      <c r="R963" s="312"/>
      <c r="S963" s="312"/>
      <c r="T963" s="312"/>
      <c r="U963" s="312"/>
      <c r="V963" s="312"/>
      <c r="W963" s="312"/>
      <c r="X963" s="312"/>
      <c r="Y963" s="312"/>
      <c r="Z963" s="312"/>
    </row>
    <row r="964" customHeight="1" spans="1:26">
      <c r="A964" s="312"/>
      <c r="B964" s="312"/>
      <c r="C964" s="312"/>
      <c r="D964" s="312"/>
      <c r="E964" s="312"/>
      <c r="F964" s="312"/>
      <c r="G964" s="312"/>
      <c r="H964" s="312"/>
      <c r="I964" s="312"/>
      <c r="J964" s="312"/>
      <c r="K964" s="312"/>
      <c r="L964" s="312"/>
      <c r="M964" s="312"/>
      <c r="N964" s="312"/>
      <c r="O964" s="312"/>
      <c r="P964" s="312"/>
      <c r="Q964" s="312"/>
      <c r="R964" s="312"/>
      <c r="S964" s="312"/>
      <c r="T964" s="312"/>
      <c r="U964" s="312"/>
      <c r="V964" s="312"/>
      <c r="W964" s="312"/>
      <c r="X964" s="312"/>
      <c r="Y964" s="312"/>
      <c r="Z964" s="312"/>
    </row>
    <row r="965" customHeight="1" spans="1:26">
      <c r="A965" s="312"/>
      <c r="B965" s="312"/>
      <c r="C965" s="312"/>
      <c r="D965" s="312"/>
      <c r="E965" s="312"/>
      <c r="F965" s="312"/>
      <c r="G965" s="312"/>
      <c r="H965" s="312"/>
      <c r="I965" s="312"/>
      <c r="J965" s="312"/>
      <c r="K965" s="312"/>
      <c r="L965" s="312"/>
      <c r="M965" s="312"/>
      <c r="N965" s="312"/>
      <c r="O965" s="312"/>
      <c r="P965" s="312"/>
      <c r="Q965" s="312"/>
      <c r="R965" s="312"/>
      <c r="S965" s="312"/>
      <c r="T965" s="312"/>
      <c r="U965" s="312"/>
      <c r="V965" s="312"/>
      <c r="W965" s="312"/>
      <c r="X965" s="312"/>
      <c r="Y965" s="312"/>
      <c r="Z965" s="312"/>
    </row>
    <row r="966" customHeight="1" spans="1:26">
      <c r="A966" s="312"/>
      <c r="B966" s="312"/>
      <c r="C966" s="312"/>
      <c r="D966" s="312"/>
      <c r="E966" s="312"/>
      <c r="F966" s="312"/>
      <c r="G966" s="312"/>
      <c r="H966" s="312"/>
      <c r="I966" s="312"/>
      <c r="J966" s="312"/>
      <c r="K966" s="312"/>
      <c r="L966" s="312"/>
      <c r="M966" s="312"/>
      <c r="N966" s="312"/>
      <c r="O966" s="312"/>
      <c r="P966" s="312"/>
      <c r="Q966" s="312"/>
      <c r="R966" s="312"/>
      <c r="S966" s="312"/>
      <c r="T966" s="312"/>
      <c r="U966" s="312"/>
      <c r="V966" s="312"/>
      <c r="W966" s="312"/>
      <c r="X966" s="312"/>
      <c r="Y966" s="312"/>
      <c r="Z966" s="312"/>
    </row>
    <row r="967" customHeight="1" spans="1:26">
      <c r="A967" s="312"/>
      <c r="B967" s="312"/>
      <c r="C967" s="312"/>
      <c r="D967" s="312"/>
      <c r="E967" s="312"/>
      <c r="F967" s="312"/>
      <c r="G967" s="312"/>
      <c r="H967" s="312"/>
      <c r="I967" s="312"/>
      <c r="J967" s="312"/>
      <c r="K967" s="312"/>
      <c r="L967" s="312"/>
      <c r="M967" s="312"/>
      <c r="N967" s="312"/>
      <c r="O967" s="312"/>
      <c r="P967" s="312"/>
      <c r="Q967" s="312"/>
      <c r="R967" s="312"/>
      <c r="S967" s="312"/>
      <c r="T967" s="312"/>
      <c r="U967" s="312"/>
      <c r="V967" s="312"/>
      <c r="W967" s="312"/>
      <c r="X967" s="312"/>
      <c r="Y967" s="312"/>
      <c r="Z967" s="312"/>
    </row>
    <row r="968" customHeight="1" spans="1:26">
      <c r="A968" s="312"/>
      <c r="B968" s="312"/>
      <c r="C968" s="312"/>
      <c r="D968" s="312"/>
      <c r="E968" s="312"/>
      <c r="F968" s="312"/>
      <c r="G968" s="312"/>
      <c r="H968" s="312"/>
      <c r="I968" s="312"/>
      <c r="J968" s="312"/>
      <c r="K968" s="312"/>
      <c r="L968" s="312"/>
      <c r="M968" s="312"/>
      <c r="N968" s="312"/>
      <c r="O968" s="312"/>
      <c r="P968" s="312"/>
      <c r="Q968" s="312"/>
      <c r="R968" s="312"/>
      <c r="S968" s="312"/>
      <c r="T968" s="312"/>
      <c r="U968" s="312"/>
      <c r="V968" s="312"/>
      <c r="W968" s="312"/>
      <c r="X968" s="312"/>
      <c r="Y968" s="312"/>
      <c r="Z968" s="312"/>
    </row>
    <row r="969" customHeight="1" spans="1:26">
      <c r="A969" s="312"/>
      <c r="B969" s="312"/>
      <c r="C969" s="312"/>
      <c r="D969" s="312"/>
      <c r="E969" s="312"/>
      <c r="F969" s="312"/>
      <c r="G969" s="312"/>
      <c r="H969" s="312"/>
      <c r="I969" s="312"/>
      <c r="J969" s="312"/>
      <c r="K969" s="312"/>
      <c r="L969" s="312"/>
      <c r="M969" s="312"/>
      <c r="N969" s="312"/>
      <c r="O969" s="312"/>
      <c r="P969" s="312"/>
      <c r="Q969" s="312"/>
      <c r="R969" s="312"/>
      <c r="S969" s="312"/>
      <c r="T969" s="312"/>
      <c r="U969" s="312"/>
      <c r="V969" s="312"/>
      <c r="W969" s="312"/>
      <c r="X969" s="312"/>
      <c r="Y969" s="312"/>
      <c r="Z969" s="312"/>
    </row>
    <row r="970" customHeight="1" spans="1:26">
      <c r="A970" s="312"/>
      <c r="B970" s="312"/>
      <c r="C970" s="312"/>
      <c r="D970" s="312"/>
      <c r="E970" s="312"/>
      <c r="F970" s="312"/>
      <c r="G970" s="312"/>
      <c r="H970" s="312"/>
      <c r="I970" s="312"/>
      <c r="J970" s="312"/>
      <c r="K970" s="312"/>
      <c r="L970" s="312"/>
      <c r="M970" s="312"/>
      <c r="N970" s="312"/>
      <c r="O970" s="312"/>
      <c r="P970" s="312"/>
      <c r="Q970" s="312"/>
      <c r="R970" s="312"/>
      <c r="S970" s="312"/>
      <c r="T970" s="312"/>
      <c r="U970" s="312"/>
      <c r="V970" s="312"/>
      <c r="W970" s="312"/>
      <c r="X970" s="312"/>
      <c r="Y970" s="312"/>
      <c r="Z970" s="312"/>
    </row>
    <row r="971" customHeight="1" spans="1:26">
      <c r="A971" s="312"/>
      <c r="B971" s="312"/>
      <c r="C971" s="312"/>
      <c r="D971" s="312"/>
      <c r="E971" s="312"/>
      <c r="F971" s="312"/>
      <c r="G971" s="312"/>
      <c r="H971" s="312"/>
      <c r="I971" s="312"/>
      <c r="J971" s="312"/>
      <c r="K971" s="312"/>
      <c r="L971" s="312"/>
      <c r="M971" s="312"/>
      <c r="N971" s="312"/>
      <c r="O971" s="312"/>
      <c r="P971" s="312"/>
      <c r="Q971" s="312"/>
      <c r="R971" s="312"/>
      <c r="S971" s="312"/>
      <c r="T971" s="312"/>
      <c r="U971" s="312"/>
      <c r="V971" s="312"/>
      <c r="W971" s="312"/>
      <c r="X971" s="312"/>
      <c r="Y971" s="312"/>
      <c r="Z971" s="312"/>
    </row>
    <row r="972" customHeight="1" spans="1:26">
      <c r="A972" s="312"/>
      <c r="B972" s="312"/>
      <c r="C972" s="312"/>
      <c r="D972" s="312"/>
      <c r="E972" s="312"/>
      <c r="F972" s="312"/>
      <c r="G972" s="312"/>
      <c r="H972" s="312"/>
      <c r="I972" s="312"/>
      <c r="J972" s="312"/>
      <c r="K972" s="312"/>
      <c r="L972" s="312"/>
      <c r="M972" s="312"/>
      <c r="N972" s="312"/>
      <c r="O972" s="312"/>
      <c r="P972" s="312"/>
      <c r="Q972" s="312"/>
      <c r="R972" s="312"/>
      <c r="S972" s="312"/>
      <c r="T972" s="312"/>
      <c r="U972" s="312"/>
      <c r="V972" s="312"/>
      <c r="W972" s="312"/>
      <c r="X972" s="312"/>
      <c r="Y972" s="312"/>
      <c r="Z972" s="312"/>
    </row>
    <row r="973" customHeight="1" spans="1:26">
      <c r="A973" s="312"/>
      <c r="B973" s="312"/>
      <c r="C973" s="312"/>
      <c r="D973" s="312"/>
      <c r="E973" s="312"/>
      <c r="F973" s="312"/>
      <c r="G973" s="312"/>
      <c r="H973" s="312"/>
      <c r="I973" s="312"/>
      <c r="J973" s="312"/>
      <c r="K973" s="312"/>
      <c r="L973" s="312"/>
      <c r="M973" s="312"/>
      <c r="N973" s="312"/>
      <c r="O973" s="312"/>
      <c r="P973" s="312"/>
      <c r="Q973" s="312"/>
      <c r="R973" s="312"/>
      <c r="S973" s="312"/>
      <c r="T973" s="312"/>
      <c r="U973" s="312"/>
      <c r="V973" s="312"/>
      <c r="W973" s="312"/>
      <c r="X973" s="312"/>
      <c r="Y973" s="312"/>
      <c r="Z973" s="312"/>
    </row>
    <row r="974" customHeight="1" spans="1:26">
      <c r="A974" s="312"/>
      <c r="B974" s="312"/>
      <c r="C974" s="312"/>
      <c r="D974" s="312"/>
      <c r="E974" s="312"/>
      <c r="F974" s="312"/>
      <c r="G974" s="312"/>
      <c r="H974" s="312"/>
      <c r="I974" s="312"/>
      <c r="J974" s="312"/>
      <c r="K974" s="312"/>
      <c r="L974" s="312"/>
      <c r="M974" s="312"/>
      <c r="N974" s="312"/>
      <c r="O974" s="312"/>
      <c r="P974" s="312"/>
      <c r="Q974" s="312"/>
      <c r="R974" s="312"/>
      <c r="S974" s="312"/>
      <c r="T974" s="312"/>
      <c r="U974" s="312"/>
      <c r="V974" s="312"/>
      <c r="W974" s="312"/>
      <c r="X974" s="312"/>
      <c r="Y974" s="312"/>
      <c r="Z974" s="312"/>
    </row>
    <row r="975" customHeight="1" spans="1:26">
      <c r="A975" s="312"/>
      <c r="B975" s="312"/>
      <c r="C975" s="312"/>
      <c r="D975" s="312"/>
      <c r="E975" s="312"/>
      <c r="F975" s="312"/>
      <c r="G975" s="312"/>
      <c r="H975" s="312"/>
      <c r="I975" s="312"/>
      <c r="J975" s="312"/>
      <c r="K975" s="312"/>
      <c r="L975" s="312"/>
      <c r="M975" s="312"/>
      <c r="N975" s="312"/>
      <c r="O975" s="312"/>
      <c r="P975" s="312"/>
      <c r="Q975" s="312"/>
      <c r="R975" s="312"/>
      <c r="S975" s="312"/>
      <c r="T975" s="312"/>
      <c r="U975" s="312"/>
      <c r="V975" s="312"/>
      <c r="W975" s="312"/>
      <c r="X975" s="312"/>
      <c r="Y975" s="312"/>
      <c r="Z975" s="312"/>
    </row>
    <row r="976" customHeight="1" spans="1:26">
      <c r="A976" s="312"/>
      <c r="B976" s="312"/>
      <c r="C976" s="312"/>
      <c r="D976" s="312"/>
      <c r="E976" s="312"/>
      <c r="F976" s="312"/>
      <c r="G976" s="312"/>
      <c r="H976" s="312"/>
      <c r="I976" s="312"/>
      <c r="J976" s="312"/>
      <c r="K976" s="312"/>
      <c r="L976" s="312"/>
      <c r="M976" s="312"/>
      <c r="N976" s="312"/>
      <c r="O976" s="312"/>
      <c r="P976" s="312"/>
      <c r="Q976" s="312"/>
      <c r="R976" s="312"/>
      <c r="S976" s="312"/>
      <c r="T976" s="312"/>
      <c r="U976" s="312"/>
      <c r="V976" s="312"/>
      <c r="W976" s="312"/>
      <c r="X976" s="312"/>
      <c r="Y976" s="312"/>
      <c r="Z976" s="312"/>
    </row>
    <row r="977" customHeight="1" spans="1:26">
      <c r="A977" s="312"/>
      <c r="B977" s="312"/>
      <c r="C977" s="312"/>
      <c r="D977" s="312"/>
      <c r="E977" s="312"/>
      <c r="F977" s="312"/>
      <c r="G977" s="312"/>
      <c r="H977" s="312"/>
      <c r="I977" s="312"/>
      <c r="J977" s="312"/>
      <c r="K977" s="312"/>
      <c r="L977" s="312"/>
      <c r="M977" s="312"/>
      <c r="N977" s="312"/>
      <c r="O977" s="312"/>
      <c r="P977" s="312"/>
      <c r="Q977" s="312"/>
      <c r="R977" s="312"/>
      <c r="S977" s="312"/>
      <c r="T977" s="312"/>
      <c r="U977" s="312"/>
      <c r="V977" s="312"/>
      <c r="W977" s="312"/>
      <c r="X977" s="312"/>
      <c r="Y977" s="312"/>
      <c r="Z977" s="312"/>
    </row>
    <row r="978" customHeight="1" spans="1:26">
      <c r="A978" s="312"/>
      <c r="B978" s="312"/>
      <c r="C978" s="312"/>
      <c r="D978" s="312"/>
      <c r="E978" s="312"/>
      <c r="F978" s="312"/>
      <c r="G978" s="312"/>
      <c r="H978" s="312"/>
      <c r="I978" s="312"/>
      <c r="J978" s="312"/>
      <c r="K978" s="312"/>
      <c r="L978" s="312"/>
      <c r="M978" s="312"/>
      <c r="N978" s="312"/>
      <c r="O978" s="312"/>
      <c r="P978" s="312"/>
      <c r="Q978" s="312"/>
      <c r="R978" s="312"/>
      <c r="S978" s="312"/>
      <c r="T978" s="312"/>
      <c r="U978" s="312"/>
      <c r="V978" s="312"/>
      <c r="W978" s="312"/>
      <c r="X978" s="312"/>
      <c r="Y978" s="312"/>
      <c r="Z978" s="312"/>
    </row>
    <row r="979" customHeight="1" spans="1:26">
      <c r="A979" s="312"/>
      <c r="B979" s="312"/>
      <c r="C979" s="312"/>
      <c r="D979" s="312"/>
      <c r="E979" s="312"/>
      <c r="F979" s="312"/>
      <c r="G979" s="312"/>
      <c r="H979" s="312"/>
      <c r="I979" s="312"/>
      <c r="J979" s="312"/>
      <c r="K979" s="312"/>
      <c r="L979" s="312"/>
      <c r="M979" s="312"/>
      <c r="N979" s="312"/>
      <c r="O979" s="312"/>
      <c r="P979" s="312"/>
      <c r="Q979" s="312"/>
      <c r="R979" s="312"/>
      <c r="S979" s="312"/>
      <c r="T979" s="312"/>
      <c r="U979" s="312"/>
      <c r="V979" s="312"/>
      <c r="W979" s="312"/>
      <c r="X979" s="312"/>
      <c r="Y979" s="312"/>
      <c r="Z979" s="312"/>
    </row>
    <row r="980" customHeight="1" spans="1:26">
      <c r="A980" s="312"/>
      <c r="B980" s="312"/>
      <c r="C980" s="312"/>
      <c r="D980" s="312"/>
      <c r="E980" s="312"/>
      <c r="F980" s="312"/>
      <c r="G980" s="312"/>
      <c r="H980" s="312"/>
      <c r="I980" s="312"/>
      <c r="J980" s="312"/>
      <c r="K980" s="312"/>
      <c r="L980" s="312"/>
      <c r="M980" s="312"/>
      <c r="N980" s="312"/>
      <c r="O980" s="312"/>
      <c r="P980" s="312"/>
      <c r="Q980" s="312"/>
      <c r="R980" s="312"/>
      <c r="S980" s="312"/>
      <c r="T980" s="312"/>
      <c r="U980" s="312"/>
      <c r="V980" s="312"/>
      <c r="W980" s="312"/>
      <c r="X980" s="312"/>
      <c r="Y980" s="312"/>
      <c r="Z980" s="312"/>
    </row>
    <row r="981" customHeight="1" spans="1:26">
      <c r="A981" s="312"/>
      <c r="B981" s="312"/>
      <c r="C981" s="312"/>
      <c r="D981" s="312"/>
      <c r="E981" s="312"/>
      <c r="F981" s="312"/>
      <c r="G981" s="312"/>
      <c r="H981" s="312"/>
      <c r="I981" s="312"/>
      <c r="J981" s="312"/>
      <c r="K981" s="312"/>
      <c r="L981" s="312"/>
      <c r="M981" s="312"/>
      <c r="N981" s="312"/>
      <c r="O981" s="312"/>
      <c r="P981" s="312"/>
      <c r="Q981" s="312"/>
      <c r="R981" s="312"/>
      <c r="S981" s="312"/>
      <c r="T981" s="312"/>
      <c r="U981" s="312"/>
      <c r="V981" s="312"/>
      <c r="W981" s="312"/>
      <c r="X981" s="312"/>
      <c r="Y981" s="312"/>
      <c r="Z981" s="312"/>
    </row>
    <row r="982" customHeight="1" spans="1:26">
      <c r="A982" s="312"/>
      <c r="B982" s="312"/>
      <c r="C982" s="312"/>
      <c r="D982" s="312"/>
      <c r="E982" s="312"/>
      <c r="F982" s="312"/>
      <c r="G982" s="312"/>
      <c r="H982" s="312"/>
      <c r="I982" s="312"/>
      <c r="J982" s="312"/>
      <c r="K982" s="312"/>
      <c r="L982" s="312"/>
      <c r="M982" s="312"/>
      <c r="N982" s="312"/>
      <c r="O982" s="312"/>
      <c r="P982" s="312"/>
      <c r="Q982" s="312"/>
      <c r="R982" s="312"/>
      <c r="S982" s="312"/>
      <c r="T982" s="312"/>
      <c r="U982" s="312"/>
      <c r="V982" s="312"/>
      <c r="W982" s="312"/>
      <c r="X982" s="312"/>
      <c r="Y982" s="312"/>
      <c r="Z982" s="312"/>
    </row>
    <row r="983" customHeight="1" spans="1:26">
      <c r="A983" s="312"/>
      <c r="B983" s="312"/>
      <c r="C983" s="312"/>
      <c r="D983" s="312"/>
      <c r="E983" s="312"/>
      <c r="F983" s="312"/>
      <c r="G983" s="312"/>
      <c r="H983" s="312"/>
      <c r="I983" s="312"/>
      <c r="J983" s="312"/>
      <c r="K983" s="312"/>
      <c r="L983" s="312"/>
      <c r="M983" s="312"/>
      <c r="N983" s="312"/>
      <c r="O983" s="312"/>
      <c r="P983" s="312"/>
      <c r="Q983" s="312"/>
      <c r="R983" s="312"/>
      <c r="S983" s="312"/>
      <c r="T983" s="312"/>
      <c r="U983" s="312"/>
      <c r="V983" s="312"/>
      <c r="W983" s="312"/>
      <c r="X983" s="312"/>
      <c r="Y983" s="312"/>
      <c r="Z983" s="312"/>
    </row>
    <row r="984" customHeight="1" spans="1:26">
      <c r="A984" s="312"/>
      <c r="B984" s="312"/>
      <c r="C984" s="312"/>
      <c r="D984" s="312"/>
      <c r="E984" s="312"/>
      <c r="F984" s="312"/>
      <c r="G984" s="312"/>
      <c r="H984" s="312"/>
      <c r="I984" s="312"/>
      <c r="J984" s="312"/>
      <c r="K984" s="312"/>
      <c r="L984" s="312"/>
      <c r="M984" s="312"/>
      <c r="N984" s="312"/>
      <c r="O984" s="312"/>
      <c r="P984" s="312"/>
      <c r="Q984" s="312"/>
      <c r="R984" s="312"/>
      <c r="S984" s="312"/>
      <c r="T984" s="312"/>
      <c r="U984" s="312"/>
      <c r="V984" s="312"/>
      <c r="W984" s="312"/>
      <c r="X984" s="312"/>
      <c r="Y984" s="312"/>
      <c r="Z984" s="312"/>
    </row>
    <row r="985" customHeight="1" spans="1:26">
      <c r="A985" s="312"/>
      <c r="B985" s="312"/>
      <c r="C985" s="312"/>
      <c r="D985" s="312"/>
      <c r="E985" s="312"/>
      <c r="F985" s="312"/>
      <c r="G985" s="312"/>
      <c r="H985" s="312"/>
      <c r="I985" s="312"/>
      <c r="J985" s="312"/>
      <c r="K985" s="312"/>
      <c r="L985" s="312"/>
      <c r="M985" s="312"/>
      <c r="N985" s="312"/>
      <c r="O985" s="312"/>
      <c r="P985" s="312"/>
      <c r="Q985" s="312"/>
      <c r="R985" s="312"/>
      <c r="S985" s="312"/>
      <c r="T985" s="312"/>
      <c r="U985" s="312"/>
      <c r="V985" s="312"/>
      <c r="W985" s="312"/>
      <c r="X985" s="312"/>
      <c r="Y985" s="312"/>
      <c r="Z985" s="312"/>
    </row>
    <row r="986" customHeight="1" spans="1:26">
      <c r="A986" s="312"/>
      <c r="B986" s="312"/>
      <c r="C986" s="312"/>
      <c r="D986" s="312"/>
      <c r="E986" s="312"/>
      <c r="F986" s="312"/>
      <c r="G986" s="312"/>
      <c r="H986" s="312"/>
      <c r="I986" s="312"/>
      <c r="J986" s="312"/>
      <c r="K986" s="312"/>
      <c r="L986" s="312"/>
      <c r="M986" s="312"/>
      <c r="N986" s="312"/>
      <c r="O986" s="312"/>
      <c r="P986" s="312"/>
      <c r="Q986" s="312"/>
      <c r="R986" s="312"/>
      <c r="S986" s="312"/>
      <c r="T986" s="312"/>
      <c r="U986" s="312"/>
      <c r="V986" s="312"/>
      <c r="W986" s="312"/>
      <c r="X986" s="312"/>
      <c r="Y986" s="312"/>
      <c r="Z986" s="312"/>
    </row>
    <row r="987" customHeight="1" spans="1:26">
      <c r="A987" s="312"/>
      <c r="B987" s="312"/>
      <c r="C987" s="312"/>
      <c r="D987" s="312"/>
      <c r="E987" s="312"/>
      <c r="F987" s="312"/>
      <c r="G987" s="312"/>
      <c r="H987" s="312"/>
      <c r="I987" s="312"/>
      <c r="J987" s="312"/>
      <c r="K987" s="312"/>
      <c r="L987" s="312"/>
      <c r="M987" s="312"/>
      <c r="N987" s="312"/>
      <c r="O987" s="312"/>
      <c r="P987" s="312"/>
      <c r="Q987" s="312"/>
      <c r="R987" s="312"/>
      <c r="S987" s="312"/>
      <c r="T987" s="312"/>
      <c r="U987" s="312"/>
      <c r="V987" s="312"/>
      <c r="W987" s="312"/>
      <c r="X987" s="312"/>
      <c r="Y987" s="312"/>
      <c r="Z987" s="312"/>
    </row>
    <row r="988" customHeight="1" spans="1:26">
      <c r="A988" s="312"/>
      <c r="B988" s="312"/>
      <c r="C988" s="312"/>
      <c r="D988" s="312"/>
      <c r="E988" s="312"/>
      <c r="F988" s="312"/>
      <c r="G988" s="312"/>
      <c r="H988" s="312"/>
      <c r="I988" s="312"/>
      <c r="J988" s="312"/>
      <c r="K988" s="312"/>
      <c r="L988" s="312"/>
      <c r="M988" s="312"/>
      <c r="N988" s="312"/>
      <c r="O988" s="312"/>
      <c r="P988" s="312"/>
      <c r="Q988" s="312"/>
      <c r="R988" s="312"/>
      <c r="S988" s="312"/>
      <c r="T988" s="312"/>
      <c r="U988" s="312"/>
      <c r="V988" s="312"/>
      <c r="W988" s="312"/>
      <c r="X988" s="312"/>
      <c r="Y988" s="312"/>
      <c r="Z988" s="312"/>
    </row>
    <row r="989" customHeight="1" spans="1:26">
      <c r="A989" s="312"/>
      <c r="B989" s="312"/>
      <c r="C989" s="312"/>
      <c r="D989" s="312"/>
      <c r="E989" s="312"/>
      <c r="F989" s="312"/>
      <c r="G989" s="312"/>
      <c r="H989" s="312"/>
      <c r="I989" s="312"/>
      <c r="J989" s="312"/>
      <c r="K989" s="312"/>
      <c r="L989" s="312"/>
      <c r="M989" s="312"/>
      <c r="N989" s="312"/>
      <c r="O989" s="312"/>
      <c r="P989" s="312"/>
      <c r="Q989" s="312"/>
      <c r="R989" s="312"/>
      <c r="S989" s="312"/>
      <c r="T989" s="312"/>
      <c r="U989" s="312"/>
      <c r="V989" s="312"/>
      <c r="W989" s="312"/>
      <c r="X989" s="312"/>
      <c r="Y989" s="312"/>
      <c r="Z989" s="312"/>
    </row>
    <row r="990" customHeight="1" spans="1:26">
      <c r="A990" s="312"/>
      <c r="B990" s="312"/>
      <c r="C990" s="312"/>
      <c r="D990" s="312"/>
      <c r="E990" s="312"/>
      <c r="F990" s="312"/>
      <c r="G990" s="312"/>
      <c r="H990" s="312"/>
      <c r="I990" s="312"/>
      <c r="J990" s="312"/>
      <c r="K990" s="312"/>
      <c r="L990" s="312"/>
      <c r="M990" s="312"/>
      <c r="N990" s="312"/>
      <c r="O990" s="312"/>
      <c r="P990" s="312"/>
      <c r="Q990" s="312"/>
      <c r="R990" s="312"/>
      <c r="S990" s="312"/>
      <c r="T990" s="312"/>
      <c r="U990" s="312"/>
      <c r="V990" s="312"/>
      <c r="W990" s="312"/>
      <c r="X990" s="312"/>
      <c r="Y990" s="312"/>
      <c r="Z990" s="312"/>
    </row>
    <row r="991" customHeight="1" spans="1:26">
      <c r="A991" s="312"/>
      <c r="B991" s="312"/>
      <c r="C991" s="312"/>
      <c r="D991" s="312"/>
      <c r="E991" s="312"/>
      <c r="F991" s="312"/>
      <c r="G991" s="312"/>
      <c r="H991" s="312"/>
      <c r="I991" s="312"/>
      <c r="J991" s="312"/>
      <c r="K991" s="312"/>
      <c r="L991" s="312"/>
      <c r="M991" s="312"/>
      <c r="N991" s="312"/>
      <c r="O991" s="312"/>
      <c r="P991" s="312"/>
      <c r="Q991" s="312"/>
      <c r="R991" s="312"/>
      <c r="S991" s="312"/>
      <c r="T991" s="312"/>
      <c r="U991" s="312"/>
      <c r="V991" s="312"/>
      <c r="W991" s="312"/>
      <c r="X991" s="312"/>
      <c r="Y991" s="312"/>
      <c r="Z991" s="312"/>
    </row>
    <row r="992" customHeight="1" spans="1:26">
      <c r="A992" s="312"/>
      <c r="B992" s="312"/>
      <c r="C992" s="312"/>
      <c r="D992" s="312"/>
      <c r="E992" s="312"/>
      <c r="F992" s="312"/>
      <c r="G992" s="312"/>
      <c r="H992" s="312"/>
      <c r="I992" s="312"/>
      <c r="J992" s="312"/>
      <c r="K992" s="312"/>
      <c r="L992" s="312"/>
      <c r="M992" s="312"/>
      <c r="N992" s="312"/>
      <c r="O992" s="312"/>
      <c r="P992" s="312"/>
      <c r="Q992" s="312"/>
      <c r="R992" s="312"/>
      <c r="S992" s="312"/>
      <c r="T992" s="312"/>
      <c r="U992" s="312"/>
      <c r="V992" s="312"/>
      <c r="W992" s="312"/>
      <c r="X992" s="312"/>
      <c r="Y992" s="312"/>
      <c r="Z992" s="312"/>
    </row>
    <row r="993" customHeight="1" spans="1:26">
      <c r="A993" s="312"/>
      <c r="B993" s="312"/>
      <c r="C993" s="312"/>
      <c r="D993" s="312"/>
      <c r="E993" s="312"/>
      <c r="F993" s="312"/>
      <c r="G993" s="312"/>
      <c r="H993" s="312"/>
      <c r="I993" s="312"/>
      <c r="J993" s="312"/>
      <c r="K993" s="312"/>
      <c r="L993" s="312"/>
      <c r="M993" s="312"/>
      <c r="N993" s="312"/>
      <c r="O993" s="312"/>
      <c r="P993" s="312"/>
      <c r="Q993" s="312"/>
      <c r="R993" s="312"/>
      <c r="S993" s="312"/>
      <c r="T993" s="312"/>
      <c r="U993" s="312"/>
      <c r="V993" s="312"/>
      <c r="W993" s="312"/>
      <c r="X993" s="312"/>
      <c r="Y993" s="312"/>
      <c r="Z993" s="312"/>
    </row>
    <row r="994" customHeight="1" spans="1:26">
      <c r="A994" s="312"/>
      <c r="B994" s="312"/>
      <c r="C994" s="312"/>
      <c r="D994" s="312"/>
      <c r="E994" s="312"/>
      <c r="F994" s="312"/>
      <c r="G994" s="312"/>
      <c r="H994" s="312"/>
      <c r="I994" s="312"/>
      <c r="J994" s="312"/>
      <c r="K994" s="312"/>
      <c r="L994" s="312"/>
      <c r="M994" s="312"/>
      <c r="N994" s="312"/>
      <c r="O994" s="312"/>
      <c r="P994" s="312"/>
      <c r="Q994" s="312"/>
      <c r="R994" s="312"/>
      <c r="S994" s="312"/>
      <c r="T994" s="312"/>
      <c r="U994" s="312"/>
      <c r="V994" s="312"/>
      <c r="W994" s="312"/>
      <c r="X994" s="312"/>
      <c r="Y994" s="312"/>
      <c r="Z994" s="312"/>
    </row>
    <row r="995" customHeight="1" spans="1:26">
      <c r="A995" s="312"/>
      <c r="B995" s="312"/>
      <c r="C995" s="312"/>
      <c r="D995" s="312"/>
      <c r="E995" s="312"/>
      <c r="F995" s="312"/>
      <c r="G995" s="312"/>
      <c r="H995" s="312"/>
      <c r="I995" s="312"/>
      <c r="J995" s="312"/>
      <c r="K995" s="312"/>
      <c r="L995" s="312"/>
      <c r="M995" s="312"/>
      <c r="N995" s="312"/>
      <c r="O995" s="312"/>
      <c r="P995" s="312"/>
      <c r="Q995" s="312"/>
      <c r="R995" s="312"/>
      <c r="S995" s="312"/>
      <c r="T995" s="312"/>
      <c r="U995" s="312"/>
      <c r="V995" s="312"/>
      <c r="W995" s="312"/>
      <c r="X995" s="312"/>
      <c r="Y995" s="312"/>
      <c r="Z995" s="312"/>
    </row>
    <row r="996" customHeight="1" spans="1:26">
      <c r="A996" s="312"/>
      <c r="B996" s="312"/>
      <c r="C996" s="312"/>
      <c r="D996" s="312"/>
      <c r="E996" s="312"/>
      <c r="F996" s="312"/>
      <c r="G996" s="312"/>
      <c r="H996" s="312"/>
      <c r="I996" s="312"/>
      <c r="J996" s="312"/>
      <c r="K996" s="312"/>
      <c r="L996" s="312"/>
      <c r="M996" s="312"/>
      <c r="N996" s="312"/>
      <c r="O996" s="312"/>
      <c r="P996" s="312"/>
      <c r="Q996" s="312"/>
      <c r="R996" s="312"/>
      <c r="S996" s="312"/>
      <c r="T996" s="312"/>
      <c r="U996" s="312"/>
      <c r="V996" s="312"/>
      <c r="W996" s="312"/>
      <c r="X996" s="312"/>
      <c r="Y996" s="312"/>
      <c r="Z996" s="312"/>
    </row>
    <row r="997" customHeight="1" spans="1:26">
      <c r="A997" s="312"/>
      <c r="B997" s="312"/>
      <c r="C997" s="312"/>
      <c r="D997" s="312"/>
      <c r="E997" s="312"/>
      <c r="F997" s="312"/>
      <c r="G997" s="312"/>
      <c r="H997" s="312"/>
      <c r="I997" s="312"/>
      <c r="J997" s="312"/>
      <c r="K997" s="312"/>
      <c r="L997" s="312"/>
      <c r="M997" s="312"/>
      <c r="N997" s="312"/>
      <c r="O997" s="312"/>
      <c r="P997" s="312"/>
      <c r="Q997" s="312"/>
      <c r="R997" s="312"/>
      <c r="S997" s="312"/>
      <c r="T997" s="312"/>
      <c r="U997" s="312"/>
      <c r="V997" s="312"/>
      <c r="W997" s="312"/>
      <c r="X997" s="312"/>
      <c r="Y997" s="312"/>
      <c r="Z997" s="312"/>
    </row>
    <row r="998" customHeight="1" spans="1:26">
      <c r="A998" s="312"/>
      <c r="B998" s="312"/>
      <c r="C998" s="312"/>
      <c r="D998" s="312"/>
      <c r="E998" s="312"/>
      <c r="F998" s="312"/>
      <c r="G998" s="312"/>
      <c r="H998" s="312"/>
      <c r="I998" s="312"/>
      <c r="J998" s="312"/>
      <c r="K998" s="312"/>
      <c r="L998" s="312"/>
      <c r="M998" s="312"/>
      <c r="N998" s="312"/>
      <c r="O998" s="312"/>
      <c r="P998" s="312"/>
      <c r="Q998" s="312"/>
      <c r="R998" s="312"/>
      <c r="S998" s="312"/>
      <c r="T998" s="312"/>
      <c r="U998" s="312"/>
      <c r="V998" s="312"/>
      <c r="W998" s="312"/>
      <c r="X998" s="312"/>
      <c r="Y998" s="312"/>
      <c r="Z998" s="312"/>
    </row>
    <row r="999" customHeight="1" spans="1:26">
      <c r="A999" s="312"/>
      <c r="B999" s="312"/>
      <c r="C999" s="312"/>
      <c r="D999" s="312"/>
      <c r="E999" s="312"/>
      <c r="F999" s="312"/>
      <c r="G999" s="312"/>
      <c r="H999" s="312"/>
      <c r="I999" s="312"/>
      <c r="J999" s="312"/>
      <c r="K999" s="312"/>
      <c r="L999" s="312"/>
      <c r="M999" s="312"/>
      <c r="N999" s="312"/>
      <c r="O999" s="312"/>
      <c r="P999" s="312"/>
      <c r="Q999" s="312"/>
      <c r="R999" s="312"/>
      <c r="S999" s="312"/>
      <c r="T999" s="312"/>
      <c r="U999" s="312"/>
      <c r="V999" s="312"/>
      <c r="W999" s="312"/>
      <c r="X999" s="312"/>
      <c r="Y999" s="312"/>
      <c r="Z999" s="312"/>
    </row>
    <row r="1000" customHeight="1" spans="1:26">
      <c r="A1000" s="312"/>
      <c r="B1000" s="312"/>
      <c r="C1000" s="312"/>
      <c r="D1000" s="312"/>
      <c r="E1000" s="312"/>
      <c r="F1000" s="312"/>
      <c r="G1000" s="312"/>
      <c r="H1000" s="312"/>
      <c r="I1000" s="312"/>
      <c r="J1000" s="312"/>
      <c r="K1000" s="312"/>
      <c r="L1000" s="312"/>
      <c r="M1000" s="312"/>
      <c r="N1000" s="312"/>
      <c r="O1000" s="312"/>
      <c r="P1000" s="312"/>
      <c r="Q1000" s="312"/>
      <c r="R1000" s="312"/>
      <c r="S1000" s="312"/>
      <c r="T1000" s="312"/>
      <c r="U1000" s="312"/>
      <c r="V1000" s="312"/>
      <c r="W1000" s="312"/>
      <c r="X1000" s="312"/>
      <c r="Y1000" s="312"/>
      <c r="Z1000" s="312"/>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Z53"/>
  <sheetViews>
    <sheetView workbookViewId="0">
      <selection activeCell="A1" sqref="A1"/>
    </sheetView>
  </sheetViews>
  <sheetFormatPr defaultColWidth="12.6285714285714" defaultRowHeight="15.75" customHeight="1"/>
  <sheetData>
    <row r="2" customHeight="1" spans="1:26">
      <c r="A2" s="223" t="s">
        <v>1038</v>
      </c>
      <c r="B2" s="306"/>
      <c r="C2" s="306"/>
      <c r="D2" s="306"/>
      <c r="E2" s="306"/>
      <c r="F2" s="306"/>
      <c r="G2" s="306"/>
      <c r="H2" s="306"/>
      <c r="I2" s="306"/>
      <c r="J2" s="306"/>
      <c r="K2" s="306"/>
      <c r="L2" s="306"/>
      <c r="M2" s="306"/>
      <c r="N2" s="306"/>
      <c r="O2" s="306"/>
      <c r="P2" s="306"/>
      <c r="Q2" s="306"/>
      <c r="R2" s="306"/>
      <c r="S2" s="306"/>
      <c r="T2" s="306"/>
      <c r="U2" s="306"/>
      <c r="V2" s="306"/>
      <c r="W2" s="306"/>
      <c r="X2" s="306"/>
      <c r="Y2" s="306"/>
      <c r="Z2" s="306"/>
    </row>
    <row r="3" customHeight="1" spans="1:26">
      <c r="A3" s="223" t="s">
        <v>2229</v>
      </c>
      <c r="B3" s="306"/>
      <c r="C3" s="306"/>
      <c r="D3" s="306"/>
      <c r="E3" s="306"/>
      <c r="F3" s="223" t="s">
        <v>2229</v>
      </c>
      <c r="G3" s="306"/>
      <c r="H3" s="306"/>
      <c r="I3" s="306"/>
      <c r="J3" s="306"/>
      <c r="K3" s="223" t="s">
        <v>2229</v>
      </c>
      <c r="L3" s="306"/>
      <c r="M3" s="306"/>
      <c r="N3" s="306"/>
      <c r="O3" s="306"/>
      <c r="P3" s="223" t="s">
        <v>2230</v>
      </c>
      <c r="Q3" s="306"/>
      <c r="R3" s="306"/>
      <c r="S3" s="306"/>
      <c r="T3" s="306"/>
      <c r="U3" s="306"/>
      <c r="V3" s="306"/>
      <c r="W3" s="306"/>
      <c r="X3" s="306"/>
      <c r="Y3" s="306"/>
      <c r="Z3" s="306"/>
    </row>
    <row r="4" customHeight="1" spans="1:26">
      <c r="A4" s="223" t="s">
        <v>2231</v>
      </c>
      <c r="B4" s="223" t="s">
        <v>2232</v>
      </c>
      <c r="C4" s="223" t="s">
        <v>2233</v>
      </c>
      <c r="D4" s="223" t="s">
        <v>1592</v>
      </c>
      <c r="E4" s="306"/>
      <c r="F4" s="223" t="s">
        <v>2231</v>
      </c>
      <c r="G4" s="223" t="s">
        <v>2232</v>
      </c>
      <c r="H4" s="223" t="s">
        <v>2233</v>
      </c>
      <c r="I4" s="223" t="s">
        <v>1592</v>
      </c>
      <c r="J4" s="306"/>
      <c r="K4" s="223" t="s">
        <v>2231</v>
      </c>
      <c r="L4" s="223" t="s">
        <v>2232</v>
      </c>
      <c r="M4" s="223" t="s">
        <v>2233</v>
      </c>
      <c r="N4" s="223" t="s">
        <v>1592</v>
      </c>
      <c r="O4" s="306"/>
      <c r="P4" s="306"/>
      <c r="Q4" s="306"/>
      <c r="R4" s="306"/>
      <c r="S4" s="306"/>
      <c r="T4" s="306"/>
      <c r="U4" s="306"/>
      <c r="V4" s="306"/>
      <c r="W4" s="306"/>
      <c r="X4" s="306"/>
      <c r="Y4" s="306"/>
      <c r="Z4" s="306"/>
    </row>
    <row r="5" customHeight="1" spans="3:13">
      <c r="C5" s="29" t="s">
        <v>1249</v>
      </c>
      <c r="F5" s="29" t="s">
        <v>581</v>
      </c>
      <c r="H5" s="29" t="s">
        <v>1195</v>
      </c>
      <c r="M5" s="29" t="s">
        <v>2234</v>
      </c>
    </row>
    <row r="6" customHeight="1" spans="3:13">
      <c r="C6" s="29" t="s">
        <v>1249</v>
      </c>
      <c r="H6" s="29" t="s">
        <v>1195</v>
      </c>
      <c r="M6" s="29" t="s">
        <v>2234</v>
      </c>
    </row>
    <row r="7" customHeight="1" spans="3:13">
      <c r="C7" s="29" t="s">
        <v>1249</v>
      </c>
      <c r="H7" s="29" t="s">
        <v>1195</v>
      </c>
      <c r="M7" s="29" t="s">
        <v>2234</v>
      </c>
    </row>
    <row r="8" customHeight="1" spans="3:13">
      <c r="C8" s="29" t="s">
        <v>1249</v>
      </c>
      <c r="H8" s="29" t="s">
        <v>1195</v>
      </c>
      <c r="M8" s="29" t="s">
        <v>2234</v>
      </c>
    </row>
    <row r="9" customHeight="1" spans="1:26">
      <c r="A9" s="223" t="s">
        <v>2235</v>
      </c>
      <c r="B9" s="306"/>
      <c r="C9" s="306"/>
      <c r="D9" s="306"/>
      <c r="E9" s="306"/>
      <c r="F9" s="223" t="s">
        <v>2235</v>
      </c>
      <c r="G9" s="306"/>
      <c r="H9" s="306"/>
      <c r="I9" s="306"/>
      <c r="J9" s="306"/>
      <c r="K9" s="223" t="s">
        <v>2235</v>
      </c>
      <c r="L9" s="306"/>
      <c r="M9" s="306"/>
      <c r="N9" s="306"/>
      <c r="O9" s="306"/>
      <c r="P9" s="306"/>
      <c r="Q9" s="306"/>
      <c r="R9" s="306"/>
      <c r="S9" s="306"/>
      <c r="T9" s="306"/>
      <c r="U9" s="306"/>
      <c r="V9" s="306"/>
      <c r="W9" s="306"/>
      <c r="X9" s="306"/>
      <c r="Y9" s="306"/>
      <c r="Z9" s="306"/>
    </row>
    <row r="10" customHeight="1" spans="3:13">
      <c r="C10" s="29" t="s">
        <v>1249</v>
      </c>
      <c r="F10" s="29" t="s">
        <v>1764</v>
      </c>
      <c r="H10" s="29" t="s">
        <v>1195</v>
      </c>
      <c r="M10" s="29" t="s">
        <v>2234</v>
      </c>
    </row>
    <row r="11" customHeight="1" spans="3:13">
      <c r="C11" s="29" t="s">
        <v>1249</v>
      </c>
      <c r="H11" s="29" t="s">
        <v>1195</v>
      </c>
      <c r="M11" s="29" t="s">
        <v>2234</v>
      </c>
    </row>
    <row r="12" customHeight="1" spans="3:13">
      <c r="C12" s="29" t="s">
        <v>1249</v>
      </c>
      <c r="H12" s="29" t="s">
        <v>1195</v>
      </c>
      <c r="M12" s="29" t="s">
        <v>2234</v>
      </c>
    </row>
    <row r="13" customHeight="1" spans="3:13">
      <c r="C13" s="29" t="s">
        <v>1249</v>
      </c>
      <c r="H13" s="29" t="s">
        <v>1195</v>
      </c>
      <c r="M13" s="29" t="s">
        <v>2234</v>
      </c>
    </row>
    <row r="15" customHeight="1" spans="1:26">
      <c r="A15" s="223" t="s">
        <v>2236</v>
      </c>
      <c r="B15" s="306"/>
      <c r="C15" s="306"/>
      <c r="D15" s="306"/>
      <c r="E15" s="306"/>
      <c r="F15" s="223" t="s">
        <v>2236</v>
      </c>
      <c r="G15" s="306"/>
      <c r="H15" s="306"/>
      <c r="I15" s="306"/>
      <c r="J15" s="306"/>
      <c r="K15" s="223" t="s">
        <v>2236</v>
      </c>
      <c r="L15" s="306"/>
      <c r="M15" s="306"/>
      <c r="N15" s="306"/>
      <c r="O15" s="306"/>
      <c r="P15" s="306"/>
      <c r="Q15" s="306"/>
      <c r="R15" s="306"/>
      <c r="S15" s="306"/>
      <c r="T15" s="306"/>
      <c r="U15" s="306"/>
      <c r="V15" s="306"/>
      <c r="W15" s="306"/>
      <c r="X15" s="306"/>
      <c r="Y15" s="306"/>
      <c r="Z15" s="306"/>
    </row>
    <row r="16" customHeight="1" spans="1:13">
      <c r="A16" s="29" t="s">
        <v>350</v>
      </c>
      <c r="C16" s="29" t="s">
        <v>1249</v>
      </c>
      <c r="H16" s="29" t="s">
        <v>1195</v>
      </c>
      <c r="M16" s="29" t="s">
        <v>2234</v>
      </c>
    </row>
    <row r="17" customHeight="1" spans="3:13">
      <c r="C17" s="29" t="s">
        <v>1249</v>
      </c>
      <c r="H17" s="29" t="s">
        <v>1195</v>
      </c>
      <c r="M17" s="29" t="s">
        <v>2234</v>
      </c>
    </row>
    <row r="18" customHeight="1" spans="3:13">
      <c r="C18" s="29" t="s">
        <v>1249</v>
      </c>
      <c r="H18" s="29" t="s">
        <v>1195</v>
      </c>
      <c r="M18" s="29" t="s">
        <v>2234</v>
      </c>
    </row>
    <row r="19" customHeight="1" spans="3:13">
      <c r="C19" s="29" t="s">
        <v>1249</v>
      </c>
      <c r="H19" s="29" t="s">
        <v>1195</v>
      </c>
      <c r="M19" s="29" t="s">
        <v>2234</v>
      </c>
    </row>
    <row r="21" customHeight="1" spans="1:26">
      <c r="A21" s="223" t="s">
        <v>2237</v>
      </c>
      <c r="B21" s="306"/>
      <c r="C21" s="306"/>
      <c r="D21" s="306"/>
      <c r="E21" s="306"/>
      <c r="F21" s="223" t="s">
        <v>2237</v>
      </c>
      <c r="G21" s="306"/>
      <c r="H21" s="306"/>
      <c r="I21" s="306"/>
      <c r="J21" s="306"/>
      <c r="K21" s="223" t="s">
        <v>2237</v>
      </c>
      <c r="L21" s="306"/>
      <c r="M21" s="306"/>
      <c r="N21" s="306"/>
      <c r="O21" s="306"/>
      <c r="P21" s="306"/>
      <c r="Q21" s="306"/>
      <c r="R21" s="306"/>
      <c r="S21" s="306"/>
      <c r="T21" s="306"/>
      <c r="U21" s="306"/>
      <c r="V21" s="306"/>
      <c r="W21" s="306"/>
      <c r="X21" s="306"/>
      <c r="Y21" s="306"/>
      <c r="Z21" s="306"/>
    </row>
    <row r="22" customHeight="1" spans="3:13">
      <c r="C22" s="29" t="s">
        <v>1249</v>
      </c>
      <c r="H22" s="29" t="s">
        <v>1195</v>
      </c>
      <c r="M22" s="29" t="s">
        <v>2234</v>
      </c>
    </row>
    <row r="23" customHeight="1" spans="3:13">
      <c r="C23" s="29" t="s">
        <v>1249</v>
      </c>
      <c r="H23" s="29" t="s">
        <v>1195</v>
      </c>
      <c r="M23" s="29" t="s">
        <v>2234</v>
      </c>
    </row>
    <row r="24" customHeight="1" spans="3:13">
      <c r="C24" s="29" t="s">
        <v>1249</v>
      </c>
      <c r="H24" s="29" t="s">
        <v>1195</v>
      </c>
      <c r="M24" s="29" t="s">
        <v>2234</v>
      </c>
    </row>
    <row r="25" customHeight="1" spans="3:13">
      <c r="C25" s="29" t="s">
        <v>1249</v>
      </c>
      <c r="H25" s="29" t="s">
        <v>1195</v>
      </c>
      <c r="M25" s="29" t="s">
        <v>2234</v>
      </c>
    </row>
    <row r="28" customHeight="1" spans="13:13">
      <c r="M28" s="29" t="s">
        <v>2238</v>
      </c>
    </row>
    <row r="30" customHeight="1" spans="1:16">
      <c r="A30" s="223" t="s">
        <v>1044</v>
      </c>
      <c r="B30" s="306"/>
      <c r="C30" s="306"/>
      <c r="D30" s="306"/>
      <c r="E30" s="306"/>
      <c r="F30" s="306"/>
      <c r="G30" s="306"/>
      <c r="H30" s="306"/>
      <c r="I30" s="306"/>
      <c r="J30" s="306"/>
      <c r="K30" s="306"/>
      <c r="L30" s="306"/>
      <c r="M30" s="306"/>
      <c r="N30" s="306"/>
      <c r="O30" s="306"/>
      <c r="P30" s="306"/>
    </row>
    <row r="31" customHeight="1" spans="1:16">
      <c r="A31" s="223" t="s">
        <v>2229</v>
      </c>
      <c r="B31" s="306"/>
      <c r="C31" s="306"/>
      <c r="D31" s="306"/>
      <c r="E31" s="306"/>
      <c r="F31" s="223" t="s">
        <v>2229</v>
      </c>
      <c r="G31" s="306"/>
      <c r="H31" s="306"/>
      <c r="I31" s="306"/>
      <c r="J31" s="306"/>
      <c r="K31" s="223" t="s">
        <v>2229</v>
      </c>
      <c r="L31" s="306"/>
      <c r="M31" s="306"/>
      <c r="N31" s="306"/>
      <c r="O31" s="306"/>
      <c r="P31" s="223" t="s">
        <v>2230</v>
      </c>
    </row>
    <row r="32" customHeight="1" spans="1:16">
      <c r="A32" s="223" t="s">
        <v>2231</v>
      </c>
      <c r="B32" s="223" t="s">
        <v>2232</v>
      </c>
      <c r="C32" s="223" t="s">
        <v>2233</v>
      </c>
      <c r="D32" s="223" t="s">
        <v>1592</v>
      </c>
      <c r="E32" s="306"/>
      <c r="F32" s="223" t="s">
        <v>2231</v>
      </c>
      <c r="G32" s="223" t="s">
        <v>2232</v>
      </c>
      <c r="H32" s="223" t="s">
        <v>2233</v>
      </c>
      <c r="I32" s="223" t="s">
        <v>1592</v>
      </c>
      <c r="J32" s="306"/>
      <c r="K32" s="223" t="s">
        <v>2231</v>
      </c>
      <c r="L32" s="223" t="s">
        <v>2232</v>
      </c>
      <c r="M32" s="223" t="s">
        <v>2233</v>
      </c>
      <c r="N32" s="223" t="s">
        <v>1592</v>
      </c>
      <c r="O32" s="306"/>
      <c r="P32" s="306"/>
    </row>
    <row r="33" customHeight="1" spans="3:13">
      <c r="C33" s="29" t="s">
        <v>1249</v>
      </c>
      <c r="H33" s="29" t="s">
        <v>1195</v>
      </c>
      <c r="M33" s="29" t="s">
        <v>2234</v>
      </c>
    </row>
    <row r="34" customHeight="1" spans="3:13">
      <c r="C34" s="29" t="s">
        <v>1249</v>
      </c>
      <c r="H34" s="29" t="s">
        <v>1195</v>
      </c>
      <c r="M34" s="29" t="s">
        <v>2234</v>
      </c>
    </row>
    <row r="35" customHeight="1" spans="3:13">
      <c r="C35" s="29" t="s">
        <v>1249</v>
      </c>
      <c r="H35" s="29" t="s">
        <v>1195</v>
      </c>
      <c r="M35" s="29" t="s">
        <v>2234</v>
      </c>
    </row>
    <row r="36" customHeight="1" spans="3:13">
      <c r="C36" s="29" t="s">
        <v>1249</v>
      </c>
      <c r="H36" s="29" t="s">
        <v>1195</v>
      </c>
      <c r="M36" s="29" t="s">
        <v>2234</v>
      </c>
    </row>
    <row r="37" customHeight="1" spans="1:16">
      <c r="A37" s="223" t="s">
        <v>2235</v>
      </c>
      <c r="B37" s="306"/>
      <c r="C37" s="306"/>
      <c r="D37" s="306"/>
      <c r="E37" s="306"/>
      <c r="F37" s="223" t="s">
        <v>2235</v>
      </c>
      <c r="G37" s="306"/>
      <c r="H37" s="306"/>
      <c r="I37" s="306"/>
      <c r="J37" s="306"/>
      <c r="K37" s="223" t="s">
        <v>2235</v>
      </c>
      <c r="L37" s="306"/>
      <c r="M37" s="306"/>
      <c r="N37" s="306"/>
      <c r="O37" s="306"/>
      <c r="P37" s="306"/>
    </row>
    <row r="38" customHeight="1" spans="1:13">
      <c r="A38" s="29" t="s">
        <v>2239</v>
      </c>
      <c r="C38" s="29" t="s">
        <v>1249</v>
      </c>
      <c r="F38" s="29" t="s">
        <v>1764</v>
      </c>
      <c r="H38" s="29" t="s">
        <v>1195</v>
      </c>
      <c r="M38" s="29" t="s">
        <v>2234</v>
      </c>
    </row>
    <row r="39" customHeight="1" spans="3:13">
      <c r="C39" s="29" t="s">
        <v>1249</v>
      </c>
      <c r="H39" s="29" t="s">
        <v>1195</v>
      </c>
      <c r="M39" s="29" t="s">
        <v>2234</v>
      </c>
    </row>
    <row r="40" customHeight="1" spans="3:13">
      <c r="C40" s="29" t="s">
        <v>1249</v>
      </c>
      <c r="H40" s="29" t="s">
        <v>1195</v>
      </c>
      <c r="M40" s="29" t="s">
        <v>2234</v>
      </c>
    </row>
    <row r="41" customHeight="1" spans="3:13">
      <c r="C41" s="29" t="s">
        <v>1249</v>
      </c>
      <c r="H41" s="29" t="s">
        <v>1195</v>
      </c>
      <c r="M41" s="29" t="s">
        <v>2234</v>
      </c>
    </row>
    <row r="43" customHeight="1" spans="1:16">
      <c r="A43" s="223" t="s">
        <v>2236</v>
      </c>
      <c r="B43" s="306"/>
      <c r="C43" s="306"/>
      <c r="D43" s="306"/>
      <c r="E43" s="306"/>
      <c r="F43" s="223" t="s">
        <v>2236</v>
      </c>
      <c r="G43" s="306"/>
      <c r="H43" s="306"/>
      <c r="I43" s="306"/>
      <c r="J43" s="306"/>
      <c r="K43" s="223" t="s">
        <v>2236</v>
      </c>
      <c r="L43" s="306"/>
      <c r="M43" s="306"/>
      <c r="N43" s="306"/>
      <c r="O43" s="306"/>
      <c r="P43" s="306"/>
    </row>
    <row r="44" customHeight="1" spans="1:13">
      <c r="A44" s="29" t="s">
        <v>350</v>
      </c>
      <c r="C44" s="29" t="s">
        <v>1249</v>
      </c>
      <c r="H44" s="29" t="s">
        <v>1195</v>
      </c>
      <c r="M44" s="29" t="s">
        <v>2234</v>
      </c>
    </row>
    <row r="45" customHeight="1" spans="3:13">
      <c r="C45" s="29" t="s">
        <v>1249</v>
      </c>
      <c r="H45" s="29" t="s">
        <v>1195</v>
      </c>
      <c r="M45" s="29" t="s">
        <v>2234</v>
      </c>
    </row>
    <row r="46" customHeight="1" spans="3:13">
      <c r="C46" s="29" t="s">
        <v>1249</v>
      </c>
      <c r="H46" s="29" t="s">
        <v>1195</v>
      </c>
      <c r="M46" s="29" t="s">
        <v>2234</v>
      </c>
    </row>
    <row r="47" customHeight="1" spans="3:13">
      <c r="C47" s="29" t="s">
        <v>1249</v>
      </c>
      <c r="H47" s="29" t="s">
        <v>1195</v>
      </c>
      <c r="M47" s="29" t="s">
        <v>2234</v>
      </c>
    </row>
    <row r="49" customHeight="1" spans="1:16">
      <c r="A49" s="223" t="s">
        <v>2237</v>
      </c>
      <c r="B49" s="306"/>
      <c r="C49" s="306"/>
      <c r="D49" s="306"/>
      <c r="E49" s="306"/>
      <c r="F49" s="223" t="s">
        <v>2237</v>
      </c>
      <c r="G49" s="306"/>
      <c r="H49" s="306"/>
      <c r="I49" s="306"/>
      <c r="J49" s="306"/>
      <c r="K49" s="223" t="s">
        <v>2237</v>
      </c>
      <c r="L49" s="306"/>
      <c r="M49" s="306"/>
      <c r="N49" s="306"/>
      <c r="O49" s="306"/>
      <c r="P49" s="306"/>
    </row>
    <row r="50" customHeight="1" spans="3:13">
      <c r="C50" s="29" t="s">
        <v>1249</v>
      </c>
      <c r="H50" s="29" t="s">
        <v>1195</v>
      </c>
      <c r="M50" s="29" t="s">
        <v>2234</v>
      </c>
    </row>
    <row r="51" customHeight="1" spans="3:13">
      <c r="C51" s="29" t="s">
        <v>1249</v>
      </c>
      <c r="H51" s="29" t="s">
        <v>1195</v>
      </c>
      <c r="M51" s="29" t="s">
        <v>2234</v>
      </c>
    </row>
    <row r="52" customHeight="1" spans="3:13">
      <c r="C52" s="29" t="s">
        <v>1249</v>
      </c>
      <c r="H52" s="29" t="s">
        <v>1195</v>
      </c>
      <c r="M52" s="29" t="s">
        <v>2234</v>
      </c>
    </row>
    <row r="53" customHeight="1" spans="3:13">
      <c r="C53" s="29" t="s">
        <v>1249</v>
      </c>
      <c r="H53" s="29" t="s">
        <v>1195</v>
      </c>
      <c r="M53" s="29" t="s">
        <v>2234</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N991"/>
  <sheetViews>
    <sheetView workbookViewId="0">
      <selection activeCell="A1" sqref="A1"/>
    </sheetView>
  </sheetViews>
  <sheetFormatPr defaultColWidth="12.6285714285714" defaultRowHeight="15.75" customHeight="1"/>
  <cols>
    <col min="1" max="1" width="8.38095238095238" customWidth="1"/>
    <col min="2" max="2" width="6.38095238095238" customWidth="1"/>
    <col min="9" max="9" width="7.75238095238095" customWidth="1"/>
    <col min="10" max="11" width="7.38095238095238" customWidth="1"/>
    <col min="12" max="12" width="8.5047619047619" customWidth="1"/>
    <col min="22" max="22" width="43.3809523809524" customWidth="1"/>
  </cols>
  <sheetData>
    <row r="1" customHeight="1" spans="5:20">
      <c r="E1" s="291"/>
      <c r="F1" s="291"/>
      <c r="G1" s="291"/>
      <c r="H1" s="291"/>
      <c r="I1" s="296"/>
      <c r="M1" s="296"/>
      <c r="N1" s="296"/>
      <c r="O1" s="297"/>
      <c r="P1" s="298"/>
      <c r="R1" s="296"/>
      <c r="S1" s="297"/>
      <c r="T1" s="298"/>
    </row>
    <row r="2" customHeight="1" spans="5:20">
      <c r="E2" s="292" t="s">
        <v>2240</v>
      </c>
      <c r="F2" s="293"/>
      <c r="G2" s="292" t="s">
        <v>1135</v>
      </c>
      <c r="H2" s="293"/>
      <c r="I2" s="299" t="s">
        <v>2241</v>
      </c>
      <c r="J2" s="29" t="s">
        <v>2241</v>
      </c>
      <c r="M2" s="296"/>
      <c r="N2" s="296"/>
      <c r="O2" s="297"/>
      <c r="P2" s="298"/>
      <c r="Q2" s="305">
        <v>0.4</v>
      </c>
      <c r="R2" s="296"/>
      <c r="S2" s="297"/>
      <c r="T2" s="298"/>
    </row>
    <row r="3" customHeight="1" spans="1:40">
      <c r="A3" s="223" t="s">
        <v>2242</v>
      </c>
      <c r="B3" s="223" t="s">
        <v>1145</v>
      </c>
      <c r="C3" s="223" t="s">
        <v>1146</v>
      </c>
      <c r="D3" s="223" t="s">
        <v>1148</v>
      </c>
      <c r="E3" s="294" t="s">
        <v>1136</v>
      </c>
      <c r="F3" s="295" t="s">
        <v>1160</v>
      </c>
      <c r="G3" s="294" t="s">
        <v>1136</v>
      </c>
      <c r="H3" s="295" t="s">
        <v>1160</v>
      </c>
      <c r="I3" s="300" t="s">
        <v>1167</v>
      </c>
      <c r="J3" s="223" t="s">
        <v>1168</v>
      </c>
      <c r="K3" s="223" t="s">
        <v>1169</v>
      </c>
      <c r="L3" s="223" t="s">
        <v>1170</v>
      </c>
      <c r="M3" s="300" t="s">
        <v>1173</v>
      </c>
      <c r="N3" s="300" t="s">
        <v>1174</v>
      </c>
      <c r="O3" s="300" t="s">
        <v>2243</v>
      </c>
      <c r="P3" s="223" t="s">
        <v>2244</v>
      </c>
      <c r="Q3" s="223" t="s">
        <v>1177</v>
      </c>
      <c r="R3" s="300" t="s">
        <v>1178</v>
      </c>
      <c r="S3" s="300" t="s">
        <v>2243</v>
      </c>
      <c r="T3" s="223" t="s">
        <v>2244</v>
      </c>
      <c r="U3" s="223" t="s">
        <v>1179</v>
      </c>
      <c r="V3" s="306"/>
      <c r="W3" s="306"/>
      <c r="X3" s="306"/>
      <c r="Y3" s="306"/>
      <c r="Z3" s="306"/>
      <c r="AA3" s="306"/>
      <c r="AB3" s="306"/>
      <c r="AC3" s="306"/>
      <c r="AD3" s="306"/>
      <c r="AE3" s="306"/>
      <c r="AF3" s="306"/>
      <c r="AG3" s="306"/>
      <c r="AH3" s="306"/>
      <c r="AI3" s="306"/>
      <c r="AJ3" s="306"/>
      <c r="AK3" s="306"/>
      <c r="AL3" s="306"/>
      <c r="AM3" s="306"/>
      <c r="AN3" s="306"/>
    </row>
    <row r="4" customHeight="1" spans="1:25">
      <c r="A4" s="29" t="s">
        <v>1044</v>
      </c>
      <c r="B4" s="29" t="s">
        <v>1195</v>
      </c>
      <c r="C4" s="29" t="s">
        <v>1764</v>
      </c>
      <c r="D4" s="29" t="str">
        <f t="shared" ref="D4:D23" si="0">W4</f>
        <v>Pearl</v>
      </c>
      <c r="E4" s="291"/>
      <c r="F4" s="291"/>
      <c r="G4" s="291"/>
      <c r="H4" s="291"/>
      <c r="I4" s="301">
        <f t="shared" ref="I4:I23" si="1">(J4+K4)/2</f>
        <v>425</v>
      </c>
      <c r="J4" s="29">
        <v>400</v>
      </c>
      <c r="K4" s="29">
        <v>450</v>
      </c>
      <c r="L4" s="29">
        <v>2</v>
      </c>
      <c r="M4" s="299">
        <f t="shared" ref="M4:M23" si="2">I4</f>
        <v>425</v>
      </c>
      <c r="N4" s="302">
        <f t="shared" ref="N4:N24" si="3">M4/0.8</f>
        <v>531.25</v>
      </c>
      <c r="O4" s="303">
        <f t="shared" ref="O4:O24" si="4">(M4+N4)/2</f>
        <v>478.125</v>
      </c>
      <c r="P4" s="304">
        <f t="shared" ref="P4:P23" si="5">M4/N4</f>
        <v>0.8</v>
      </c>
      <c r="Q4" s="307">
        <f t="shared" ref="Q4:Q7" si="6">M4*$Q$2</f>
        <v>170</v>
      </c>
      <c r="R4" s="302">
        <f t="shared" ref="R4:R7" si="7">Q4/0.8</f>
        <v>212.5</v>
      </c>
      <c r="S4" s="303">
        <f t="shared" ref="S4:S28" si="8">(Q4+R4)/2</f>
        <v>191.25</v>
      </c>
      <c r="T4" s="304">
        <f t="shared" ref="T4:T24" si="9">Q4/R4</f>
        <v>0.8</v>
      </c>
      <c r="V4" s="29" t="s">
        <v>2245</v>
      </c>
      <c r="W4" s="29" t="s">
        <v>1252</v>
      </c>
      <c r="Y4" s="29" t="s">
        <v>2246</v>
      </c>
    </row>
    <row r="5" customHeight="1" spans="1:25">
      <c r="A5" s="29" t="s">
        <v>1038</v>
      </c>
      <c r="B5" s="29" t="s">
        <v>1195</v>
      </c>
      <c r="C5" s="29" t="s">
        <v>1764</v>
      </c>
      <c r="D5" s="29" t="str">
        <f t="shared" si="0"/>
        <v>Low Lustre</v>
      </c>
      <c r="E5" s="291"/>
      <c r="F5" s="291"/>
      <c r="G5" s="291"/>
      <c r="H5" s="291"/>
      <c r="I5" s="301">
        <f t="shared" si="1"/>
        <v>350</v>
      </c>
      <c r="J5" s="29">
        <v>300</v>
      </c>
      <c r="K5" s="29">
        <v>400</v>
      </c>
      <c r="L5" s="29">
        <v>2</v>
      </c>
      <c r="M5" s="299">
        <f t="shared" si="2"/>
        <v>350</v>
      </c>
      <c r="N5" s="302">
        <f t="shared" si="3"/>
        <v>437.5</v>
      </c>
      <c r="O5" s="303">
        <f t="shared" si="4"/>
        <v>393.75</v>
      </c>
      <c r="P5" s="304">
        <f t="shared" si="5"/>
        <v>0.8</v>
      </c>
      <c r="Q5" s="307">
        <f t="shared" si="6"/>
        <v>140</v>
      </c>
      <c r="R5" s="302">
        <f t="shared" si="7"/>
        <v>175</v>
      </c>
      <c r="S5" s="303">
        <f t="shared" si="8"/>
        <v>157.5</v>
      </c>
      <c r="T5" s="304">
        <f t="shared" si="9"/>
        <v>0.8</v>
      </c>
      <c r="V5" s="29" t="s">
        <v>2247</v>
      </c>
      <c r="W5" s="29" t="s">
        <v>1231</v>
      </c>
      <c r="Y5" s="29" t="s">
        <v>2248</v>
      </c>
    </row>
    <row r="6" customHeight="1" spans="1:25">
      <c r="A6" s="29" t="s">
        <v>1038</v>
      </c>
      <c r="B6" s="29" t="s">
        <v>1195</v>
      </c>
      <c r="C6" s="29" t="s">
        <v>1484</v>
      </c>
      <c r="D6" s="29" t="str">
        <f t="shared" si="0"/>
        <v>Flat</v>
      </c>
      <c r="E6" s="291"/>
      <c r="F6" s="291"/>
      <c r="G6" s="291"/>
      <c r="H6" s="291"/>
      <c r="I6" s="301">
        <f t="shared" si="1"/>
        <v>400</v>
      </c>
      <c r="J6" s="29">
        <v>350</v>
      </c>
      <c r="K6" s="29">
        <v>450</v>
      </c>
      <c r="L6" s="29">
        <v>2</v>
      </c>
      <c r="M6" s="299">
        <f t="shared" si="2"/>
        <v>400</v>
      </c>
      <c r="N6" s="302">
        <f t="shared" si="3"/>
        <v>500</v>
      </c>
      <c r="O6" s="303">
        <f t="shared" si="4"/>
        <v>450</v>
      </c>
      <c r="P6" s="304">
        <f t="shared" si="5"/>
        <v>0.8</v>
      </c>
      <c r="Q6" s="307">
        <f t="shared" si="6"/>
        <v>160</v>
      </c>
      <c r="R6" s="302">
        <f t="shared" si="7"/>
        <v>200</v>
      </c>
      <c r="S6" s="303">
        <f t="shared" si="8"/>
        <v>180</v>
      </c>
      <c r="T6" s="304">
        <f t="shared" si="9"/>
        <v>0.8</v>
      </c>
      <c r="V6" s="29" t="s">
        <v>2249</v>
      </c>
      <c r="W6" s="29" t="s">
        <v>1217</v>
      </c>
      <c r="Y6" s="29" t="s">
        <v>2250</v>
      </c>
    </row>
    <row r="7" customHeight="1" spans="1:25">
      <c r="A7" s="29" t="s">
        <v>975</v>
      </c>
      <c r="B7" s="29" t="s">
        <v>1195</v>
      </c>
      <c r="C7" s="29" t="s">
        <v>2251</v>
      </c>
      <c r="D7" s="29" t="str">
        <f t="shared" si="0"/>
        <v>High Gloss</v>
      </c>
      <c r="E7" s="291"/>
      <c r="F7" s="291"/>
      <c r="G7" s="291"/>
      <c r="H7" s="291"/>
      <c r="I7" s="301">
        <f t="shared" si="1"/>
        <v>112.5</v>
      </c>
      <c r="J7" s="29">
        <v>100</v>
      </c>
      <c r="K7" s="29">
        <v>125</v>
      </c>
      <c r="L7" s="29">
        <v>2</v>
      </c>
      <c r="M7" s="299">
        <f t="shared" si="2"/>
        <v>112.5</v>
      </c>
      <c r="N7" s="302">
        <f t="shared" si="3"/>
        <v>140.625</v>
      </c>
      <c r="O7" s="303">
        <f t="shared" si="4"/>
        <v>126.5625</v>
      </c>
      <c r="P7" s="304">
        <f t="shared" si="5"/>
        <v>0.8</v>
      </c>
      <c r="Q7" s="307">
        <f t="shared" si="6"/>
        <v>45</v>
      </c>
      <c r="R7" s="302">
        <f t="shared" si="7"/>
        <v>56.25</v>
      </c>
      <c r="S7" s="303">
        <f t="shared" si="8"/>
        <v>50.625</v>
      </c>
      <c r="T7" s="304">
        <f t="shared" si="9"/>
        <v>0.8</v>
      </c>
      <c r="V7" s="29" t="s">
        <v>2252</v>
      </c>
      <c r="W7" s="29" t="s">
        <v>1383</v>
      </c>
      <c r="Y7" s="29" t="s">
        <v>2253</v>
      </c>
    </row>
    <row r="8" customHeight="1" spans="1:25">
      <c r="A8" s="29" t="s">
        <v>1044</v>
      </c>
      <c r="B8" s="29" t="s">
        <v>1195</v>
      </c>
      <c r="C8" s="29" t="s">
        <v>749</v>
      </c>
      <c r="D8" s="29" t="str">
        <f t="shared" si="0"/>
        <v>Satin</v>
      </c>
      <c r="E8" s="291"/>
      <c r="F8" s="291"/>
      <c r="G8" s="291"/>
      <c r="H8" s="291"/>
      <c r="I8" s="301">
        <f t="shared" si="1"/>
        <v>375</v>
      </c>
      <c r="J8" s="29">
        <v>350</v>
      </c>
      <c r="K8" s="29">
        <v>400</v>
      </c>
      <c r="L8" s="29">
        <v>2</v>
      </c>
      <c r="M8" s="299">
        <f t="shared" si="2"/>
        <v>375</v>
      </c>
      <c r="N8" s="302">
        <f t="shared" si="3"/>
        <v>468.75</v>
      </c>
      <c r="O8" s="303">
        <f t="shared" si="4"/>
        <v>421.875</v>
      </c>
      <c r="P8" s="304">
        <f t="shared" si="5"/>
        <v>0.8</v>
      </c>
      <c r="Q8" s="307"/>
      <c r="R8" s="302"/>
      <c r="S8" s="303">
        <f t="shared" si="8"/>
        <v>0</v>
      </c>
      <c r="T8" s="304" t="e">
        <f t="shared" si="9"/>
        <v>#DIV/0!</v>
      </c>
      <c r="V8" s="29" t="s">
        <v>2254</v>
      </c>
      <c r="W8" s="29" t="s">
        <v>1201</v>
      </c>
      <c r="Y8" s="29" t="s">
        <v>2255</v>
      </c>
    </row>
    <row r="9" customHeight="1" spans="1:25">
      <c r="A9" s="29" t="s">
        <v>1044</v>
      </c>
      <c r="B9" s="29" t="s">
        <v>1195</v>
      </c>
      <c r="C9" s="29" t="s">
        <v>2256</v>
      </c>
      <c r="D9" s="29" t="str">
        <f t="shared" si="0"/>
        <v>Matte</v>
      </c>
      <c r="E9" s="291"/>
      <c r="F9" s="291"/>
      <c r="G9" s="291"/>
      <c r="H9" s="291"/>
      <c r="I9" s="301">
        <f t="shared" si="1"/>
        <v>375</v>
      </c>
      <c r="J9" s="29">
        <v>350</v>
      </c>
      <c r="K9" s="29">
        <v>400</v>
      </c>
      <c r="L9" s="29">
        <v>2</v>
      </c>
      <c r="M9" s="299">
        <f t="shared" si="2"/>
        <v>375</v>
      </c>
      <c r="N9" s="302">
        <f t="shared" si="3"/>
        <v>468.75</v>
      </c>
      <c r="O9" s="303">
        <f t="shared" si="4"/>
        <v>421.875</v>
      </c>
      <c r="P9" s="304">
        <f t="shared" si="5"/>
        <v>0.8</v>
      </c>
      <c r="Q9" s="307">
        <f t="shared" ref="Q9:Q28" si="10">M9*$Q$2</f>
        <v>150</v>
      </c>
      <c r="R9" s="302">
        <f t="shared" ref="R9:R28" si="11">Q9/0.8</f>
        <v>187.5</v>
      </c>
      <c r="S9" s="303">
        <f t="shared" si="8"/>
        <v>168.75</v>
      </c>
      <c r="T9" s="304">
        <f t="shared" si="9"/>
        <v>0.8</v>
      </c>
      <c r="V9" s="29" t="s">
        <v>2257</v>
      </c>
      <c r="W9" s="29" t="s">
        <v>1237</v>
      </c>
      <c r="Y9" s="29" t="s">
        <v>2258</v>
      </c>
    </row>
    <row r="10" customHeight="1" spans="1:25">
      <c r="A10" s="29" t="s">
        <v>1044</v>
      </c>
      <c r="B10" s="29" t="s">
        <v>1195</v>
      </c>
      <c r="C10" s="29" t="s">
        <v>2256</v>
      </c>
      <c r="D10" s="29" t="str">
        <f t="shared" si="0"/>
        <v>Eggshell</v>
      </c>
      <c r="E10" s="291"/>
      <c r="F10" s="291"/>
      <c r="G10" s="291"/>
      <c r="H10" s="291"/>
      <c r="I10" s="301">
        <f t="shared" si="1"/>
        <v>375</v>
      </c>
      <c r="J10" s="29">
        <v>350</v>
      </c>
      <c r="K10" s="29">
        <v>400</v>
      </c>
      <c r="L10" s="29">
        <v>2</v>
      </c>
      <c r="M10" s="299">
        <f t="shared" si="2"/>
        <v>375</v>
      </c>
      <c r="N10" s="302">
        <f t="shared" si="3"/>
        <v>468.75</v>
      </c>
      <c r="O10" s="303">
        <f t="shared" si="4"/>
        <v>421.875</v>
      </c>
      <c r="P10" s="304">
        <f t="shared" si="5"/>
        <v>0.8</v>
      </c>
      <c r="Q10" s="307">
        <f t="shared" si="10"/>
        <v>150</v>
      </c>
      <c r="R10" s="302">
        <f t="shared" si="11"/>
        <v>187.5</v>
      </c>
      <c r="S10" s="303">
        <f t="shared" si="8"/>
        <v>168.75</v>
      </c>
      <c r="T10" s="304">
        <f t="shared" si="9"/>
        <v>0.8</v>
      </c>
      <c r="V10" s="29" t="s">
        <v>2259</v>
      </c>
      <c r="W10" s="29" t="s">
        <v>1224</v>
      </c>
      <c r="Y10" s="29" t="s">
        <v>2260</v>
      </c>
    </row>
    <row r="11" customHeight="1" spans="1:25">
      <c r="A11" s="29" t="s">
        <v>1044</v>
      </c>
      <c r="B11" s="29" t="s">
        <v>1195</v>
      </c>
      <c r="C11" s="29" t="s">
        <v>2256</v>
      </c>
      <c r="D11" s="29" t="str">
        <f t="shared" si="0"/>
        <v>Satin</v>
      </c>
      <c r="E11" s="291"/>
      <c r="F11" s="291"/>
      <c r="G11" s="291"/>
      <c r="H11" s="291"/>
      <c r="I11" s="301">
        <f t="shared" si="1"/>
        <v>375</v>
      </c>
      <c r="J11" s="29">
        <v>350</v>
      </c>
      <c r="K11" s="29">
        <v>400</v>
      </c>
      <c r="L11" s="29">
        <v>2</v>
      </c>
      <c r="M11" s="299">
        <f t="shared" si="2"/>
        <v>375</v>
      </c>
      <c r="N11" s="302">
        <f t="shared" si="3"/>
        <v>468.75</v>
      </c>
      <c r="O11" s="303">
        <f t="shared" si="4"/>
        <v>421.875</v>
      </c>
      <c r="P11" s="304">
        <f t="shared" si="5"/>
        <v>0.8</v>
      </c>
      <c r="Q11" s="307">
        <f t="shared" si="10"/>
        <v>150</v>
      </c>
      <c r="R11" s="302">
        <f t="shared" si="11"/>
        <v>187.5</v>
      </c>
      <c r="S11" s="303">
        <f t="shared" si="8"/>
        <v>168.75</v>
      </c>
      <c r="T11" s="304">
        <f t="shared" si="9"/>
        <v>0.8</v>
      </c>
      <c r="V11" s="29" t="s">
        <v>2261</v>
      </c>
      <c r="W11" s="29" t="s">
        <v>1201</v>
      </c>
      <c r="Y11" s="29" t="s">
        <v>2262</v>
      </c>
    </row>
    <row r="12" customHeight="1" spans="1:25">
      <c r="A12" s="29" t="s">
        <v>1044</v>
      </c>
      <c r="B12" s="29" t="s">
        <v>1195</v>
      </c>
      <c r="C12" s="29" t="s">
        <v>2256</v>
      </c>
      <c r="D12" s="29" t="str">
        <f t="shared" si="0"/>
        <v>Semi-gloss</v>
      </c>
      <c r="E12" s="291"/>
      <c r="F12" s="291"/>
      <c r="G12" s="291"/>
      <c r="H12" s="291"/>
      <c r="I12" s="301">
        <f t="shared" si="1"/>
        <v>425</v>
      </c>
      <c r="J12" s="29">
        <v>400</v>
      </c>
      <c r="K12" s="29">
        <v>450</v>
      </c>
      <c r="L12" s="29">
        <v>2</v>
      </c>
      <c r="M12" s="299">
        <f t="shared" si="2"/>
        <v>425</v>
      </c>
      <c r="N12" s="302">
        <f t="shared" si="3"/>
        <v>531.25</v>
      </c>
      <c r="O12" s="303">
        <f t="shared" si="4"/>
        <v>478.125</v>
      </c>
      <c r="P12" s="304">
        <f t="shared" si="5"/>
        <v>0.8</v>
      </c>
      <c r="Q12" s="307">
        <f t="shared" si="10"/>
        <v>170</v>
      </c>
      <c r="R12" s="302">
        <f t="shared" si="11"/>
        <v>212.5</v>
      </c>
      <c r="S12" s="303">
        <f t="shared" si="8"/>
        <v>191.25</v>
      </c>
      <c r="T12" s="304">
        <f t="shared" si="9"/>
        <v>0.8</v>
      </c>
      <c r="V12" s="29" t="s">
        <v>2263</v>
      </c>
      <c r="W12" s="29" t="s">
        <v>2264</v>
      </c>
      <c r="Y12" s="29" t="s">
        <v>2265</v>
      </c>
    </row>
    <row r="13" customHeight="1" spans="1:25">
      <c r="A13" s="29" t="s">
        <v>1044</v>
      </c>
      <c r="B13" s="29" t="s">
        <v>1195</v>
      </c>
      <c r="C13" s="29" t="s">
        <v>2266</v>
      </c>
      <c r="D13" s="29" t="str">
        <f t="shared" si="0"/>
        <v>Matte</v>
      </c>
      <c r="E13" s="291"/>
      <c r="F13" s="291"/>
      <c r="G13" s="291"/>
      <c r="H13" s="291"/>
      <c r="I13" s="301">
        <f t="shared" si="1"/>
        <v>425</v>
      </c>
      <c r="J13" s="29">
        <v>400</v>
      </c>
      <c r="K13" s="29">
        <v>450</v>
      </c>
      <c r="L13" s="29">
        <v>2</v>
      </c>
      <c r="M13" s="299">
        <f t="shared" si="2"/>
        <v>425</v>
      </c>
      <c r="N13" s="302">
        <f t="shared" si="3"/>
        <v>531.25</v>
      </c>
      <c r="O13" s="303">
        <f t="shared" si="4"/>
        <v>478.125</v>
      </c>
      <c r="P13" s="304">
        <f t="shared" si="5"/>
        <v>0.8</v>
      </c>
      <c r="Q13" s="307">
        <f t="shared" si="10"/>
        <v>170</v>
      </c>
      <c r="R13" s="302">
        <f t="shared" si="11"/>
        <v>212.5</v>
      </c>
      <c r="S13" s="303">
        <f t="shared" si="8"/>
        <v>191.25</v>
      </c>
      <c r="T13" s="304">
        <f t="shared" si="9"/>
        <v>0.8</v>
      </c>
      <c r="V13" s="29" t="s">
        <v>2267</v>
      </c>
      <c r="W13" s="29" t="s">
        <v>1237</v>
      </c>
      <c r="Y13" s="29" t="s">
        <v>2268</v>
      </c>
    </row>
    <row r="14" customHeight="1" spans="1:25">
      <c r="A14" s="29" t="s">
        <v>1044</v>
      </c>
      <c r="B14" s="29" t="s">
        <v>1195</v>
      </c>
      <c r="C14" s="29" t="s">
        <v>2266</v>
      </c>
      <c r="D14" s="29" t="str">
        <f t="shared" si="0"/>
        <v>Eggshell</v>
      </c>
      <c r="E14" s="291"/>
      <c r="F14" s="291"/>
      <c r="G14" s="291"/>
      <c r="H14" s="291"/>
      <c r="I14" s="301">
        <f t="shared" si="1"/>
        <v>425</v>
      </c>
      <c r="J14" s="29">
        <v>400</v>
      </c>
      <c r="K14" s="29">
        <v>450</v>
      </c>
      <c r="L14" s="29">
        <v>2</v>
      </c>
      <c r="M14" s="299">
        <f t="shared" si="2"/>
        <v>425</v>
      </c>
      <c r="N14" s="302">
        <f t="shared" si="3"/>
        <v>531.25</v>
      </c>
      <c r="O14" s="303">
        <f t="shared" si="4"/>
        <v>478.125</v>
      </c>
      <c r="P14" s="304">
        <f t="shared" si="5"/>
        <v>0.8</v>
      </c>
      <c r="Q14" s="307">
        <f t="shared" si="10"/>
        <v>170</v>
      </c>
      <c r="R14" s="302">
        <f t="shared" si="11"/>
        <v>212.5</v>
      </c>
      <c r="S14" s="303">
        <f t="shared" si="8"/>
        <v>191.25</v>
      </c>
      <c r="T14" s="304">
        <f t="shared" si="9"/>
        <v>0.8</v>
      </c>
      <c r="V14" s="29" t="s">
        <v>2269</v>
      </c>
      <c r="W14" s="29" t="s">
        <v>1224</v>
      </c>
      <c r="Y14" s="29" t="s">
        <v>2270</v>
      </c>
    </row>
    <row r="15" customHeight="1" spans="1:25">
      <c r="A15" s="29" t="s">
        <v>1044</v>
      </c>
      <c r="B15" s="29" t="s">
        <v>1195</v>
      </c>
      <c r="C15" s="29" t="s">
        <v>2266</v>
      </c>
      <c r="D15" s="29" t="str">
        <f t="shared" si="0"/>
        <v>Semi-gloss</v>
      </c>
      <c r="E15" s="291"/>
      <c r="F15" s="291"/>
      <c r="G15" s="291"/>
      <c r="H15" s="291"/>
      <c r="I15" s="301">
        <f t="shared" si="1"/>
        <v>425</v>
      </c>
      <c r="J15" s="29">
        <v>400</v>
      </c>
      <c r="K15" s="29">
        <v>450</v>
      </c>
      <c r="L15" s="29">
        <v>2</v>
      </c>
      <c r="M15" s="299">
        <f t="shared" si="2"/>
        <v>425</v>
      </c>
      <c r="N15" s="302">
        <f t="shared" si="3"/>
        <v>531.25</v>
      </c>
      <c r="O15" s="303">
        <f t="shared" si="4"/>
        <v>478.125</v>
      </c>
      <c r="P15" s="304">
        <f t="shared" si="5"/>
        <v>0.8</v>
      </c>
      <c r="Q15" s="307">
        <f t="shared" si="10"/>
        <v>170</v>
      </c>
      <c r="R15" s="302">
        <f t="shared" si="11"/>
        <v>212.5</v>
      </c>
      <c r="S15" s="303">
        <f t="shared" si="8"/>
        <v>191.25</v>
      </c>
      <c r="T15" s="304">
        <f t="shared" si="9"/>
        <v>0.8</v>
      </c>
      <c r="V15" s="29" t="s">
        <v>2271</v>
      </c>
      <c r="W15" s="29" t="s">
        <v>2264</v>
      </c>
      <c r="Y15" s="29" t="s">
        <v>2272</v>
      </c>
    </row>
    <row r="16" customHeight="1" spans="1:25">
      <c r="A16" s="29" t="s">
        <v>1044</v>
      </c>
      <c r="B16" s="29" t="s">
        <v>1195</v>
      </c>
      <c r="C16" s="29" t="s">
        <v>2266</v>
      </c>
      <c r="D16" s="29" t="str">
        <f t="shared" si="0"/>
        <v>Satin/Pearl</v>
      </c>
      <c r="E16" s="291"/>
      <c r="F16" s="291"/>
      <c r="G16" s="291"/>
      <c r="H16" s="291"/>
      <c r="I16" s="301">
        <f t="shared" si="1"/>
        <v>425</v>
      </c>
      <c r="J16" s="29">
        <v>400</v>
      </c>
      <c r="K16" s="29">
        <v>450</v>
      </c>
      <c r="L16" s="29">
        <v>2</v>
      </c>
      <c r="M16" s="299">
        <f t="shared" si="2"/>
        <v>425</v>
      </c>
      <c r="N16" s="302">
        <f t="shared" si="3"/>
        <v>531.25</v>
      </c>
      <c r="O16" s="303">
        <f t="shared" si="4"/>
        <v>478.125</v>
      </c>
      <c r="P16" s="304">
        <f t="shared" si="5"/>
        <v>0.8</v>
      </c>
      <c r="Q16" s="307">
        <f t="shared" si="10"/>
        <v>170</v>
      </c>
      <c r="R16" s="302">
        <f t="shared" si="11"/>
        <v>212.5</v>
      </c>
      <c r="S16" s="303">
        <f t="shared" si="8"/>
        <v>191.25</v>
      </c>
      <c r="T16" s="304">
        <f t="shared" si="9"/>
        <v>0.8</v>
      </c>
      <c r="V16" s="29" t="s">
        <v>2273</v>
      </c>
      <c r="W16" s="29" t="s">
        <v>1243</v>
      </c>
      <c r="Y16" s="29" t="s">
        <v>2274</v>
      </c>
    </row>
    <row r="17" customHeight="1" spans="1:25">
      <c r="A17" s="29" t="s">
        <v>1038</v>
      </c>
      <c r="B17" s="29" t="s">
        <v>1195</v>
      </c>
      <c r="C17" s="29" t="s">
        <v>581</v>
      </c>
      <c r="D17" s="29" t="str">
        <f t="shared" si="0"/>
        <v>Flat</v>
      </c>
      <c r="E17" s="291"/>
      <c r="F17" s="291"/>
      <c r="G17" s="291"/>
      <c r="H17" s="291"/>
      <c r="I17" s="301">
        <f t="shared" si="1"/>
        <v>300</v>
      </c>
      <c r="J17" s="29">
        <v>250</v>
      </c>
      <c r="K17" s="29">
        <v>350</v>
      </c>
      <c r="L17" s="29">
        <v>2</v>
      </c>
      <c r="M17" s="299">
        <f t="shared" si="2"/>
        <v>300</v>
      </c>
      <c r="N17" s="302">
        <f t="shared" si="3"/>
        <v>375</v>
      </c>
      <c r="O17" s="303">
        <f t="shared" si="4"/>
        <v>337.5</v>
      </c>
      <c r="P17" s="304">
        <f t="shared" si="5"/>
        <v>0.8</v>
      </c>
      <c r="Q17" s="307">
        <f t="shared" si="10"/>
        <v>120</v>
      </c>
      <c r="R17" s="302">
        <f t="shared" si="11"/>
        <v>150</v>
      </c>
      <c r="S17" s="303">
        <f t="shared" si="8"/>
        <v>135</v>
      </c>
      <c r="T17" s="304">
        <f t="shared" si="9"/>
        <v>0.8</v>
      </c>
      <c r="V17" s="29" t="s">
        <v>2275</v>
      </c>
      <c r="W17" s="29" t="s">
        <v>1217</v>
      </c>
      <c r="Y17" s="29" t="s">
        <v>2276</v>
      </c>
    </row>
    <row r="18" customHeight="1" spans="1:25">
      <c r="A18" s="29" t="s">
        <v>1038</v>
      </c>
      <c r="B18" s="29" t="s">
        <v>1195</v>
      </c>
      <c r="C18" s="29" t="s">
        <v>581</v>
      </c>
      <c r="D18" s="29" t="str">
        <f t="shared" si="0"/>
        <v>Satin</v>
      </c>
      <c r="E18" s="291"/>
      <c r="F18" s="291"/>
      <c r="G18" s="291"/>
      <c r="H18" s="291"/>
      <c r="I18" s="301">
        <f t="shared" si="1"/>
        <v>300</v>
      </c>
      <c r="J18" s="29">
        <v>250</v>
      </c>
      <c r="K18" s="29">
        <v>350</v>
      </c>
      <c r="L18" s="29">
        <v>2</v>
      </c>
      <c r="M18" s="299">
        <f t="shared" si="2"/>
        <v>300</v>
      </c>
      <c r="N18" s="302">
        <f t="shared" si="3"/>
        <v>375</v>
      </c>
      <c r="O18" s="303">
        <f t="shared" si="4"/>
        <v>337.5</v>
      </c>
      <c r="P18" s="304">
        <f t="shared" si="5"/>
        <v>0.8</v>
      </c>
      <c r="Q18" s="307">
        <f t="shared" si="10"/>
        <v>120</v>
      </c>
      <c r="R18" s="302">
        <f t="shared" si="11"/>
        <v>150</v>
      </c>
      <c r="S18" s="303">
        <f t="shared" si="8"/>
        <v>135</v>
      </c>
      <c r="T18" s="304">
        <f t="shared" si="9"/>
        <v>0.8</v>
      </c>
      <c r="V18" s="29" t="s">
        <v>2261</v>
      </c>
      <c r="W18" s="29" t="s">
        <v>1201</v>
      </c>
      <c r="Y18" s="29" t="s">
        <v>2277</v>
      </c>
    </row>
    <row r="19" customHeight="1" spans="1:25">
      <c r="A19" s="29" t="s">
        <v>1038</v>
      </c>
      <c r="B19" s="29" t="s">
        <v>1195</v>
      </c>
      <c r="C19" s="29" t="s">
        <v>581</v>
      </c>
      <c r="D19" s="29" t="str">
        <f t="shared" si="0"/>
        <v>Low Lustre</v>
      </c>
      <c r="E19" s="291"/>
      <c r="F19" s="291"/>
      <c r="G19" s="291"/>
      <c r="H19" s="291"/>
      <c r="I19" s="301">
        <f t="shared" si="1"/>
        <v>300</v>
      </c>
      <c r="J19" s="29">
        <v>250</v>
      </c>
      <c r="K19" s="29">
        <v>350</v>
      </c>
      <c r="L19" s="29">
        <v>2</v>
      </c>
      <c r="M19" s="299">
        <f t="shared" si="2"/>
        <v>300</v>
      </c>
      <c r="N19" s="302">
        <f t="shared" si="3"/>
        <v>375</v>
      </c>
      <c r="O19" s="303">
        <f t="shared" si="4"/>
        <v>337.5</v>
      </c>
      <c r="P19" s="304">
        <f t="shared" si="5"/>
        <v>0.8</v>
      </c>
      <c r="Q19" s="307">
        <f t="shared" si="10"/>
        <v>120</v>
      </c>
      <c r="R19" s="302">
        <f t="shared" si="11"/>
        <v>150</v>
      </c>
      <c r="S19" s="303">
        <f t="shared" si="8"/>
        <v>135</v>
      </c>
      <c r="T19" s="304">
        <f t="shared" si="9"/>
        <v>0.8</v>
      </c>
      <c r="V19" s="29" t="s">
        <v>2278</v>
      </c>
      <c r="W19" s="29" t="s">
        <v>1231</v>
      </c>
      <c r="Y19" s="29" t="s">
        <v>2279</v>
      </c>
    </row>
    <row r="20" customHeight="1" spans="4:25">
      <c r="D20" s="29">
        <f t="shared" si="0"/>
        <v>0</v>
      </c>
      <c r="E20" s="291"/>
      <c r="F20" s="291"/>
      <c r="G20" s="291"/>
      <c r="H20" s="291"/>
      <c r="I20" s="301">
        <f t="shared" si="1"/>
        <v>0</v>
      </c>
      <c r="M20" s="299">
        <f t="shared" si="2"/>
        <v>0</v>
      </c>
      <c r="N20" s="302">
        <f t="shared" si="3"/>
        <v>0</v>
      </c>
      <c r="O20" s="303">
        <f t="shared" si="4"/>
        <v>0</v>
      </c>
      <c r="P20" s="304" t="e">
        <f t="shared" si="5"/>
        <v>#DIV/0!</v>
      </c>
      <c r="Q20" s="307">
        <f t="shared" si="10"/>
        <v>0</v>
      </c>
      <c r="R20" s="302">
        <f t="shared" si="11"/>
        <v>0</v>
      </c>
      <c r="S20" s="303">
        <f t="shared" si="8"/>
        <v>0</v>
      </c>
      <c r="T20" s="304" t="e">
        <f t="shared" si="9"/>
        <v>#DIV/0!</v>
      </c>
      <c r="Y20" s="29" t="s">
        <v>2280</v>
      </c>
    </row>
    <row r="21" customHeight="1" spans="4:25">
      <c r="D21" s="29">
        <f t="shared" si="0"/>
        <v>0</v>
      </c>
      <c r="E21" s="291"/>
      <c r="F21" s="291"/>
      <c r="G21" s="291"/>
      <c r="H21" s="291"/>
      <c r="I21" s="301">
        <f t="shared" si="1"/>
        <v>0</v>
      </c>
      <c r="M21" s="299">
        <f t="shared" si="2"/>
        <v>0</v>
      </c>
      <c r="N21" s="302">
        <f t="shared" si="3"/>
        <v>0</v>
      </c>
      <c r="O21" s="303">
        <f t="shared" si="4"/>
        <v>0</v>
      </c>
      <c r="P21" s="304" t="e">
        <f t="shared" si="5"/>
        <v>#DIV/0!</v>
      </c>
      <c r="Q21" s="307">
        <f t="shared" si="10"/>
        <v>0</v>
      </c>
      <c r="R21" s="302">
        <f t="shared" si="11"/>
        <v>0</v>
      </c>
      <c r="S21" s="303">
        <f t="shared" si="8"/>
        <v>0</v>
      </c>
      <c r="T21" s="304" t="e">
        <f t="shared" si="9"/>
        <v>#DIV/0!</v>
      </c>
      <c r="Y21" s="29" t="s">
        <v>2281</v>
      </c>
    </row>
    <row r="22" customHeight="1" spans="4:25">
      <c r="D22" s="29">
        <f t="shared" si="0"/>
        <v>0</v>
      </c>
      <c r="E22" s="291"/>
      <c r="F22" s="291"/>
      <c r="G22" s="291"/>
      <c r="H22" s="291"/>
      <c r="I22" s="301">
        <f t="shared" si="1"/>
        <v>0</v>
      </c>
      <c r="M22" s="299">
        <f t="shared" si="2"/>
        <v>0</v>
      </c>
      <c r="N22" s="302">
        <f t="shared" si="3"/>
        <v>0</v>
      </c>
      <c r="O22" s="303">
        <f t="shared" si="4"/>
        <v>0</v>
      </c>
      <c r="P22" s="304" t="e">
        <f t="shared" si="5"/>
        <v>#DIV/0!</v>
      </c>
      <c r="Q22" s="307">
        <f t="shared" si="10"/>
        <v>0</v>
      </c>
      <c r="R22" s="302">
        <f t="shared" si="11"/>
        <v>0</v>
      </c>
      <c r="S22" s="303">
        <f t="shared" si="8"/>
        <v>0</v>
      </c>
      <c r="T22" s="304" t="e">
        <f t="shared" si="9"/>
        <v>#DIV/0!</v>
      </c>
      <c r="Y22" s="29" t="s">
        <v>2282</v>
      </c>
    </row>
    <row r="23" customHeight="1" spans="4:25">
      <c r="D23" s="29">
        <f t="shared" si="0"/>
        <v>0</v>
      </c>
      <c r="E23" s="291"/>
      <c r="F23" s="291"/>
      <c r="G23" s="291"/>
      <c r="H23" s="291"/>
      <c r="I23" s="301">
        <f t="shared" si="1"/>
        <v>0</v>
      </c>
      <c r="M23" s="299">
        <f t="shared" si="2"/>
        <v>0</v>
      </c>
      <c r="N23" s="302">
        <f t="shared" si="3"/>
        <v>0</v>
      </c>
      <c r="O23" s="303">
        <f t="shared" si="4"/>
        <v>0</v>
      </c>
      <c r="P23" s="304" t="e">
        <f t="shared" si="5"/>
        <v>#DIV/0!</v>
      </c>
      <c r="Q23" s="307">
        <f t="shared" si="10"/>
        <v>0</v>
      </c>
      <c r="R23" s="302">
        <f t="shared" si="11"/>
        <v>0</v>
      </c>
      <c r="S23" s="303">
        <f t="shared" si="8"/>
        <v>0</v>
      </c>
      <c r="T23" s="304" t="e">
        <f t="shared" si="9"/>
        <v>#DIV/0!</v>
      </c>
      <c r="Y23" s="29" t="s">
        <v>2283</v>
      </c>
    </row>
    <row r="24" customHeight="1" spans="5:25">
      <c r="E24" s="291"/>
      <c r="F24" s="291"/>
      <c r="G24" s="291"/>
      <c r="H24" s="291"/>
      <c r="I24" s="296"/>
      <c r="M24" s="296"/>
      <c r="N24" s="302">
        <f t="shared" si="3"/>
        <v>0</v>
      </c>
      <c r="O24" s="303">
        <f t="shared" si="4"/>
        <v>0</v>
      </c>
      <c r="P24" s="304"/>
      <c r="Q24" s="307">
        <f t="shared" si="10"/>
        <v>0</v>
      </c>
      <c r="R24" s="302">
        <f t="shared" si="11"/>
        <v>0</v>
      </c>
      <c r="S24" s="303">
        <f t="shared" si="8"/>
        <v>0</v>
      </c>
      <c r="T24" s="304" t="e">
        <f t="shared" si="9"/>
        <v>#DIV/0!</v>
      </c>
      <c r="Y24" s="29" t="s">
        <v>2284</v>
      </c>
    </row>
    <row r="25" customHeight="1" spans="5:20">
      <c r="E25" s="291"/>
      <c r="F25" s="291"/>
      <c r="G25" s="291"/>
      <c r="H25" s="291"/>
      <c r="I25" s="296"/>
      <c r="M25" s="296"/>
      <c r="N25" s="296"/>
      <c r="O25" s="297"/>
      <c r="P25" s="298"/>
      <c r="Q25" s="308">
        <f t="shared" si="10"/>
        <v>0</v>
      </c>
      <c r="R25" s="299">
        <f t="shared" si="11"/>
        <v>0</v>
      </c>
      <c r="S25" s="303">
        <f t="shared" si="8"/>
        <v>0</v>
      </c>
      <c r="T25" s="298"/>
    </row>
    <row r="26" customHeight="1" spans="5:20">
      <c r="E26" s="291"/>
      <c r="F26" s="291"/>
      <c r="G26" s="291"/>
      <c r="H26" s="291"/>
      <c r="I26" s="296"/>
      <c r="M26" s="296"/>
      <c r="N26" s="296"/>
      <c r="O26" s="297"/>
      <c r="P26" s="298"/>
      <c r="Q26" s="308">
        <f t="shared" si="10"/>
        <v>0</v>
      </c>
      <c r="R26" s="299">
        <f t="shared" si="11"/>
        <v>0</v>
      </c>
      <c r="S26" s="303">
        <f t="shared" si="8"/>
        <v>0</v>
      </c>
      <c r="T26" s="298"/>
    </row>
    <row r="27" customHeight="1" spans="5:20">
      <c r="E27" s="291"/>
      <c r="F27" s="291"/>
      <c r="G27" s="291"/>
      <c r="H27" s="291"/>
      <c r="I27" s="296"/>
      <c r="M27" s="296"/>
      <c r="N27" s="296"/>
      <c r="O27" s="297"/>
      <c r="P27" s="298"/>
      <c r="Q27" s="308">
        <f t="shared" si="10"/>
        <v>0</v>
      </c>
      <c r="R27" s="299">
        <f t="shared" si="11"/>
        <v>0</v>
      </c>
      <c r="S27" s="303">
        <f t="shared" si="8"/>
        <v>0</v>
      </c>
      <c r="T27" s="298"/>
    </row>
    <row r="28" customHeight="1" spans="5:20">
      <c r="E28" s="291"/>
      <c r="F28" s="291"/>
      <c r="G28" s="291"/>
      <c r="H28" s="291"/>
      <c r="I28" s="296"/>
      <c r="M28" s="296"/>
      <c r="N28" s="296"/>
      <c r="O28" s="297"/>
      <c r="P28" s="298"/>
      <c r="Q28" s="308">
        <f t="shared" si="10"/>
        <v>0</v>
      </c>
      <c r="R28" s="299">
        <f t="shared" si="11"/>
        <v>0</v>
      </c>
      <c r="S28" s="303">
        <f t="shared" si="8"/>
        <v>0</v>
      </c>
      <c r="T28" s="298"/>
    </row>
    <row r="29" customHeight="1" spans="5:20">
      <c r="E29" s="291"/>
      <c r="F29" s="291"/>
      <c r="G29" s="291"/>
      <c r="H29" s="291"/>
      <c r="I29" s="296"/>
      <c r="M29" s="296"/>
      <c r="N29" s="296"/>
      <c r="O29" s="297"/>
      <c r="P29" s="298"/>
      <c r="R29" s="296"/>
      <c r="S29" s="297"/>
      <c r="T29" s="298"/>
    </row>
    <row r="30" customHeight="1" spans="5:20">
      <c r="E30" s="291"/>
      <c r="F30" s="291"/>
      <c r="G30" s="291"/>
      <c r="H30" s="291"/>
      <c r="I30" s="296"/>
      <c r="M30" s="296"/>
      <c r="N30" s="296"/>
      <c r="O30" s="297"/>
      <c r="P30" s="298"/>
      <c r="R30" s="296"/>
      <c r="S30" s="297"/>
      <c r="T30" s="298"/>
    </row>
    <row r="31" customHeight="1" spans="5:20">
      <c r="E31" s="291"/>
      <c r="F31" s="291"/>
      <c r="G31" s="291"/>
      <c r="H31" s="291"/>
      <c r="I31" s="296"/>
      <c r="M31" s="296"/>
      <c r="N31" s="296"/>
      <c r="O31" s="297"/>
      <c r="P31" s="298"/>
      <c r="R31" s="296"/>
      <c r="S31" s="297"/>
      <c r="T31" s="298"/>
    </row>
    <row r="32" customHeight="1" spans="5:20">
      <c r="E32" s="291"/>
      <c r="F32" s="291"/>
      <c r="G32" s="291"/>
      <c r="H32" s="291"/>
      <c r="I32" s="296"/>
      <c r="M32" s="296"/>
      <c r="N32" s="296"/>
      <c r="O32" s="297"/>
      <c r="P32" s="298"/>
      <c r="R32" s="296"/>
      <c r="S32" s="297"/>
      <c r="T32" s="298"/>
    </row>
    <row r="33" customHeight="1" spans="5:20">
      <c r="E33" s="291"/>
      <c r="F33" s="291"/>
      <c r="G33" s="291"/>
      <c r="H33" s="291"/>
      <c r="I33" s="296"/>
      <c r="M33" s="296"/>
      <c r="N33" s="296"/>
      <c r="O33" s="297"/>
      <c r="P33" s="298"/>
      <c r="R33" s="296"/>
      <c r="S33" s="297"/>
      <c r="T33" s="298"/>
    </row>
    <row r="34" customHeight="1" spans="5:20">
      <c r="E34" s="291"/>
      <c r="F34" s="291"/>
      <c r="G34" s="291"/>
      <c r="H34" s="291"/>
      <c r="I34" s="296"/>
      <c r="M34" s="296"/>
      <c r="N34" s="296"/>
      <c r="O34" s="297"/>
      <c r="P34" s="298"/>
      <c r="R34" s="296"/>
      <c r="S34" s="297"/>
      <c r="T34" s="298"/>
    </row>
    <row r="35" customHeight="1" spans="5:20">
      <c r="E35" s="291"/>
      <c r="F35" s="291"/>
      <c r="G35" s="291"/>
      <c r="H35" s="291"/>
      <c r="I35" s="296"/>
      <c r="M35" s="296"/>
      <c r="N35" s="296"/>
      <c r="O35" s="297"/>
      <c r="P35" s="298"/>
      <c r="R35" s="296"/>
      <c r="S35" s="297"/>
      <c r="T35" s="298"/>
    </row>
    <row r="36" customHeight="1" spans="5:20">
      <c r="E36" s="291"/>
      <c r="F36" s="291"/>
      <c r="G36" s="291"/>
      <c r="H36" s="291"/>
      <c r="I36" s="296"/>
      <c r="M36" s="296"/>
      <c r="N36" s="296"/>
      <c r="O36" s="297"/>
      <c r="P36" s="298"/>
      <c r="R36" s="296"/>
      <c r="S36" s="297"/>
      <c r="T36" s="298"/>
    </row>
    <row r="37" customHeight="1" spans="5:20">
      <c r="E37" s="291"/>
      <c r="F37" s="291"/>
      <c r="G37" s="291"/>
      <c r="H37" s="291"/>
      <c r="I37" s="296"/>
      <c r="M37" s="296"/>
      <c r="N37" s="296"/>
      <c r="O37" s="297"/>
      <c r="P37" s="298"/>
      <c r="R37" s="296"/>
      <c r="S37" s="297"/>
      <c r="T37" s="298"/>
    </row>
    <row r="38" customHeight="1" spans="5:20">
      <c r="E38" s="291"/>
      <c r="F38" s="291"/>
      <c r="G38" s="291"/>
      <c r="H38" s="291"/>
      <c r="I38" s="296"/>
      <c r="M38" s="296"/>
      <c r="N38" s="296"/>
      <c r="O38" s="297"/>
      <c r="P38" s="298"/>
      <c r="R38" s="296"/>
      <c r="S38" s="297"/>
      <c r="T38" s="298"/>
    </row>
    <row r="39" customHeight="1" spans="5:20">
      <c r="E39" s="291"/>
      <c r="F39" s="291"/>
      <c r="G39" s="291"/>
      <c r="H39" s="291"/>
      <c r="I39" s="296"/>
      <c r="M39" s="296"/>
      <c r="N39" s="296"/>
      <c r="O39" s="297"/>
      <c r="P39" s="298"/>
      <c r="R39" s="296"/>
      <c r="S39" s="297"/>
      <c r="T39" s="298"/>
    </row>
    <row r="40" customHeight="1" spans="5:20">
      <c r="E40" s="291"/>
      <c r="F40" s="291"/>
      <c r="G40" s="291"/>
      <c r="H40" s="291"/>
      <c r="I40" s="296"/>
      <c r="M40" s="296"/>
      <c r="N40" s="296"/>
      <c r="O40" s="297"/>
      <c r="P40" s="298"/>
      <c r="R40" s="296"/>
      <c r="S40" s="297"/>
      <c r="T40" s="298"/>
    </row>
    <row r="41" customHeight="1" spans="5:20">
      <c r="E41" s="291"/>
      <c r="F41" s="291"/>
      <c r="G41" s="291"/>
      <c r="H41" s="291"/>
      <c r="I41" s="296"/>
      <c r="M41" s="296"/>
      <c r="N41" s="296"/>
      <c r="O41" s="297"/>
      <c r="P41" s="298"/>
      <c r="R41" s="296"/>
      <c r="S41" s="297"/>
      <c r="T41" s="298"/>
    </row>
    <row r="42" customHeight="1" spans="5:20">
      <c r="E42" s="291"/>
      <c r="F42" s="291"/>
      <c r="G42" s="291"/>
      <c r="H42" s="291"/>
      <c r="I42" s="296"/>
      <c r="M42" s="296"/>
      <c r="N42" s="296"/>
      <c r="O42" s="297"/>
      <c r="P42" s="298"/>
      <c r="R42" s="296"/>
      <c r="S42" s="297"/>
      <c r="T42" s="298"/>
    </row>
    <row r="43" customHeight="1" spans="5:20">
      <c r="E43" s="291"/>
      <c r="F43" s="291"/>
      <c r="G43" s="291"/>
      <c r="H43" s="291"/>
      <c r="I43" s="296"/>
      <c r="M43" s="296"/>
      <c r="N43" s="296"/>
      <c r="O43" s="297"/>
      <c r="P43" s="298"/>
      <c r="R43" s="296"/>
      <c r="S43" s="297"/>
      <c r="T43" s="298"/>
    </row>
    <row r="44" customHeight="1" spans="5:20">
      <c r="E44" s="291"/>
      <c r="F44" s="291"/>
      <c r="G44" s="291"/>
      <c r="H44" s="291"/>
      <c r="I44" s="296"/>
      <c r="M44" s="296"/>
      <c r="N44" s="296"/>
      <c r="O44" s="297"/>
      <c r="P44" s="298"/>
      <c r="R44" s="296"/>
      <c r="S44" s="297"/>
      <c r="T44" s="298"/>
    </row>
    <row r="45" customHeight="1" spans="5:20">
      <c r="E45" s="291"/>
      <c r="F45" s="291"/>
      <c r="G45" s="291"/>
      <c r="H45" s="291"/>
      <c r="I45" s="296"/>
      <c r="M45" s="296"/>
      <c r="N45" s="296"/>
      <c r="O45" s="297"/>
      <c r="P45" s="298"/>
      <c r="R45" s="296"/>
      <c r="S45" s="297"/>
      <c r="T45" s="298"/>
    </row>
    <row r="46" customHeight="1" spans="5:20">
      <c r="E46" s="291"/>
      <c r="F46" s="291"/>
      <c r="G46" s="291"/>
      <c r="H46" s="291"/>
      <c r="I46" s="296"/>
      <c r="M46" s="296"/>
      <c r="N46" s="296"/>
      <c r="O46" s="297"/>
      <c r="P46" s="298"/>
      <c r="R46" s="296"/>
      <c r="S46" s="297"/>
      <c r="T46" s="298"/>
    </row>
    <row r="47" customHeight="1" spans="5:20">
      <c r="E47" s="291"/>
      <c r="F47" s="291"/>
      <c r="G47" s="291"/>
      <c r="H47" s="291"/>
      <c r="I47" s="296"/>
      <c r="M47" s="296"/>
      <c r="N47" s="296"/>
      <c r="O47" s="297"/>
      <c r="P47" s="298"/>
      <c r="R47" s="296"/>
      <c r="S47" s="297"/>
      <c r="T47" s="298"/>
    </row>
    <row r="48" customHeight="1" spans="5:20">
      <c r="E48" s="291"/>
      <c r="F48" s="291"/>
      <c r="G48" s="291"/>
      <c r="H48" s="291"/>
      <c r="I48" s="296"/>
      <c r="M48" s="296"/>
      <c r="N48" s="296"/>
      <c r="O48" s="297"/>
      <c r="P48" s="298"/>
      <c r="R48" s="296"/>
      <c r="S48" s="297"/>
      <c r="T48" s="298"/>
    </row>
    <row r="49" customHeight="1" spans="5:20">
      <c r="E49" s="291"/>
      <c r="F49" s="291"/>
      <c r="G49" s="291"/>
      <c r="H49" s="291"/>
      <c r="I49" s="296"/>
      <c r="M49" s="296"/>
      <c r="N49" s="296"/>
      <c r="O49" s="297"/>
      <c r="P49" s="298"/>
      <c r="R49" s="296"/>
      <c r="S49" s="297"/>
      <c r="T49" s="298"/>
    </row>
    <row r="50" customHeight="1" spans="5:20">
      <c r="E50" s="291"/>
      <c r="F50" s="291"/>
      <c r="G50" s="291"/>
      <c r="H50" s="291"/>
      <c r="I50" s="296"/>
      <c r="M50" s="296"/>
      <c r="N50" s="296"/>
      <c r="O50" s="297"/>
      <c r="P50" s="298"/>
      <c r="R50" s="296"/>
      <c r="S50" s="297"/>
      <c r="T50" s="298"/>
    </row>
    <row r="51" customHeight="1" spans="5:20">
      <c r="E51" s="291"/>
      <c r="F51" s="291"/>
      <c r="G51" s="291"/>
      <c r="H51" s="291"/>
      <c r="I51" s="296"/>
      <c r="M51" s="296"/>
      <c r="N51" s="296"/>
      <c r="O51" s="297"/>
      <c r="P51" s="298"/>
      <c r="R51" s="296"/>
      <c r="S51" s="297"/>
      <c r="T51" s="298"/>
    </row>
    <row r="52" customHeight="1" spans="5:20">
      <c r="E52" s="291"/>
      <c r="F52" s="291"/>
      <c r="G52" s="291"/>
      <c r="H52" s="291"/>
      <c r="I52" s="296"/>
      <c r="M52" s="296"/>
      <c r="N52" s="296"/>
      <c r="O52" s="297"/>
      <c r="P52" s="298"/>
      <c r="R52" s="296"/>
      <c r="S52" s="297"/>
      <c r="T52" s="298"/>
    </row>
    <row r="53" customHeight="1" spans="5:20">
      <c r="E53" s="291"/>
      <c r="F53" s="291"/>
      <c r="G53" s="291"/>
      <c r="H53" s="291"/>
      <c r="I53" s="296"/>
      <c r="M53" s="296"/>
      <c r="N53" s="296"/>
      <c r="O53" s="297"/>
      <c r="P53" s="298"/>
      <c r="R53" s="296"/>
      <c r="S53" s="297"/>
      <c r="T53" s="298"/>
    </row>
    <row r="54" customHeight="1" spans="5:20">
      <c r="E54" s="291"/>
      <c r="F54" s="291"/>
      <c r="G54" s="291"/>
      <c r="H54" s="291"/>
      <c r="I54" s="296"/>
      <c r="M54" s="296"/>
      <c r="N54" s="296"/>
      <c r="O54" s="297"/>
      <c r="P54" s="298"/>
      <c r="R54" s="296"/>
      <c r="S54" s="297"/>
      <c r="T54" s="298"/>
    </row>
    <row r="55" customHeight="1" spans="5:20">
      <c r="E55" s="291"/>
      <c r="F55" s="291"/>
      <c r="G55" s="291"/>
      <c r="H55" s="291"/>
      <c r="I55" s="296"/>
      <c r="M55" s="296"/>
      <c r="N55" s="296"/>
      <c r="O55" s="297"/>
      <c r="P55" s="298"/>
      <c r="R55" s="296"/>
      <c r="S55" s="297"/>
      <c r="T55" s="298"/>
    </row>
    <row r="56" customHeight="1" spans="5:20">
      <c r="E56" s="291"/>
      <c r="F56" s="291"/>
      <c r="G56" s="291"/>
      <c r="H56" s="291"/>
      <c r="I56" s="296"/>
      <c r="M56" s="296"/>
      <c r="N56" s="296"/>
      <c r="O56" s="297"/>
      <c r="P56" s="298"/>
      <c r="R56" s="296"/>
      <c r="S56" s="297"/>
      <c r="T56" s="298"/>
    </row>
    <row r="57" customHeight="1" spans="5:20">
      <c r="E57" s="291"/>
      <c r="F57" s="291"/>
      <c r="G57" s="291"/>
      <c r="H57" s="291"/>
      <c r="I57" s="296"/>
      <c r="M57" s="296"/>
      <c r="N57" s="296"/>
      <c r="O57" s="297"/>
      <c r="P57" s="298"/>
      <c r="R57" s="296"/>
      <c r="S57" s="297"/>
      <c r="T57" s="298"/>
    </row>
    <row r="58" customHeight="1" spans="5:20">
      <c r="E58" s="291"/>
      <c r="F58" s="291"/>
      <c r="G58" s="291"/>
      <c r="H58" s="291"/>
      <c r="I58" s="296"/>
      <c r="M58" s="296"/>
      <c r="N58" s="296"/>
      <c r="O58" s="297"/>
      <c r="P58" s="298"/>
      <c r="R58" s="296"/>
      <c r="S58" s="297"/>
      <c r="T58" s="298"/>
    </row>
    <row r="59" customHeight="1" spans="5:20">
      <c r="E59" s="291"/>
      <c r="F59" s="291"/>
      <c r="G59" s="291"/>
      <c r="H59" s="291"/>
      <c r="I59" s="296"/>
      <c r="M59" s="296"/>
      <c r="N59" s="296"/>
      <c r="O59" s="297"/>
      <c r="P59" s="298"/>
      <c r="R59" s="296"/>
      <c r="S59" s="297"/>
      <c r="T59" s="298"/>
    </row>
    <row r="60" customHeight="1" spans="5:20">
      <c r="E60" s="291"/>
      <c r="F60" s="291"/>
      <c r="G60" s="291"/>
      <c r="H60" s="291"/>
      <c r="I60" s="296"/>
      <c r="M60" s="296"/>
      <c r="N60" s="296"/>
      <c r="O60" s="297"/>
      <c r="P60" s="298"/>
      <c r="R60" s="296"/>
      <c r="S60" s="297"/>
      <c r="T60" s="298"/>
    </row>
    <row r="61" customHeight="1" spans="5:20">
      <c r="E61" s="291"/>
      <c r="F61" s="291"/>
      <c r="G61" s="291"/>
      <c r="H61" s="291"/>
      <c r="I61" s="296"/>
      <c r="M61" s="296"/>
      <c r="N61" s="296"/>
      <c r="O61" s="297"/>
      <c r="P61" s="298"/>
      <c r="R61" s="296"/>
      <c r="S61" s="297"/>
      <c r="T61" s="298"/>
    </row>
    <row r="62" customHeight="1" spans="5:20">
      <c r="E62" s="291"/>
      <c r="F62" s="291"/>
      <c r="G62" s="291"/>
      <c r="H62" s="291"/>
      <c r="I62" s="296"/>
      <c r="M62" s="296"/>
      <c r="N62" s="296"/>
      <c r="O62" s="297"/>
      <c r="P62" s="298"/>
      <c r="R62" s="296"/>
      <c r="S62" s="297"/>
      <c r="T62" s="298"/>
    </row>
    <row r="63" customHeight="1" spans="5:20">
      <c r="E63" s="291"/>
      <c r="F63" s="291"/>
      <c r="G63" s="291"/>
      <c r="H63" s="291"/>
      <c r="I63" s="296"/>
      <c r="M63" s="296"/>
      <c r="N63" s="296"/>
      <c r="O63" s="297"/>
      <c r="P63" s="298"/>
      <c r="R63" s="296"/>
      <c r="S63" s="297"/>
      <c r="T63" s="298"/>
    </row>
    <row r="64" customHeight="1" spans="5:20">
      <c r="E64" s="291"/>
      <c r="F64" s="291"/>
      <c r="G64" s="291"/>
      <c r="H64" s="291"/>
      <c r="I64" s="296"/>
      <c r="M64" s="296"/>
      <c r="N64" s="296"/>
      <c r="O64" s="297"/>
      <c r="P64" s="298"/>
      <c r="R64" s="296"/>
      <c r="S64" s="297"/>
      <c r="T64" s="298"/>
    </row>
    <row r="65" customHeight="1" spans="5:20">
      <c r="E65" s="291"/>
      <c r="F65" s="291"/>
      <c r="G65" s="291"/>
      <c r="H65" s="291"/>
      <c r="I65" s="296"/>
      <c r="M65" s="296"/>
      <c r="N65" s="296"/>
      <c r="O65" s="297"/>
      <c r="P65" s="298"/>
      <c r="R65" s="296"/>
      <c r="S65" s="297"/>
      <c r="T65" s="298"/>
    </row>
    <row r="66" customHeight="1" spans="5:20">
      <c r="E66" s="291"/>
      <c r="F66" s="291"/>
      <c r="G66" s="291"/>
      <c r="H66" s="291"/>
      <c r="I66" s="296"/>
      <c r="M66" s="296"/>
      <c r="N66" s="296"/>
      <c r="O66" s="297"/>
      <c r="P66" s="298"/>
      <c r="R66" s="296"/>
      <c r="S66" s="297"/>
      <c r="T66" s="298"/>
    </row>
    <row r="67" customHeight="1" spans="5:20">
      <c r="E67" s="291"/>
      <c r="F67" s="291"/>
      <c r="G67" s="291"/>
      <c r="H67" s="291"/>
      <c r="I67" s="296"/>
      <c r="M67" s="296"/>
      <c r="N67" s="296"/>
      <c r="O67" s="297"/>
      <c r="P67" s="298"/>
      <c r="R67" s="296"/>
      <c r="S67" s="297"/>
      <c r="T67" s="298"/>
    </row>
    <row r="68" customHeight="1" spans="5:20">
      <c r="E68" s="291"/>
      <c r="F68" s="291"/>
      <c r="G68" s="291"/>
      <c r="H68" s="291"/>
      <c r="I68" s="296"/>
      <c r="M68" s="296"/>
      <c r="N68" s="296"/>
      <c r="O68" s="297"/>
      <c r="P68" s="298"/>
      <c r="R68" s="296"/>
      <c r="S68" s="297"/>
      <c r="T68" s="298"/>
    </row>
    <row r="69" customHeight="1" spans="5:20">
      <c r="E69" s="291"/>
      <c r="F69" s="291"/>
      <c r="G69" s="291"/>
      <c r="H69" s="291"/>
      <c r="I69" s="296"/>
      <c r="M69" s="296"/>
      <c r="N69" s="296"/>
      <c r="O69" s="297"/>
      <c r="P69" s="298"/>
      <c r="R69" s="296"/>
      <c r="S69" s="297"/>
      <c r="T69" s="298"/>
    </row>
    <row r="70" customHeight="1" spans="5:20">
      <c r="E70" s="291"/>
      <c r="F70" s="291"/>
      <c r="G70" s="291"/>
      <c r="H70" s="291"/>
      <c r="I70" s="296"/>
      <c r="M70" s="296"/>
      <c r="N70" s="296"/>
      <c r="O70" s="297"/>
      <c r="P70" s="298"/>
      <c r="R70" s="296"/>
      <c r="S70" s="297"/>
      <c r="T70" s="298"/>
    </row>
    <row r="71" customHeight="1" spans="5:20">
      <c r="E71" s="291"/>
      <c r="F71" s="291"/>
      <c r="G71" s="291"/>
      <c r="H71" s="291"/>
      <c r="I71" s="296"/>
      <c r="M71" s="296"/>
      <c r="N71" s="296"/>
      <c r="O71" s="297"/>
      <c r="P71" s="298"/>
      <c r="R71" s="296"/>
      <c r="S71" s="297"/>
      <c r="T71" s="298"/>
    </row>
    <row r="72" customHeight="1" spans="5:20">
      <c r="E72" s="291"/>
      <c r="F72" s="291"/>
      <c r="G72" s="291"/>
      <c r="H72" s="291"/>
      <c r="I72" s="296"/>
      <c r="M72" s="296"/>
      <c r="N72" s="296"/>
      <c r="O72" s="297"/>
      <c r="P72" s="298"/>
      <c r="R72" s="296"/>
      <c r="S72" s="297"/>
      <c r="T72" s="298"/>
    </row>
    <row r="73" customHeight="1" spans="5:20">
      <c r="E73" s="291"/>
      <c r="F73" s="291"/>
      <c r="G73" s="291"/>
      <c r="H73" s="291"/>
      <c r="I73" s="296"/>
      <c r="M73" s="296"/>
      <c r="N73" s="296"/>
      <c r="O73" s="297"/>
      <c r="P73" s="298"/>
      <c r="R73" s="296"/>
      <c r="S73" s="297"/>
      <c r="T73" s="298"/>
    </row>
    <row r="74" customHeight="1" spans="5:20">
      <c r="E74" s="291"/>
      <c r="F74" s="291"/>
      <c r="G74" s="291"/>
      <c r="H74" s="291"/>
      <c r="I74" s="296"/>
      <c r="M74" s="296"/>
      <c r="N74" s="296"/>
      <c r="O74" s="297"/>
      <c r="P74" s="298"/>
      <c r="R74" s="296"/>
      <c r="S74" s="297"/>
      <c r="T74" s="298"/>
    </row>
    <row r="75" customHeight="1" spans="5:20">
      <c r="E75" s="291"/>
      <c r="F75" s="291"/>
      <c r="G75" s="291"/>
      <c r="H75" s="291"/>
      <c r="I75" s="296"/>
      <c r="M75" s="296"/>
      <c r="N75" s="296"/>
      <c r="O75" s="297"/>
      <c r="P75" s="298"/>
      <c r="R75" s="296"/>
      <c r="S75" s="297"/>
      <c r="T75" s="298"/>
    </row>
    <row r="76" customHeight="1" spans="5:20">
      <c r="E76" s="291"/>
      <c r="F76" s="291"/>
      <c r="G76" s="291"/>
      <c r="H76" s="291"/>
      <c r="I76" s="296"/>
      <c r="M76" s="296"/>
      <c r="N76" s="296"/>
      <c r="O76" s="297"/>
      <c r="P76" s="298"/>
      <c r="R76" s="296"/>
      <c r="S76" s="297"/>
      <c r="T76" s="298"/>
    </row>
    <row r="77" customHeight="1" spans="5:20">
      <c r="E77" s="291"/>
      <c r="F77" s="291"/>
      <c r="G77" s="291"/>
      <c r="H77" s="291"/>
      <c r="I77" s="296"/>
      <c r="M77" s="296"/>
      <c r="N77" s="296"/>
      <c r="O77" s="297"/>
      <c r="P77" s="298"/>
      <c r="R77" s="296"/>
      <c r="S77" s="297"/>
      <c r="T77" s="298"/>
    </row>
    <row r="78" customHeight="1" spans="5:20">
      <c r="E78" s="291"/>
      <c r="F78" s="291"/>
      <c r="G78" s="291"/>
      <c r="H78" s="291"/>
      <c r="I78" s="296"/>
      <c r="M78" s="296"/>
      <c r="N78" s="296"/>
      <c r="O78" s="297"/>
      <c r="P78" s="298"/>
      <c r="R78" s="296"/>
      <c r="S78" s="297"/>
      <c r="T78" s="298"/>
    </row>
    <row r="79" customHeight="1" spans="5:20">
      <c r="E79" s="291"/>
      <c r="F79" s="291"/>
      <c r="G79" s="291"/>
      <c r="H79" s="291"/>
      <c r="I79" s="296"/>
      <c r="M79" s="296"/>
      <c r="N79" s="296"/>
      <c r="O79" s="297"/>
      <c r="P79" s="298"/>
      <c r="R79" s="296"/>
      <c r="S79" s="297"/>
      <c r="T79" s="298"/>
    </row>
    <row r="80" customHeight="1" spans="5:20">
      <c r="E80" s="291"/>
      <c r="F80" s="291"/>
      <c r="G80" s="291"/>
      <c r="H80" s="291"/>
      <c r="I80" s="296"/>
      <c r="M80" s="296"/>
      <c r="N80" s="296"/>
      <c r="O80" s="297"/>
      <c r="P80" s="298"/>
      <c r="R80" s="296"/>
      <c r="S80" s="297"/>
      <c r="T80" s="298"/>
    </row>
    <row r="81" customHeight="1" spans="5:20">
      <c r="E81" s="291"/>
      <c r="F81" s="291"/>
      <c r="G81" s="291"/>
      <c r="H81" s="291"/>
      <c r="I81" s="296"/>
      <c r="M81" s="296"/>
      <c r="N81" s="296"/>
      <c r="O81" s="297"/>
      <c r="P81" s="298"/>
      <c r="R81" s="296"/>
      <c r="S81" s="297"/>
      <c r="T81" s="298"/>
    </row>
    <row r="82" customHeight="1" spans="5:20">
      <c r="E82" s="291"/>
      <c r="F82" s="291"/>
      <c r="G82" s="291"/>
      <c r="H82" s="291"/>
      <c r="I82" s="296"/>
      <c r="M82" s="296"/>
      <c r="N82" s="296"/>
      <c r="O82" s="297"/>
      <c r="P82" s="298"/>
      <c r="R82" s="296"/>
      <c r="S82" s="297"/>
      <c r="T82" s="298"/>
    </row>
    <row r="83" customHeight="1" spans="5:20">
      <c r="E83" s="291"/>
      <c r="F83" s="291"/>
      <c r="G83" s="291"/>
      <c r="H83" s="291"/>
      <c r="I83" s="296"/>
      <c r="M83" s="296"/>
      <c r="N83" s="296"/>
      <c r="O83" s="297"/>
      <c r="P83" s="298"/>
      <c r="R83" s="296"/>
      <c r="S83" s="297"/>
      <c r="T83" s="298"/>
    </row>
    <row r="84" customHeight="1" spans="5:20">
      <c r="E84" s="291"/>
      <c r="F84" s="291"/>
      <c r="G84" s="291"/>
      <c r="H84" s="291"/>
      <c r="I84" s="296"/>
      <c r="M84" s="296"/>
      <c r="N84" s="296"/>
      <c r="O84" s="297"/>
      <c r="P84" s="298"/>
      <c r="R84" s="296"/>
      <c r="S84" s="297"/>
      <c r="T84" s="298"/>
    </row>
    <row r="85" customHeight="1" spans="5:20">
      <c r="E85" s="291"/>
      <c r="F85" s="291"/>
      <c r="G85" s="291"/>
      <c r="H85" s="291"/>
      <c r="I85" s="296"/>
      <c r="M85" s="296"/>
      <c r="N85" s="296"/>
      <c r="O85" s="297"/>
      <c r="P85" s="298"/>
      <c r="R85" s="296"/>
      <c r="S85" s="297"/>
      <c r="T85" s="298"/>
    </row>
    <row r="86" customHeight="1" spans="5:20">
      <c r="E86" s="291"/>
      <c r="F86" s="291"/>
      <c r="G86" s="291"/>
      <c r="H86" s="291"/>
      <c r="I86" s="296"/>
      <c r="M86" s="296"/>
      <c r="N86" s="296"/>
      <c r="O86" s="297"/>
      <c r="P86" s="298"/>
      <c r="R86" s="296"/>
      <c r="S86" s="297"/>
      <c r="T86" s="298"/>
    </row>
    <row r="87" customHeight="1" spans="5:20">
      <c r="E87" s="291"/>
      <c r="F87" s="291"/>
      <c r="G87" s="291"/>
      <c r="H87" s="291"/>
      <c r="I87" s="296"/>
      <c r="M87" s="296"/>
      <c r="N87" s="296"/>
      <c r="O87" s="297"/>
      <c r="P87" s="298"/>
      <c r="R87" s="296"/>
      <c r="S87" s="297"/>
      <c r="T87" s="298"/>
    </row>
    <row r="88" customHeight="1" spans="5:20">
      <c r="E88" s="291"/>
      <c r="F88" s="291"/>
      <c r="G88" s="291"/>
      <c r="H88" s="291"/>
      <c r="I88" s="296"/>
      <c r="M88" s="296"/>
      <c r="N88" s="296"/>
      <c r="O88" s="297"/>
      <c r="P88" s="298"/>
      <c r="R88" s="296"/>
      <c r="S88" s="297"/>
      <c r="T88" s="298"/>
    </row>
    <row r="89" customHeight="1" spans="5:20">
      <c r="E89" s="291"/>
      <c r="F89" s="291"/>
      <c r="G89" s="291"/>
      <c r="H89" s="291"/>
      <c r="I89" s="296"/>
      <c r="M89" s="296"/>
      <c r="N89" s="296"/>
      <c r="O89" s="297"/>
      <c r="P89" s="298"/>
      <c r="R89" s="296"/>
      <c r="S89" s="297"/>
      <c r="T89" s="298"/>
    </row>
    <row r="90" customHeight="1" spans="5:20">
      <c r="E90" s="291"/>
      <c r="F90" s="291"/>
      <c r="G90" s="291"/>
      <c r="H90" s="291"/>
      <c r="I90" s="296"/>
      <c r="M90" s="296"/>
      <c r="N90" s="296"/>
      <c r="O90" s="297"/>
      <c r="P90" s="298"/>
      <c r="R90" s="296"/>
      <c r="S90" s="297"/>
      <c r="T90" s="298"/>
    </row>
    <row r="91" customHeight="1" spans="5:20">
      <c r="E91" s="291"/>
      <c r="F91" s="291"/>
      <c r="G91" s="291"/>
      <c r="H91" s="291"/>
      <c r="I91" s="296"/>
      <c r="M91" s="296"/>
      <c r="N91" s="296"/>
      <c r="O91" s="297"/>
      <c r="P91" s="298"/>
      <c r="R91" s="296"/>
      <c r="S91" s="297"/>
      <c r="T91" s="298"/>
    </row>
    <row r="92" customHeight="1" spans="5:20">
      <c r="E92" s="291"/>
      <c r="F92" s="291"/>
      <c r="G92" s="291"/>
      <c r="H92" s="291"/>
      <c r="I92" s="296"/>
      <c r="M92" s="296"/>
      <c r="N92" s="296"/>
      <c r="O92" s="297"/>
      <c r="P92" s="298"/>
      <c r="R92" s="296"/>
      <c r="S92" s="297"/>
      <c r="T92" s="298"/>
    </row>
    <row r="93" customHeight="1" spans="5:20">
      <c r="E93" s="291"/>
      <c r="F93" s="291"/>
      <c r="G93" s="291"/>
      <c r="H93" s="291"/>
      <c r="I93" s="296"/>
      <c r="M93" s="296"/>
      <c r="N93" s="296"/>
      <c r="O93" s="297"/>
      <c r="P93" s="298"/>
      <c r="R93" s="296"/>
      <c r="S93" s="297"/>
      <c r="T93" s="298"/>
    </row>
    <row r="94" customHeight="1" spans="5:20">
      <c r="E94" s="291"/>
      <c r="F94" s="291"/>
      <c r="G94" s="291"/>
      <c r="H94" s="291"/>
      <c r="I94" s="296"/>
      <c r="M94" s="296"/>
      <c r="N94" s="296"/>
      <c r="O94" s="297"/>
      <c r="P94" s="298"/>
      <c r="R94" s="296"/>
      <c r="S94" s="297"/>
      <c r="T94" s="298"/>
    </row>
    <row r="95" customHeight="1" spans="5:20">
      <c r="E95" s="291"/>
      <c r="F95" s="291"/>
      <c r="G95" s="291"/>
      <c r="H95" s="291"/>
      <c r="I95" s="296"/>
      <c r="M95" s="296"/>
      <c r="N95" s="296"/>
      <c r="O95" s="297"/>
      <c r="P95" s="298"/>
      <c r="R95" s="296"/>
      <c r="S95" s="297"/>
      <c r="T95" s="298"/>
    </row>
    <row r="96" customHeight="1" spans="5:20">
      <c r="E96" s="291"/>
      <c r="F96" s="291"/>
      <c r="G96" s="291"/>
      <c r="H96" s="291"/>
      <c r="I96" s="296"/>
      <c r="M96" s="296"/>
      <c r="N96" s="296"/>
      <c r="O96" s="297"/>
      <c r="P96" s="298"/>
      <c r="R96" s="296"/>
      <c r="S96" s="297"/>
      <c r="T96" s="298"/>
    </row>
    <row r="97" customHeight="1" spans="5:20">
      <c r="E97" s="291"/>
      <c r="F97" s="291"/>
      <c r="G97" s="291"/>
      <c r="H97" s="291"/>
      <c r="I97" s="296"/>
      <c r="M97" s="296"/>
      <c r="N97" s="296"/>
      <c r="O97" s="297"/>
      <c r="P97" s="298"/>
      <c r="R97" s="296"/>
      <c r="S97" s="297"/>
      <c r="T97" s="298"/>
    </row>
    <row r="98" customHeight="1" spans="5:20">
      <c r="E98" s="291"/>
      <c r="F98" s="291"/>
      <c r="G98" s="291"/>
      <c r="H98" s="291"/>
      <c r="I98" s="296"/>
      <c r="M98" s="296"/>
      <c r="N98" s="296"/>
      <c r="O98" s="297"/>
      <c r="P98" s="298"/>
      <c r="R98" s="296"/>
      <c r="S98" s="297"/>
      <c r="T98" s="298"/>
    </row>
    <row r="99" customHeight="1" spans="5:20">
      <c r="E99" s="291"/>
      <c r="F99" s="291"/>
      <c r="G99" s="291"/>
      <c r="H99" s="291"/>
      <c r="I99" s="296"/>
      <c r="M99" s="296"/>
      <c r="N99" s="296"/>
      <c r="O99" s="297"/>
      <c r="P99" s="298"/>
      <c r="R99" s="296"/>
      <c r="S99" s="297"/>
      <c r="T99" s="298"/>
    </row>
    <row r="100" customHeight="1" spans="5:20">
      <c r="E100" s="291"/>
      <c r="F100" s="291"/>
      <c r="G100" s="291"/>
      <c r="H100" s="291"/>
      <c r="I100" s="296"/>
      <c r="M100" s="296"/>
      <c r="N100" s="296"/>
      <c r="O100" s="297"/>
      <c r="P100" s="298"/>
      <c r="R100" s="296"/>
      <c r="S100" s="297"/>
      <c r="T100" s="298"/>
    </row>
    <row r="101" customHeight="1" spans="5:20">
      <c r="E101" s="291"/>
      <c r="F101" s="291"/>
      <c r="G101" s="291"/>
      <c r="H101" s="291"/>
      <c r="I101" s="296"/>
      <c r="M101" s="296"/>
      <c r="N101" s="296"/>
      <c r="O101" s="297"/>
      <c r="P101" s="298"/>
      <c r="R101" s="296"/>
      <c r="S101" s="297"/>
      <c r="T101" s="298"/>
    </row>
    <row r="102" customHeight="1" spans="5:20">
      <c r="E102" s="291"/>
      <c r="F102" s="291"/>
      <c r="G102" s="291"/>
      <c r="H102" s="291"/>
      <c r="I102" s="296"/>
      <c r="M102" s="296"/>
      <c r="N102" s="296"/>
      <c r="O102" s="297"/>
      <c r="P102" s="298"/>
      <c r="R102" s="296"/>
      <c r="S102" s="297"/>
      <c r="T102" s="298"/>
    </row>
    <row r="103" customHeight="1" spans="5:20">
      <c r="E103" s="291"/>
      <c r="F103" s="291"/>
      <c r="G103" s="291"/>
      <c r="H103" s="291"/>
      <c r="I103" s="296"/>
      <c r="M103" s="296"/>
      <c r="N103" s="296"/>
      <c r="O103" s="297"/>
      <c r="P103" s="298"/>
      <c r="R103" s="296"/>
      <c r="S103" s="297"/>
      <c r="T103" s="298"/>
    </row>
    <row r="104" customHeight="1" spans="5:20">
      <c r="E104" s="291"/>
      <c r="F104" s="291"/>
      <c r="G104" s="291"/>
      <c r="H104" s="291"/>
      <c r="I104" s="296"/>
      <c r="M104" s="296"/>
      <c r="N104" s="296"/>
      <c r="O104" s="297"/>
      <c r="P104" s="298"/>
      <c r="R104" s="296"/>
      <c r="S104" s="297"/>
      <c r="T104" s="298"/>
    </row>
    <row r="105" customHeight="1" spans="5:20">
      <c r="E105" s="291"/>
      <c r="F105" s="291"/>
      <c r="G105" s="291"/>
      <c r="H105" s="291"/>
      <c r="I105" s="296"/>
      <c r="M105" s="296"/>
      <c r="N105" s="296"/>
      <c r="O105" s="297"/>
      <c r="P105" s="298"/>
      <c r="R105" s="296"/>
      <c r="S105" s="297"/>
      <c r="T105" s="298"/>
    </row>
    <row r="106" customHeight="1" spans="5:20">
      <c r="E106" s="291"/>
      <c r="F106" s="291"/>
      <c r="G106" s="291"/>
      <c r="H106" s="291"/>
      <c r="I106" s="296"/>
      <c r="M106" s="296"/>
      <c r="N106" s="296"/>
      <c r="O106" s="297"/>
      <c r="P106" s="298"/>
      <c r="R106" s="296"/>
      <c r="S106" s="297"/>
      <c r="T106" s="298"/>
    </row>
    <row r="107" customHeight="1" spans="5:20">
      <c r="E107" s="291"/>
      <c r="F107" s="291"/>
      <c r="G107" s="291"/>
      <c r="H107" s="291"/>
      <c r="I107" s="296"/>
      <c r="M107" s="296"/>
      <c r="N107" s="296"/>
      <c r="O107" s="297"/>
      <c r="P107" s="298"/>
      <c r="R107" s="296"/>
      <c r="S107" s="297"/>
      <c r="T107" s="298"/>
    </row>
    <row r="108" customHeight="1" spans="5:20">
      <c r="E108" s="291"/>
      <c r="F108" s="291"/>
      <c r="G108" s="291"/>
      <c r="H108" s="291"/>
      <c r="I108" s="296"/>
      <c r="M108" s="296"/>
      <c r="N108" s="296"/>
      <c r="O108" s="297"/>
      <c r="P108" s="298"/>
      <c r="R108" s="296"/>
      <c r="S108" s="297"/>
      <c r="T108" s="298"/>
    </row>
    <row r="109" customHeight="1" spans="5:20">
      <c r="E109" s="291"/>
      <c r="F109" s="291"/>
      <c r="G109" s="291"/>
      <c r="H109" s="291"/>
      <c r="I109" s="296"/>
      <c r="M109" s="296"/>
      <c r="N109" s="296"/>
      <c r="O109" s="297"/>
      <c r="P109" s="298"/>
      <c r="R109" s="296"/>
      <c r="S109" s="297"/>
      <c r="T109" s="298"/>
    </row>
    <row r="110" customHeight="1" spans="5:20">
      <c r="E110" s="291"/>
      <c r="F110" s="291"/>
      <c r="G110" s="291"/>
      <c r="H110" s="291"/>
      <c r="I110" s="296"/>
      <c r="M110" s="296"/>
      <c r="N110" s="296"/>
      <c r="O110" s="297"/>
      <c r="P110" s="298"/>
      <c r="R110" s="296"/>
      <c r="S110" s="297"/>
      <c r="T110" s="298"/>
    </row>
    <row r="111" customHeight="1" spans="5:20">
      <c r="E111" s="291"/>
      <c r="F111" s="291"/>
      <c r="G111" s="291"/>
      <c r="H111" s="291"/>
      <c r="I111" s="296"/>
      <c r="M111" s="296"/>
      <c r="N111" s="296"/>
      <c r="O111" s="297"/>
      <c r="P111" s="298"/>
      <c r="R111" s="296"/>
      <c r="S111" s="297"/>
      <c r="T111" s="298"/>
    </row>
    <row r="112" customHeight="1" spans="5:20">
      <c r="E112" s="291"/>
      <c r="F112" s="291"/>
      <c r="G112" s="291"/>
      <c r="H112" s="291"/>
      <c r="I112" s="296"/>
      <c r="M112" s="296"/>
      <c r="N112" s="296"/>
      <c r="O112" s="297"/>
      <c r="P112" s="298"/>
      <c r="R112" s="296"/>
      <c r="S112" s="297"/>
      <c r="T112" s="298"/>
    </row>
    <row r="113" customHeight="1" spans="5:20">
      <c r="E113" s="291"/>
      <c r="F113" s="291"/>
      <c r="G113" s="291"/>
      <c r="H113" s="291"/>
      <c r="I113" s="296"/>
      <c r="M113" s="296"/>
      <c r="N113" s="296"/>
      <c r="O113" s="297"/>
      <c r="P113" s="298"/>
      <c r="R113" s="296"/>
      <c r="S113" s="297"/>
      <c r="T113" s="298"/>
    </row>
    <row r="114" customHeight="1" spans="5:20">
      <c r="E114" s="291"/>
      <c r="F114" s="291"/>
      <c r="G114" s="291"/>
      <c r="H114" s="291"/>
      <c r="I114" s="296"/>
      <c r="M114" s="296"/>
      <c r="N114" s="296"/>
      <c r="O114" s="297"/>
      <c r="P114" s="298"/>
      <c r="R114" s="296"/>
      <c r="S114" s="297"/>
      <c r="T114" s="298"/>
    </row>
    <row r="115" customHeight="1" spans="5:20">
      <c r="E115" s="291"/>
      <c r="F115" s="291"/>
      <c r="G115" s="291"/>
      <c r="H115" s="291"/>
      <c r="I115" s="296"/>
      <c r="M115" s="296"/>
      <c r="N115" s="296"/>
      <c r="O115" s="297"/>
      <c r="P115" s="298"/>
      <c r="R115" s="296"/>
      <c r="S115" s="297"/>
      <c r="T115" s="298"/>
    </row>
    <row r="116" customHeight="1" spans="5:20">
      <c r="E116" s="291"/>
      <c r="F116" s="291"/>
      <c r="G116" s="291"/>
      <c r="H116" s="291"/>
      <c r="I116" s="296"/>
      <c r="M116" s="296"/>
      <c r="N116" s="296"/>
      <c r="O116" s="297"/>
      <c r="P116" s="298"/>
      <c r="R116" s="296"/>
      <c r="S116" s="297"/>
      <c r="T116" s="298"/>
    </row>
    <row r="117" customHeight="1" spans="5:20">
      <c r="E117" s="291"/>
      <c r="F117" s="291"/>
      <c r="G117" s="291"/>
      <c r="H117" s="291"/>
      <c r="I117" s="296"/>
      <c r="M117" s="296"/>
      <c r="N117" s="296"/>
      <c r="O117" s="297"/>
      <c r="P117" s="298"/>
      <c r="R117" s="296"/>
      <c r="S117" s="297"/>
      <c r="T117" s="298"/>
    </row>
    <row r="118" customHeight="1" spans="5:20">
      <c r="E118" s="291"/>
      <c r="F118" s="291"/>
      <c r="G118" s="291"/>
      <c r="H118" s="291"/>
      <c r="I118" s="296"/>
      <c r="M118" s="296"/>
      <c r="N118" s="296"/>
      <c r="O118" s="297"/>
      <c r="P118" s="298"/>
      <c r="R118" s="296"/>
      <c r="S118" s="297"/>
      <c r="T118" s="298"/>
    </row>
    <row r="119" customHeight="1" spans="5:20">
      <c r="E119" s="291"/>
      <c r="F119" s="291"/>
      <c r="G119" s="291"/>
      <c r="H119" s="291"/>
      <c r="I119" s="296"/>
      <c r="M119" s="296"/>
      <c r="N119" s="296"/>
      <c r="O119" s="297"/>
      <c r="P119" s="298"/>
      <c r="R119" s="296"/>
      <c r="S119" s="297"/>
      <c r="T119" s="298"/>
    </row>
    <row r="120" customHeight="1" spans="5:20">
      <c r="E120" s="291"/>
      <c r="F120" s="291"/>
      <c r="G120" s="291"/>
      <c r="H120" s="291"/>
      <c r="I120" s="296"/>
      <c r="M120" s="296"/>
      <c r="N120" s="296"/>
      <c r="O120" s="297"/>
      <c r="P120" s="298"/>
      <c r="R120" s="296"/>
      <c r="S120" s="297"/>
      <c r="T120" s="298"/>
    </row>
    <row r="121" customHeight="1" spans="5:20">
      <c r="E121" s="291"/>
      <c r="F121" s="291"/>
      <c r="G121" s="291"/>
      <c r="H121" s="291"/>
      <c r="I121" s="296"/>
      <c r="M121" s="296"/>
      <c r="N121" s="296"/>
      <c r="O121" s="297"/>
      <c r="P121" s="298"/>
      <c r="R121" s="296"/>
      <c r="S121" s="297"/>
      <c r="T121" s="298"/>
    </row>
    <row r="122" customHeight="1" spans="5:20">
      <c r="E122" s="291"/>
      <c r="F122" s="291"/>
      <c r="G122" s="291"/>
      <c r="H122" s="291"/>
      <c r="I122" s="296"/>
      <c r="M122" s="296"/>
      <c r="N122" s="296"/>
      <c r="O122" s="297"/>
      <c r="P122" s="298"/>
      <c r="R122" s="296"/>
      <c r="S122" s="297"/>
      <c r="T122" s="298"/>
    </row>
    <row r="123" customHeight="1" spans="5:20">
      <c r="E123" s="291"/>
      <c r="F123" s="291"/>
      <c r="G123" s="291"/>
      <c r="H123" s="291"/>
      <c r="I123" s="296"/>
      <c r="M123" s="296"/>
      <c r="N123" s="296"/>
      <c r="O123" s="297"/>
      <c r="P123" s="298"/>
      <c r="R123" s="296"/>
      <c r="S123" s="297"/>
      <c r="T123" s="298"/>
    </row>
    <row r="124" customHeight="1" spans="5:20">
      <c r="E124" s="291"/>
      <c r="F124" s="291"/>
      <c r="G124" s="291"/>
      <c r="H124" s="291"/>
      <c r="I124" s="296"/>
      <c r="M124" s="296"/>
      <c r="N124" s="296"/>
      <c r="O124" s="297"/>
      <c r="P124" s="298"/>
      <c r="R124" s="296"/>
      <c r="S124" s="297"/>
      <c r="T124" s="298"/>
    </row>
    <row r="125" customHeight="1" spans="5:20">
      <c r="E125" s="291"/>
      <c r="F125" s="291"/>
      <c r="G125" s="291"/>
      <c r="H125" s="291"/>
      <c r="I125" s="296"/>
      <c r="M125" s="296"/>
      <c r="N125" s="296"/>
      <c r="O125" s="297"/>
      <c r="P125" s="298"/>
      <c r="R125" s="296"/>
      <c r="S125" s="297"/>
      <c r="T125" s="298"/>
    </row>
    <row r="126" customHeight="1" spans="5:20">
      <c r="E126" s="291"/>
      <c r="F126" s="291"/>
      <c r="G126" s="291"/>
      <c r="H126" s="291"/>
      <c r="I126" s="296"/>
      <c r="M126" s="296"/>
      <c r="N126" s="296"/>
      <c r="O126" s="297"/>
      <c r="P126" s="298"/>
      <c r="R126" s="296"/>
      <c r="S126" s="297"/>
      <c r="T126" s="298"/>
    </row>
    <row r="127" customHeight="1" spans="5:20">
      <c r="E127" s="291"/>
      <c r="F127" s="291"/>
      <c r="G127" s="291"/>
      <c r="H127" s="291"/>
      <c r="I127" s="296"/>
      <c r="M127" s="296"/>
      <c r="N127" s="296"/>
      <c r="O127" s="297"/>
      <c r="P127" s="298"/>
      <c r="R127" s="296"/>
      <c r="S127" s="297"/>
      <c r="T127" s="298"/>
    </row>
    <row r="128" customHeight="1" spans="5:20">
      <c r="E128" s="291"/>
      <c r="F128" s="291"/>
      <c r="G128" s="291"/>
      <c r="H128" s="291"/>
      <c r="I128" s="296"/>
      <c r="M128" s="296"/>
      <c r="N128" s="296"/>
      <c r="O128" s="297"/>
      <c r="P128" s="298"/>
      <c r="R128" s="296"/>
      <c r="S128" s="297"/>
      <c r="T128" s="298"/>
    </row>
    <row r="129" customHeight="1" spans="5:20">
      <c r="E129" s="291"/>
      <c r="F129" s="291"/>
      <c r="G129" s="291"/>
      <c r="H129" s="291"/>
      <c r="I129" s="296"/>
      <c r="M129" s="296"/>
      <c r="N129" s="296"/>
      <c r="O129" s="297"/>
      <c r="P129" s="298"/>
      <c r="R129" s="296"/>
      <c r="S129" s="297"/>
      <c r="T129" s="298"/>
    </row>
    <row r="130" customHeight="1" spans="5:20">
      <c r="E130" s="291"/>
      <c r="F130" s="291"/>
      <c r="G130" s="291"/>
      <c r="H130" s="291"/>
      <c r="I130" s="296"/>
      <c r="M130" s="296"/>
      <c r="N130" s="296"/>
      <c r="O130" s="297"/>
      <c r="P130" s="298"/>
      <c r="R130" s="296"/>
      <c r="S130" s="297"/>
      <c r="T130" s="298"/>
    </row>
    <row r="131" customHeight="1" spans="5:20">
      <c r="E131" s="291"/>
      <c r="F131" s="291"/>
      <c r="G131" s="291"/>
      <c r="H131" s="291"/>
      <c r="I131" s="296"/>
      <c r="M131" s="296"/>
      <c r="N131" s="296"/>
      <c r="O131" s="297"/>
      <c r="P131" s="298"/>
      <c r="R131" s="296"/>
      <c r="S131" s="297"/>
      <c r="T131" s="298"/>
    </row>
    <row r="132" customHeight="1" spans="5:20">
      <c r="E132" s="291"/>
      <c r="F132" s="291"/>
      <c r="G132" s="291"/>
      <c r="H132" s="291"/>
      <c r="I132" s="296"/>
      <c r="M132" s="296"/>
      <c r="N132" s="296"/>
      <c r="O132" s="297"/>
      <c r="P132" s="298"/>
      <c r="R132" s="296"/>
      <c r="S132" s="297"/>
      <c r="T132" s="298"/>
    </row>
    <row r="133" customHeight="1" spans="5:20">
      <c r="E133" s="291"/>
      <c r="F133" s="291"/>
      <c r="G133" s="291"/>
      <c r="H133" s="291"/>
      <c r="I133" s="296"/>
      <c r="M133" s="296"/>
      <c r="N133" s="296"/>
      <c r="O133" s="297"/>
      <c r="P133" s="298"/>
      <c r="R133" s="296"/>
      <c r="S133" s="297"/>
      <c r="T133" s="298"/>
    </row>
    <row r="134" customHeight="1" spans="5:20">
      <c r="E134" s="291"/>
      <c r="F134" s="291"/>
      <c r="G134" s="291"/>
      <c r="H134" s="291"/>
      <c r="I134" s="296"/>
      <c r="M134" s="296"/>
      <c r="N134" s="296"/>
      <c r="O134" s="297"/>
      <c r="P134" s="298"/>
      <c r="R134" s="296"/>
      <c r="S134" s="297"/>
      <c r="T134" s="298"/>
    </row>
    <row r="135" customHeight="1" spans="5:20">
      <c r="E135" s="291"/>
      <c r="F135" s="291"/>
      <c r="G135" s="291"/>
      <c r="H135" s="291"/>
      <c r="I135" s="296"/>
      <c r="M135" s="296"/>
      <c r="N135" s="296"/>
      <c r="O135" s="297"/>
      <c r="P135" s="298"/>
      <c r="R135" s="296"/>
      <c r="S135" s="297"/>
      <c r="T135" s="298"/>
    </row>
    <row r="136" customHeight="1" spans="5:20">
      <c r="E136" s="291"/>
      <c r="F136" s="291"/>
      <c r="G136" s="291"/>
      <c r="H136" s="291"/>
      <c r="I136" s="296"/>
      <c r="M136" s="296"/>
      <c r="N136" s="296"/>
      <c r="O136" s="297"/>
      <c r="P136" s="298"/>
      <c r="R136" s="296"/>
      <c r="S136" s="297"/>
      <c r="T136" s="298"/>
    </row>
    <row r="137" customHeight="1" spans="5:20">
      <c r="E137" s="291"/>
      <c r="F137" s="291"/>
      <c r="G137" s="291"/>
      <c r="H137" s="291"/>
      <c r="I137" s="296"/>
      <c r="M137" s="296"/>
      <c r="N137" s="296"/>
      <c r="O137" s="297"/>
      <c r="P137" s="298"/>
      <c r="R137" s="296"/>
      <c r="S137" s="297"/>
      <c r="T137" s="298"/>
    </row>
    <row r="138" customHeight="1" spans="5:20">
      <c r="E138" s="291"/>
      <c r="F138" s="291"/>
      <c r="G138" s="291"/>
      <c r="H138" s="291"/>
      <c r="I138" s="296"/>
      <c r="M138" s="296"/>
      <c r="N138" s="296"/>
      <c r="O138" s="297"/>
      <c r="P138" s="298"/>
      <c r="R138" s="296"/>
      <c r="S138" s="297"/>
      <c r="T138" s="298"/>
    </row>
    <row r="139" customHeight="1" spans="5:20">
      <c r="E139" s="291"/>
      <c r="F139" s="291"/>
      <c r="G139" s="291"/>
      <c r="H139" s="291"/>
      <c r="I139" s="296"/>
      <c r="M139" s="296"/>
      <c r="N139" s="296"/>
      <c r="O139" s="297"/>
      <c r="P139" s="298"/>
      <c r="R139" s="296"/>
      <c r="S139" s="297"/>
      <c r="T139" s="298"/>
    </row>
    <row r="140" customHeight="1" spans="5:20">
      <c r="E140" s="291"/>
      <c r="F140" s="291"/>
      <c r="G140" s="291"/>
      <c r="H140" s="291"/>
      <c r="I140" s="296"/>
      <c r="M140" s="296"/>
      <c r="N140" s="296"/>
      <c r="O140" s="297"/>
      <c r="P140" s="298"/>
      <c r="R140" s="296"/>
      <c r="S140" s="297"/>
      <c r="T140" s="298"/>
    </row>
    <row r="141" customHeight="1" spans="5:20">
      <c r="E141" s="291"/>
      <c r="F141" s="291"/>
      <c r="G141" s="291"/>
      <c r="H141" s="291"/>
      <c r="I141" s="296"/>
      <c r="M141" s="296"/>
      <c r="N141" s="296"/>
      <c r="O141" s="297"/>
      <c r="P141" s="298"/>
      <c r="R141" s="296"/>
      <c r="S141" s="297"/>
      <c r="T141" s="298"/>
    </row>
    <row r="142" customHeight="1" spans="5:20">
      <c r="E142" s="291"/>
      <c r="F142" s="291"/>
      <c r="G142" s="291"/>
      <c r="H142" s="291"/>
      <c r="I142" s="296"/>
      <c r="M142" s="296"/>
      <c r="N142" s="296"/>
      <c r="O142" s="297"/>
      <c r="P142" s="298"/>
      <c r="R142" s="296"/>
      <c r="S142" s="297"/>
      <c r="T142" s="298"/>
    </row>
    <row r="143" customHeight="1" spans="5:20">
      <c r="E143" s="291"/>
      <c r="F143" s="291"/>
      <c r="G143" s="291"/>
      <c r="H143" s="291"/>
      <c r="I143" s="296"/>
      <c r="M143" s="296"/>
      <c r="N143" s="296"/>
      <c r="O143" s="297"/>
      <c r="P143" s="298"/>
      <c r="R143" s="296"/>
      <c r="S143" s="297"/>
      <c r="T143" s="298"/>
    </row>
    <row r="144" customHeight="1" spans="5:20">
      <c r="E144" s="291"/>
      <c r="F144" s="291"/>
      <c r="G144" s="291"/>
      <c r="H144" s="291"/>
      <c r="I144" s="296"/>
      <c r="M144" s="296"/>
      <c r="N144" s="296"/>
      <c r="O144" s="297"/>
      <c r="P144" s="298"/>
      <c r="R144" s="296"/>
      <c r="S144" s="297"/>
      <c r="T144" s="298"/>
    </row>
    <row r="145" customHeight="1" spans="5:20">
      <c r="E145" s="291"/>
      <c r="F145" s="291"/>
      <c r="G145" s="291"/>
      <c r="H145" s="291"/>
      <c r="I145" s="296"/>
      <c r="M145" s="296"/>
      <c r="N145" s="296"/>
      <c r="O145" s="297"/>
      <c r="P145" s="298"/>
      <c r="R145" s="296"/>
      <c r="S145" s="297"/>
      <c r="T145" s="298"/>
    </row>
    <row r="146" customHeight="1" spans="5:20">
      <c r="E146" s="291"/>
      <c r="F146" s="291"/>
      <c r="G146" s="291"/>
      <c r="H146" s="291"/>
      <c r="I146" s="296"/>
      <c r="M146" s="296"/>
      <c r="N146" s="296"/>
      <c r="O146" s="297"/>
      <c r="P146" s="298"/>
      <c r="R146" s="296"/>
      <c r="S146" s="297"/>
      <c r="T146" s="298"/>
    </row>
    <row r="147" customHeight="1" spans="5:20">
      <c r="E147" s="291"/>
      <c r="F147" s="291"/>
      <c r="G147" s="291"/>
      <c r="H147" s="291"/>
      <c r="I147" s="296"/>
      <c r="M147" s="296"/>
      <c r="N147" s="296"/>
      <c r="O147" s="297"/>
      <c r="P147" s="298"/>
      <c r="R147" s="296"/>
      <c r="S147" s="297"/>
      <c r="T147" s="298"/>
    </row>
    <row r="148" customHeight="1" spans="5:20">
      <c r="E148" s="291"/>
      <c r="F148" s="291"/>
      <c r="G148" s="291"/>
      <c r="H148" s="291"/>
      <c r="I148" s="296"/>
      <c r="M148" s="296"/>
      <c r="N148" s="296"/>
      <c r="O148" s="297"/>
      <c r="P148" s="298"/>
      <c r="R148" s="296"/>
      <c r="S148" s="297"/>
      <c r="T148" s="298"/>
    </row>
    <row r="149" customHeight="1" spans="5:20">
      <c r="E149" s="291"/>
      <c r="F149" s="291"/>
      <c r="G149" s="291"/>
      <c r="H149" s="291"/>
      <c r="I149" s="296"/>
      <c r="M149" s="296"/>
      <c r="N149" s="296"/>
      <c r="O149" s="297"/>
      <c r="P149" s="298"/>
      <c r="R149" s="296"/>
      <c r="S149" s="297"/>
      <c r="T149" s="298"/>
    </row>
    <row r="150" customHeight="1" spans="5:20">
      <c r="E150" s="291"/>
      <c r="F150" s="291"/>
      <c r="G150" s="291"/>
      <c r="H150" s="291"/>
      <c r="I150" s="296"/>
      <c r="M150" s="296"/>
      <c r="N150" s="296"/>
      <c r="O150" s="297"/>
      <c r="P150" s="298"/>
      <c r="R150" s="296"/>
      <c r="S150" s="297"/>
      <c r="T150" s="298"/>
    </row>
    <row r="151" customHeight="1" spans="5:20">
      <c r="E151" s="291"/>
      <c r="F151" s="291"/>
      <c r="G151" s="291"/>
      <c r="H151" s="291"/>
      <c r="I151" s="296"/>
      <c r="M151" s="296"/>
      <c r="N151" s="296"/>
      <c r="O151" s="297"/>
      <c r="P151" s="298"/>
      <c r="R151" s="296"/>
      <c r="S151" s="297"/>
      <c r="T151" s="298"/>
    </row>
    <row r="152" customHeight="1" spans="5:20">
      <c r="E152" s="291"/>
      <c r="F152" s="291"/>
      <c r="G152" s="291"/>
      <c r="H152" s="291"/>
      <c r="I152" s="296"/>
      <c r="M152" s="296"/>
      <c r="N152" s="296"/>
      <c r="O152" s="297"/>
      <c r="P152" s="298"/>
      <c r="R152" s="296"/>
      <c r="S152" s="297"/>
      <c r="T152" s="298"/>
    </row>
    <row r="153" customHeight="1" spans="5:20">
      <c r="E153" s="291"/>
      <c r="F153" s="291"/>
      <c r="G153" s="291"/>
      <c r="H153" s="291"/>
      <c r="I153" s="296"/>
      <c r="M153" s="296"/>
      <c r="N153" s="296"/>
      <c r="O153" s="297"/>
      <c r="P153" s="298"/>
      <c r="R153" s="296"/>
      <c r="S153" s="297"/>
      <c r="T153" s="298"/>
    </row>
    <row r="154" customHeight="1" spans="5:20">
      <c r="E154" s="291"/>
      <c r="F154" s="291"/>
      <c r="G154" s="291"/>
      <c r="H154" s="291"/>
      <c r="I154" s="296"/>
      <c r="M154" s="296"/>
      <c r="N154" s="296"/>
      <c r="O154" s="297"/>
      <c r="P154" s="298"/>
      <c r="R154" s="296"/>
      <c r="S154" s="297"/>
      <c r="T154" s="298"/>
    </row>
    <row r="155" customHeight="1" spans="5:20">
      <c r="E155" s="291"/>
      <c r="F155" s="291"/>
      <c r="G155" s="291"/>
      <c r="H155" s="291"/>
      <c r="I155" s="296"/>
      <c r="M155" s="296"/>
      <c r="N155" s="296"/>
      <c r="O155" s="297"/>
      <c r="P155" s="298"/>
      <c r="R155" s="296"/>
      <c r="S155" s="297"/>
      <c r="T155" s="298"/>
    </row>
    <row r="156" customHeight="1" spans="5:20">
      <c r="E156" s="291"/>
      <c r="F156" s="291"/>
      <c r="G156" s="291"/>
      <c r="H156" s="291"/>
      <c r="I156" s="296"/>
      <c r="M156" s="296"/>
      <c r="N156" s="296"/>
      <c r="O156" s="297"/>
      <c r="P156" s="298"/>
      <c r="R156" s="296"/>
      <c r="S156" s="297"/>
      <c r="T156" s="298"/>
    </row>
    <row r="157" customHeight="1" spans="5:20">
      <c r="E157" s="291"/>
      <c r="F157" s="291"/>
      <c r="G157" s="291"/>
      <c r="H157" s="291"/>
      <c r="I157" s="296"/>
      <c r="M157" s="296"/>
      <c r="N157" s="296"/>
      <c r="O157" s="297"/>
      <c r="P157" s="298"/>
      <c r="R157" s="296"/>
      <c r="S157" s="297"/>
      <c r="T157" s="298"/>
    </row>
    <row r="158" customHeight="1" spans="5:20">
      <c r="E158" s="291"/>
      <c r="F158" s="291"/>
      <c r="G158" s="291"/>
      <c r="H158" s="291"/>
      <c r="I158" s="296"/>
      <c r="M158" s="296"/>
      <c r="N158" s="296"/>
      <c r="O158" s="297"/>
      <c r="P158" s="298"/>
      <c r="R158" s="296"/>
      <c r="S158" s="297"/>
      <c r="T158" s="298"/>
    </row>
    <row r="159" customHeight="1" spans="5:20">
      <c r="E159" s="291"/>
      <c r="F159" s="291"/>
      <c r="G159" s="291"/>
      <c r="H159" s="291"/>
      <c r="I159" s="296"/>
      <c r="M159" s="296"/>
      <c r="N159" s="296"/>
      <c r="O159" s="297"/>
      <c r="P159" s="298"/>
      <c r="R159" s="296"/>
      <c r="S159" s="297"/>
      <c r="T159" s="298"/>
    </row>
    <row r="160" customHeight="1" spans="5:20">
      <c r="E160" s="291"/>
      <c r="F160" s="291"/>
      <c r="G160" s="291"/>
      <c r="H160" s="291"/>
      <c r="I160" s="296"/>
      <c r="M160" s="296"/>
      <c r="N160" s="296"/>
      <c r="O160" s="297"/>
      <c r="P160" s="298"/>
      <c r="R160" s="296"/>
      <c r="S160" s="297"/>
      <c r="T160" s="298"/>
    </row>
    <row r="161" customHeight="1" spans="5:20">
      <c r="E161" s="291"/>
      <c r="F161" s="291"/>
      <c r="G161" s="291"/>
      <c r="H161" s="291"/>
      <c r="I161" s="296"/>
      <c r="M161" s="296"/>
      <c r="N161" s="296"/>
      <c r="O161" s="297"/>
      <c r="P161" s="298"/>
      <c r="R161" s="296"/>
      <c r="S161" s="297"/>
      <c r="T161" s="298"/>
    </row>
    <row r="162" customHeight="1" spans="5:20">
      <c r="E162" s="291"/>
      <c r="F162" s="291"/>
      <c r="G162" s="291"/>
      <c r="H162" s="291"/>
      <c r="I162" s="296"/>
      <c r="M162" s="296"/>
      <c r="N162" s="296"/>
      <c r="O162" s="297"/>
      <c r="P162" s="298"/>
      <c r="R162" s="296"/>
      <c r="S162" s="297"/>
      <c r="T162" s="298"/>
    </row>
    <row r="163" customHeight="1" spans="5:20">
      <c r="E163" s="291"/>
      <c r="F163" s="291"/>
      <c r="G163" s="291"/>
      <c r="H163" s="291"/>
      <c r="I163" s="296"/>
      <c r="M163" s="296"/>
      <c r="N163" s="296"/>
      <c r="O163" s="297"/>
      <c r="P163" s="298"/>
      <c r="R163" s="296"/>
      <c r="S163" s="297"/>
      <c r="T163" s="298"/>
    </row>
    <row r="164" customHeight="1" spans="5:20">
      <c r="E164" s="291"/>
      <c r="F164" s="291"/>
      <c r="G164" s="291"/>
      <c r="H164" s="291"/>
      <c r="I164" s="296"/>
      <c r="M164" s="296"/>
      <c r="N164" s="296"/>
      <c r="O164" s="297"/>
      <c r="P164" s="298"/>
      <c r="R164" s="296"/>
      <c r="S164" s="297"/>
      <c r="T164" s="298"/>
    </row>
    <row r="165" customHeight="1" spans="5:20">
      <c r="E165" s="291"/>
      <c r="F165" s="291"/>
      <c r="G165" s="291"/>
      <c r="H165" s="291"/>
      <c r="I165" s="296"/>
      <c r="M165" s="296"/>
      <c r="N165" s="296"/>
      <c r="O165" s="297"/>
      <c r="P165" s="298"/>
      <c r="R165" s="296"/>
      <c r="S165" s="297"/>
      <c r="T165" s="298"/>
    </row>
    <row r="166" customHeight="1" spans="5:20">
      <c r="E166" s="291"/>
      <c r="F166" s="291"/>
      <c r="G166" s="291"/>
      <c r="H166" s="291"/>
      <c r="I166" s="296"/>
      <c r="M166" s="296"/>
      <c r="N166" s="296"/>
      <c r="O166" s="297"/>
      <c r="P166" s="298"/>
      <c r="R166" s="296"/>
      <c r="S166" s="297"/>
      <c r="T166" s="298"/>
    </row>
    <row r="167" customHeight="1" spans="5:20">
      <c r="E167" s="291"/>
      <c r="F167" s="291"/>
      <c r="G167" s="291"/>
      <c r="H167" s="291"/>
      <c r="I167" s="296"/>
      <c r="M167" s="296"/>
      <c r="N167" s="296"/>
      <c r="O167" s="297"/>
      <c r="P167" s="298"/>
      <c r="R167" s="296"/>
      <c r="S167" s="297"/>
      <c r="T167" s="298"/>
    </row>
    <row r="168" customHeight="1" spans="5:20">
      <c r="E168" s="291"/>
      <c r="F168" s="291"/>
      <c r="G168" s="291"/>
      <c r="H168" s="291"/>
      <c r="I168" s="296"/>
      <c r="M168" s="296"/>
      <c r="N168" s="296"/>
      <c r="O168" s="297"/>
      <c r="P168" s="298"/>
      <c r="R168" s="296"/>
      <c r="S168" s="297"/>
      <c r="T168" s="298"/>
    </row>
    <row r="169" customHeight="1" spans="5:20">
      <c r="E169" s="291"/>
      <c r="F169" s="291"/>
      <c r="G169" s="291"/>
      <c r="H169" s="291"/>
      <c r="I169" s="296"/>
      <c r="M169" s="296"/>
      <c r="N169" s="296"/>
      <c r="O169" s="297"/>
      <c r="P169" s="298"/>
      <c r="R169" s="296"/>
      <c r="S169" s="297"/>
      <c r="T169" s="298"/>
    </row>
    <row r="170" customHeight="1" spans="5:20">
      <c r="E170" s="291"/>
      <c r="F170" s="291"/>
      <c r="G170" s="291"/>
      <c r="H170" s="291"/>
      <c r="I170" s="296"/>
      <c r="M170" s="296"/>
      <c r="N170" s="296"/>
      <c r="O170" s="297"/>
      <c r="P170" s="298"/>
      <c r="R170" s="296"/>
      <c r="S170" s="297"/>
      <c r="T170" s="298"/>
    </row>
    <row r="171" customHeight="1" spans="5:20">
      <c r="E171" s="291"/>
      <c r="F171" s="291"/>
      <c r="G171" s="291"/>
      <c r="H171" s="291"/>
      <c r="I171" s="296"/>
      <c r="M171" s="296"/>
      <c r="N171" s="296"/>
      <c r="O171" s="297"/>
      <c r="P171" s="298"/>
      <c r="R171" s="296"/>
      <c r="S171" s="297"/>
      <c r="T171" s="298"/>
    </row>
    <row r="172" customHeight="1" spans="5:20">
      <c r="E172" s="291"/>
      <c r="F172" s="291"/>
      <c r="G172" s="291"/>
      <c r="H172" s="291"/>
      <c r="I172" s="296"/>
      <c r="M172" s="296"/>
      <c r="N172" s="296"/>
      <c r="O172" s="297"/>
      <c r="P172" s="298"/>
      <c r="R172" s="296"/>
      <c r="S172" s="297"/>
      <c r="T172" s="298"/>
    </row>
    <row r="173" customHeight="1" spans="5:20">
      <c r="E173" s="291"/>
      <c r="F173" s="291"/>
      <c r="G173" s="291"/>
      <c r="H173" s="291"/>
      <c r="I173" s="296"/>
      <c r="M173" s="296"/>
      <c r="N173" s="296"/>
      <c r="O173" s="297"/>
      <c r="P173" s="298"/>
      <c r="R173" s="296"/>
      <c r="S173" s="297"/>
      <c r="T173" s="298"/>
    </row>
    <row r="174" customHeight="1" spans="5:20">
      <c r="E174" s="291"/>
      <c r="F174" s="291"/>
      <c r="G174" s="291"/>
      <c r="H174" s="291"/>
      <c r="I174" s="296"/>
      <c r="M174" s="296"/>
      <c r="N174" s="296"/>
      <c r="O174" s="297"/>
      <c r="P174" s="298"/>
      <c r="R174" s="296"/>
      <c r="S174" s="297"/>
      <c r="T174" s="298"/>
    </row>
    <row r="175" customHeight="1" spans="5:20">
      <c r="E175" s="291"/>
      <c r="F175" s="291"/>
      <c r="G175" s="291"/>
      <c r="H175" s="291"/>
      <c r="I175" s="296"/>
      <c r="M175" s="296"/>
      <c r="N175" s="296"/>
      <c r="O175" s="297"/>
      <c r="P175" s="298"/>
      <c r="R175" s="296"/>
      <c r="S175" s="297"/>
      <c r="T175" s="298"/>
    </row>
    <row r="176" customHeight="1" spans="5:20">
      <c r="E176" s="291"/>
      <c r="F176" s="291"/>
      <c r="G176" s="291"/>
      <c r="H176" s="291"/>
      <c r="I176" s="296"/>
      <c r="M176" s="296"/>
      <c r="N176" s="296"/>
      <c r="O176" s="297"/>
      <c r="P176" s="298"/>
      <c r="R176" s="296"/>
      <c r="S176" s="297"/>
      <c r="T176" s="298"/>
    </row>
    <row r="177" customHeight="1" spans="5:20">
      <c r="E177" s="291"/>
      <c r="F177" s="291"/>
      <c r="G177" s="291"/>
      <c r="H177" s="291"/>
      <c r="I177" s="296"/>
      <c r="M177" s="296"/>
      <c r="N177" s="296"/>
      <c r="O177" s="297"/>
      <c r="P177" s="298"/>
      <c r="R177" s="296"/>
      <c r="S177" s="297"/>
      <c r="T177" s="298"/>
    </row>
    <row r="178" customHeight="1" spans="5:20">
      <c r="E178" s="291"/>
      <c r="F178" s="291"/>
      <c r="G178" s="291"/>
      <c r="H178" s="291"/>
      <c r="I178" s="296"/>
      <c r="M178" s="296"/>
      <c r="N178" s="296"/>
      <c r="O178" s="297"/>
      <c r="P178" s="298"/>
      <c r="R178" s="296"/>
      <c r="S178" s="297"/>
      <c r="T178" s="298"/>
    </row>
    <row r="179" customHeight="1" spans="5:20">
      <c r="E179" s="291"/>
      <c r="F179" s="291"/>
      <c r="G179" s="291"/>
      <c r="H179" s="291"/>
      <c r="I179" s="296"/>
      <c r="M179" s="296"/>
      <c r="N179" s="296"/>
      <c r="O179" s="297"/>
      <c r="P179" s="298"/>
      <c r="R179" s="296"/>
      <c r="S179" s="297"/>
      <c r="T179" s="298"/>
    </row>
    <row r="180" customHeight="1" spans="5:20">
      <c r="E180" s="291"/>
      <c r="F180" s="291"/>
      <c r="G180" s="291"/>
      <c r="H180" s="291"/>
      <c r="I180" s="296"/>
      <c r="M180" s="296"/>
      <c r="N180" s="296"/>
      <c r="O180" s="297"/>
      <c r="P180" s="298"/>
      <c r="R180" s="296"/>
      <c r="S180" s="297"/>
      <c r="T180" s="298"/>
    </row>
    <row r="181" customHeight="1" spans="5:20">
      <c r="E181" s="291"/>
      <c r="F181" s="291"/>
      <c r="G181" s="291"/>
      <c r="H181" s="291"/>
      <c r="I181" s="296"/>
      <c r="M181" s="296"/>
      <c r="N181" s="296"/>
      <c r="O181" s="297"/>
      <c r="P181" s="298"/>
      <c r="R181" s="296"/>
      <c r="S181" s="297"/>
      <c r="T181" s="298"/>
    </row>
    <row r="182" customHeight="1" spans="5:20">
      <c r="E182" s="291"/>
      <c r="F182" s="291"/>
      <c r="G182" s="291"/>
      <c r="H182" s="291"/>
      <c r="I182" s="296"/>
      <c r="M182" s="296"/>
      <c r="N182" s="296"/>
      <c r="O182" s="297"/>
      <c r="P182" s="298"/>
      <c r="R182" s="296"/>
      <c r="S182" s="297"/>
      <c r="T182" s="298"/>
    </row>
    <row r="183" customHeight="1" spans="5:20">
      <c r="E183" s="291"/>
      <c r="F183" s="291"/>
      <c r="G183" s="291"/>
      <c r="H183" s="291"/>
      <c r="I183" s="296"/>
      <c r="M183" s="296"/>
      <c r="N183" s="296"/>
      <c r="O183" s="297"/>
      <c r="P183" s="298"/>
      <c r="R183" s="296"/>
      <c r="S183" s="297"/>
      <c r="T183" s="298"/>
    </row>
    <row r="184" customHeight="1" spans="5:20">
      <c r="E184" s="291"/>
      <c r="F184" s="291"/>
      <c r="G184" s="291"/>
      <c r="H184" s="291"/>
      <c r="I184" s="296"/>
      <c r="M184" s="296"/>
      <c r="N184" s="296"/>
      <c r="O184" s="297"/>
      <c r="P184" s="298"/>
      <c r="R184" s="296"/>
      <c r="S184" s="297"/>
      <c r="T184" s="298"/>
    </row>
    <row r="185" customHeight="1" spans="5:20">
      <c r="E185" s="291"/>
      <c r="F185" s="291"/>
      <c r="G185" s="291"/>
      <c r="H185" s="291"/>
      <c r="I185" s="296"/>
      <c r="M185" s="296"/>
      <c r="N185" s="296"/>
      <c r="O185" s="297"/>
      <c r="P185" s="298"/>
      <c r="R185" s="296"/>
      <c r="S185" s="297"/>
      <c r="T185" s="298"/>
    </row>
    <row r="186" customHeight="1" spans="5:20">
      <c r="E186" s="291"/>
      <c r="F186" s="291"/>
      <c r="G186" s="291"/>
      <c r="H186" s="291"/>
      <c r="I186" s="296"/>
      <c r="M186" s="296"/>
      <c r="N186" s="296"/>
      <c r="O186" s="297"/>
      <c r="P186" s="298"/>
      <c r="R186" s="296"/>
      <c r="S186" s="297"/>
      <c r="T186" s="298"/>
    </row>
    <row r="187" customHeight="1" spans="5:20">
      <c r="E187" s="291"/>
      <c r="F187" s="291"/>
      <c r="G187" s="291"/>
      <c r="H187" s="291"/>
      <c r="I187" s="296"/>
      <c r="M187" s="296"/>
      <c r="N187" s="296"/>
      <c r="O187" s="297"/>
      <c r="P187" s="298"/>
      <c r="R187" s="296"/>
      <c r="S187" s="297"/>
      <c r="T187" s="298"/>
    </row>
    <row r="188" customHeight="1" spans="5:20">
      <c r="E188" s="291"/>
      <c r="F188" s="291"/>
      <c r="G188" s="291"/>
      <c r="H188" s="291"/>
      <c r="I188" s="296"/>
      <c r="M188" s="296"/>
      <c r="N188" s="296"/>
      <c r="O188" s="297"/>
      <c r="P188" s="298"/>
      <c r="R188" s="296"/>
      <c r="S188" s="297"/>
      <c r="T188" s="298"/>
    </row>
    <row r="189" customHeight="1" spans="5:20">
      <c r="E189" s="291"/>
      <c r="F189" s="291"/>
      <c r="G189" s="291"/>
      <c r="H189" s="291"/>
      <c r="I189" s="296"/>
      <c r="M189" s="296"/>
      <c r="N189" s="296"/>
      <c r="O189" s="297"/>
      <c r="P189" s="298"/>
      <c r="R189" s="296"/>
      <c r="S189" s="297"/>
      <c r="T189" s="298"/>
    </row>
    <row r="190" customHeight="1" spans="5:20">
      <c r="E190" s="291"/>
      <c r="F190" s="291"/>
      <c r="G190" s="291"/>
      <c r="H190" s="291"/>
      <c r="I190" s="296"/>
      <c r="M190" s="296"/>
      <c r="N190" s="296"/>
      <c r="O190" s="297"/>
      <c r="P190" s="298"/>
      <c r="R190" s="296"/>
      <c r="S190" s="297"/>
      <c r="T190" s="298"/>
    </row>
    <row r="191" customHeight="1" spans="5:20">
      <c r="E191" s="291"/>
      <c r="F191" s="291"/>
      <c r="G191" s="291"/>
      <c r="H191" s="291"/>
      <c r="I191" s="296"/>
      <c r="M191" s="296"/>
      <c r="N191" s="296"/>
      <c r="O191" s="297"/>
      <c r="P191" s="298"/>
      <c r="R191" s="296"/>
      <c r="S191" s="297"/>
      <c r="T191" s="298"/>
    </row>
    <row r="192" customHeight="1" spans="5:20">
      <c r="E192" s="291"/>
      <c r="F192" s="291"/>
      <c r="G192" s="291"/>
      <c r="H192" s="291"/>
      <c r="I192" s="296"/>
      <c r="M192" s="296"/>
      <c r="N192" s="296"/>
      <c r="O192" s="297"/>
      <c r="P192" s="298"/>
      <c r="R192" s="296"/>
      <c r="S192" s="297"/>
      <c r="T192" s="298"/>
    </row>
    <row r="193" customHeight="1" spans="5:20">
      <c r="E193" s="291"/>
      <c r="F193" s="291"/>
      <c r="G193" s="291"/>
      <c r="H193" s="291"/>
      <c r="I193" s="296"/>
      <c r="M193" s="296"/>
      <c r="N193" s="296"/>
      <c r="O193" s="297"/>
      <c r="P193" s="298"/>
      <c r="R193" s="296"/>
      <c r="S193" s="297"/>
      <c r="T193" s="298"/>
    </row>
    <row r="194" customHeight="1" spans="5:20">
      <c r="E194" s="291"/>
      <c r="F194" s="291"/>
      <c r="G194" s="291"/>
      <c r="H194" s="291"/>
      <c r="I194" s="296"/>
      <c r="M194" s="296"/>
      <c r="N194" s="296"/>
      <c r="O194" s="297"/>
      <c r="P194" s="298"/>
      <c r="R194" s="296"/>
      <c r="S194" s="297"/>
      <c r="T194" s="298"/>
    </row>
    <row r="195" customHeight="1" spans="5:20">
      <c r="E195" s="291"/>
      <c r="F195" s="291"/>
      <c r="G195" s="291"/>
      <c r="H195" s="291"/>
      <c r="I195" s="296"/>
      <c r="M195" s="296"/>
      <c r="N195" s="296"/>
      <c r="O195" s="297"/>
      <c r="P195" s="298"/>
      <c r="R195" s="296"/>
      <c r="S195" s="297"/>
      <c r="T195" s="298"/>
    </row>
    <row r="196" customHeight="1" spans="5:20">
      <c r="E196" s="291"/>
      <c r="F196" s="291"/>
      <c r="G196" s="291"/>
      <c r="H196" s="291"/>
      <c r="I196" s="296"/>
      <c r="M196" s="296"/>
      <c r="N196" s="296"/>
      <c r="O196" s="297"/>
      <c r="P196" s="298"/>
      <c r="R196" s="296"/>
      <c r="S196" s="297"/>
      <c r="T196" s="298"/>
    </row>
    <row r="197" customHeight="1" spans="5:20">
      <c r="E197" s="291"/>
      <c r="F197" s="291"/>
      <c r="G197" s="291"/>
      <c r="H197" s="291"/>
      <c r="I197" s="296"/>
      <c r="M197" s="296"/>
      <c r="N197" s="296"/>
      <c r="O197" s="297"/>
      <c r="P197" s="298"/>
      <c r="R197" s="296"/>
      <c r="S197" s="297"/>
      <c r="T197" s="298"/>
    </row>
    <row r="198" customHeight="1" spans="5:20">
      <c r="E198" s="291"/>
      <c r="F198" s="291"/>
      <c r="G198" s="291"/>
      <c r="H198" s="291"/>
      <c r="I198" s="296"/>
      <c r="M198" s="296"/>
      <c r="N198" s="296"/>
      <c r="O198" s="297"/>
      <c r="P198" s="298"/>
      <c r="R198" s="296"/>
      <c r="S198" s="297"/>
      <c r="T198" s="298"/>
    </row>
    <row r="199" customHeight="1" spans="5:20">
      <c r="E199" s="291"/>
      <c r="F199" s="291"/>
      <c r="G199" s="291"/>
      <c r="H199" s="291"/>
      <c r="I199" s="296"/>
      <c r="M199" s="296"/>
      <c r="N199" s="296"/>
      <c r="O199" s="297"/>
      <c r="P199" s="298"/>
      <c r="R199" s="296"/>
      <c r="S199" s="297"/>
      <c r="T199" s="298"/>
    </row>
    <row r="200" customHeight="1" spans="5:20">
      <c r="E200" s="291"/>
      <c r="F200" s="291"/>
      <c r="G200" s="291"/>
      <c r="H200" s="291"/>
      <c r="I200" s="296"/>
      <c r="M200" s="296"/>
      <c r="N200" s="296"/>
      <c r="O200" s="297"/>
      <c r="P200" s="298"/>
      <c r="R200" s="296"/>
      <c r="S200" s="297"/>
      <c r="T200" s="298"/>
    </row>
    <row r="201" customHeight="1" spans="5:20">
      <c r="E201" s="291"/>
      <c r="F201" s="291"/>
      <c r="G201" s="291"/>
      <c r="H201" s="291"/>
      <c r="I201" s="296"/>
      <c r="M201" s="296"/>
      <c r="N201" s="296"/>
      <c r="O201" s="297"/>
      <c r="P201" s="298"/>
      <c r="R201" s="296"/>
      <c r="S201" s="297"/>
      <c r="T201" s="298"/>
    </row>
    <row r="202" customHeight="1" spans="5:20">
      <c r="E202" s="291"/>
      <c r="F202" s="291"/>
      <c r="G202" s="291"/>
      <c r="H202" s="291"/>
      <c r="I202" s="296"/>
      <c r="M202" s="296"/>
      <c r="N202" s="296"/>
      <c r="O202" s="297"/>
      <c r="P202" s="298"/>
      <c r="R202" s="296"/>
      <c r="S202" s="297"/>
      <c r="T202" s="298"/>
    </row>
    <row r="203" customHeight="1" spans="5:20">
      <c r="E203" s="291"/>
      <c r="F203" s="291"/>
      <c r="G203" s="291"/>
      <c r="H203" s="291"/>
      <c r="I203" s="296"/>
      <c r="M203" s="296"/>
      <c r="N203" s="296"/>
      <c r="O203" s="297"/>
      <c r="P203" s="298"/>
      <c r="R203" s="296"/>
      <c r="S203" s="297"/>
      <c r="T203" s="298"/>
    </row>
    <row r="204" customHeight="1" spans="5:20">
      <c r="E204" s="291"/>
      <c r="F204" s="291"/>
      <c r="G204" s="291"/>
      <c r="H204" s="291"/>
      <c r="I204" s="296"/>
      <c r="M204" s="296"/>
      <c r="N204" s="296"/>
      <c r="O204" s="297"/>
      <c r="P204" s="298"/>
      <c r="R204" s="296"/>
      <c r="S204" s="297"/>
      <c r="T204" s="298"/>
    </row>
    <row r="205" customHeight="1" spans="5:20">
      <c r="E205" s="291"/>
      <c r="F205" s="291"/>
      <c r="G205" s="291"/>
      <c r="H205" s="291"/>
      <c r="I205" s="296"/>
      <c r="M205" s="296"/>
      <c r="N205" s="296"/>
      <c r="O205" s="297"/>
      <c r="P205" s="298"/>
      <c r="R205" s="296"/>
      <c r="S205" s="297"/>
      <c r="T205" s="298"/>
    </row>
    <row r="206" customHeight="1" spans="5:20">
      <c r="E206" s="291"/>
      <c r="F206" s="291"/>
      <c r="G206" s="291"/>
      <c r="H206" s="291"/>
      <c r="I206" s="296"/>
      <c r="M206" s="296"/>
      <c r="N206" s="296"/>
      <c r="O206" s="297"/>
      <c r="P206" s="298"/>
      <c r="R206" s="296"/>
      <c r="S206" s="297"/>
      <c r="T206" s="298"/>
    </row>
    <row r="207" customHeight="1" spans="5:20">
      <c r="E207" s="291"/>
      <c r="F207" s="291"/>
      <c r="G207" s="291"/>
      <c r="H207" s="291"/>
      <c r="I207" s="296"/>
      <c r="M207" s="296"/>
      <c r="N207" s="296"/>
      <c r="O207" s="297"/>
      <c r="P207" s="298"/>
      <c r="R207" s="296"/>
      <c r="S207" s="297"/>
      <c r="T207" s="298"/>
    </row>
    <row r="208" customHeight="1" spans="5:20">
      <c r="E208" s="291"/>
      <c r="F208" s="291"/>
      <c r="G208" s="291"/>
      <c r="H208" s="291"/>
      <c r="I208" s="296"/>
      <c r="M208" s="296"/>
      <c r="N208" s="296"/>
      <c r="O208" s="297"/>
      <c r="P208" s="298"/>
      <c r="R208" s="296"/>
      <c r="S208" s="297"/>
      <c r="T208" s="298"/>
    </row>
    <row r="209" customHeight="1" spans="5:20">
      <c r="E209" s="291"/>
      <c r="F209" s="291"/>
      <c r="G209" s="291"/>
      <c r="H209" s="291"/>
      <c r="I209" s="296"/>
      <c r="M209" s="296"/>
      <c r="N209" s="296"/>
      <c r="O209" s="297"/>
      <c r="P209" s="298"/>
      <c r="R209" s="296"/>
      <c r="S209" s="297"/>
      <c r="T209" s="298"/>
    </row>
    <row r="210" customHeight="1" spans="5:20">
      <c r="E210" s="291"/>
      <c r="F210" s="291"/>
      <c r="G210" s="291"/>
      <c r="H210" s="291"/>
      <c r="I210" s="296"/>
      <c r="M210" s="296"/>
      <c r="N210" s="296"/>
      <c r="O210" s="297"/>
      <c r="P210" s="298"/>
      <c r="R210" s="296"/>
      <c r="S210" s="297"/>
      <c r="T210" s="298"/>
    </row>
    <row r="211" customHeight="1" spans="5:20">
      <c r="E211" s="291"/>
      <c r="F211" s="291"/>
      <c r="G211" s="291"/>
      <c r="H211" s="291"/>
      <c r="I211" s="296"/>
      <c r="M211" s="296"/>
      <c r="N211" s="296"/>
      <c r="O211" s="297"/>
      <c r="P211" s="298"/>
      <c r="R211" s="296"/>
      <c r="S211" s="297"/>
      <c r="T211" s="298"/>
    </row>
    <row r="212" customHeight="1" spans="5:20">
      <c r="E212" s="291"/>
      <c r="F212" s="291"/>
      <c r="G212" s="291"/>
      <c r="H212" s="291"/>
      <c r="I212" s="296"/>
      <c r="M212" s="296"/>
      <c r="N212" s="296"/>
      <c r="O212" s="297"/>
      <c r="P212" s="298"/>
      <c r="R212" s="296"/>
      <c r="S212" s="297"/>
      <c r="T212" s="298"/>
    </row>
    <row r="213" customHeight="1" spans="5:20">
      <c r="E213" s="291"/>
      <c r="F213" s="291"/>
      <c r="G213" s="291"/>
      <c r="H213" s="291"/>
      <c r="I213" s="296"/>
      <c r="M213" s="296"/>
      <c r="N213" s="296"/>
      <c r="O213" s="297"/>
      <c r="P213" s="298"/>
      <c r="R213" s="296"/>
      <c r="S213" s="297"/>
      <c r="T213" s="298"/>
    </row>
    <row r="214" customHeight="1" spans="5:20">
      <c r="E214" s="291"/>
      <c r="F214" s="291"/>
      <c r="G214" s="291"/>
      <c r="H214" s="291"/>
      <c r="I214" s="296"/>
      <c r="M214" s="296"/>
      <c r="N214" s="296"/>
      <c r="O214" s="297"/>
      <c r="P214" s="298"/>
      <c r="R214" s="296"/>
      <c r="S214" s="297"/>
      <c r="T214" s="298"/>
    </row>
    <row r="215" customHeight="1" spans="5:20">
      <c r="E215" s="291"/>
      <c r="F215" s="291"/>
      <c r="G215" s="291"/>
      <c r="H215" s="291"/>
      <c r="I215" s="296"/>
      <c r="M215" s="296"/>
      <c r="N215" s="296"/>
      <c r="O215" s="297"/>
      <c r="P215" s="298"/>
      <c r="R215" s="296"/>
      <c r="S215" s="297"/>
      <c r="T215" s="298"/>
    </row>
    <row r="216" customHeight="1" spans="5:20">
      <c r="E216" s="291"/>
      <c r="F216" s="291"/>
      <c r="G216" s="291"/>
      <c r="H216" s="291"/>
      <c r="I216" s="296"/>
      <c r="M216" s="296"/>
      <c r="N216" s="296"/>
      <c r="O216" s="297"/>
      <c r="P216" s="298"/>
      <c r="R216" s="296"/>
      <c r="S216" s="297"/>
      <c r="T216" s="298"/>
    </row>
    <row r="217" customHeight="1" spans="5:20">
      <c r="E217" s="291"/>
      <c r="F217" s="291"/>
      <c r="G217" s="291"/>
      <c r="H217" s="291"/>
      <c r="I217" s="296"/>
      <c r="M217" s="296"/>
      <c r="N217" s="296"/>
      <c r="O217" s="297"/>
      <c r="P217" s="298"/>
      <c r="R217" s="296"/>
      <c r="S217" s="297"/>
      <c r="T217" s="298"/>
    </row>
    <row r="218" customHeight="1" spans="5:20">
      <c r="E218" s="291"/>
      <c r="F218" s="291"/>
      <c r="G218" s="291"/>
      <c r="H218" s="291"/>
      <c r="I218" s="296"/>
      <c r="M218" s="296"/>
      <c r="N218" s="296"/>
      <c r="O218" s="297"/>
      <c r="P218" s="298"/>
      <c r="R218" s="296"/>
      <c r="S218" s="297"/>
      <c r="T218" s="298"/>
    </row>
    <row r="219" customHeight="1" spans="5:20">
      <c r="E219" s="291"/>
      <c r="F219" s="291"/>
      <c r="G219" s="291"/>
      <c r="H219" s="291"/>
      <c r="I219" s="296"/>
      <c r="M219" s="296"/>
      <c r="N219" s="296"/>
      <c r="O219" s="297"/>
      <c r="P219" s="298"/>
      <c r="R219" s="296"/>
      <c r="S219" s="297"/>
      <c r="T219" s="298"/>
    </row>
    <row r="220" customHeight="1" spans="5:20">
      <c r="E220" s="291"/>
      <c r="F220" s="291"/>
      <c r="G220" s="291"/>
      <c r="H220" s="291"/>
      <c r="I220" s="296"/>
      <c r="M220" s="296"/>
      <c r="N220" s="296"/>
      <c r="O220" s="297"/>
      <c r="P220" s="298"/>
      <c r="R220" s="296"/>
      <c r="S220" s="297"/>
      <c r="T220" s="298"/>
    </row>
    <row r="221" customHeight="1" spans="5:20">
      <c r="E221" s="291"/>
      <c r="F221" s="291"/>
      <c r="G221" s="291"/>
      <c r="H221" s="291"/>
      <c r="I221" s="296"/>
      <c r="M221" s="296"/>
      <c r="N221" s="296"/>
      <c r="O221" s="297"/>
      <c r="P221" s="298"/>
      <c r="R221" s="296"/>
      <c r="S221" s="297"/>
      <c r="T221" s="298"/>
    </row>
    <row r="222" customHeight="1" spans="5:20">
      <c r="E222" s="291"/>
      <c r="F222" s="291"/>
      <c r="G222" s="291"/>
      <c r="H222" s="291"/>
      <c r="I222" s="296"/>
      <c r="M222" s="296"/>
      <c r="N222" s="296"/>
      <c r="O222" s="297"/>
      <c r="P222" s="298"/>
      <c r="R222" s="296"/>
      <c r="S222" s="297"/>
      <c r="T222" s="298"/>
    </row>
    <row r="223" customHeight="1" spans="5:20">
      <c r="E223" s="291"/>
      <c r="F223" s="291"/>
      <c r="G223" s="291"/>
      <c r="H223" s="291"/>
      <c r="I223" s="296"/>
      <c r="M223" s="296"/>
      <c r="N223" s="296"/>
      <c r="O223" s="297"/>
      <c r="P223" s="298"/>
      <c r="R223" s="296"/>
      <c r="S223" s="297"/>
      <c r="T223" s="298"/>
    </row>
    <row r="224" customHeight="1" spans="5:20">
      <c r="E224" s="291"/>
      <c r="F224" s="291"/>
      <c r="G224" s="291"/>
      <c r="H224" s="291"/>
      <c r="I224" s="296"/>
      <c r="M224" s="296"/>
      <c r="N224" s="296"/>
      <c r="O224" s="297"/>
      <c r="P224" s="298"/>
      <c r="R224" s="296"/>
      <c r="S224" s="297"/>
      <c r="T224" s="298"/>
    </row>
    <row r="225" customHeight="1" spans="5:20">
      <c r="E225" s="291"/>
      <c r="F225" s="291"/>
      <c r="G225" s="291"/>
      <c r="H225" s="291"/>
      <c r="I225" s="296"/>
      <c r="M225" s="296"/>
      <c r="N225" s="296"/>
      <c r="O225" s="297"/>
      <c r="P225" s="298"/>
      <c r="R225" s="296"/>
      <c r="S225" s="297"/>
      <c r="T225" s="298"/>
    </row>
    <row r="226" customHeight="1" spans="5:20">
      <c r="E226" s="291"/>
      <c r="F226" s="291"/>
      <c r="G226" s="291"/>
      <c r="H226" s="291"/>
      <c r="I226" s="296"/>
      <c r="M226" s="296"/>
      <c r="N226" s="296"/>
      <c r="O226" s="297"/>
      <c r="P226" s="298"/>
      <c r="R226" s="296"/>
      <c r="S226" s="297"/>
      <c r="T226" s="298"/>
    </row>
    <row r="227" customHeight="1" spans="5:20">
      <c r="E227" s="291"/>
      <c r="F227" s="291"/>
      <c r="G227" s="291"/>
      <c r="H227" s="291"/>
      <c r="I227" s="296"/>
      <c r="M227" s="296"/>
      <c r="N227" s="296"/>
      <c r="O227" s="297"/>
      <c r="P227" s="298"/>
      <c r="R227" s="296"/>
      <c r="S227" s="297"/>
      <c r="T227" s="298"/>
    </row>
    <row r="228" customHeight="1" spans="5:20">
      <c r="E228" s="291"/>
      <c r="F228" s="291"/>
      <c r="G228" s="291"/>
      <c r="H228" s="291"/>
      <c r="I228" s="296"/>
      <c r="M228" s="296"/>
      <c r="N228" s="296"/>
      <c r="O228" s="297"/>
      <c r="P228" s="298"/>
      <c r="R228" s="296"/>
      <c r="S228" s="297"/>
      <c r="T228" s="298"/>
    </row>
    <row r="229" customHeight="1" spans="5:20">
      <c r="E229" s="291"/>
      <c r="F229" s="291"/>
      <c r="G229" s="291"/>
      <c r="H229" s="291"/>
      <c r="I229" s="296"/>
      <c r="M229" s="296"/>
      <c r="N229" s="296"/>
      <c r="O229" s="297"/>
      <c r="P229" s="298"/>
      <c r="R229" s="296"/>
      <c r="S229" s="297"/>
      <c r="T229" s="298"/>
    </row>
    <row r="230" customHeight="1" spans="5:20">
      <c r="E230" s="291"/>
      <c r="F230" s="291"/>
      <c r="G230" s="291"/>
      <c r="H230" s="291"/>
      <c r="I230" s="296"/>
      <c r="M230" s="296"/>
      <c r="N230" s="296"/>
      <c r="O230" s="297"/>
      <c r="P230" s="298"/>
      <c r="R230" s="296"/>
      <c r="S230" s="297"/>
      <c r="T230" s="298"/>
    </row>
    <row r="231" customHeight="1" spans="5:20">
      <c r="E231" s="291"/>
      <c r="F231" s="291"/>
      <c r="G231" s="291"/>
      <c r="H231" s="291"/>
      <c r="I231" s="296"/>
      <c r="M231" s="296"/>
      <c r="N231" s="296"/>
      <c r="O231" s="297"/>
      <c r="P231" s="298"/>
      <c r="R231" s="296"/>
      <c r="S231" s="297"/>
      <c r="T231" s="298"/>
    </row>
    <row r="232" customHeight="1" spans="5:20">
      <c r="E232" s="291"/>
      <c r="F232" s="291"/>
      <c r="G232" s="291"/>
      <c r="H232" s="291"/>
      <c r="I232" s="296"/>
      <c r="M232" s="296"/>
      <c r="N232" s="296"/>
      <c r="O232" s="297"/>
      <c r="P232" s="298"/>
      <c r="R232" s="296"/>
      <c r="S232" s="297"/>
      <c r="T232" s="298"/>
    </row>
    <row r="233" customHeight="1" spans="5:20">
      <c r="E233" s="291"/>
      <c r="F233" s="291"/>
      <c r="G233" s="291"/>
      <c r="H233" s="291"/>
      <c r="I233" s="296"/>
      <c r="M233" s="296"/>
      <c r="N233" s="296"/>
      <c r="O233" s="297"/>
      <c r="P233" s="298"/>
      <c r="R233" s="296"/>
      <c r="S233" s="297"/>
      <c r="T233" s="298"/>
    </row>
    <row r="234" customHeight="1" spans="5:20">
      <c r="E234" s="291"/>
      <c r="F234" s="291"/>
      <c r="G234" s="291"/>
      <c r="H234" s="291"/>
      <c r="I234" s="296"/>
      <c r="M234" s="296"/>
      <c r="N234" s="296"/>
      <c r="O234" s="297"/>
      <c r="P234" s="298"/>
      <c r="R234" s="296"/>
      <c r="S234" s="297"/>
      <c r="T234" s="298"/>
    </row>
    <row r="235" customHeight="1" spans="5:20">
      <c r="E235" s="291"/>
      <c r="F235" s="291"/>
      <c r="G235" s="291"/>
      <c r="H235" s="291"/>
      <c r="I235" s="296"/>
      <c r="M235" s="296"/>
      <c r="N235" s="296"/>
      <c r="O235" s="297"/>
      <c r="P235" s="298"/>
      <c r="R235" s="296"/>
      <c r="S235" s="297"/>
      <c r="T235" s="298"/>
    </row>
    <row r="236" customHeight="1" spans="5:20">
      <c r="E236" s="291"/>
      <c r="F236" s="291"/>
      <c r="G236" s="291"/>
      <c r="H236" s="291"/>
      <c r="I236" s="296"/>
      <c r="M236" s="296"/>
      <c r="N236" s="296"/>
      <c r="O236" s="297"/>
      <c r="P236" s="298"/>
      <c r="R236" s="296"/>
      <c r="S236" s="297"/>
      <c r="T236" s="298"/>
    </row>
    <row r="237" customHeight="1" spans="5:20">
      <c r="E237" s="291"/>
      <c r="F237" s="291"/>
      <c r="G237" s="291"/>
      <c r="H237" s="291"/>
      <c r="I237" s="296"/>
      <c r="M237" s="296"/>
      <c r="N237" s="296"/>
      <c r="O237" s="297"/>
      <c r="P237" s="298"/>
      <c r="R237" s="296"/>
      <c r="S237" s="297"/>
      <c r="T237" s="298"/>
    </row>
    <row r="238" customHeight="1" spans="5:20">
      <c r="E238" s="291"/>
      <c r="F238" s="291"/>
      <c r="G238" s="291"/>
      <c r="H238" s="291"/>
      <c r="I238" s="296"/>
      <c r="M238" s="296"/>
      <c r="N238" s="296"/>
      <c r="O238" s="297"/>
      <c r="P238" s="298"/>
      <c r="R238" s="296"/>
      <c r="S238" s="297"/>
      <c r="T238" s="298"/>
    </row>
    <row r="239" customHeight="1" spans="5:20">
      <c r="E239" s="291"/>
      <c r="F239" s="291"/>
      <c r="G239" s="291"/>
      <c r="H239" s="291"/>
      <c r="I239" s="296"/>
      <c r="M239" s="296"/>
      <c r="N239" s="296"/>
      <c r="O239" s="297"/>
      <c r="P239" s="298"/>
      <c r="R239" s="296"/>
      <c r="S239" s="297"/>
      <c r="T239" s="298"/>
    </row>
    <row r="240" customHeight="1" spans="5:20">
      <c r="E240" s="291"/>
      <c r="F240" s="291"/>
      <c r="G240" s="291"/>
      <c r="H240" s="291"/>
      <c r="I240" s="296"/>
      <c r="M240" s="296"/>
      <c r="N240" s="296"/>
      <c r="O240" s="297"/>
      <c r="P240" s="298"/>
      <c r="R240" s="296"/>
      <c r="S240" s="297"/>
      <c r="T240" s="298"/>
    </row>
    <row r="241" customHeight="1" spans="5:20">
      <c r="E241" s="291"/>
      <c r="F241" s="291"/>
      <c r="G241" s="291"/>
      <c r="H241" s="291"/>
      <c r="I241" s="296"/>
      <c r="M241" s="296"/>
      <c r="N241" s="296"/>
      <c r="O241" s="297"/>
      <c r="P241" s="298"/>
      <c r="R241" s="296"/>
      <c r="S241" s="297"/>
      <c r="T241" s="298"/>
    </row>
    <row r="242" customHeight="1" spans="5:20">
      <c r="E242" s="291"/>
      <c r="F242" s="291"/>
      <c r="G242" s="291"/>
      <c r="H242" s="291"/>
      <c r="I242" s="296"/>
      <c r="M242" s="296"/>
      <c r="N242" s="296"/>
      <c r="O242" s="297"/>
      <c r="P242" s="298"/>
      <c r="R242" s="296"/>
      <c r="S242" s="297"/>
      <c r="T242" s="298"/>
    </row>
    <row r="243" customHeight="1" spans="5:20">
      <c r="E243" s="291"/>
      <c r="F243" s="291"/>
      <c r="G243" s="291"/>
      <c r="H243" s="291"/>
      <c r="I243" s="296"/>
      <c r="M243" s="296"/>
      <c r="N243" s="296"/>
      <c r="O243" s="297"/>
      <c r="P243" s="298"/>
      <c r="R243" s="296"/>
      <c r="S243" s="297"/>
      <c r="T243" s="298"/>
    </row>
    <row r="244" customHeight="1" spans="5:20">
      <c r="E244" s="291"/>
      <c r="F244" s="291"/>
      <c r="G244" s="291"/>
      <c r="H244" s="291"/>
      <c r="I244" s="296"/>
      <c r="M244" s="296"/>
      <c r="N244" s="296"/>
      <c r="O244" s="297"/>
      <c r="P244" s="298"/>
      <c r="R244" s="296"/>
      <c r="S244" s="297"/>
      <c r="T244" s="298"/>
    </row>
    <row r="245" customHeight="1" spans="5:20">
      <c r="E245" s="291"/>
      <c r="F245" s="291"/>
      <c r="G245" s="291"/>
      <c r="H245" s="291"/>
      <c r="I245" s="296"/>
      <c r="M245" s="296"/>
      <c r="N245" s="296"/>
      <c r="O245" s="297"/>
      <c r="P245" s="298"/>
      <c r="R245" s="296"/>
      <c r="S245" s="297"/>
      <c r="T245" s="298"/>
    </row>
    <row r="246" customHeight="1" spans="5:20">
      <c r="E246" s="291"/>
      <c r="F246" s="291"/>
      <c r="G246" s="291"/>
      <c r="H246" s="291"/>
      <c r="I246" s="296"/>
      <c r="M246" s="296"/>
      <c r="N246" s="296"/>
      <c r="O246" s="297"/>
      <c r="P246" s="298"/>
      <c r="R246" s="296"/>
      <c r="S246" s="297"/>
      <c r="T246" s="298"/>
    </row>
    <row r="247" customHeight="1" spans="5:20">
      <c r="E247" s="291"/>
      <c r="F247" s="291"/>
      <c r="G247" s="291"/>
      <c r="H247" s="291"/>
      <c r="I247" s="296"/>
      <c r="M247" s="296"/>
      <c r="N247" s="296"/>
      <c r="O247" s="297"/>
      <c r="P247" s="298"/>
      <c r="R247" s="296"/>
      <c r="S247" s="297"/>
      <c r="T247" s="298"/>
    </row>
    <row r="248" customHeight="1" spans="5:20">
      <c r="E248" s="291"/>
      <c r="F248" s="291"/>
      <c r="G248" s="291"/>
      <c r="H248" s="291"/>
      <c r="I248" s="296"/>
      <c r="M248" s="296"/>
      <c r="N248" s="296"/>
      <c r="O248" s="297"/>
      <c r="P248" s="298"/>
      <c r="R248" s="296"/>
      <c r="S248" s="297"/>
      <c r="T248" s="298"/>
    </row>
    <row r="249" customHeight="1" spans="5:20">
      <c r="E249" s="291"/>
      <c r="F249" s="291"/>
      <c r="G249" s="291"/>
      <c r="H249" s="291"/>
      <c r="I249" s="296"/>
      <c r="M249" s="296"/>
      <c r="N249" s="296"/>
      <c r="O249" s="297"/>
      <c r="P249" s="298"/>
      <c r="R249" s="296"/>
      <c r="S249" s="297"/>
      <c r="T249" s="298"/>
    </row>
    <row r="250" customHeight="1" spans="5:20">
      <c r="E250" s="291"/>
      <c r="F250" s="291"/>
      <c r="G250" s="291"/>
      <c r="H250" s="291"/>
      <c r="I250" s="296"/>
      <c r="M250" s="296"/>
      <c r="N250" s="296"/>
      <c r="O250" s="297"/>
      <c r="P250" s="298"/>
      <c r="R250" s="296"/>
      <c r="S250" s="297"/>
      <c r="T250" s="298"/>
    </row>
    <row r="251" customHeight="1" spans="5:20">
      <c r="E251" s="291"/>
      <c r="F251" s="291"/>
      <c r="G251" s="291"/>
      <c r="H251" s="291"/>
      <c r="I251" s="296"/>
      <c r="M251" s="296"/>
      <c r="N251" s="296"/>
      <c r="O251" s="297"/>
      <c r="P251" s="298"/>
      <c r="R251" s="296"/>
      <c r="S251" s="297"/>
      <c r="T251" s="298"/>
    </row>
    <row r="252" customHeight="1" spans="5:20">
      <c r="E252" s="291"/>
      <c r="F252" s="291"/>
      <c r="G252" s="291"/>
      <c r="H252" s="291"/>
      <c r="I252" s="296"/>
      <c r="M252" s="296"/>
      <c r="N252" s="296"/>
      <c r="O252" s="297"/>
      <c r="P252" s="298"/>
      <c r="R252" s="296"/>
      <c r="S252" s="297"/>
      <c r="T252" s="298"/>
    </row>
    <row r="253" customHeight="1" spans="5:20">
      <c r="E253" s="291"/>
      <c r="F253" s="291"/>
      <c r="G253" s="291"/>
      <c r="H253" s="291"/>
      <c r="I253" s="296"/>
      <c r="M253" s="296"/>
      <c r="N253" s="296"/>
      <c r="O253" s="297"/>
      <c r="P253" s="298"/>
      <c r="R253" s="296"/>
      <c r="S253" s="297"/>
      <c r="T253" s="298"/>
    </row>
    <row r="254" customHeight="1" spans="5:20">
      <c r="E254" s="291"/>
      <c r="F254" s="291"/>
      <c r="G254" s="291"/>
      <c r="H254" s="291"/>
      <c r="I254" s="296"/>
      <c r="M254" s="296"/>
      <c r="N254" s="296"/>
      <c r="O254" s="297"/>
      <c r="P254" s="298"/>
      <c r="R254" s="296"/>
      <c r="S254" s="297"/>
      <c r="T254" s="298"/>
    </row>
    <row r="255" customHeight="1" spans="5:20">
      <c r="E255" s="291"/>
      <c r="F255" s="291"/>
      <c r="G255" s="291"/>
      <c r="H255" s="291"/>
      <c r="I255" s="296"/>
      <c r="M255" s="296"/>
      <c r="N255" s="296"/>
      <c r="O255" s="297"/>
      <c r="P255" s="298"/>
      <c r="R255" s="296"/>
      <c r="S255" s="297"/>
      <c r="T255" s="298"/>
    </row>
    <row r="256" customHeight="1" spans="5:20">
      <c r="E256" s="291"/>
      <c r="F256" s="291"/>
      <c r="G256" s="291"/>
      <c r="H256" s="291"/>
      <c r="I256" s="296"/>
      <c r="M256" s="296"/>
      <c r="N256" s="296"/>
      <c r="O256" s="297"/>
      <c r="P256" s="298"/>
      <c r="R256" s="296"/>
      <c r="S256" s="297"/>
      <c r="T256" s="298"/>
    </row>
    <row r="257" customHeight="1" spans="5:20">
      <c r="E257" s="291"/>
      <c r="F257" s="291"/>
      <c r="G257" s="291"/>
      <c r="H257" s="291"/>
      <c r="I257" s="296"/>
      <c r="M257" s="296"/>
      <c r="N257" s="296"/>
      <c r="O257" s="297"/>
      <c r="P257" s="298"/>
      <c r="R257" s="296"/>
      <c r="S257" s="297"/>
      <c r="T257" s="298"/>
    </row>
    <row r="258" customHeight="1" spans="5:20">
      <c r="E258" s="291"/>
      <c r="F258" s="291"/>
      <c r="G258" s="291"/>
      <c r="H258" s="291"/>
      <c r="I258" s="296"/>
      <c r="M258" s="296"/>
      <c r="N258" s="296"/>
      <c r="O258" s="297"/>
      <c r="P258" s="298"/>
      <c r="R258" s="296"/>
      <c r="S258" s="297"/>
      <c r="T258" s="298"/>
    </row>
    <row r="259" customHeight="1" spans="5:20">
      <c r="E259" s="291"/>
      <c r="F259" s="291"/>
      <c r="G259" s="291"/>
      <c r="H259" s="291"/>
      <c r="I259" s="296"/>
      <c r="M259" s="296"/>
      <c r="N259" s="296"/>
      <c r="O259" s="297"/>
      <c r="P259" s="298"/>
      <c r="R259" s="296"/>
      <c r="S259" s="297"/>
      <c r="T259" s="298"/>
    </row>
    <row r="260" customHeight="1" spans="5:20">
      <c r="E260" s="291"/>
      <c r="F260" s="291"/>
      <c r="G260" s="291"/>
      <c r="H260" s="291"/>
      <c r="I260" s="296"/>
      <c r="M260" s="296"/>
      <c r="N260" s="296"/>
      <c r="O260" s="297"/>
      <c r="P260" s="298"/>
      <c r="R260" s="296"/>
      <c r="S260" s="297"/>
      <c r="T260" s="298"/>
    </row>
    <row r="261" customHeight="1" spans="5:20">
      <c r="E261" s="291"/>
      <c r="F261" s="291"/>
      <c r="G261" s="291"/>
      <c r="H261" s="291"/>
      <c r="I261" s="296"/>
      <c r="M261" s="296"/>
      <c r="N261" s="296"/>
      <c r="O261" s="297"/>
      <c r="P261" s="298"/>
      <c r="R261" s="296"/>
      <c r="S261" s="297"/>
      <c r="T261" s="298"/>
    </row>
    <row r="262" customHeight="1" spans="5:20">
      <c r="E262" s="291"/>
      <c r="F262" s="291"/>
      <c r="G262" s="291"/>
      <c r="H262" s="291"/>
      <c r="I262" s="296"/>
      <c r="M262" s="296"/>
      <c r="N262" s="296"/>
      <c r="O262" s="297"/>
      <c r="P262" s="298"/>
      <c r="R262" s="296"/>
      <c r="S262" s="297"/>
      <c r="T262" s="298"/>
    </row>
    <row r="263" customHeight="1" spans="5:20">
      <c r="E263" s="291"/>
      <c r="F263" s="291"/>
      <c r="G263" s="291"/>
      <c r="H263" s="291"/>
      <c r="I263" s="296"/>
      <c r="M263" s="296"/>
      <c r="N263" s="296"/>
      <c r="O263" s="297"/>
      <c r="P263" s="298"/>
      <c r="R263" s="296"/>
      <c r="S263" s="297"/>
      <c r="T263" s="298"/>
    </row>
    <row r="264" customHeight="1" spans="5:20">
      <c r="E264" s="291"/>
      <c r="F264" s="291"/>
      <c r="G264" s="291"/>
      <c r="H264" s="291"/>
      <c r="I264" s="296"/>
      <c r="M264" s="296"/>
      <c r="N264" s="296"/>
      <c r="O264" s="297"/>
      <c r="P264" s="298"/>
      <c r="R264" s="296"/>
      <c r="S264" s="297"/>
      <c r="T264" s="298"/>
    </row>
    <row r="265" customHeight="1" spans="5:20">
      <c r="E265" s="291"/>
      <c r="F265" s="291"/>
      <c r="G265" s="291"/>
      <c r="H265" s="291"/>
      <c r="I265" s="296"/>
      <c r="M265" s="296"/>
      <c r="N265" s="296"/>
      <c r="O265" s="297"/>
      <c r="P265" s="298"/>
      <c r="R265" s="296"/>
      <c r="S265" s="297"/>
      <c r="T265" s="298"/>
    </row>
    <row r="266" customHeight="1" spans="5:20">
      <c r="E266" s="291"/>
      <c r="F266" s="291"/>
      <c r="G266" s="291"/>
      <c r="H266" s="291"/>
      <c r="I266" s="296"/>
      <c r="M266" s="296"/>
      <c r="N266" s="296"/>
      <c r="O266" s="297"/>
      <c r="P266" s="298"/>
      <c r="R266" s="296"/>
      <c r="S266" s="297"/>
      <c r="T266" s="298"/>
    </row>
    <row r="267" customHeight="1" spans="5:20">
      <c r="E267" s="291"/>
      <c r="F267" s="291"/>
      <c r="G267" s="291"/>
      <c r="H267" s="291"/>
      <c r="I267" s="296"/>
      <c r="M267" s="296"/>
      <c r="N267" s="296"/>
      <c r="O267" s="297"/>
      <c r="P267" s="298"/>
      <c r="R267" s="296"/>
      <c r="S267" s="297"/>
      <c r="T267" s="298"/>
    </row>
    <row r="268" customHeight="1" spans="5:20">
      <c r="E268" s="291"/>
      <c r="F268" s="291"/>
      <c r="G268" s="291"/>
      <c r="H268" s="291"/>
      <c r="I268" s="296"/>
      <c r="M268" s="296"/>
      <c r="N268" s="296"/>
      <c r="O268" s="297"/>
      <c r="P268" s="298"/>
      <c r="R268" s="296"/>
      <c r="S268" s="297"/>
      <c r="T268" s="298"/>
    </row>
    <row r="269" customHeight="1" spans="5:20">
      <c r="E269" s="291"/>
      <c r="F269" s="291"/>
      <c r="G269" s="291"/>
      <c r="H269" s="291"/>
      <c r="I269" s="296"/>
      <c r="M269" s="296"/>
      <c r="N269" s="296"/>
      <c r="O269" s="297"/>
      <c r="P269" s="298"/>
      <c r="R269" s="296"/>
      <c r="S269" s="297"/>
      <c r="T269" s="298"/>
    </row>
    <row r="270" customHeight="1" spans="5:20">
      <c r="E270" s="291"/>
      <c r="F270" s="291"/>
      <c r="G270" s="291"/>
      <c r="H270" s="291"/>
      <c r="I270" s="296"/>
      <c r="M270" s="296"/>
      <c r="N270" s="296"/>
      <c r="O270" s="297"/>
      <c r="P270" s="298"/>
      <c r="R270" s="296"/>
      <c r="S270" s="297"/>
      <c r="T270" s="298"/>
    </row>
    <row r="271" customHeight="1" spans="5:20">
      <c r="E271" s="291"/>
      <c r="F271" s="291"/>
      <c r="G271" s="291"/>
      <c r="H271" s="291"/>
      <c r="I271" s="296"/>
      <c r="M271" s="296"/>
      <c r="N271" s="296"/>
      <c r="O271" s="297"/>
      <c r="P271" s="298"/>
      <c r="R271" s="296"/>
      <c r="S271" s="297"/>
      <c r="T271" s="298"/>
    </row>
    <row r="272" customHeight="1" spans="5:20">
      <c r="E272" s="291"/>
      <c r="F272" s="291"/>
      <c r="G272" s="291"/>
      <c r="H272" s="291"/>
      <c r="I272" s="296"/>
      <c r="M272" s="296"/>
      <c r="N272" s="296"/>
      <c r="O272" s="297"/>
      <c r="P272" s="298"/>
      <c r="R272" s="296"/>
      <c r="S272" s="297"/>
      <c r="T272" s="298"/>
    </row>
    <row r="273" customHeight="1" spans="5:20">
      <c r="E273" s="291"/>
      <c r="F273" s="291"/>
      <c r="G273" s="291"/>
      <c r="H273" s="291"/>
      <c r="I273" s="296"/>
      <c r="M273" s="296"/>
      <c r="N273" s="296"/>
      <c r="O273" s="297"/>
      <c r="P273" s="298"/>
      <c r="R273" s="296"/>
      <c r="S273" s="297"/>
      <c r="T273" s="298"/>
    </row>
    <row r="274" customHeight="1" spans="5:20">
      <c r="E274" s="291"/>
      <c r="F274" s="291"/>
      <c r="G274" s="291"/>
      <c r="H274" s="291"/>
      <c r="I274" s="296"/>
      <c r="M274" s="296"/>
      <c r="N274" s="296"/>
      <c r="O274" s="297"/>
      <c r="P274" s="298"/>
      <c r="R274" s="296"/>
      <c r="S274" s="297"/>
      <c r="T274" s="298"/>
    </row>
    <row r="275" customHeight="1" spans="5:20">
      <c r="E275" s="291"/>
      <c r="F275" s="291"/>
      <c r="G275" s="291"/>
      <c r="H275" s="291"/>
      <c r="I275" s="296"/>
      <c r="M275" s="296"/>
      <c r="N275" s="296"/>
      <c r="O275" s="297"/>
      <c r="P275" s="298"/>
      <c r="R275" s="296"/>
      <c r="S275" s="297"/>
      <c r="T275" s="298"/>
    </row>
    <row r="276" customHeight="1" spans="5:20">
      <c r="E276" s="291"/>
      <c r="F276" s="291"/>
      <c r="G276" s="291"/>
      <c r="H276" s="291"/>
      <c r="I276" s="296"/>
      <c r="M276" s="296"/>
      <c r="N276" s="296"/>
      <c r="O276" s="297"/>
      <c r="P276" s="298"/>
      <c r="R276" s="296"/>
      <c r="S276" s="297"/>
      <c r="T276" s="298"/>
    </row>
    <row r="277" customHeight="1" spans="5:20">
      <c r="E277" s="291"/>
      <c r="F277" s="291"/>
      <c r="G277" s="291"/>
      <c r="H277" s="291"/>
      <c r="I277" s="296"/>
      <c r="M277" s="296"/>
      <c r="N277" s="296"/>
      <c r="O277" s="297"/>
      <c r="P277" s="298"/>
      <c r="R277" s="296"/>
      <c r="S277" s="297"/>
      <c r="T277" s="298"/>
    </row>
    <row r="278" customHeight="1" spans="5:20">
      <c r="E278" s="291"/>
      <c r="F278" s="291"/>
      <c r="G278" s="291"/>
      <c r="H278" s="291"/>
      <c r="I278" s="296"/>
      <c r="M278" s="296"/>
      <c r="N278" s="296"/>
      <c r="O278" s="297"/>
      <c r="P278" s="298"/>
      <c r="R278" s="296"/>
      <c r="S278" s="297"/>
      <c r="T278" s="298"/>
    </row>
    <row r="279" customHeight="1" spans="5:20">
      <c r="E279" s="291"/>
      <c r="F279" s="291"/>
      <c r="G279" s="291"/>
      <c r="H279" s="291"/>
      <c r="I279" s="296"/>
      <c r="M279" s="296"/>
      <c r="N279" s="296"/>
      <c r="O279" s="297"/>
      <c r="P279" s="298"/>
      <c r="R279" s="296"/>
      <c r="S279" s="297"/>
      <c r="T279" s="298"/>
    </row>
    <row r="280" customHeight="1" spans="5:20">
      <c r="E280" s="291"/>
      <c r="F280" s="291"/>
      <c r="G280" s="291"/>
      <c r="H280" s="291"/>
      <c r="I280" s="296"/>
      <c r="M280" s="296"/>
      <c r="N280" s="296"/>
      <c r="O280" s="297"/>
      <c r="P280" s="298"/>
      <c r="R280" s="296"/>
      <c r="S280" s="297"/>
      <c r="T280" s="298"/>
    </row>
    <row r="281" customHeight="1" spans="5:20">
      <c r="E281" s="291"/>
      <c r="F281" s="291"/>
      <c r="G281" s="291"/>
      <c r="H281" s="291"/>
      <c r="I281" s="296"/>
      <c r="M281" s="296"/>
      <c r="N281" s="296"/>
      <c r="O281" s="297"/>
      <c r="P281" s="298"/>
      <c r="R281" s="296"/>
      <c r="S281" s="297"/>
      <c r="T281" s="298"/>
    </row>
    <row r="282" customHeight="1" spans="5:20">
      <c r="E282" s="291"/>
      <c r="F282" s="291"/>
      <c r="G282" s="291"/>
      <c r="H282" s="291"/>
      <c r="I282" s="296"/>
      <c r="M282" s="296"/>
      <c r="N282" s="296"/>
      <c r="O282" s="297"/>
      <c r="P282" s="298"/>
      <c r="R282" s="296"/>
      <c r="S282" s="297"/>
      <c r="T282" s="298"/>
    </row>
    <row r="283" customHeight="1" spans="5:20">
      <c r="E283" s="291"/>
      <c r="F283" s="291"/>
      <c r="G283" s="291"/>
      <c r="H283" s="291"/>
      <c r="I283" s="296"/>
      <c r="M283" s="296"/>
      <c r="N283" s="296"/>
      <c r="O283" s="297"/>
      <c r="P283" s="298"/>
      <c r="R283" s="296"/>
      <c r="S283" s="297"/>
      <c r="T283" s="298"/>
    </row>
    <row r="284" customHeight="1" spans="5:20">
      <c r="E284" s="291"/>
      <c r="F284" s="291"/>
      <c r="G284" s="291"/>
      <c r="H284" s="291"/>
      <c r="I284" s="296"/>
      <c r="M284" s="296"/>
      <c r="N284" s="296"/>
      <c r="O284" s="297"/>
      <c r="P284" s="298"/>
      <c r="R284" s="296"/>
      <c r="S284" s="297"/>
      <c r="T284" s="298"/>
    </row>
    <row r="285" customHeight="1" spans="5:20">
      <c r="E285" s="291"/>
      <c r="F285" s="291"/>
      <c r="G285" s="291"/>
      <c r="H285" s="291"/>
      <c r="I285" s="296"/>
      <c r="M285" s="296"/>
      <c r="N285" s="296"/>
      <c r="O285" s="297"/>
      <c r="P285" s="298"/>
      <c r="R285" s="296"/>
      <c r="S285" s="297"/>
      <c r="T285" s="298"/>
    </row>
    <row r="286" customHeight="1" spans="5:20">
      <c r="E286" s="291"/>
      <c r="F286" s="291"/>
      <c r="G286" s="291"/>
      <c r="H286" s="291"/>
      <c r="I286" s="296"/>
      <c r="M286" s="296"/>
      <c r="N286" s="296"/>
      <c r="O286" s="297"/>
      <c r="P286" s="298"/>
      <c r="R286" s="296"/>
      <c r="S286" s="297"/>
      <c r="T286" s="298"/>
    </row>
    <row r="287" customHeight="1" spans="5:20">
      <c r="E287" s="291"/>
      <c r="F287" s="291"/>
      <c r="G287" s="291"/>
      <c r="H287" s="291"/>
      <c r="I287" s="296"/>
      <c r="M287" s="296"/>
      <c r="N287" s="296"/>
      <c r="O287" s="297"/>
      <c r="P287" s="298"/>
      <c r="R287" s="296"/>
      <c r="S287" s="297"/>
      <c r="T287" s="298"/>
    </row>
    <row r="288" customHeight="1" spans="5:20">
      <c r="E288" s="291"/>
      <c r="F288" s="291"/>
      <c r="G288" s="291"/>
      <c r="H288" s="291"/>
      <c r="I288" s="296"/>
      <c r="M288" s="296"/>
      <c r="N288" s="296"/>
      <c r="O288" s="297"/>
      <c r="P288" s="298"/>
      <c r="R288" s="296"/>
      <c r="S288" s="297"/>
      <c r="T288" s="298"/>
    </row>
    <row r="289" customHeight="1" spans="5:20">
      <c r="E289" s="291"/>
      <c r="F289" s="291"/>
      <c r="G289" s="291"/>
      <c r="H289" s="291"/>
      <c r="I289" s="296"/>
      <c r="M289" s="296"/>
      <c r="N289" s="296"/>
      <c r="O289" s="297"/>
      <c r="P289" s="298"/>
      <c r="R289" s="296"/>
      <c r="S289" s="297"/>
      <c r="T289" s="298"/>
    </row>
    <row r="290" customHeight="1" spans="5:20">
      <c r="E290" s="291"/>
      <c r="F290" s="291"/>
      <c r="G290" s="291"/>
      <c r="H290" s="291"/>
      <c r="I290" s="296"/>
      <c r="M290" s="296"/>
      <c r="N290" s="296"/>
      <c r="O290" s="297"/>
      <c r="P290" s="298"/>
      <c r="R290" s="296"/>
      <c r="S290" s="297"/>
      <c r="T290" s="298"/>
    </row>
    <row r="291" customHeight="1" spans="5:20">
      <c r="E291" s="291"/>
      <c r="F291" s="291"/>
      <c r="G291" s="291"/>
      <c r="H291" s="291"/>
      <c r="I291" s="296"/>
      <c r="M291" s="296"/>
      <c r="N291" s="296"/>
      <c r="O291" s="297"/>
      <c r="P291" s="298"/>
      <c r="R291" s="296"/>
      <c r="S291" s="297"/>
      <c r="T291" s="298"/>
    </row>
    <row r="292" customHeight="1" spans="5:20">
      <c r="E292" s="291"/>
      <c r="F292" s="291"/>
      <c r="G292" s="291"/>
      <c r="H292" s="291"/>
      <c r="I292" s="296"/>
      <c r="M292" s="296"/>
      <c r="N292" s="296"/>
      <c r="O292" s="297"/>
      <c r="P292" s="298"/>
      <c r="R292" s="296"/>
      <c r="S292" s="297"/>
      <c r="T292" s="298"/>
    </row>
    <row r="293" customHeight="1" spans="5:20">
      <c r="E293" s="291"/>
      <c r="F293" s="291"/>
      <c r="G293" s="291"/>
      <c r="H293" s="291"/>
      <c r="I293" s="296"/>
      <c r="M293" s="296"/>
      <c r="N293" s="296"/>
      <c r="O293" s="297"/>
      <c r="P293" s="298"/>
      <c r="R293" s="296"/>
      <c r="S293" s="297"/>
      <c r="T293" s="298"/>
    </row>
    <row r="294" customHeight="1" spans="5:20">
      <c r="E294" s="291"/>
      <c r="F294" s="291"/>
      <c r="G294" s="291"/>
      <c r="H294" s="291"/>
      <c r="I294" s="296"/>
      <c r="M294" s="296"/>
      <c r="N294" s="296"/>
      <c r="O294" s="297"/>
      <c r="P294" s="298"/>
      <c r="R294" s="296"/>
      <c r="S294" s="297"/>
      <c r="T294" s="298"/>
    </row>
    <row r="295" customHeight="1" spans="5:20">
      <c r="E295" s="291"/>
      <c r="F295" s="291"/>
      <c r="G295" s="291"/>
      <c r="H295" s="291"/>
      <c r="I295" s="296"/>
      <c r="M295" s="296"/>
      <c r="N295" s="296"/>
      <c r="O295" s="297"/>
      <c r="P295" s="298"/>
      <c r="R295" s="296"/>
      <c r="S295" s="297"/>
      <c r="T295" s="298"/>
    </row>
    <row r="296" customHeight="1" spans="5:20">
      <c r="E296" s="291"/>
      <c r="F296" s="291"/>
      <c r="G296" s="291"/>
      <c r="H296" s="291"/>
      <c r="I296" s="296"/>
      <c r="M296" s="296"/>
      <c r="N296" s="296"/>
      <c r="O296" s="297"/>
      <c r="P296" s="298"/>
      <c r="R296" s="296"/>
      <c r="S296" s="297"/>
      <c r="T296" s="298"/>
    </row>
    <row r="297" customHeight="1" spans="5:20">
      <c r="E297" s="291"/>
      <c r="F297" s="291"/>
      <c r="G297" s="291"/>
      <c r="H297" s="291"/>
      <c r="I297" s="296"/>
      <c r="M297" s="296"/>
      <c r="N297" s="296"/>
      <c r="O297" s="297"/>
      <c r="P297" s="298"/>
      <c r="R297" s="296"/>
      <c r="S297" s="297"/>
      <c r="T297" s="298"/>
    </row>
    <row r="298" customHeight="1" spans="5:20">
      <c r="E298" s="291"/>
      <c r="F298" s="291"/>
      <c r="G298" s="291"/>
      <c r="H298" s="291"/>
      <c r="I298" s="296"/>
      <c r="M298" s="296"/>
      <c r="N298" s="296"/>
      <c r="O298" s="297"/>
      <c r="P298" s="298"/>
      <c r="R298" s="296"/>
      <c r="S298" s="297"/>
      <c r="T298" s="298"/>
    </row>
    <row r="299" customHeight="1" spans="5:20">
      <c r="E299" s="291"/>
      <c r="F299" s="291"/>
      <c r="G299" s="291"/>
      <c r="H299" s="291"/>
      <c r="I299" s="296"/>
      <c r="M299" s="296"/>
      <c r="N299" s="296"/>
      <c r="O299" s="297"/>
      <c r="P299" s="298"/>
      <c r="R299" s="296"/>
      <c r="S299" s="297"/>
      <c r="T299" s="298"/>
    </row>
    <row r="300" customHeight="1" spans="5:20">
      <c r="E300" s="291"/>
      <c r="F300" s="291"/>
      <c r="G300" s="291"/>
      <c r="H300" s="291"/>
      <c r="I300" s="296"/>
      <c r="M300" s="296"/>
      <c r="N300" s="296"/>
      <c r="O300" s="297"/>
      <c r="P300" s="298"/>
      <c r="R300" s="296"/>
      <c r="S300" s="297"/>
      <c r="T300" s="298"/>
    </row>
    <row r="301" customHeight="1" spans="5:20">
      <c r="E301" s="291"/>
      <c r="F301" s="291"/>
      <c r="G301" s="291"/>
      <c r="H301" s="291"/>
      <c r="I301" s="296"/>
      <c r="M301" s="296"/>
      <c r="N301" s="296"/>
      <c r="O301" s="297"/>
      <c r="P301" s="298"/>
      <c r="R301" s="296"/>
      <c r="S301" s="297"/>
      <c r="T301" s="298"/>
    </row>
    <row r="302" customHeight="1" spans="5:20">
      <c r="E302" s="291"/>
      <c r="F302" s="291"/>
      <c r="G302" s="291"/>
      <c r="H302" s="291"/>
      <c r="I302" s="296"/>
      <c r="M302" s="296"/>
      <c r="N302" s="296"/>
      <c r="O302" s="297"/>
      <c r="P302" s="298"/>
      <c r="R302" s="296"/>
      <c r="S302" s="297"/>
      <c r="T302" s="298"/>
    </row>
    <row r="303" customHeight="1" spans="5:20">
      <c r="E303" s="291"/>
      <c r="F303" s="291"/>
      <c r="G303" s="291"/>
      <c r="H303" s="291"/>
      <c r="I303" s="296"/>
      <c r="M303" s="296"/>
      <c r="N303" s="296"/>
      <c r="O303" s="297"/>
      <c r="P303" s="298"/>
      <c r="R303" s="296"/>
      <c r="S303" s="297"/>
      <c r="T303" s="298"/>
    </row>
    <row r="304" customHeight="1" spans="5:20">
      <c r="E304" s="291"/>
      <c r="F304" s="291"/>
      <c r="G304" s="291"/>
      <c r="H304" s="291"/>
      <c r="I304" s="296"/>
      <c r="M304" s="296"/>
      <c r="N304" s="296"/>
      <c r="O304" s="297"/>
      <c r="P304" s="298"/>
      <c r="R304" s="296"/>
      <c r="S304" s="297"/>
      <c r="T304" s="298"/>
    </row>
    <row r="305" customHeight="1" spans="5:20">
      <c r="E305" s="291"/>
      <c r="F305" s="291"/>
      <c r="G305" s="291"/>
      <c r="H305" s="291"/>
      <c r="I305" s="296"/>
      <c r="M305" s="296"/>
      <c r="N305" s="296"/>
      <c r="O305" s="297"/>
      <c r="P305" s="298"/>
      <c r="R305" s="296"/>
      <c r="S305" s="297"/>
      <c r="T305" s="298"/>
    </row>
    <row r="306" customHeight="1" spans="5:20">
      <c r="E306" s="291"/>
      <c r="F306" s="291"/>
      <c r="G306" s="291"/>
      <c r="H306" s="291"/>
      <c r="I306" s="296"/>
      <c r="M306" s="296"/>
      <c r="N306" s="296"/>
      <c r="O306" s="297"/>
      <c r="P306" s="298"/>
      <c r="R306" s="296"/>
      <c r="S306" s="297"/>
      <c r="T306" s="298"/>
    </row>
    <row r="307" customHeight="1" spans="5:20">
      <c r="E307" s="291"/>
      <c r="F307" s="291"/>
      <c r="G307" s="291"/>
      <c r="H307" s="291"/>
      <c r="I307" s="296"/>
      <c r="M307" s="296"/>
      <c r="N307" s="296"/>
      <c r="O307" s="297"/>
      <c r="P307" s="298"/>
      <c r="R307" s="296"/>
      <c r="S307" s="297"/>
      <c r="T307" s="298"/>
    </row>
    <row r="308" customHeight="1" spans="5:20">
      <c r="E308" s="291"/>
      <c r="F308" s="291"/>
      <c r="G308" s="291"/>
      <c r="H308" s="291"/>
      <c r="I308" s="296"/>
      <c r="M308" s="296"/>
      <c r="N308" s="296"/>
      <c r="O308" s="297"/>
      <c r="P308" s="298"/>
      <c r="R308" s="296"/>
      <c r="S308" s="297"/>
      <c r="T308" s="298"/>
    </row>
    <row r="309" customHeight="1" spans="5:20">
      <c r="E309" s="291"/>
      <c r="F309" s="291"/>
      <c r="G309" s="291"/>
      <c r="H309" s="291"/>
      <c r="I309" s="296"/>
      <c r="M309" s="296"/>
      <c r="N309" s="296"/>
      <c r="O309" s="297"/>
      <c r="P309" s="298"/>
      <c r="R309" s="296"/>
      <c r="S309" s="297"/>
      <c r="T309" s="298"/>
    </row>
    <row r="310" customHeight="1" spans="5:20">
      <c r="E310" s="291"/>
      <c r="F310" s="291"/>
      <c r="G310" s="291"/>
      <c r="H310" s="291"/>
      <c r="I310" s="296"/>
      <c r="M310" s="296"/>
      <c r="N310" s="296"/>
      <c r="O310" s="297"/>
      <c r="P310" s="298"/>
      <c r="R310" s="296"/>
      <c r="S310" s="297"/>
      <c r="T310" s="298"/>
    </row>
    <row r="311" customHeight="1" spans="5:20">
      <c r="E311" s="291"/>
      <c r="F311" s="291"/>
      <c r="G311" s="291"/>
      <c r="H311" s="291"/>
      <c r="I311" s="296"/>
      <c r="M311" s="296"/>
      <c r="N311" s="296"/>
      <c r="O311" s="297"/>
      <c r="P311" s="298"/>
      <c r="R311" s="296"/>
      <c r="S311" s="297"/>
      <c r="T311" s="298"/>
    </row>
    <row r="312" customHeight="1" spans="5:20">
      <c r="E312" s="291"/>
      <c r="F312" s="291"/>
      <c r="G312" s="291"/>
      <c r="H312" s="291"/>
      <c r="I312" s="296"/>
      <c r="M312" s="296"/>
      <c r="N312" s="296"/>
      <c r="O312" s="297"/>
      <c r="P312" s="298"/>
      <c r="R312" s="296"/>
      <c r="S312" s="297"/>
      <c r="T312" s="298"/>
    </row>
    <row r="313" customHeight="1" spans="5:20">
      <c r="E313" s="291"/>
      <c r="F313" s="291"/>
      <c r="G313" s="291"/>
      <c r="H313" s="291"/>
      <c r="I313" s="296"/>
      <c r="M313" s="296"/>
      <c r="N313" s="296"/>
      <c r="O313" s="297"/>
      <c r="P313" s="298"/>
      <c r="R313" s="296"/>
      <c r="S313" s="297"/>
      <c r="T313" s="298"/>
    </row>
    <row r="314" customHeight="1" spans="5:20">
      <c r="E314" s="291"/>
      <c r="F314" s="291"/>
      <c r="G314" s="291"/>
      <c r="H314" s="291"/>
      <c r="I314" s="296"/>
      <c r="M314" s="296"/>
      <c r="N314" s="296"/>
      <c r="O314" s="297"/>
      <c r="P314" s="298"/>
      <c r="R314" s="296"/>
      <c r="S314" s="297"/>
      <c r="T314" s="298"/>
    </row>
    <row r="315" customHeight="1" spans="5:20">
      <c r="E315" s="291"/>
      <c r="F315" s="291"/>
      <c r="G315" s="291"/>
      <c r="H315" s="291"/>
      <c r="I315" s="296"/>
      <c r="M315" s="296"/>
      <c r="N315" s="296"/>
      <c r="O315" s="297"/>
      <c r="P315" s="298"/>
      <c r="R315" s="296"/>
      <c r="S315" s="297"/>
      <c r="T315" s="298"/>
    </row>
    <row r="316" customHeight="1" spans="5:20">
      <c r="E316" s="291"/>
      <c r="F316" s="291"/>
      <c r="G316" s="291"/>
      <c r="H316" s="291"/>
      <c r="I316" s="296"/>
      <c r="M316" s="296"/>
      <c r="N316" s="296"/>
      <c r="O316" s="297"/>
      <c r="P316" s="298"/>
      <c r="R316" s="296"/>
      <c r="S316" s="297"/>
      <c r="T316" s="298"/>
    </row>
    <row r="317" customHeight="1" spans="5:20">
      <c r="E317" s="291"/>
      <c r="F317" s="291"/>
      <c r="G317" s="291"/>
      <c r="H317" s="291"/>
      <c r="I317" s="296"/>
      <c r="M317" s="296"/>
      <c r="N317" s="296"/>
      <c r="O317" s="297"/>
      <c r="P317" s="298"/>
      <c r="R317" s="296"/>
      <c r="S317" s="297"/>
      <c r="T317" s="298"/>
    </row>
    <row r="318" customHeight="1" spans="5:20">
      <c r="E318" s="291"/>
      <c r="F318" s="291"/>
      <c r="G318" s="291"/>
      <c r="H318" s="291"/>
      <c r="I318" s="296"/>
      <c r="M318" s="296"/>
      <c r="N318" s="296"/>
      <c r="O318" s="297"/>
      <c r="P318" s="298"/>
      <c r="R318" s="296"/>
      <c r="S318" s="297"/>
      <c r="T318" s="298"/>
    </row>
    <row r="319" customHeight="1" spans="5:20">
      <c r="E319" s="291"/>
      <c r="F319" s="291"/>
      <c r="G319" s="291"/>
      <c r="H319" s="291"/>
      <c r="I319" s="296"/>
      <c r="M319" s="296"/>
      <c r="N319" s="296"/>
      <c r="O319" s="297"/>
      <c r="P319" s="298"/>
      <c r="R319" s="296"/>
      <c r="S319" s="297"/>
      <c r="T319" s="298"/>
    </row>
    <row r="320" customHeight="1" spans="5:20">
      <c r="E320" s="291"/>
      <c r="F320" s="291"/>
      <c r="G320" s="291"/>
      <c r="H320" s="291"/>
      <c r="I320" s="296"/>
      <c r="M320" s="296"/>
      <c r="N320" s="296"/>
      <c r="O320" s="297"/>
      <c r="P320" s="298"/>
      <c r="R320" s="296"/>
      <c r="S320" s="297"/>
      <c r="T320" s="298"/>
    </row>
    <row r="321" customHeight="1" spans="5:20">
      <c r="E321" s="291"/>
      <c r="F321" s="291"/>
      <c r="G321" s="291"/>
      <c r="H321" s="291"/>
      <c r="I321" s="296"/>
      <c r="M321" s="296"/>
      <c r="N321" s="296"/>
      <c r="O321" s="297"/>
      <c r="P321" s="298"/>
      <c r="R321" s="296"/>
      <c r="S321" s="297"/>
      <c r="T321" s="298"/>
    </row>
    <row r="322" customHeight="1" spans="5:20">
      <c r="E322" s="291"/>
      <c r="F322" s="291"/>
      <c r="G322" s="291"/>
      <c r="H322" s="291"/>
      <c r="I322" s="296"/>
      <c r="M322" s="296"/>
      <c r="N322" s="296"/>
      <c r="O322" s="297"/>
      <c r="P322" s="298"/>
      <c r="R322" s="296"/>
      <c r="S322" s="297"/>
      <c r="T322" s="298"/>
    </row>
    <row r="323" customHeight="1" spans="5:20">
      <c r="E323" s="291"/>
      <c r="F323" s="291"/>
      <c r="G323" s="291"/>
      <c r="H323" s="291"/>
      <c r="I323" s="296"/>
      <c r="M323" s="296"/>
      <c r="N323" s="296"/>
      <c r="O323" s="297"/>
      <c r="P323" s="298"/>
      <c r="R323" s="296"/>
      <c r="S323" s="297"/>
      <c r="T323" s="298"/>
    </row>
    <row r="324" customHeight="1" spans="5:20">
      <c r="E324" s="291"/>
      <c r="F324" s="291"/>
      <c r="G324" s="291"/>
      <c r="H324" s="291"/>
      <c r="I324" s="296"/>
      <c r="M324" s="296"/>
      <c r="N324" s="296"/>
      <c r="O324" s="297"/>
      <c r="P324" s="298"/>
      <c r="R324" s="296"/>
      <c r="S324" s="297"/>
      <c r="T324" s="298"/>
    </row>
    <row r="325" customHeight="1" spans="5:20">
      <c r="E325" s="291"/>
      <c r="F325" s="291"/>
      <c r="G325" s="291"/>
      <c r="H325" s="291"/>
      <c r="I325" s="296"/>
      <c r="M325" s="296"/>
      <c r="N325" s="296"/>
      <c r="O325" s="297"/>
      <c r="P325" s="298"/>
      <c r="R325" s="296"/>
      <c r="S325" s="297"/>
      <c r="T325" s="298"/>
    </row>
    <row r="326" customHeight="1" spans="5:20">
      <c r="E326" s="291"/>
      <c r="F326" s="291"/>
      <c r="G326" s="291"/>
      <c r="H326" s="291"/>
      <c r="I326" s="296"/>
      <c r="M326" s="296"/>
      <c r="N326" s="296"/>
      <c r="O326" s="297"/>
      <c r="P326" s="298"/>
      <c r="R326" s="296"/>
      <c r="S326" s="297"/>
      <c r="T326" s="298"/>
    </row>
    <row r="327" customHeight="1" spans="5:20">
      <c r="E327" s="291"/>
      <c r="F327" s="291"/>
      <c r="G327" s="291"/>
      <c r="H327" s="291"/>
      <c r="I327" s="296"/>
      <c r="M327" s="296"/>
      <c r="N327" s="296"/>
      <c r="O327" s="297"/>
      <c r="P327" s="298"/>
      <c r="R327" s="296"/>
      <c r="S327" s="297"/>
      <c r="T327" s="298"/>
    </row>
    <row r="328" customHeight="1" spans="5:20">
      <c r="E328" s="291"/>
      <c r="F328" s="291"/>
      <c r="G328" s="291"/>
      <c r="H328" s="291"/>
      <c r="I328" s="296"/>
      <c r="M328" s="296"/>
      <c r="N328" s="296"/>
      <c r="O328" s="297"/>
      <c r="P328" s="298"/>
      <c r="R328" s="296"/>
      <c r="S328" s="297"/>
      <c r="T328" s="298"/>
    </row>
    <row r="329" customHeight="1" spans="5:20">
      <c r="E329" s="291"/>
      <c r="F329" s="291"/>
      <c r="G329" s="291"/>
      <c r="H329" s="291"/>
      <c r="I329" s="296"/>
      <c r="M329" s="296"/>
      <c r="N329" s="296"/>
      <c r="O329" s="297"/>
      <c r="P329" s="298"/>
      <c r="R329" s="296"/>
      <c r="S329" s="297"/>
      <c r="T329" s="298"/>
    </row>
    <row r="330" customHeight="1" spans="5:20">
      <c r="E330" s="291"/>
      <c r="F330" s="291"/>
      <c r="G330" s="291"/>
      <c r="H330" s="291"/>
      <c r="I330" s="296"/>
      <c r="M330" s="296"/>
      <c r="N330" s="296"/>
      <c r="O330" s="297"/>
      <c r="P330" s="298"/>
      <c r="R330" s="296"/>
      <c r="S330" s="297"/>
      <c r="T330" s="298"/>
    </row>
    <row r="331" customHeight="1" spans="5:20">
      <c r="E331" s="291"/>
      <c r="F331" s="291"/>
      <c r="G331" s="291"/>
      <c r="H331" s="291"/>
      <c r="I331" s="296"/>
      <c r="M331" s="296"/>
      <c r="N331" s="296"/>
      <c r="O331" s="297"/>
      <c r="P331" s="298"/>
      <c r="R331" s="296"/>
      <c r="S331" s="297"/>
      <c r="T331" s="298"/>
    </row>
    <row r="332" customHeight="1" spans="5:20">
      <c r="E332" s="291"/>
      <c r="F332" s="291"/>
      <c r="G332" s="291"/>
      <c r="H332" s="291"/>
      <c r="I332" s="296"/>
      <c r="M332" s="296"/>
      <c r="N332" s="296"/>
      <c r="O332" s="297"/>
      <c r="P332" s="298"/>
      <c r="R332" s="296"/>
      <c r="S332" s="297"/>
      <c r="T332" s="298"/>
    </row>
    <row r="333" customHeight="1" spans="5:20">
      <c r="E333" s="291"/>
      <c r="F333" s="291"/>
      <c r="G333" s="291"/>
      <c r="H333" s="291"/>
      <c r="I333" s="296"/>
      <c r="M333" s="296"/>
      <c r="N333" s="296"/>
      <c r="O333" s="297"/>
      <c r="P333" s="298"/>
      <c r="R333" s="296"/>
      <c r="S333" s="297"/>
      <c r="T333" s="298"/>
    </row>
    <row r="334" customHeight="1" spans="5:20">
      <c r="E334" s="291"/>
      <c r="F334" s="291"/>
      <c r="G334" s="291"/>
      <c r="H334" s="291"/>
      <c r="I334" s="296"/>
      <c r="M334" s="296"/>
      <c r="N334" s="296"/>
      <c r="O334" s="297"/>
      <c r="P334" s="298"/>
      <c r="R334" s="296"/>
      <c r="S334" s="297"/>
      <c r="T334" s="298"/>
    </row>
    <row r="335" customHeight="1" spans="5:20">
      <c r="E335" s="291"/>
      <c r="F335" s="291"/>
      <c r="G335" s="291"/>
      <c r="H335" s="291"/>
      <c r="I335" s="296"/>
      <c r="M335" s="296"/>
      <c r="N335" s="296"/>
      <c r="O335" s="297"/>
      <c r="P335" s="298"/>
      <c r="R335" s="296"/>
      <c r="S335" s="297"/>
      <c r="T335" s="298"/>
    </row>
    <row r="336" customHeight="1" spans="5:20">
      <c r="E336" s="291"/>
      <c r="F336" s="291"/>
      <c r="G336" s="291"/>
      <c r="H336" s="291"/>
      <c r="I336" s="296"/>
      <c r="M336" s="296"/>
      <c r="N336" s="296"/>
      <c r="O336" s="297"/>
      <c r="P336" s="298"/>
      <c r="R336" s="296"/>
      <c r="S336" s="297"/>
      <c r="T336" s="298"/>
    </row>
    <row r="337" customHeight="1" spans="5:20">
      <c r="E337" s="291"/>
      <c r="F337" s="291"/>
      <c r="G337" s="291"/>
      <c r="H337" s="291"/>
      <c r="I337" s="296"/>
      <c r="M337" s="296"/>
      <c r="N337" s="296"/>
      <c r="O337" s="297"/>
      <c r="P337" s="298"/>
      <c r="R337" s="296"/>
      <c r="S337" s="297"/>
      <c r="T337" s="298"/>
    </row>
    <row r="338" customHeight="1" spans="5:20">
      <c r="E338" s="291"/>
      <c r="F338" s="291"/>
      <c r="G338" s="291"/>
      <c r="H338" s="291"/>
      <c r="I338" s="296"/>
      <c r="M338" s="296"/>
      <c r="N338" s="296"/>
      <c r="O338" s="297"/>
      <c r="P338" s="298"/>
      <c r="R338" s="296"/>
      <c r="S338" s="297"/>
      <c r="T338" s="298"/>
    </row>
    <row r="339" customHeight="1" spans="5:20">
      <c r="E339" s="291"/>
      <c r="F339" s="291"/>
      <c r="G339" s="291"/>
      <c r="H339" s="291"/>
      <c r="I339" s="296"/>
      <c r="M339" s="296"/>
      <c r="N339" s="296"/>
      <c r="O339" s="297"/>
      <c r="P339" s="298"/>
      <c r="R339" s="296"/>
      <c r="S339" s="297"/>
      <c r="T339" s="298"/>
    </row>
    <row r="340" customHeight="1" spans="5:20">
      <c r="E340" s="291"/>
      <c r="F340" s="291"/>
      <c r="G340" s="291"/>
      <c r="H340" s="291"/>
      <c r="I340" s="296"/>
      <c r="M340" s="296"/>
      <c r="N340" s="296"/>
      <c r="O340" s="297"/>
      <c r="P340" s="298"/>
      <c r="R340" s="296"/>
      <c r="S340" s="297"/>
      <c r="T340" s="298"/>
    </row>
    <row r="341" customHeight="1" spans="5:20">
      <c r="E341" s="291"/>
      <c r="F341" s="291"/>
      <c r="G341" s="291"/>
      <c r="H341" s="291"/>
      <c r="I341" s="296"/>
      <c r="M341" s="296"/>
      <c r="N341" s="296"/>
      <c r="O341" s="297"/>
      <c r="P341" s="298"/>
      <c r="R341" s="296"/>
      <c r="S341" s="297"/>
      <c r="T341" s="298"/>
    </row>
    <row r="342" customHeight="1" spans="5:20">
      <c r="E342" s="291"/>
      <c r="F342" s="291"/>
      <c r="G342" s="291"/>
      <c r="H342" s="291"/>
      <c r="I342" s="296"/>
      <c r="M342" s="296"/>
      <c r="N342" s="296"/>
      <c r="O342" s="297"/>
      <c r="P342" s="298"/>
      <c r="R342" s="296"/>
      <c r="S342" s="297"/>
      <c r="T342" s="298"/>
    </row>
    <row r="343" customHeight="1" spans="5:20">
      <c r="E343" s="291"/>
      <c r="F343" s="291"/>
      <c r="G343" s="291"/>
      <c r="H343" s="291"/>
      <c r="I343" s="296"/>
      <c r="M343" s="296"/>
      <c r="N343" s="296"/>
      <c r="O343" s="297"/>
      <c r="P343" s="298"/>
      <c r="R343" s="296"/>
      <c r="S343" s="297"/>
      <c r="T343" s="298"/>
    </row>
    <row r="344" customHeight="1" spans="5:20">
      <c r="E344" s="291"/>
      <c r="F344" s="291"/>
      <c r="G344" s="291"/>
      <c r="H344" s="291"/>
      <c r="I344" s="296"/>
      <c r="M344" s="296"/>
      <c r="N344" s="296"/>
      <c r="O344" s="297"/>
      <c r="P344" s="298"/>
      <c r="R344" s="296"/>
      <c r="S344" s="297"/>
      <c r="T344" s="298"/>
    </row>
    <row r="345" customHeight="1" spans="5:20">
      <c r="E345" s="291"/>
      <c r="F345" s="291"/>
      <c r="G345" s="291"/>
      <c r="H345" s="291"/>
      <c r="I345" s="296"/>
      <c r="M345" s="296"/>
      <c r="N345" s="296"/>
      <c r="O345" s="297"/>
      <c r="P345" s="298"/>
      <c r="R345" s="296"/>
      <c r="S345" s="297"/>
      <c r="T345" s="298"/>
    </row>
    <row r="346" customHeight="1" spans="5:20">
      <c r="E346" s="291"/>
      <c r="F346" s="291"/>
      <c r="G346" s="291"/>
      <c r="H346" s="291"/>
      <c r="I346" s="296"/>
      <c r="M346" s="296"/>
      <c r="N346" s="296"/>
      <c r="O346" s="297"/>
      <c r="P346" s="298"/>
      <c r="R346" s="296"/>
      <c r="S346" s="297"/>
      <c r="T346" s="298"/>
    </row>
    <row r="347" customHeight="1" spans="5:20">
      <c r="E347" s="291"/>
      <c r="F347" s="291"/>
      <c r="G347" s="291"/>
      <c r="H347" s="291"/>
      <c r="I347" s="296"/>
      <c r="M347" s="296"/>
      <c r="N347" s="296"/>
      <c r="O347" s="297"/>
      <c r="P347" s="298"/>
      <c r="R347" s="296"/>
      <c r="S347" s="297"/>
      <c r="T347" s="298"/>
    </row>
    <row r="348" customHeight="1" spans="5:20">
      <c r="E348" s="291"/>
      <c r="F348" s="291"/>
      <c r="G348" s="291"/>
      <c r="H348" s="291"/>
      <c r="I348" s="296"/>
      <c r="M348" s="296"/>
      <c r="N348" s="296"/>
      <c r="O348" s="297"/>
      <c r="P348" s="298"/>
      <c r="R348" s="296"/>
      <c r="S348" s="297"/>
      <c r="T348" s="298"/>
    </row>
    <row r="349" customHeight="1" spans="5:20">
      <c r="E349" s="291"/>
      <c r="F349" s="291"/>
      <c r="G349" s="291"/>
      <c r="H349" s="291"/>
      <c r="I349" s="296"/>
      <c r="M349" s="296"/>
      <c r="N349" s="296"/>
      <c r="O349" s="297"/>
      <c r="P349" s="298"/>
      <c r="R349" s="296"/>
      <c r="S349" s="297"/>
      <c r="T349" s="298"/>
    </row>
    <row r="350" customHeight="1" spans="5:20">
      <c r="E350" s="291"/>
      <c r="F350" s="291"/>
      <c r="G350" s="291"/>
      <c r="H350" s="291"/>
      <c r="I350" s="296"/>
      <c r="M350" s="296"/>
      <c r="N350" s="296"/>
      <c r="O350" s="297"/>
      <c r="P350" s="298"/>
      <c r="R350" s="296"/>
      <c r="S350" s="297"/>
      <c r="T350" s="298"/>
    </row>
    <row r="351" customHeight="1" spans="5:20">
      <c r="E351" s="291"/>
      <c r="F351" s="291"/>
      <c r="G351" s="291"/>
      <c r="H351" s="291"/>
      <c r="I351" s="296"/>
      <c r="M351" s="296"/>
      <c r="N351" s="296"/>
      <c r="O351" s="297"/>
      <c r="P351" s="298"/>
      <c r="R351" s="296"/>
      <c r="S351" s="297"/>
      <c r="T351" s="298"/>
    </row>
    <row r="352" customHeight="1" spans="5:20">
      <c r="E352" s="291"/>
      <c r="F352" s="291"/>
      <c r="G352" s="291"/>
      <c r="H352" s="291"/>
      <c r="I352" s="296"/>
      <c r="M352" s="296"/>
      <c r="N352" s="296"/>
      <c r="O352" s="297"/>
      <c r="P352" s="298"/>
      <c r="R352" s="296"/>
      <c r="S352" s="297"/>
      <c r="T352" s="298"/>
    </row>
    <row r="353" customHeight="1" spans="5:20">
      <c r="E353" s="291"/>
      <c r="F353" s="291"/>
      <c r="G353" s="291"/>
      <c r="H353" s="291"/>
      <c r="I353" s="296"/>
      <c r="M353" s="296"/>
      <c r="N353" s="296"/>
      <c r="O353" s="297"/>
      <c r="P353" s="298"/>
      <c r="R353" s="296"/>
      <c r="S353" s="297"/>
      <c r="T353" s="298"/>
    </row>
    <row r="354" customHeight="1" spans="5:20">
      <c r="E354" s="291"/>
      <c r="F354" s="291"/>
      <c r="G354" s="291"/>
      <c r="H354" s="291"/>
      <c r="I354" s="296"/>
      <c r="M354" s="296"/>
      <c r="N354" s="296"/>
      <c r="O354" s="297"/>
      <c r="P354" s="298"/>
      <c r="R354" s="296"/>
      <c r="S354" s="297"/>
      <c r="T354" s="298"/>
    </row>
    <row r="355" customHeight="1" spans="5:20">
      <c r="E355" s="291"/>
      <c r="F355" s="291"/>
      <c r="G355" s="291"/>
      <c r="H355" s="291"/>
      <c r="I355" s="296"/>
      <c r="M355" s="296"/>
      <c r="N355" s="296"/>
      <c r="O355" s="297"/>
      <c r="P355" s="298"/>
      <c r="R355" s="296"/>
      <c r="S355" s="297"/>
      <c r="T355" s="298"/>
    </row>
    <row r="356" customHeight="1" spans="5:20">
      <c r="E356" s="291"/>
      <c r="F356" s="291"/>
      <c r="G356" s="291"/>
      <c r="H356" s="291"/>
      <c r="I356" s="296"/>
      <c r="M356" s="296"/>
      <c r="N356" s="296"/>
      <c r="O356" s="297"/>
      <c r="P356" s="298"/>
      <c r="R356" s="296"/>
      <c r="S356" s="297"/>
      <c r="T356" s="298"/>
    </row>
    <row r="357" customHeight="1" spans="5:20">
      <c r="E357" s="291"/>
      <c r="F357" s="291"/>
      <c r="G357" s="291"/>
      <c r="H357" s="291"/>
      <c r="I357" s="296"/>
      <c r="M357" s="296"/>
      <c r="N357" s="296"/>
      <c r="O357" s="297"/>
      <c r="P357" s="298"/>
      <c r="R357" s="296"/>
      <c r="S357" s="297"/>
      <c r="T357" s="298"/>
    </row>
    <row r="358" customHeight="1" spans="5:20">
      <c r="E358" s="291"/>
      <c r="F358" s="291"/>
      <c r="G358" s="291"/>
      <c r="H358" s="291"/>
      <c r="I358" s="296"/>
      <c r="M358" s="296"/>
      <c r="N358" s="296"/>
      <c r="O358" s="297"/>
      <c r="P358" s="298"/>
      <c r="R358" s="296"/>
      <c r="S358" s="297"/>
      <c r="T358" s="298"/>
    </row>
    <row r="359" customHeight="1" spans="5:20">
      <c r="E359" s="291"/>
      <c r="F359" s="291"/>
      <c r="G359" s="291"/>
      <c r="H359" s="291"/>
      <c r="I359" s="296"/>
      <c r="M359" s="296"/>
      <c r="N359" s="296"/>
      <c r="O359" s="297"/>
      <c r="P359" s="298"/>
      <c r="R359" s="296"/>
      <c r="S359" s="297"/>
      <c r="T359" s="298"/>
    </row>
    <row r="360" customHeight="1" spans="5:20">
      <c r="E360" s="291"/>
      <c r="F360" s="291"/>
      <c r="G360" s="291"/>
      <c r="H360" s="291"/>
      <c r="I360" s="296"/>
      <c r="M360" s="296"/>
      <c r="N360" s="296"/>
      <c r="O360" s="297"/>
      <c r="P360" s="298"/>
      <c r="R360" s="296"/>
      <c r="S360" s="297"/>
      <c r="T360" s="298"/>
    </row>
    <row r="361" customHeight="1" spans="5:20">
      <c r="E361" s="291"/>
      <c r="F361" s="291"/>
      <c r="G361" s="291"/>
      <c r="H361" s="291"/>
      <c r="I361" s="296"/>
      <c r="M361" s="296"/>
      <c r="N361" s="296"/>
      <c r="O361" s="297"/>
      <c r="P361" s="298"/>
      <c r="R361" s="296"/>
      <c r="S361" s="297"/>
      <c r="T361" s="298"/>
    </row>
    <row r="362" customHeight="1" spans="5:20">
      <c r="E362" s="291"/>
      <c r="F362" s="291"/>
      <c r="G362" s="291"/>
      <c r="H362" s="291"/>
      <c r="I362" s="296"/>
      <c r="M362" s="296"/>
      <c r="N362" s="296"/>
      <c r="O362" s="297"/>
      <c r="P362" s="298"/>
      <c r="R362" s="296"/>
      <c r="S362" s="297"/>
      <c r="T362" s="298"/>
    </row>
    <row r="363" customHeight="1" spans="5:20">
      <c r="E363" s="291"/>
      <c r="F363" s="291"/>
      <c r="G363" s="291"/>
      <c r="H363" s="291"/>
      <c r="I363" s="296"/>
      <c r="M363" s="296"/>
      <c r="N363" s="296"/>
      <c r="O363" s="297"/>
      <c r="P363" s="298"/>
      <c r="R363" s="296"/>
      <c r="S363" s="297"/>
      <c r="T363" s="298"/>
    </row>
    <row r="364" customHeight="1" spans="5:20">
      <c r="E364" s="291"/>
      <c r="F364" s="291"/>
      <c r="G364" s="291"/>
      <c r="H364" s="291"/>
      <c r="I364" s="296"/>
      <c r="M364" s="296"/>
      <c r="N364" s="296"/>
      <c r="O364" s="297"/>
      <c r="P364" s="298"/>
      <c r="R364" s="296"/>
      <c r="S364" s="297"/>
      <c r="T364" s="298"/>
    </row>
    <row r="365" customHeight="1" spans="5:20">
      <c r="E365" s="291"/>
      <c r="F365" s="291"/>
      <c r="G365" s="291"/>
      <c r="H365" s="291"/>
      <c r="I365" s="296"/>
      <c r="M365" s="296"/>
      <c r="N365" s="296"/>
      <c r="O365" s="297"/>
      <c r="P365" s="298"/>
      <c r="R365" s="296"/>
      <c r="S365" s="297"/>
      <c r="T365" s="298"/>
    </row>
    <row r="366" customHeight="1" spans="5:20">
      <c r="E366" s="291"/>
      <c r="F366" s="291"/>
      <c r="G366" s="291"/>
      <c r="H366" s="291"/>
      <c r="I366" s="296"/>
      <c r="M366" s="296"/>
      <c r="N366" s="296"/>
      <c r="O366" s="297"/>
      <c r="P366" s="298"/>
      <c r="R366" s="296"/>
      <c r="S366" s="297"/>
      <c r="T366" s="298"/>
    </row>
    <row r="367" customHeight="1" spans="5:20">
      <c r="E367" s="291"/>
      <c r="F367" s="291"/>
      <c r="G367" s="291"/>
      <c r="H367" s="291"/>
      <c r="I367" s="296"/>
      <c r="M367" s="296"/>
      <c r="N367" s="296"/>
      <c r="O367" s="297"/>
      <c r="P367" s="298"/>
      <c r="R367" s="296"/>
      <c r="S367" s="297"/>
      <c r="T367" s="298"/>
    </row>
    <row r="368" customHeight="1" spans="5:20">
      <c r="E368" s="291"/>
      <c r="F368" s="291"/>
      <c r="G368" s="291"/>
      <c r="H368" s="291"/>
      <c r="I368" s="296"/>
      <c r="M368" s="296"/>
      <c r="N368" s="296"/>
      <c r="O368" s="297"/>
      <c r="P368" s="298"/>
      <c r="R368" s="296"/>
      <c r="S368" s="297"/>
      <c r="T368" s="298"/>
    </row>
    <row r="369" customHeight="1" spans="5:20">
      <c r="E369" s="291"/>
      <c r="F369" s="291"/>
      <c r="G369" s="291"/>
      <c r="H369" s="291"/>
      <c r="I369" s="296"/>
      <c r="M369" s="296"/>
      <c r="N369" s="296"/>
      <c r="O369" s="297"/>
      <c r="P369" s="298"/>
      <c r="R369" s="296"/>
      <c r="S369" s="297"/>
      <c r="T369" s="298"/>
    </row>
    <row r="370" customHeight="1" spans="5:20">
      <c r="E370" s="291"/>
      <c r="F370" s="291"/>
      <c r="G370" s="291"/>
      <c r="H370" s="291"/>
      <c r="I370" s="296"/>
      <c r="M370" s="296"/>
      <c r="N370" s="296"/>
      <c r="O370" s="297"/>
      <c r="P370" s="298"/>
      <c r="R370" s="296"/>
      <c r="S370" s="297"/>
      <c r="T370" s="298"/>
    </row>
    <row r="371" customHeight="1" spans="5:20">
      <c r="E371" s="291"/>
      <c r="F371" s="291"/>
      <c r="G371" s="291"/>
      <c r="H371" s="291"/>
      <c r="I371" s="296"/>
      <c r="M371" s="296"/>
      <c r="N371" s="296"/>
      <c r="O371" s="297"/>
      <c r="P371" s="298"/>
      <c r="R371" s="296"/>
      <c r="S371" s="297"/>
      <c r="T371" s="298"/>
    </row>
    <row r="372" customHeight="1" spans="5:20">
      <c r="E372" s="291"/>
      <c r="F372" s="291"/>
      <c r="G372" s="291"/>
      <c r="H372" s="291"/>
      <c r="I372" s="296"/>
      <c r="M372" s="296"/>
      <c r="N372" s="296"/>
      <c r="O372" s="297"/>
      <c r="P372" s="298"/>
      <c r="R372" s="296"/>
      <c r="S372" s="297"/>
      <c r="T372" s="298"/>
    </row>
    <row r="373" customHeight="1" spans="5:20">
      <c r="E373" s="291"/>
      <c r="F373" s="291"/>
      <c r="G373" s="291"/>
      <c r="H373" s="291"/>
      <c r="I373" s="296"/>
      <c r="M373" s="296"/>
      <c r="N373" s="296"/>
      <c r="O373" s="297"/>
      <c r="P373" s="298"/>
      <c r="R373" s="296"/>
      <c r="S373" s="297"/>
      <c r="T373" s="298"/>
    </row>
    <row r="374" customHeight="1" spans="5:20">
      <c r="E374" s="291"/>
      <c r="F374" s="291"/>
      <c r="G374" s="291"/>
      <c r="H374" s="291"/>
      <c r="I374" s="296"/>
      <c r="M374" s="296"/>
      <c r="N374" s="296"/>
      <c r="O374" s="297"/>
      <c r="P374" s="298"/>
      <c r="R374" s="296"/>
      <c r="S374" s="297"/>
      <c r="T374" s="298"/>
    </row>
    <row r="375" customHeight="1" spans="5:20">
      <c r="E375" s="291"/>
      <c r="F375" s="291"/>
      <c r="G375" s="291"/>
      <c r="H375" s="291"/>
      <c r="I375" s="296"/>
      <c r="M375" s="296"/>
      <c r="N375" s="296"/>
      <c r="O375" s="297"/>
      <c r="P375" s="298"/>
      <c r="R375" s="296"/>
      <c r="S375" s="297"/>
      <c r="T375" s="298"/>
    </row>
    <row r="376" customHeight="1" spans="5:20">
      <c r="E376" s="291"/>
      <c r="F376" s="291"/>
      <c r="G376" s="291"/>
      <c r="H376" s="291"/>
      <c r="I376" s="296"/>
      <c r="M376" s="296"/>
      <c r="N376" s="296"/>
      <c r="O376" s="297"/>
      <c r="P376" s="298"/>
      <c r="R376" s="296"/>
      <c r="S376" s="297"/>
      <c r="T376" s="298"/>
    </row>
    <row r="377" customHeight="1" spans="5:20">
      <c r="E377" s="291"/>
      <c r="F377" s="291"/>
      <c r="G377" s="291"/>
      <c r="H377" s="291"/>
      <c r="I377" s="296"/>
      <c r="M377" s="296"/>
      <c r="N377" s="296"/>
      <c r="O377" s="297"/>
      <c r="P377" s="298"/>
      <c r="R377" s="296"/>
      <c r="S377" s="297"/>
      <c r="T377" s="298"/>
    </row>
    <row r="378" customHeight="1" spans="5:20">
      <c r="E378" s="291"/>
      <c r="F378" s="291"/>
      <c r="G378" s="291"/>
      <c r="H378" s="291"/>
      <c r="I378" s="296"/>
      <c r="M378" s="296"/>
      <c r="N378" s="296"/>
      <c r="O378" s="297"/>
      <c r="P378" s="298"/>
      <c r="R378" s="296"/>
      <c r="S378" s="297"/>
      <c r="T378" s="298"/>
    </row>
    <row r="379" customHeight="1" spans="5:20">
      <c r="E379" s="291"/>
      <c r="F379" s="291"/>
      <c r="G379" s="291"/>
      <c r="H379" s="291"/>
      <c r="I379" s="296"/>
      <c r="M379" s="296"/>
      <c r="N379" s="296"/>
      <c r="O379" s="297"/>
      <c r="P379" s="298"/>
      <c r="R379" s="296"/>
      <c r="S379" s="297"/>
      <c r="T379" s="298"/>
    </row>
    <row r="380" customHeight="1" spans="5:20">
      <c r="E380" s="291"/>
      <c r="F380" s="291"/>
      <c r="G380" s="291"/>
      <c r="H380" s="291"/>
      <c r="I380" s="296"/>
      <c r="M380" s="296"/>
      <c r="N380" s="296"/>
      <c r="O380" s="297"/>
      <c r="P380" s="298"/>
      <c r="R380" s="296"/>
      <c r="S380" s="297"/>
      <c r="T380" s="298"/>
    </row>
    <row r="381" customHeight="1" spans="5:20">
      <c r="E381" s="291"/>
      <c r="F381" s="291"/>
      <c r="G381" s="291"/>
      <c r="H381" s="291"/>
      <c r="I381" s="296"/>
      <c r="M381" s="296"/>
      <c r="N381" s="296"/>
      <c r="O381" s="297"/>
      <c r="P381" s="298"/>
      <c r="R381" s="296"/>
      <c r="S381" s="297"/>
      <c r="T381" s="298"/>
    </row>
    <row r="382" customHeight="1" spans="5:20">
      <c r="E382" s="291"/>
      <c r="F382" s="291"/>
      <c r="G382" s="291"/>
      <c r="H382" s="291"/>
      <c r="I382" s="296"/>
      <c r="M382" s="296"/>
      <c r="N382" s="296"/>
      <c r="O382" s="297"/>
      <c r="P382" s="298"/>
      <c r="R382" s="296"/>
      <c r="S382" s="297"/>
      <c r="T382" s="298"/>
    </row>
    <row r="383" customHeight="1" spans="5:20">
      <c r="E383" s="291"/>
      <c r="F383" s="291"/>
      <c r="G383" s="291"/>
      <c r="H383" s="291"/>
      <c r="I383" s="296"/>
      <c r="M383" s="296"/>
      <c r="N383" s="296"/>
      <c r="O383" s="297"/>
      <c r="P383" s="298"/>
      <c r="R383" s="296"/>
      <c r="S383" s="297"/>
      <c r="T383" s="298"/>
    </row>
    <row r="384" customHeight="1" spans="5:20">
      <c r="E384" s="291"/>
      <c r="F384" s="291"/>
      <c r="G384" s="291"/>
      <c r="H384" s="291"/>
      <c r="I384" s="296"/>
      <c r="M384" s="296"/>
      <c r="N384" s="296"/>
      <c r="O384" s="297"/>
      <c r="P384" s="298"/>
      <c r="R384" s="296"/>
      <c r="S384" s="297"/>
      <c r="T384" s="298"/>
    </row>
    <row r="385" customHeight="1" spans="5:20">
      <c r="E385" s="291"/>
      <c r="F385" s="291"/>
      <c r="G385" s="291"/>
      <c r="H385" s="291"/>
      <c r="I385" s="296"/>
      <c r="M385" s="296"/>
      <c r="N385" s="296"/>
      <c r="O385" s="297"/>
      <c r="P385" s="298"/>
      <c r="R385" s="296"/>
      <c r="S385" s="297"/>
      <c r="T385" s="298"/>
    </row>
    <row r="386" customHeight="1" spans="5:20">
      <c r="E386" s="291"/>
      <c r="F386" s="291"/>
      <c r="G386" s="291"/>
      <c r="H386" s="291"/>
      <c r="I386" s="296"/>
      <c r="M386" s="296"/>
      <c r="N386" s="296"/>
      <c r="O386" s="297"/>
      <c r="P386" s="298"/>
      <c r="R386" s="296"/>
      <c r="S386" s="297"/>
      <c r="T386" s="298"/>
    </row>
    <row r="387" customHeight="1" spans="5:20">
      <c r="E387" s="291"/>
      <c r="F387" s="291"/>
      <c r="G387" s="291"/>
      <c r="H387" s="291"/>
      <c r="I387" s="296"/>
      <c r="M387" s="296"/>
      <c r="N387" s="296"/>
      <c r="O387" s="297"/>
      <c r="P387" s="298"/>
      <c r="R387" s="296"/>
      <c r="S387" s="297"/>
      <c r="T387" s="298"/>
    </row>
    <row r="388" customHeight="1" spans="5:20">
      <c r="E388" s="291"/>
      <c r="F388" s="291"/>
      <c r="G388" s="291"/>
      <c r="H388" s="291"/>
      <c r="I388" s="296"/>
      <c r="M388" s="296"/>
      <c r="N388" s="296"/>
      <c r="O388" s="297"/>
      <c r="P388" s="298"/>
      <c r="R388" s="296"/>
      <c r="S388" s="297"/>
      <c r="T388" s="298"/>
    </row>
    <row r="389" customHeight="1" spans="5:20">
      <c r="E389" s="291"/>
      <c r="F389" s="291"/>
      <c r="G389" s="291"/>
      <c r="H389" s="291"/>
      <c r="I389" s="296"/>
      <c r="M389" s="296"/>
      <c r="N389" s="296"/>
      <c r="O389" s="297"/>
      <c r="P389" s="298"/>
      <c r="R389" s="296"/>
      <c r="S389" s="297"/>
      <c r="T389" s="298"/>
    </row>
    <row r="390" customHeight="1" spans="5:20">
      <c r="E390" s="291"/>
      <c r="F390" s="291"/>
      <c r="G390" s="291"/>
      <c r="H390" s="291"/>
      <c r="I390" s="296"/>
      <c r="M390" s="296"/>
      <c r="N390" s="296"/>
      <c r="O390" s="297"/>
      <c r="P390" s="298"/>
      <c r="R390" s="296"/>
      <c r="S390" s="297"/>
      <c r="T390" s="298"/>
    </row>
    <row r="391" customHeight="1" spans="5:20">
      <c r="E391" s="291"/>
      <c r="F391" s="291"/>
      <c r="G391" s="291"/>
      <c r="H391" s="291"/>
      <c r="I391" s="296"/>
      <c r="M391" s="296"/>
      <c r="N391" s="296"/>
      <c r="O391" s="297"/>
      <c r="P391" s="298"/>
      <c r="R391" s="296"/>
      <c r="S391" s="297"/>
      <c r="T391" s="298"/>
    </row>
    <row r="392" customHeight="1" spans="5:20">
      <c r="E392" s="291"/>
      <c r="F392" s="291"/>
      <c r="G392" s="291"/>
      <c r="H392" s="291"/>
      <c r="I392" s="296"/>
      <c r="M392" s="296"/>
      <c r="N392" s="296"/>
      <c r="O392" s="297"/>
      <c r="P392" s="298"/>
      <c r="R392" s="296"/>
      <c r="S392" s="297"/>
      <c r="T392" s="298"/>
    </row>
    <row r="393" customHeight="1" spans="5:20">
      <c r="E393" s="291"/>
      <c r="F393" s="291"/>
      <c r="G393" s="291"/>
      <c r="H393" s="291"/>
      <c r="I393" s="296"/>
      <c r="M393" s="296"/>
      <c r="N393" s="296"/>
      <c r="O393" s="297"/>
      <c r="P393" s="298"/>
      <c r="R393" s="296"/>
      <c r="S393" s="297"/>
      <c r="T393" s="298"/>
    </row>
    <row r="394" customHeight="1" spans="5:20">
      <c r="E394" s="291"/>
      <c r="F394" s="291"/>
      <c r="G394" s="291"/>
      <c r="H394" s="291"/>
      <c r="I394" s="296"/>
      <c r="M394" s="296"/>
      <c r="N394" s="296"/>
      <c r="O394" s="297"/>
      <c r="P394" s="298"/>
      <c r="R394" s="296"/>
      <c r="S394" s="297"/>
      <c r="T394" s="298"/>
    </row>
    <row r="395" customHeight="1" spans="5:20">
      <c r="E395" s="291"/>
      <c r="F395" s="291"/>
      <c r="G395" s="291"/>
      <c r="H395" s="291"/>
      <c r="I395" s="296"/>
      <c r="M395" s="296"/>
      <c r="N395" s="296"/>
      <c r="O395" s="297"/>
      <c r="P395" s="298"/>
      <c r="R395" s="296"/>
      <c r="S395" s="297"/>
      <c r="T395" s="298"/>
    </row>
    <row r="396" customHeight="1" spans="5:20">
      <c r="E396" s="291"/>
      <c r="F396" s="291"/>
      <c r="G396" s="291"/>
      <c r="H396" s="291"/>
      <c r="I396" s="296"/>
      <c r="M396" s="296"/>
      <c r="N396" s="296"/>
      <c r="O396" s="297"/>
      <c r="P396" s="298"/>
      <c r="R396" s="296"/>
      <c r="S396" s="297"/>
      <c r="T396" s="298"/>
    </row>
    <row r="397" customHeight="1" spans="5:20">
      <c r="E397" s="291"/>
      <c r="F397" s="291"/>
      <c r="G397" s="291"/>
      <c r="H397" s="291"/>
      <c r="I397" s="296"/>
      <c r="M397" s="296"/>
      <c r="N397" s="296"/>
      <c r="O397" s="297"/>
      <c r="P397" s="298"/>
      <c r="R397" s="296"/>
      <c r="S397" s="297"/>
      <c r="T397" s="298"/>
    </row>
    <row r="398" customHeight="1" spans="5:20">
      <c r="E398" s="291"/>
      <c r="F398" s="291"/>
      <c r="G398" s="291"/>
      <c r="H398" s="291"/>
      <c r="I398" s="296"/>
      <c r="M398" s="296"/>
      <c r="N398" s="296"/>
      <c r="O398" s="297"/>
      <c r="P398" s="298"/>
      <c r="R398" s="296"/>
      <c r="S398" s="297"/>
      <c r="T398" s="298"/>
    </row>
    <row r="399" customHeight="1" spans="5:20">
      <c r="E399" s="291"/>
      <c r="F399" s="291"/>
      <c r="G399" s="291"/>
      <c r="H399" s="291"/>
      <c r="I399" s="296"/>
      <c r="M399" s="296"/>
      <c r="N399" s="296"/>
      <c r="O399" s="297"/>
      <c r="P399" s="298"/>
      <c r="R399" s="296"/>
      <c r="S399" s="297"/>
      <c r="T399" s="298"/>
    </row>
    <row r="400" customHeight="1" spans="5:20">
      <c r="E400" s="291"/>
      <c r="F400" s="291"/>
      <c r="G400" s="291"/>
      <c r="H400" s="291"/>
      <c r="I400" s="296"/>
      <c r="M400" s="296"/>
      <c r="N400" s="296"/>
      <c r="O400" s="297"/>
      <c r="P400" s="298"/>
      <c r="R400" s="296"/>
      <c r="S400" s="297"/>
      <c r="T400" s="298"/>
    </row>
    <row r="401" customHeight="1" spans="5:20">
      <c r="E401" s="291"/>
      <c r="F401" s="291"/>
      <c r="G401" s="291"/>
      <c r="H401" s="291"/>
      <c r="I401" s="296"/>
      <c r="M401" s="296"/>
      <c r="N401" s="296"/>
      <c r="O401" s="297"/>
      <c r="P401" s="298"/>
      <c r="R401" s="296"/>
      <c r="S401" s="297"/>
      <c r="T401" s="298"/>
    </row>
    <row r="402" customHeight="1" spans="5:20">
      <c r="E402" s="291"/>
      <c r="F402" s="291"/>
      <c r="G402" s="291"/>
      <c r="H402" s="291"/>
      <c r="I402" s="296"/>
      <c r="M402" s="296"/>
      <c r="N402" s="296"/>
      <c r="O402" s="297"/>
      <c r="P402" s="298"/>
      <c r="R402" s="296"/>
      <c r="S402" s="297"/>
      <c r="T402" s="298"/>
    </row>
    <row r="403" customHeight="1" spans="5:20">
      <c r="E403" s="291"/>
      <c r="F403" s="291"/>
      <c r="G403" s="291"/>
      <c r="H403" s="291"/>
      <c r="I403" s="296"/>
      <c r="M403" s="296"/>
      <c r="N403" s="296"/>
      <c r="O403" s="297"/>
      <c r="P403" s="298"/>
      <c r="R403" s="296"/>
      <c r="S403" s="297"/>
      <c r="T403" s="298"/>
    </row>
    <row r="404" customHeight="1" spans="5:20">
      <c r="E404" s="291"/>
      <c r="F404" s="291"/>
      <c r="G404" s="291"/>
      <c r="H404" s="291"/>
      <c r="I404" s="296"/>
      <c r="M404" s="296"/>
      <c r="N404" s="296"/>
      <c r="O404" s="297"/>
      <c r="P404" s="298"/>
      <c r="R404" s="296"/>
      <c r="S404" s="297"/>
      <c r="T404" s="298"/>
    </row>
    <row r="405" customHeight="1" spans="5:20">
      <c r="E405" s="291"/>
      <c r="F405" s="291"/>
      <c r="G405" s="291"/>
      <c r="H405" s="291"/>
      <c r="I405" s="296"/>
      <c r="M405" s="296"/>
      <c r="N405" s="296"/>
      <c r="O405" s="297"/>
      <c r="P405" s="298"/>
      <c r="R405" s="296"/>
      <c r="S405" s="297"/>
      <c r="T405" s="298"/>
    </row>
    <row r="406" customHeight="1" spans="5:20">
      <c r="E406" s="291"/>
      <c r="F406" s="291"/>
      <c r="G406" s="291"/>
      <c r="H406" s="291"/>
      <c r="I406" s="296"/>
      <c r="M406" s="296"/>
      <c r="N406" s="296"/>
      <c r="O406" s="297"/>
      <c r="P406" s="298"/>
      <c r="R406" s="296"/>
      <c r="S406" s="297"/>
      <c r="T406" s="298"/>
    </row>
    <row r="407" customHeight="1" spans="5:20">
      <c r="E407" s="291"/>
      <c r="F407" s="291"/>
      <c r="G407" s="291"/>
      <c r="H407" s="291"/>
      <c r="I407" s="296"/>
      <c r="M407" s="296"/>
      <c r="N407" s="296"/>
      <c r="O407" s="297"/>
      <c r="P407" s="298"/>
      <c r="R407" s="296"/>
      <c r="S407" s="297"/>
      <c r="T407" s="298"/>
    </row>
    <row r="408" customHeight="1" spans="5:20">
      <c r="E408" s="291"/>
      <c r="F408" s="291"/>
      <c r="G408" s="291"/>
      <c r="H408" s="291"/>
      <c r="I408" s="296"/>
      <c r="M408" s="296"/>
      <c r="N408" s="296"/>
      <c r="O408" s="297"/>
      <c r="P408" s="298"/>
      <c r="R408" s="296"/>
      <c r="S408" s="297"/>
      <c r="T408" s="298"/>
    </row>
    <row r="409" customHeight="1" spans="5:20">
      <c r="E409" s="291"/>
      <c r="F409" s="291"/>
      <c r="G409" s="291"/>
      <c r="H409" s="291"/>
      <c r="I409" s="296"/>
      <c r="M409" s="296"/>
      <c r="N409" s="296"/>
      <c r="O409" s="297"/>
      <c r="P409" s="298"/>
      <c r="R409" s="296"/>
      <c r="S409" s="297"/>
      <c r="T409" s="298"/>
    </row>
    <row r="410" customHeight="1" spans="5:20">
      <c r="E410" s="291"/>
      <c r="F410" s="291"/>
      <c r="G410" s="291"/>
      <c r="H410" s="291"/>
      <c r="I410" s="296"/>
      <c r="M410" s="296"/>
      <c r="N410" s="296"/>
      <c r="O410" s="297"/>
      <c r="P410" s="298"/>
      <c r="R410" s="296"/>
      <c r="S410" s="297"/>
      <c r="T410" s="298"/>
    </row>
    <row r="411" customHeight="1" spans="5:20">
      <c r="E411" s="291"/>
      <c r="F411" s="291"/>
      <c r="G411" s="291"/>
      <c r="H411" s="291"/>
      <c r="I411" s="296"/>
      <c r="M411" s="296"/>
      <c r="N411" s="296"/>
      <c r="O411" s="297"/>
      <c r="P411" s="298"/>
      <c r="R411" s="296"/>
      <c r="S411" s="297"/>
      <c r="T411" s="298"/>
    </row>
    <row r="412" customHeight="1" spans="5:20">
      <c r="E412" s="291"/>
      <c r="F412" s="291"/>
      <c r="G412" s="291"/>
      <c r="H412" s="291"/>
      <c r="I412" s="296"/>
      <c r="M412" s="296"/>
      <c r="N412" s="296"/>
      <c r="O412" s="297"/>
      <c r="P412" s="298"/>
      <c r="R412" s="296"/>
      <c r="S412" s="297"/>
      <c r="T412" s="298"/>
    </row>
    <row r="413" customHeight="1" spans="5:20">
      <c r="E413" s="291"/>
      <c r="F413" s="291"/>
      <c r="G413" s="291"/>
      <c r="H413" s="291"/>
      <c r="I413" s="296"/>
      <c r="M413" s="296"/>
      <c r="N413" s="296"/>
      <c r="O413" s="297"/>
      <c r="P413" s="298"/>
      <c r="R413" s="296"/>
      <c r="S413" s="297"/>
      <c r="T413" s="298"/>
    </row>
    <row r="414" customHeight="1" spans="5:20">
      <c r="E414" s="291"/>
      <c r="F414" s="291"/>
      <c r="G414" s="291"/>
      <c r="H414" s="291"/>
      <c r="I414" s="296"/>
      <c r="M414" s="296"/>
      <c r="N414" s="296"/>
      <c r="O414" s="297"/>
      <c r="P414" s="298"/>
      <c r="R414" s="296"/>
      <c r="S414" s="297"/>
      <c r="T414" s="298"/>
    </row>
    <row r="415" customHeight="1" spans="5:20">
      <c r="E415" s="291"/>
      <c r="F415" s="291"/>
      <c r="G415" s="291"/>
      <c r="H415" s="291"/>
      <c r="I415" s="296"/>
      <c r="M415" s="296"/>
      <c r="N415" s="296"/>
      <c r="O415" s="297"/>
      <c r="P415" s="298"/>
      <c r="R415" s="296"/>
      <c r="S415" s="297"/>
      <c r="T415" s="298"/>
    </row>
    <row r="416" customHeight="1" spans="5:20">
      <c r="E416" s="291"/>
      <c r="F416" s="291"/>
      <c r="G416" s="291"/>
      <c r="H416" s="291"/>
      <c r="I416" s="296"/>
      <c r="M416" s="296"/>
      <c r="N416" s="296"/>
      <c r="O416" s="297"/>
      <c r="P416" s="298"/>
      <c r="R416" s="296"/>
      <c r="S416" s="297"/>
      <c r="T416" s="298"/>
    </row>
    <row r="417" customHeight="1" spans="5:20">
      <c r="E417" s="291"/>
      <c r="F417" s="291"/>
      <c r="G417" s="291"/>
      <c r="H417" s="291"/>
      <c r="I417" s="296"/>
      <c r="M417" s="296"/>
      <c r="N417" s="296"/>
      <c r="O417" s="297"/>
      <c r="P417" s="298"/>
      <c r="R417" s="296"/>
      <c r="S417" s="297"/>
      <c r="T417" s="298"/>
    </row>
    <row r="418" customHeight="1" spans="5:20">
      <c r="E418" s="291"/>
      <c r="F418" s="291"/>
      <c r="G418" s="291"/>
      <c r="H418" s="291"/>
      <c r="I418" s="296"/>
      <c r="M418" s="296"/>
      <c r="N418" s="296"/>
      <c r="O418" s="297"/>
      <c r="P418" s="298"/>
      <c r="R418" s="296"/>
      <c r="S418" s="297"/>
      <c r="T418" s="298"/>
    </row>
    <row r="419" customHeight="1" spans="5:20">
      <c r="E419" s="291"/>
      <c r="F419" s="291"/>
      <c r="G419" s="291"/>
      <c r="H419" s="291"/>
      <c r="I419" s="296"/>
      <c r="M419" s="296"/>
      <c r="N419" s="296"/>
      <c r="O419" s="297"/>
      <c r="P419" s="298"/>
      <c r="R419" s="296"/>
      <c r="S419" s="297"/>
      <c r="T419" s="298"/>
    </row>
    <row r="420" customHeight="1" spans="5:20">
      <c r="E420" s="291"/>
      <c r="F420" s="291"/>
      <c r="G420" s="291"/>
      <c r="H420" s="291"/>
      <c r="I420" s="296"/>
      <c r="M420" s="296"/>
      <c r="N420" s="296"/>
      <c r="O420" s="297"/>
      <c r="P420" s="298"/>
      <c r="R420" s="296"/>
      <c r="S420" s="297"/>
      <c r="T420" s="298"/>
    </row>
    <row r="421" customHeight="1" spans="5:20">
      <c r="E421" s="291"/>
      <c r="F421" s="291"/>
      <c r="G421" s="291"/>
      <c r="H421" s="291"/>
      <c r="I421" s="296"/>
      <c r="M421" s="296"/>
      <c r="N421" s="296"/>
      <c r="O421" s="297"/>
      <c r="P421" s="298"/>
      <c r="R421" s="296"/>
      <c r="S421" s="297"/>
      <c r="T421" s="298"/>
    </row>
    <row r="422" customHeight="1" spans="5:20">
      <c r="E422" s="291"/>
      <c r="F422" s="291"/>
      <c r="G422" s="291"/>
      <c r="H422" s="291"/>
      <c r="I422" s="296"/>
      <c r="M422" s="296"/>
      <c r="N422" s="296"/>
      <c r="O422" s="297"/>
      <c r="P422" s="298"/>
      <c r="R422" s="296"/>
      <c r="S422" s="297"/>
      <c r="T422" s="298"/>
    </row>
    <row r="423" customHeight="1" spans="5:20">
      <c r="E423" s="291"/>
      <c r="F423" s="291"/>
      <c r="G423" s="291"/>
      <c r="H423" s="291"/>
      <c r="I423" s="296"/>
      <c r="M423" s="296"/>
      <c r="N423" s="296"/>
      <c r="O423" s="297"/>
      <c r="P423" s="298"/>
      <c r="R423" s="296"/>
      <c r="S423" s="297"/>
      <c r="T423" s="298"/>
    </row>
    <row r="424" customHeight="1" spans="5:20">
      <c r="E424" s="291"/>
      <c r="F424" s="291"/>
      <c r="G424" s="291"/>
      <c r="H424" s="291"/>
      <c r="I424" s="296"/>
      <c r="M424" s="296"/>
      <c r="N424" s="296"/>
      <c r="O424" s="297"/>
      <c r="P424" s="298"/>
      <c r="R424" s="296"/>
      <c r="S424" s="297"/>
      <c r="T424" s="298"/>
    </row>
    <row r="425" customHeight="1" spans="5:20">
      <c r="E425" s="291"/>
      <c r="F425" s="291"/>
      <c r="G425" s="291"/>
      <c r="H425" s="291"/>
      <c r="I425" s="296"/>
      <c r="M425" s="296"/>
      <c r="N425" s="296"/>
      <c r="O425" s="297"/>
      <c r="P425" s="298"/>
      <c r="R425" s="296"/>
      <c r="S425" s="297"/>
      <c r="T425" s="298"/>
    </row>
    <row r="426" customHeight="1" spans="5:20">
      <c r="E426" s="291"/>
      <c r="F426" s="291"/>
      <c r="G426" s="291"/>
      <c r="H426" s="291"/>
      <c r="I426" s="296"/>
      <c r="M426" s="296"/>
      <c r="N426" s="296"/>
      <c r="O426" s="297"/>
      <c r="P426" s="298"/>
      <c r="R426" s="296"/>
      <c r="S426" s="297"/>
      <c r="T426" s="298"/>
    </row>
    <row r="427" customHeight="1" spans="5:20">
      <c r="E427" s="291"/>
      <c r="F427" s="291"/>
      <c r="G427" s="291"/>
      <c r="H427" s="291"/>
      <c r="I427" s="296"/>
      <c r="M427" s="296"/>
      <c r="N427" s="296"/>
      <c r="O427" s="297"/>
      <c r="P427" s="298"/>
      <c r="R427" s="296"/>
      <c r="S427" s="297"/>
      <c r="T427" s="298"/>
    </row>
    <row r="428" customHeight="1" spans="5:20">
      <c r="E428" s="291"/>
      <c r="F428" s="291"/>
      <c r="G428" s="291"/>
      <c r="H428" s="291"/>
      <c r="I428" s="296"/>
      <c r="M428" s="296"/>
      <c r="N428" s="296"/>
      <c r="O428" s="297"/>
      <c r="P428" s="298"/>
      <c r="R428" s="296"/>
      <c r="S428" s="297"/>
      <c r="T428" s="298"/>
    </row>
    <row r="429" customHeight="1" spans="5:20">
      <c r="E429" s="291"/>
      <c r="F429" s="291"/>
      <c r="G429" s="291"/>
      <c r="H429" s="291"/>
      <c r="I429" s="296"/>
      <c r="M429" s="296"/>
      <c r="N429" s="296"/>
      <c r="O429" s="297"/>
      <c r="P429" s="298"/>
      <c r="R429" s="296"/>
      <c r="S429" s="297"/>
      <c r="T429" s="298"/>
    </row>
    <row r="430" customHeight="1" spans="5:20">
      <c r="E430" s="291"/>
      <c r="F430" s="291"/>
      <c r="G430" s="291"/>
      <c r="H430" s="291"/>
      <c r="I430" s="296"/>
      <c r="M430" s="296"/>
      <c r="N430" s="296"/>
      <c r="O430" s="297"/>
      <c r="P430" s="298"/>
      <c r="R430" s="296"/>
      <c r="S430" s="297"/>
      <c r="T430" s="298"/>
    </row>
    <row r="431" customHeight="1" spans="5:20">
      <c r="E431" s="291"/>
      <c r="F431" s="291"/>
      <c r="G431" s="291"/>
      <c r="H431" s="291"/>
      <c r="I431" s="296"/>
      <c r="M431" s="296"/>
      <c r="N431" s="296"/>
      <c r="O431" s="297"/>
      <c r="P431" s="298"/>
      <c r="R431" s="296"/>
      <c r="S431" s="297"/>
      <c r="T431" s="298"/>
    </row>
    <row r="432" customHeight="1" spans="5:20">
      <c r="E432" s="291"/>
      <c r="F432" s="291"/>
      <c r="G432" s="291"/>
      <c r="H432" s="291"/>
      <c r="I432" s="296"/>
      <c r="M432" s="296"/>
      <c r="N432" s="296"/>
      <c r="O432" s="297"/>
      <c r="P432" s="298"/>
      <c r="R432" s="296"/>
      <c r="S432" s="297"/>
      <c r="T432" s="298"/>
    </row>
    <row r="433" customHeight="1" spans="5:20">
      <c r="E433" s="291"/>
      <c r="F433" s="291"/>
      <c r="G433" s="291"/>
      <c r="H433" s="291"/>
      <c r="I433" s="296"/>
      <c r="M433" s="296"/>
      <c r="N433" s="296"/>
      <c r="O433" s="297"/>
      <c r="P433" s="298"/>
      <c r="R433" s="296"/>
      <c r="S433" s="297"/>
      <c r="T433" s="298"/>
    </row>
    <row r="434" customHeight="1" spans="5:20">
      <c r="E434" s="291"/>
      <c r="F434" s="291"/>
      <c r="G434" s="291"/>
      <c r="H434" s="291"/>
      <c r="I434" s="296"/>
      <c r="M434" s="296"/>
      <c r="N434" s="296"/>
      <c r="O434" s="297"/>
      <c r="P434" s="298"/>
      <c r="R434" s="296"/>
      <c r="S434" s="297"/>
      <c r="T434" s="298"/>
    </row>
    <row r="435" customHeight="1" spans="5:20">
      <c r="E435" s="291"/>
      <c r="F435" s="291"/>
      <c r="G435" s="291"/>
      <c r="H435" s="291"/>
      <c r="I435" s="296"/>
      <c r="M435" s="296"/>
      <c r="N435" s="296"/>
      <c r="O435" s="297"/>
      <c r="P435" s="298"/>
      <c r="R435" s="296"/>
      <c r="S435" s="297"/>
      <c r="T435" s="298"/>
    </row>
    <row r="436" customHeight="1" spans="5:20">
      <c r="E436" s="291"/>
      <c r="F436" s="291"/>
      <c r="G436" s="291"/>
      <c r="H436" s="291"/>
      <c r="I436" s="296"/>
      <c r="M436" s="296"/>
      <c r="N436" s="296"/>
      <c r="O436" s="297"/>
      <c r="P436" s="298"/>
      <c r="R436" s="296"/>
      <c r="S436" s="297"/>
      <c r="T436" s="298"/>
    </row>
    <row r="437" customHeight="1" spans="5:20">
      <c r="E437" s="291"/>
      <c r="F437" s="291"/>
      <c r="G437" s="291"/>
      <c r="H437" s="291"/>
      <c r="I437" s="296"/>
      <c r="M437" s="296"/>
      <c r="N437" s="296"/>
      <c r="O437" s="297"/>
      <c r="P437" s="298"/>
      <c r="R437" s="296"/>
      <c r="S437" s="297"/>
      <c r="T437" s="298"/>
    </row>
    <row r="438" customHeight="1" spans="5:20">
      <c r="E438" s="291"/>
      <c r="F438" s="291"/>
      <c r="G438" s="291"/>
      <c r="H438" s="291"/>
      <c r="I438" s="296"/>
      <c r="M438" s="296"/>
      <c r="N438" s="296"/>
      <c r="O438" s="297"/>
      <c r="P438" s="298"/>
      <c r="R438" s="296"/>
      <c r="S438" s="297"/>
      <c r="T438" s="298"/>
    </row>
    <row r="439" customHeight="1" spans="5:20">
      <c r="E439" s="291"/>
      <c r="F439" s="291"/>
      <c r="G439" s="291"/>
      <c r="H439" s="291"/>
      <c r="I439" s="296"/>
      <c r="M439" s="296"/>
      <c r="N439" s="296"/>
      <c r="O439" s="297"/>
      <c r="P439" s="298"/>
      <c r="R439" s="296"/>
      <c r="S439" s="297"/>
      <c r="T439" s="298"/>
    </row>
    <row r="440" customHeight="1" spans="5:20">
      <c r="E440" s="291"/>
      <c r="F440" s="291"/>
      <c r="G440" s="291"/>
      <c r="H440" s="291"/>
      <c r="I440" s="296"/>
      <c r="M440" s="296"/>
      <c r="N440" s="296"/>
      <c r="O440" s="297"/>
      <c r="P440" s="298"/>
      <c r="R440" s="296"/>
      <c r="S440" s="297"/>
      <c r="T440" s="298"/>
    </row>
    <row r="441" customHeight="1" spans="5:20">
      <c r="E441" s="291"/>
      <c r="F441" s="291"/>
      <c r="G441" s="291"/>
      <c r="H441" s="291"/>
      <c r="I441" s="296"/>
      <c r="M441" s="296"/>
      <c r="N441" s="296"/>
      <c r="O441" s="297"/>
      <c r="P441" s="298"/>
      <c r="R441" s="296"/>
      <c r="S441" s="297"/>
      <c r="T441" s="298"/>
    </row>
    <row r="442" customHeight="1" spans="5:20">
      <c r="E442" s="291"/>
      <c r="F442" s="291"/>
      <c r="G442" s="291"/>
      <c r="H442" s="291"/>
      <c r="I442" s="296"/>
      <c r="M442" s="296"/>
      <c r="N442" s="296"/>
      <c r="O442" s="297"/>
      <c r="P442" s="298"/>
      <c r="R442" s="296"/>
      <c r="S442" s="297"/>
      <c r="T442" s="298"/>
    </row>
    <row r="443" customHeight="1" spans="5:20">
      <c r="E443" s="291"/>
      <c r="F443" s="291"/>
      <c r="G443" s="291"/>
      <c r="H443" s="291"/>
      <c r="I443" s="296"/>
      <c r="M443" s="296"/>
      <c r="N443" s="296"/>
      <c r="O443" s="297"/>
      <c r="P443" s="298"/>
      <c r="R443" s="296"/>
      <c r="S443" s="297"/>
      <c r="T443" s="298"/>
    </row>
    <row r="444" customHeight="1" spans="5:20">
      <c r="E444" s="291"/>
      <c r="F444" s="291"/>
      <c r="G444" s="291"/>
      <c r="H444" s="291"/>
      <c r="I444" s="296"/>
      <c r="M444" s="296"/>
      <c r="N444" s="296"/>
      <c r="O444" s="297"/>
      <c r="P444" s="298"/>
      <c r="R444" s="296"/>
      <c r="S444" s="297"/>
      <c r="T444" s="298"/>
    </row>
    <row r="445" customHeight="1" spans="5:20">
      <c r="E445" s="291"/>
      <c r="F445" s="291"/>
      <c r="G445" s="291"/>
      <c r="H445" s="291"/>
      <c r="I445" s="296"/>
      <c r="M445" s="296"/>
      <c r="N445" s="296"/>
      <c r="O445" s="297"/>
      <c r="P445" s="298"/>
      <c r="R445" s="296"/>
      <c r="S445" s="297"/>
      <c r="T445" s="298"/>
    </row>
    <row r="446" customHeight="1" spans="5:20">
      <c r="E446" s="291"/>
      <c r="F446" s="291"/>
      <c r="G446" s="291"/>
      <c r="H446" s="291"/>
      <c r="I446" s="296"/>
      <c r="M446" s="296"/>
      <c r="N446" s="296"/>
      <c r="O446" s="297"/>
      <c r="P446" s="298"/>
      <c r="R446" s="296"/>
      <c r="S446" s="297"/>
      <c r="T446" s="298"/>
    </row>
    <row r="447" customHeight="1" spans="5:20">
      <c r="E447" s="291"/>
      <c r="F447" s="291"/>
      <c r="G447" s="291"/>
      <c r="H447" s="291"/>
      <c r="I447" s="296"/>
      <c r="M447" s="296"/>
      <c r="N447" s="296"/>
      <c r="O447" s="297"/>
      <c r="P447" s="298"/>
      <c r="R447" s="296"/>
      <c r="S447" s="297"/>
      <c r="T447" s="298"/>
    </row>
    <row r="448" customHeight="1" spans="5:20">
      <c r="E448" s="291"/>
      <c r="F448" s="291"/>
      <c r="G448" s="291"/>
      <c r="H448" s="291"/>
      <c r="I448" s="296"/>
      <c r="M448" s="296"/>
      <c r="N448" s="296"/>
      <c r="O448" s="297"/>
      <c r="P448" s="298"/>
      <c r="R448" s="296"/>
      <c r="S448" s="297"/>
      <c r="T448" s="298"/>
    </row>
    <row r="449" customHeight="1" spans="5:20">
      <c r="E449" s="291"/>
      <c r="F449" s="291"/>
      <c r="G449" s="291"/>
      <c r="H449" s="291"/>
      <c r="I449" s="296"/>
      <c r="M449" s="296"/>
      <c r="N449" s="296"/>
      <c r="O449" s="297"/>
      <c r="P449" s="298"/>
      <c r="R449" s="296"/>
      <c r="S449" s="297"/>
      <c r="T449" s="298"/>
    </row>
    <row r="450" customHeight="1" spans="5:20">
      <c r="E450" s="291"/>
      <c r="F450" s="291"/>
      <c r="G450" s="291"/>
      <c r="H450" s="291"/>
      <c r="I450" s="296"/>
      <c r="M450" s="296"/>
      <c r="N450" s="296"/>
      <c r="O450" s="297"/>
      <c r="P450" s="298"/>
      <c r="R450" s="296"/>
      <c r="S450" s="297"/>
      <c r="T450" s="298"/>
    </row>
    <row r="451" customHeight="1" spans="5:20">
      <c r="E451" s="291"/>
      <c r="F451" s="291"/>
      <c r="G451" s="291"/>
      <c r="H451" s="291"/>
      <c r="I451" s="296"/>
      <c r="M451" s="296"/>
      <c r="N451" s="296"/>
      <c r="O451" s="297"/>
      <c r="P451" s="298"/>
      <c r="R451" s="296"/>
      <c r="S451" s="297"/>
      <c r="T451" s="298"/>
    </row>
    <row r="452" customHeight="1" spans="5:20">
      <c r="E452" s="291"/>
      <c r="F452" s="291"/>
      <c r="G452" s="291"/>
      <c r="H452" s="291"/>
      <c r="I452" s="296"/>
      <c r="M452" s="296"/>
      <c r="N452" s="296"/>
      <c r="O452" s="297"/>
      <c r="P452" s="298"/>
      <c r="R452" s="296"/>
      <c r="S452" s="297"/>
      <c r="T452" s="298"/>
    </row>
    <row r="453" customHeight="1" spans="5:20">
      <c r="E453" s="291"/>
      <c r="F453" s="291"/>
      <c r="G453" s="291"/>
      <c r="H453" s="291"/>
      <c r="I453" s="296"/>
      <c r="M453" s="296"/>
      <c r="N453" s="296"/>
      <c r="O453" s="297"/>
      <c r="P453" s="298"/>
      <c r="R453" s="296"/>
      <c r="S453" s="297"/>
      <c r="T453" s="298"/>
    </row>
    <row r="454" customHeight="1" spans="5:20">
      <c r="E454" s="291"/>
      <c r="F454" s="291"/>
      <c r="G454" s="291"/>
      <c r="H454" s="291"/>
      <c r="I454" s="296"/>
      <c r="M454" s="296"/>
      <c r="N454" s="296"/>
      <c r="O454" s="297"/>
      <c r="P454" s="298"/>
      <c r="R454" s="296"/>
      <c r="S454" s="297"/>
      <c r="T454" s="298"/>
    </row>
    <row r="455" customHeight="1" spans="5:20">
      <c r="E455" s="291"/>
      <c r="F455" s="291"/>
      <c r="G455" s="291"/>
      <c r="H455" s="291"/>
      <c r="I455" s="296"/>
      <c r="M455" s="296"/>
      <c r="N455" s="296"/>
      <c r="O455" s="297"/>
      <c r="P455" s="298"/>
      <c r="R455" s="296"/>
      <c r="S455" s="297"/>
      <c r="T455" s="298"/>
    </row>
    <row r="456" customHeight="1" spans="5:20">
      <c r="E456" s="291"/>
      <c r="F456" s="291"/>
      <c r="G456" s="291"/>
      <c r="H456" s="291"/>
      <c r="I456" s="296"/>
      <c r="M456" s="296"/>
      <c r="N456" s="296"/>
      <c r="O456" s="297"/>
      <c r="P456" s="298"/>
      <c r="R456" s="296"/>
      <c r="S456" s="297"/>
      <c r="T456" s="298"/>
    </row>
    <row r="457" customHeight="1" spans="5:20">
      <c r="E457" s="291"/>
      <c r="F457" s="291"/>
      <c r="G457" s="291"/>
      <c r="H457" s="291"/>
      <c r="I457" s="296"/>
      <c r="M457" s="296"/>
      <c r="N457" s="296"/>
      <c r="O457" s="297"/>
      <c r="P457" s="298"/>
      <c r="R457" s="296"/>
      <c r="S457" s="297"/>
      <c r="T457" s="298"/>
    </row>
    <row r="458" customHeight="1" spans="5:20">
      <c r="E458" s="291"/>
      <c r="F458" s="291"/>
      <c r="G458" s="291"/>
      <c r="H458" s="291"/>
      <c r="I458" s="296"/>
      <c r="M458" s="296"/>
      <c r="N458" s="296"/>
      <c r="O458" s="297"/>
      <c r="P458" s="298"/>
      <c r="R458" s="296"/>
      <c r="S458" s="297"/>
      <c r="T458" s="298"/>
    </row>
    <row r="459" customHeight="1" spans="5:20">
      <c r="E459" s="291"/>
      <c r="F459" s="291"/>
      <c r="G459" s="291"/>
      <c r="H459" s="291"/>
      <c r="I459" s="296"/>
      <c r="M459" s="296"/>
      <c r="N459" s="296"/>
      <c r="O459" s="297"/>
      <c r="P459" s="298"/>
      <c r="R459" s="296"/>
      <c r="S459" s="297"/>
      <c r="T459" s="298"/>
    </row>
    <row r="460" customHeight="1" spans="5:20">
      <c r="E460" s="291"/>
      <c r="F460" s="291"/>
      <c r="G460" s="291"/>
      <c r="H460" s="291"/>
      <c r="I460" s="296"/>
      <c r="M460" s="296"/>
      <c r="N460" s="296"/>
      <c r="O460" s="297"/>
      <c r="P460" s="298"/>
      <c r="R460" s="296"/>
      <c r="S460" s="297"/>
      <c r="T460" s="298"/>
    </row>
    <row r="461" customHeight="1" spans="5:20">
      <c r="E461" s="291"/>
      <c r="F461" s="291"/>
      <c r="G461" s="291"/>
      <c r="H461" s="291"/>
      <c r="I461" s="296"/>
      <c r="M461" s="296"/>
      <c r="N461" s="296"/>
      <c r="O461" s="297"/>
      <c r="P461" s="298"/>
      <c r="R461" s="296"/>
      <c r="S461" s="297"/>
      <c r="T461" s="298"/>
    </row>
    <row r="462" customHeight="1" spans="5:20">
      <c r="E462" s="291"/>
      <c r="F462" s="291"/>
      <c r="G462" s="291"/>
      <c r="H462" s="291"/>
      <c r="I462" s="296"/>
      <c r="M462" s="296"/>
      <c r="N462" s="296"/>
      <c r="O462" s="297"/>
      <c r="P462" s="298"/>
      <c r="R462" s="296"/>
      <c r="S462" s="297"/>
      <c r="T462" s="298"/>
    </row>
    <row r="463" customHeight="1" spans="5:20">
      <c r="E463" s="291"/>
      <c r="F463" s="291"/>
      <c r="G463" s="291"/>
      <c r="H463" s="291"/>
      <c r="I463" s="296"/>
      <c r="M463" s="296"/>
      <c r="N463" s="296"/>
      <c r="O463" s="297"/>
      <c r="P463" s="298"/>
      <c r="R463" s="296"/>
      <c r="S463" s="297"/>
      <c r="T463" s="298"/>
    </row>
    <row r="464" customHeight="1" spans="5:20">
      <c r="E464" s="291"/>
      <c r="F464" s="291"/>
      <c r="G464" s="291"/>
      <c r="H464" s="291"/>
      <c r="I464" s="296"/>
      <c r="M464" s="296"/>
      <c r="N464" s="296"/>
      <c r="O464" s="297"/>
      <c r="P464" s="298"/>
      <c r="R464" s="296"/>
      <c r="S464" s="297"/>
      <c r="T464" s="298"/>
    </row>
    <row r="465" customHeight="1" spans="5:20">
      <c r="E465" s="291"/>
      <c r="F465" s="291"/>
      <c r="G465" s="291"/>
      <c r="H465" s="291"/>
      <c r="I465" s="296"/>
      <c r="M465" s="296"/>
      <c r="N465" s="296"/>
      <c r="O465" s="297"/>
      <c r="P465" s="298"/>
      <c r="R465" s="296"/>
      <c r="S465" s="297"/>
      <c r="T465" s="298"/>
    </row>
    <row r="466" customHeight="1" spans="5:20">
      <c r="E466" s="291"/>
      <c r="F466" s="291"/>
      <c r="G466" s="291"/>
      <c r="H466" s="291"/>
      <c r="I466" s="296"/>
      <c r="M466" s="296"/>
      <c r="N466" s="296"/>
      <c r="O466" s="297"/>
      <c r="P466" s="298"/>
      <c r="R466" s="296"/>
      <c r="S466" s="297"/>
      <c r="T466" s="298"/>
    </row>
    <row r="467" customHeight="1" spans="5:20">
      <c r="E467" s="291"/>
      <c r="F467" s="291"/>
      <c r="G467" s="291"/>
      <c r="H467" s="291"/>
      <c r="I467" s="296"/>
      <c r="M467" s="296"/>
      <c r="N467" s="296"/>
      <c r="O467" s="297"/>
      <c r="P467" s="298"/>
      <c r="R467" s="296"/>
      <c r="S467" s="297"/>
      <c r="T467" s="298"/>
    </row>
    <row r="468" customHeight="1" spans="5:20">
      <c r="E468" s="291"/>
      <c r="F468" s="291"/>
      <c r="G468" s="291"/>
      <c r="H468" s="291"/>
      <c r="I468" s="296"/>
      <c r="M468" s="296"/>
      <c r="N468" s="296"/>
      <c r="O468" s="297"/>
      <c r="P468" s="298"/>
      <c r="R468" s="296"/>
      <c r="S468" s="297"/>
      <c r="T468" s="298"/>
    </row>
    <row r="469" customHeight="1" spans="5:20">
      <c r="E469" s="291"/>
      <c r="F469" s="291"/>
      <c r="G469" s="291"/>
      <c r="H469" s="291"/>
      <c r="I469" s="296"/>
      <c r="M469" s="296"/>
      <c r="N469" s="296"/>
      <c r="O469" s="297"/>
      <c r="P469" s="298"/>
      <c r="R469" s="296"/>
      <c r="S469" s="297"/>
      <c r="T469" s="298"/>
    </row>
    <row r="470" customHeight="1" spans="5:20">
      <c r="E470" s="291"/>
      <c r="F470" s="291"/>
      <c r="G470" s="291"/>
      <c r="H470" s="291"/>
      <c r="I470" s="296"/>
      <c r="M470" s="296"/>
      <c r="N470" s="296"/>
      <c r="O470" s="297"/>
      <c r="P470" s="298"/>
      <c r="R470" s="296"/>
      <c r="S470" s="297"/>
      <c r="T470" s="298"/>
    </row>
    <row r="471" customHeight="1" spans="5:20">
      <c r="E471" s="291"/>
      <c r="F471" s="291"/>
      <c r="G471" s="291"/>
      <c r="H471" s="291"/>
      <c r="I471" s="296"/>
      <c r="M471" s="296"/>
      <c r="N471" s="296"/>
      <c r="O471" s="297"/>
      <c r="P471" s="298"/>
      <c r="R471" s="296"/>
      <c r="S471" s="297"/>
      <c r="T471" s="298"/>
    </row>
    <row r="472" customHeight="1" spans="5:20">
      <c r="E472" s="291"/>
      <c r="F472" s="291"/>
      <c r="G472" s="291"/>
      <c r="H472" s="291"/>
      <c r="I472" s="296"/>
      <c r="M472" s="296"/>
      <c r="N472" s="296"/>
      <c r="O472" s="297"/>
      <c r="P472" s="298"/>
      <c r="R472" s="296"/>
      <c r="S472" s="297"/>
      <c r="T472" s="298"/>
    </row>
    <row r="473" customHeight="1" spans="5:20">
      <c r="E473" s="291"/>
      <c r="F473" s="291"/>
      <c r="G473" s="291"/>
      <c r="H473" s="291"/>
      <c r="I473" s="296"/>
      <c r="M473" s="296"/>
      <c r="N473" s="296"/>
      <c r="O473" s="297"/>
      <c r="P473" s="298"/>
      <c r="R473" s="296"/>
      <c r="S473" s="297"/>
      <c r="T473" s="298"/>
    </row>
    <row r="474" customHeight="1" spans="5:20">
      <c r="E474" s="291"/>
      <c r="F474" s="291"/>
      <c r="G474" s="291"/>
      <c r="H474" s="291"/>
      <c r="I474" s="296"/>
      <c r="M474" s="296"/>
      <c r="N474" s="296"/>
      <c r="O474" s="297"/>
      <c r="P474" s="298"/>
      <c r="R474" s="296"/>
      <c r="S474" s="297"/>
      <c r="T474" s="298"/>
    </row>
    <row r="475" customHeight="1" spans="5:20">
      <c r="E475" s="291"/>
      <c r="F475" s="291"/>
      <c r="G475" s="291"/>
      <c r="H475" s="291"/>
      <c r="I475" s="296"/>
      <c r="M475" s="296"/>
      <c r="N475" s="296"/>
      <c r="O475" s="297"/>
      <c r="P475" s="298"/>
      <c r="R475" s="296"/>
      <c r="S475" s="297"/>
      <c r="T475" s="298"/>
    </row>
    <row r="476" customHeight="1" spans="5:20">
      <c r="E476" s="291"/>
      <c r="F476" s="291"/>
      <c r="G476" s="291"/>
      <c r="H476" s="291"/>
      <c r="I476" s="296"/>
      <c r="M476" s="296"/>
      <c r="N476" s="296"/>
      <c r="O476" s="297"/>
      <c r="P476" s="298"/>
      <c r="R476" s="296"/>
      <c r="S476" s="297"/>
      <c r="T476" s="298"/>
    </row>
    <row r="477" customHeight="1" spans="5:20">
      <c r="E477" s="291"/>
      <c r="F477" s="291"/>
      <c r="G477" s="291"/>
      <c r="H477" s="291"/>
      <c r="I477" s="296"/>
      <c r="M477" s="296"/>
      <c r="N477" s="296"/>
      <c r="O477" s="297"/>
      <c r="P477" s="298"/>
      <c r="R477" s="296"/>
      <c r="S477" s="297"/>
      <c r="T477" s="298"/>
    </row>
    <row r="478" customHeight="1" spans="5:20">
      <c r="E478" s="291"/>
      <c r="F478" s="291"/>
      <c r="G478" s="291"/>
      <c r="H478" s="291"/>
      <c r="I478" s="296"/>
      <c r="M478" s="296"/>
      <c r="N478" s="296"/>
      <c r="O478" s="297"/>
      <c r="P478" s="298"/>
      <c r="R478" s="296"/>
      <c r="S478" s="297"/>
      <c r="T478" s="298"/>
    </row>
    <row r="479" customHeight="1" spans="5:20">
      <c r="E479" s="291"/>
      <c r="F479" s="291"/>
      <c r="G479" s="291"/>
      <c r="H479" s="291"/>
      <c r="I479" s="296"/>
      <c r="M479" s="296"/>
      <c r="N479" s="296"/>
      <c r="O479" s="297"/>
      <c r="P479" s="298"/>
      <c r="R479" s="296"/>
      <c r="S479" s="297"/>
      <c r="T479" s="298"/>
    </row>
    <row r="480" customHeight="1" spans="5:20">
      <c r="E480" s="291"/>
      <c r="F480" s="291"/>
      <c r="G480" s="291"/>
      <c r="H480" s="291"/>
      <c r="I480" s="296"/>
      <c r="M480" s="296"/>
      <c r="N480" s="296"/>
      <c r="O480" s="297"/>
      <c r="P480" s="298"/>
      <c r="R480" s="296"/>
      <c r="S480" s="297"/>
      <c r="T480" s="298"/>
    </row>
    <row r="481" customHeight="1" spans="5:20">
      <c r="E481" s="291"/>
      <c r="F481" s="291"/>
      <c r="G481" s="291"/>
      <c r="H481" s="291"/>
      <c r="I481" s="296"/>
      <c r="M481" s="296"/>
      <c r="N481" s="296"/>
      <c r="O481" s="297"/>
      <c r="P481" s="298"/>
      <c r="R481" s="296"/>
      <c r="S481" s="297"/>
      <c r="T481" s="298"/>
    </row>
    <row r="482" customHeight="1" spans="5:20">
      <c r="E482" s="291"/>
      <c r="F482" s="291"/>
      <c r="G482" s="291"/>
      <c r="H482" s="291"/>
      <c r="I482" s="296"/>
      <c r="M482" s="296"/>
      <c r="N482" s="296"/>
      <c r="O482" s="297"/>
      <c r="P482" s="298"/>
      <c r="R482" s="296"/>
      <c r="S482" s="297"/>
      <c r="T482" s="298"/>
    </row>
    <row r="483" customHeight="1" spans="5:20">
      <c r="E483" s="291"/>
      <c r="F483" s="291"/>
      <c r="G483" s="291"/>
      <c r="H483" s="291"/>
      <c r="I483" s="296"/>
      <c r="M483" s="296"/>
      <c r="N483" s="296"/>
      <c r="O483" s="297"/>
      <c r="P483" s="298"/>
      <c r="R483" s="296"/>
      <c r="S483" s="297"/>
      <c r="T483" s="298"/>
    </row>
    <row r="484" customHeight="1" spans="5:20">
      <c r="E484" s="291"/>
      <c r="F484" s="291"/>
      <c r="G484" s="291"/>
      <c r="H484" s="291"/>
      <c r="I484" s="296"/>
      <c r="M484" s="296"/>
      <c r="N484" s="296"/>
      <c r="O484" s="297"/>
      <c r="P484" s="298"/>
      <c r="R484" s="296"/>
      <c r="S484" s="297"/>
      <c r="T484" s="298"/>
    </row>
    <row r="485" customHeight="1" spans="5:20">
      <c r="E485" s="291"/>
      <c r="F485" s="291"/>
      <c r="G485" s="291"/>
      <c r="H485" s="291"/>
      <c r="I485" s="296"/>
      <c r="M485" s="296"/>
      <c r="N485" s="296"/>
      <c r="O485" s="297"/>
      <c r="P485" s="298"/>
      <c r="R485" s="296"/>
      <c r="S485" s="297"/>
      <c r="T485" s="298"/>
    </row>
    <row r="486" customHeight="1" spans="5:20">
      <c r="E486" s="291"/>
      <c r="F486" s="291"/>
      <c r="G486" s="291"/>
      <c r="H486" s="291"/>
      <c r="I486" s="296"/>
      <c r="M486" s="296"/>
      <c r="N486" s="296"/>
      <c r="O486" s="297"/>
      <c r="P486" s="298"/>
      <c r="R486" s="296"/>
      <c r="S486" s="297"/>
      <c r="T486" s="298"/>
    </row>
    <row r="487" customHeight="1" spans="5:20">
      <c r="E487" s="291"/>
      <c r="F487" s="291"/>
      <c r="G487" s="291"/>
      <c r="H487" s="291"/>
      <c r="I487" s="296"/>
      <c r="M487" s="296"/>
      <c r="N487" s="296"/>
      <c r="O487" s="297"/>
      <c r="P487" s="298"/>
      <c r="R487" s="296"/>
      <c r="S487" s="297"/>
      <c r="T487" s="298"/>
    </row>
    <row r="488" customHeight="1" spans="5:20">
      <c r="E488" s="291"/>
      <c r="F488" s="291"/>
      <c r="G488" s="291"/>
      <c r="H488" s="291"/>
      <c r="I488" s="296"/>
      <c r="M488" s="296"/>
      <c r="N488" s="296"/>
      <c r="O488" s="297"/>
      <c r="P488" s="298"/>
      <c r="R488" s="296"/>
      <c r="S488" s="297"/>
      <c r="T488" s="298"/>
    </row>
    <row r="489" customHeight="1" spans="5:20">
      <c r="E489" s="291"/>
      <c r="F489" s="291"/>
      <c r="G489" s="291"/>
      <c r="H489" s="291"/>
      <c r="I489" s="296"/>
      <c r="M489" s="296"/>
      <c r="N489" s="296"/>
      <c r="O489" s="297"/>
      <c r="P489" s="298"/>
      <c r="R489" s="296"/>
      <c r="S489" s="297"/>
      <c r="T489" s="298"/>
    </row>
    <row r="490" customHeight="1" spans="5:20">
      <c r="E490" s="291"/>
      <c r="F490" s="291"/>
      <c r="G490" s="291"/>
      <c r="H490" s="291"/>
      <c r="I490" s="296"/>
      <c r="M490" s="296"/>
      <c r="N490" s="296"/>
      <c r="O490" s="297"/>
      <c r="P490" s="298"/>
      <c r="R490" s="296"/>
      <c r="S490" s="297"/>
      <c r="T490" s="298"/>
    </row>
    <row r="491" customHeight="1" spans="5:20">
      <c r="E491" s="291"/>
      <c r="F491" s="291"/>
      <c r="G491" s="291"/>
      <c r="H491" s="291"/>
      <c r="I491" s="296"/>
      <c r="M491" s="296"/>
      <c r="N491" s="296"/>
      <c r="O491" s="297"/>
      <c r="P491" s="298"/>
      <c r="R491" s="296"/>
      <c r="S491" s="297"/>
      <c r="T491" s="298"/>
    </row>
    <row r="492" customHeight="1" spans="5:20">
      <c r="E492" s="291"/>
      <c r="F492" s="291"/>
      <c r="G492" s="291"/>
      <c r="H492" s="291"/>
      <c r="I492" s="296"/>
      <c r="M492" s="296"/>
      <c r="N492" s="296"/>
      <c r="O492" s="297"/>
      <c r="P492" s="298"/>
      <c r="R492" s="296"/>
      <c r="S492" s="297"/>
      <c r="T492" s="298"/>
    </row>
    <row r="493" customHeight="1" spans="5:20">
      <c r="E493" s="291"/>
      <c r="F493" s="291"/>
      <c r="G493" s="291"/>
      <c r="H493" s="291"/>
      <c r="I493" s="296"/>
      <c r="M493" s="296"/>
      <c r="N493" s="296"/>
      <c r="O493" s="297"/>
      <c r="P493" s="298"/>
      <c r="R493" s="296"/>
      <c r="S493" s="297"/>
      <c r="T493" s="298"/>
    </row>
    <row r="494" customHeight="1" spans="5:20">
      <c r="E494" s="291"/>
      <c r="F494" s="291"/>
      <c r="G494" s="291"/>
      <c r="H494" s="291"/>
      <c r="I494" s="296"/>
      <c r="M494" s="296"/>
      <c r="N494" s="296"/>
      <c r="O494" s="297"/>
      <c r="P494" s="298"/>
      <c r="R494" s="296"/>
      <c r="S494" s="297"/>
      <c r="T494" s="298"/>
    </row>
    <row r="495" customHeight="1" spans="5:20">
      <c r="E495" s="291"/>
      <c r="F495" s="291"/>
      <c r="G495" s="291"/>
      <c r="H495" s="291"/>
      <c r="I495" s="296"/>
      <c r="M495" s="296"/>
      <c r="N495" s="296"/>
      <c r="O495" s="297"/>
      <c r="P495" s="298"/>
      <c r="R495" s="296"/>
      <c r="S495" s="297"/>
      <c r="T495" s="298"/>
    </row>
    <row r="496" customHeight="1" spans="5:20">
      <c r="E496" s="291"/>
      <c r="F496" s="291"/>
      <c r="G496" s="291"/>
      <c r="H496" s="291"/>
      <c r="I496" s="296"/>
      <c r="M496" s="296"/>
      <c r="N496" s="296"/>
      <c r="O496" s="297"/>
      <c r="P496" s="298"/>
      <c r="R496" s="296"/>
      <c r="S496" s="297"/>
      <c r="T496" s="298"/>
    </row>
    <row r="497" customHeight="1" spans="5:20">
      <c r="E497" s="291"/>
      <c r="F497" s="291"/>
      <c r="G497" s="291"/>
      <c r="H497" s="291"/>
      <c r="I497" s="296"/>
      <c r="M497" s="296"/>
      <c r="N497" s="296"/>
      <c r="O497" s="297"/>
      <c r="P497" s="298"/>
      <c r="R497" s="296"/>
      <c r="S497" s="297"/>
      <c r="T497" s="298"/>
    </row>
    <row r="498" customHeight="1" spans="5:20">
      <c r="E498" s="291"/>
      <c r="F498" s="291"/>
      <c r="G498" s="291"/>
      <c r="H498" s="291"/>
      <c r="I498" s="296"/>
      <c r="M498" s="296"/>
      <c r="N498" s="296"/>
      <c r="O498" s="297"/>
      <c r="P498" s="298"/>
      <c r="R498" s="296"/>
      <c r="S498" s="297"/>
      <c r="T498" s="298"/>
    </row>
    <row r="499" customHeight="1" spans="5:20">
      <c r="E499" s="291"/>
      <c r="F499" s="291"/>
      <c r="G499" s="291"/>
      <c r="H499" s="291"/>
      <c r="I499" s="296"/>
      <c r="M499" s="296"/>
      <c r="N499" s="296"/>
      <c r="O499" s="297"/>
      <c r="P499" s="298"/>
      <c r="R499" s="296"/>
      <c r="S499" s="297"/>
      <c r="T499" s="298"/>
    </row>
    <row r="500" customHeight="1" spans="5:20">
      <c r="E500" s="291"/>
      <c r="F500" s="291"/>
      <c r="G500" s="291"/>
      <c r="H500" s="291"/>
      <c r="I500" s="296"/>
      <c r="M500" s="296"/>
      <c r="N500" s="296"/>
      <c r="O500" s="297"/>
      <c r="P500" s="298"/>
      <c r="R500" s="296"/>
      <c r="S500" s="297"/>
      <c r="T500" s="298"/>
    </row>
    <row r="501" customHeight="1" spans="5:20">
      <c r="E501" s="291"/>
      <c r="F501" s="291"/>
      <c r="G501" s="291"/>
      <c r="H501" s="291"/>
      <c r="I501" s="296"/>
      <c r="M501" s="296"/>
      <c r="N501" s="296"/>
      <c r="O501" s="297"/>
      <c r="P501" s="298"/>
      <c r="R501" s="296"/>
      <c r="S501" s="297"/>
      <c r="T501" s="298"/>
    </row>
    <row r="502" customHeight="1" spans="5:20">
      <c r="E502" s="291"/>
      <c r="F502" s="291"/>
      <c r="G502" s="291"/>
      <c r="H502" s="291"/>
      <c r="I502" s="296"/>
      <c r="M502" s="296"/>
      <c r="N502" s="296"/>
      <c r="O502" s="297"/>
      <c r="P502" s="298"/>
      <c r="R502" s="296"/>
      <c r="S502" s="297"/>
      <c r="T502" s="298"/>
    </row>
    <row r="503" customHeight="1" spans="5:20">
      <c r="E503" s="291"/>
      <c r="F503" s="291"/>
      <c r="G503" s="291"/>
      <c r="H503" s="291"/>
      <c r="I503" s="296"/>
      <c r="M503" s="296"/>
      <c r="N503" s="296"/>
      <c r="O503" s="297"/>
      <c r="P503" s="298"/>
      <c r="R503" s="296"/>
      <c r="S503" s="297"/>
      <c r="T503" s="298"/>
    </row>
    <row r="504" customHeight="1" spans="5:20">
      <c r="E504" s="291"/>
      <c r="F504" s="291"/>
      <c r="G504" s="291"/>
      <c r="H504" s="291"/>
      <c r="I504" s="296"/>
      <c r="M504" s="296"/>
      <c r="N504" s="296"/>
      <c r="O504" s="297"/>
      <c r="P504" s="298"/>
      <c r="R504" s="296"/>
      <c r="S504" s="297"/>
      <c r="T504" s="298"/>
    </row>
    <row r="505" customHeight="1" spans="5:20">
      <c r="E505" s="291"/>
      <c r="F505" s="291"/>
      <c r="G505" s="291"/>
      <c r="H505" s="291"/>
      <c r="I505" s="296"/>
      <c r="M505" s="296"/>
      <c r="N505" s="296"/>
      <c r="O505" s="297"/>
      <c r="P505" s="298"/>
      <c r="R505" s="296"/>
      <c r="S505" s="297"/>
      <c r="T505" s="298"/>
    </row>
    <row r="506" customHeight="1" spans="5:20">
      <c r="E506" s="291"/>
      <c r="F506" s="291"/>
      <c r="G506" s="291"/>
      <c r="H506" s="291"/>
      <c r="I506" s="296"/>
      <c r="M506" s="296"/>
      <c r="N506" s="296"/>
      <c r="O506" s="297"/>
      <c r="P506" s="298"/>
      <c r="R506" s="296"/>
      <c r="S506" s="297"/>
      <c r="T506" s="298"/>
    </row>
    <row r="507" customHeight="1" spans="5:20">
      <c r="E507" s="291"/>
      <c r="F507" s="291"/>
      <c r="G507" s="291"/>
      <c r="H507" s="291"/>
      <c r="I507" s="296"/>
      <c r="M507" s="296"/>
      <c r="N507" s="296"/>
      <c r="O507" s="297"/>
      <c r="P507" s="298"/>
      <c r="R507" s="296"/>
      <c r="S507" s="297"/>
      <c r="T507" s="298"/>
    </row>
    <row r="508" customHeight="1" spans="5:20">
      <c r="E508" s="291"/>
      <c r="F508" s="291"/>
      <c r="G508" s="291"/>
      <c r="H508" s="291"/>
      <c r="I508" s="296"/>
      <c r="M508" s="296"/>
      <c r="N508" s="296"/>
      <c r="O508" s="297"/>
      <c r="P508" s="298"/>
      <c r="R508" s="296"/>
      <c r="S508" s="297"/>
      <c r="T508" s="298"/>
    </row>
    <row r="509" customHeight="1" spans="5:20">
      <c r="E509" s="291"/>
      <c r="F509" s="291"/>
      <c r="G509" s="291"/>
      <c r="H509" s="291"/>
      <c r="I509" s="296"/>
      <c r="M509" s="296"/>
      <c r="N509" s="296"/>
      <c r="O509" s="297"/>
      <c r="P509" s="298"/>
      <c r="R509" s="296"/>
      <c r="S509" s="297"/>
      <c r="T509" s="298"/>
    </row>
    <row r="510" customHeight="1" spans="5:20">
      <c r="E510" s="291"/>
      <c r="F510" s="291"/>
      <c r="G510" s="291"/>
      <c r="H510" s="291"/>
      <c r="I510" s="296"/>
      <c r="M510" s="296"/>
      <c r="N510" s="296"/>
      <c r="O510" s="297"/>
      <c r="P510" s="298"/>
      <c r="R510" s="296"/>
      <c r="S510" s="297"/>
      <c r="T510" s="298"/>
    </row>
    <row r="511" customHeight="1" spans="5:20">
      <c r="E511" s="291"/>
      <c r="F511" s="291"/>
      <c r="G511" s="291"/>
      <c r="H511" s="291"/>
      <c r="I511" s="296"/>
      <c r="M511" s="296"/>
      <c r="N511" s="296"/>
      <c r="O511" s="297"/>
      <c r="P511" s="298"/>
      <c r="R511" s="296"/>
      <c r="S511" s="297"/>
      <c r="T511" s="298"/>
    </row>
    <row r="512" customHeight="1" spans="5:20">
      <c r="E512" s="291"/>
      <c r="F512" s="291"/>
      <c r="G512" s="291"/>
      <c r="H512" s="291"/>
      <c r="I512" s="296"/>
      <c r="M512" s="296"/>
      <c r="N512" s="296"/>
      <c r="O512" s="297"/>
      <c r="P512" s="298"/>
      <c r="R512" s="296"/>
      <c r="S512" s="297"/>
      <c r="T512" s="298"/>
    </row>
    <row r="513" customHeight="1" spans="5:20">
      <c r="E513" s="291"/>
      <c r="F513" s="291"/>
      <c r="G513" s="291"/>
      <c r="H513" s="291"/>
      <c r="I513" s="296"/>
      <c r="M513" s="296"/>
      <c r="N513" s="296"/>
      <c r="O513" s="297"/>
      <c r="P513" s="298"/>
      <c r="R513" s="296"/>
      <c r="S513" s="297"/>
      <c r="T513" s="298"/>
    </row>
    <row r="514" customHeight="1" spans="5:20">
      <c r="E514" s="291"/>
      <c r="F514" s="291"/>
      <c r="G514" s="291"/>
      <c r="H514" s="291"/>
      <c r="I514" s="296"/>
      <c r="M514" s="296"/>
      <c r="N514" s="296"/>
      <c r="O514" s="297"/>
      <c r="P514" s="298"/>
      <c r="R514" s="296"/>
      <c r="S514" s="297"/>
      <c r="T514" s="298"/>
    </row>
    <row r="515" customHeight="1" spans="5:20">
      <c r="E515" s="291"/>
      <c r="F515" s="291"/>
      <c r="G515" s="291"/>
      <c r="H515" s="291"/>
      <c r="I515" s="296"/>
      <c r="M515" s="296"/>
      <c r="N515" s="296"/>
      <c r="O515" s="297"/>
      <c r="P515" s="298"/>
      <c r="R515" s="296"/>
      <c r="S515" s="297"/>
      <c r="T515" s="298"/>
    </row>
    <row r="516" customHeight="1" spans="5:20">
      <c r="E516" s="291"/>
      <c r="F516" s="291"/>
      <c r="G516" s="291"/>
      <c r="H516" s="291"/>
      <c r="I516" s="296"/>
      <c r="M516" s="296"/>
      <c r="N516" s="296"/>
      <c r="O516" s="297"/>
      <c r="P516" s="298"/>
      <c r="R516" s="296"/>
      <c r="S516" s="297"/>
      <c r="T516" s="298"/>
    </row>
    <row r="517" customHeight="1" spans="5:20">
      <c r="E517" s="291"/>
      <c r="F517" s="291"/>
      <c r="G517" s="291"/>
      <c r="H517" s="291"/>
      <c r="I517" s="296"/>
      <c r="M517" s="296"/>
      <c r="N517" s="296"/>
      <c r="O517" s="297"/>
      <c r="P517" s="298"/>
      <c r="R517" s="296"/>
      <c r="S517" s="297"/>
      <c r="T517" s="298"/>
    </row>
    <row r="518" customHeight="1" spans="5:20">
      <c r="E518" s="291"/>
      <c r="F518" s="291"/>
      <c r="G518" s="291"/>
      <c r="H518" s="291"/>
      <c r="I518" s="296"/>
      <c r="M518" s="296"/>
      <c r="N518" s="296"/>
      <c r="O518" s="297"/>
      <c r="P518" s="298"/>
      <c r="R518" s="296"/>
      <c r="S518" s="297"/>
      <c r="T518" s="298"/>
    </row>
    <row r="519" customHeight="1" spans="5:20">
      <c r="E519" s="291"/>
      <c r="F519" s="291"/>
      <c r="G519" s="291"/>
      <c r="H519" s="291"/>
      <c r="I519" s="296"/>
      <c r="M519" s="296"/>
      <c r="N519" s="296"/>
      <c r="O519" s="297"/>
      <c r="P519" s="298"/>
      <c r="R519" s="296"/>
      <c r="S519" s="297"/>
      <c r="T519" s="298"/>
    </row>
    <row r="520" customHeight="1" spans="5:20">
      <c r="E520" s="291"/>
      <c r="F520" s="291"/>
      <c r="G520" s="291"/>
      <c r="H520" s="291"/>
      <c r="I520" s="296"/>
      <c r="M520" s="296"/>
      <c r="N520" s="296"/>
      <c r="O520" s="297"/>
      <c r="P520" s="298"/>
      <c r="R520" s="296"/>
      <c r="S520" s="297"/>
      <c r="T520" s="298"/>
    </row>
    <row r="521" customHeight="1" spans="5:20">
      <c r="E521" s="291"/>
      <c r="F521" s="291"/>
      <c r="G521" s="291"/>
      <c r="H521" s="291"/>
      <c r="I521" s="296"/>
      <c r="M521" s="296"/>
      <c r="N521" s="296"/>
      <c r="O521" s="297"/>
      <c r="P521" s="298"/>
      <c r="R521" s="296"/>
      <c r="S521" s="297"/>
      <c r="T521" s="298"/>
    </row>
    <row r="522" customHeight="1" spans="5:20">
      <c r="E522" s="291"/>
      <c r="F522" s="291"/>
      <c r="G522" s="291"/>
      <c r="H522" s="291"/>
      <c r="I522" s="296"/>
      <c r="M522" s="296"/>
      <c r="N522" s="296"/>
      <c r="O522" s="297"/>
      <c r="P522" s="298"/>
      <c r="R522" s="296"/>
      <c r="S522" s="297"/>
      <c r="T522" s="298"/>
    </row>
    <row r="523" customHeight="1" spans="5:20">
      <c r="E523" s="291"/>
      <c r="F523" s="291"/>
      <c r="G523" s="291"/>
      <c r="H523" s="291"/>
      <c r="I523" s="296"/>
      <c r="M523" s="296"/>
      <c r="N523" s="296"/>
      <c r="O523" s="297"/>
      <c r="P523" s="298"/>
      <c r="R523" s="296"/>
      <c r="S523" s="297"/>
      <c r="T523" s="298"/>
    </row>
    <row r="524" customHeight="1" spans="5:20">
      <c r="E524" s="291"/>
      <c r="F524" s="291"/>
      <c r="G524" s="291"/>
      <c r="H524" s="291"/>
      <c r="I524" s="296"/>
      <c r="M524" s="296"/>
      <c r="N524" s="296"/>
      <c r="O524" s="297"/>
      <c r="P524" s="298"/>
      <c r="R524" s="296"/>
      <c r="S524" s="297"/>
      <c r="T524" s="298"/>
    </row>
    <row r="525" customHeight="1" spans="5:20">
      <c r="E525" s="291"/>
      <c r="F525" s="291"/>
      <c r="G525" s="291"/>
      <c r="H525" s="291"/>
      <c r="I525" s="296"/>
      <c r="M525" s="296"/>
      <c r="N525" s="296"/>
      <c r="O525" s="297"/>
      <c r="P525" s="298"/>
      <c r="R525" s="296"/>
      <c r="S525" s="297"/>
      <c r="T525" s="298"/>
    </row>
    <row r="526" customHeight="1" spans="5:20">
      <c r="E526" s="291"/>
      <c r="F526" s="291"/>
      <c r="G526" s="291"/>
      <c r="H526" s="291"/>
      <c r="I526" s="296"/>
      <c r="M526" s="296"/>
      <c r="N526" s="296"/>
      <c r="O526" s="297"/>
      <c r="P526" s="298"/>
      <c r="R526" s="296"/>
      <c r="S526" s="297"/>
      <c r="T526" s="298"/>
    </row>
    <row r="527" customHeight="1" spans="5:20">
      <c r="E527" s="291"/>
      <c r="F527" s="291"/>
      <c r="G527" s="291"/>
      <c r="H527" s="291"/>
      <c r="I527" s="296"/>
      <c r="M527" s="296"/>
      <c r="N527" s="296"/>
      <c r="O527" s="297"/>
      <c r="P527" s="298"/>
      <c r="R527" s="296"/>
      <c r="S527" s="297"/>
      <c r="T527" s="298"/>
    </row>
    <row r="528" customHeight="1" spans="5:20">
      <c r="E528" s="291"/>
      <c r="F528" s="291"/>
      <c r="G528" s="291"/>
      <c r="H528" s="291"/>
      <c r="I528" s="296"/>
      <c r="M528" s="296"/>
      <c r="N528" s="296"/>
      <c r="O528" s="297"/>
      <c r="P528" s="298"/>
      <c r="R528" s="296"/>
      <c r="S528" s="297"/>
      <c r="T528" s="298"/>
    </row>
    <row r="529" customHeight="1" spans="5:20">
      <c r="E529" s="291"/>
      <c r="F529" s="291"/>
      <c r="G529" s="291"/>
      <c r="H529" s="291"/>
      <c r="I529" s="296"/>
      <c r="M529" s="296"/>
      <c r="N529" s="296"/>
      <c r="O529" s="297"/>
      <c r="P529" s="298"/>
      <c r="R529" s="296"/>
      <c r="S529" s="297"/>
      <c r="T529" s="298"/>
    </row>
    <row r="530" customHeight="1" spans="5:20">
      <c r="E530" s="291"/>
      <c r="F530" s="291"/>
      <c r="G530" s="291"/>
      <c r="H530" s="291"/>
      <c r="I530" s="296"/>
      <c r="M530" s="296"/>
      <c r="N530" s="296"/>
      <c r="O530" s="297"/>
      <c r="P530" s="298"/>
      <c r="R530" s="296"/>
      <c r="S530" s="297"/>
      <c r="T530" s="298"/>
    </row>
    <row r="531" customHeight="1" spans="5:20">
      <c r="E531" s="291"/>
      <c r="F531" s="291"/>
      <c r="G531" s="291"/>
      <c r="H531" s="291"/>
      <c r="I531" s="296"/>
      <c r="M531" s="296"/>
      <c r="N531" s="296"/>
      <c r="O531" s="297"/>
      <c r="P531" s="298"/>
      <c r="R531" s="296"/>
      <c r="S531" s="297"/>
      <c r="T531" s="298"/>
    </row>
    <row r="532" customHeight="1" spans="5:20">
      <c r="E532" s="291"/>
      <c r="F532" s="291"/>
      <c r="G532" s="291"/>
      <c r="H532" s="291"/>
      <c r="I532" s="296"/>
      <c r="M532" s="296"/>
      <c r="N532" s="296"/>
      <c r="O532" s="297"/>
      <c r="P532" s="298"/>
      <c r="R532" s="296"/>
      <c r="S532" s="297"/>
      <c r="T532" s="298"/>
    </row>
    <row r="533" customHeight="1" spans="5:20">
      <c r="E533" s="291"/>
      <c r="F533" s="291"/>
      <c r="G533" s="291"/>
      <c r="H533" s="291"/>
      <c r="I533" s="296"/>
      <c r="M533" s="296"/>
      <c r="N533" s="296"/>
      <c r="O533" s="297"/>
      <c r="P533" s="298"/>
      <c r="R533" s="296"/>
      <c r="S533" s="297"/>
      <c r="T533" s="298"/>
    </row>
    <row r="534" customHeight="1" spans="5:20">
      <c r="E534" s="291"/>
      <c r="F534" s="291"/>
      <c r="G534" s="291"/>
      <c r="H534" s="291"/>
      <c r="I534" s="296"/>
      <c r="M534" s="296"/>
      <c r="N534" s="296"/>
      <c r="O534" s="297"/>
      <c r="P534" s="298"/>
      <c r="R534" s="296"/>
      <c r="S534" s="297"/>
      <c r="T534" s="298"/>
    </row>
    <row r="535" customHeight="1" spans="5:20">
      <c r="E535" s="291"/>
      <c r="F535" s="291"/>
      <c r="G535" s="291"/>
      <c r="H535" s="291"/>
      <c r="I535" s="296"/>
      <c r="M535" s="296"/>
      <c r="N535" s="296"/>
      <c r="O535" s="297"/>
      <c r="P535" s="298"/>
      <c r="R535" s="296"/>
      <c r="S535" s="297"/>
      <c r="T535" s="298"/>
    </row>
    <row r="536" customHeight="1" spans="5:20">
      <c r="E536" s="291"/>
      <c r="F536" s="291"/>
      <c r="G536" s="291"/>
      <c r="H536" s="291"/>
      <c r="I536" s="296"/>
      <c r="M536" s="296"/>
      <c r="N536" s="296"/>
      <c r="O536" s="297"/>
      <c r="P536" s="298"/>
      <c r="R536" s="296"/>
      <c r="S536" s="297"/>
      <c r="T536" s="298"/>
    </row>
    <row r="537" customHeight="1" spans="5:20">
      <c r="E537" s="291"/>
      <c r="F537" s="291"/>
      <c r="G537" s="291"/>
      <c r="H537" s="291"/>
      <c r="I537" s="296"/>
      <c r="M537" s="296"/>
      <c r="N537" s="296"/>
      <c r="O537" s="297"/>
      <c r="P537" s="298"/>
      <c r="R537" s="296"/>
      <c r="S537" s="297"/>
      <c r="T537" s="298"/>
    </row>
    <row r="538" customHeight="1" spans="5:20">
      <c r="E538" s="291"/>
      <c r="F538" s="291"/>
      <c r="G538" s="291"/>
      <c r="H538" s="291"/>
      <c r="I538" s="296"/>
      <c r="M538" s="296"/>
      <c r="N538" s="296"/>
      <c r="O538" s="297"/>
      <c r="P538" s="298"/>
      <c r="R538" s="296"/>
      <c r="S538" s="297"/>
      <c r="T538" s="298"/>
    </row>
    <row r="539" customHeight="1" spans="5:20">
      <c r="E539" s="291"/>
      <c r="F539" s="291"/>
      <c r="G539" s="291"/>
      <c r="H539" s="291"/>
      <c r="I539" s="296"/>
      <c r="M539" s="296"/>
      <c r="N539" s="296"/>
      <c r="O539" s="297"/>
      <c r="P539" s="298"/>
      <c r="R539" s="296"/>
      <c r="S539" s="297"/>
      <c r="T539" s="298"/>
    </row>
    <row r="540" customHeight="1" spans="5:20">
      <c r="E540" s="291"/>
      <c r="F540" s="291"/>
      <c r="G540" s="291"/>
      <c r="H540" s="291"/>
      <c r="I540" s="296"/>
      <c r="M540" s="296"/>
      <c r="N540" s="296"/>
      <c r="O540" s="297"/>
      <c r="P540" s="298"/>
      <c r="R540" s="296"/>
      <c r="S540" s="297"/>
      <c r="T540" s="298"/>
    </row>
    <row r="541" customHeight="1" spans="5:20">
      <c r="E541" s="291"/>
      <c r="F541" s="291"/>
      <c r="G541" s="291"/>
      <c r="H541" s="291"/>
      <c r="I541" s="296"/>
      <c r="M541" s="296"/>
      <c r="N541" s="296"/>
      <c r="O541" s="297"/>
      <c r="P541" s="298"/>
      <c r="R541" s="296"/>
      <c r="S541" s="297"/>
      <c r="T541" s="298"/>
    </row>
    <row r="542" customHeight="1" spans="5:20">
      <c r="E542" s="291"/>
      <c r="F542" s="291"/>
      <c r="G542" s="291"/>
      <c r="H542" s="291"/>
      <c r="I542" s="296"/>
      <c r="M542" s="296"/>
      <c r="N542" s="296"/>
      <c r="O542" s="297"/>
      <c r="P542" s="298"/>
      <c r="R542" s="296"/>
      <c r="S542" s="297"/>
      <c r="T542" s="298"/>
    </row>
    <row r="543" customHeight="1" spans="5:20">
      <c r="E543" s="291"/>
      <c r="F543" s="291"/>
      <c r="G543" s="291"/>
      <c r="H543" s="291"/>
      <c r="I543" s="296"/>
      <c r="M543" s="296"/>
      <c r="N543" s="296"/>
      <c r="O543" s="297"/>
      <c r="P543" s="298"/>
      <c r="R543" s="296"/>
      <c r="S543" s="297"/>
      <c r="T543" s="298"/>
    </row>
    <row r="544" customHeight="1" spans="5:20">
      <c r="E544" s="291"/>
      <c r="F544" s="291"/>
      <c r="G544" s="291"/>
      <c r="H544" s="291"/>
      <c r="I544" s="296"/>
      <c r="M544" s="296"/>
      <c r="N544" s="296"/>
      <c r="O544" s="297"/>
      <c r="P544" s="298"/>
      <c r="R544" s="296"/>
      <c r="S544" s="297"/>
      <c r="T544" s="298"/>
    </row>
    <row r="545" customHeight="1" spans="5:20">
      <c r="E545" s="291"/>
      <c r="F545" s="291"/>
      <c r="G545" s="291"/>
      <c r="H545" s="291"/>
      <c r="I545" s="296"/>
      <c r="M545" s="296"/>
      <c r="N545" s="296"/>
      <c r="O545" s="297"/>
      <c r="P545" s="298"/>
      <c r="R545" s="296"/>
      <c r="S545" s="297"/>
      <c r="T545" s="298"/>
    </row>
    <row r="546" customHeight="1" spans="5:20">
      <c r="E546" s="291"/>
      <c r="F546" s="291"/>
      <c r="G546" s="291"/>
      <c r="H546" s="291"/>
      <c r="I546" s="296"/>
      <c r="M546" s="296"/>
      <c r="N546" s="296"/>
      <c r="O546" s="297"/>
      <c r="P546" s="298"/>
      <c r="R546" s="296"/>
      <c r="S546" s="297"/>
      <c r="T546" s="298"/>
    </row>
    <row r="547" customHeight="1" spans="5:20">
      <c r="E547" s="291"/>
      <c r="F547" s="291"/>
      <c r="G547" s="291"/>
      <c r="H547" s="291"/>
      <c r="I547" s="296"/>
      <c r="M547" s="296"/>
      <c r="N547" s="296"/>
      <c r="O547" s="297"/>
      <c r="P547" s="298"/>
      <c r="R547" s="296"/>
      <c r="S547" s="297"/>
      <c r="T547" s="298"/>
    </row>
    <row r="548" customHeight="1" spans="5:20">
      <c r="E548" s="291"/>
      <c r="F548" s="291"/>
      <c r="G548" s="291"/>
      <c r="H548" s="291"/>
      <c r="I548" s="296"/>
      <c r="M548" s="296"/>
      <c r="N548" s="296"/>
      <c r="O548" s="297"/>
      <c r="P548" s="298"/>
      <c r="R548" s="296"/>
      <c r="S548" s="297"/>
      <c r="T548" s="298"/>
    </row>
    <row r="549" customHeight="1" spans="5:20">
      <c r="E549" s="291"/>
      <c r="F549" s="291"/>
      <c r="G549" s="291"/>
      <c r="H549" s="291"/>
      <c r="I549" s="296"/>
      <c r="M549" s="296"/>
      <c r="N549" s="296"/>
      <c r="O549" s="297"/>
      <c r="P549" s="298"/>
      <c r="R549" s="296"/>
      <c r="S549" s="297"/>
      <c r="T549" s="298"/>
    </row>
    <row r="550" customHeight="1" spans="5:20">
      <c r="E550" s="291"/>
      <c r="F550" s="291"/>
      <c r="G550" s="291"/>
      <c r="H550" s="291"/>
      <c r="I550" s="296"/>
      <c r="M550" s="296"/>
      <c r="N550" s="296"/>
      <c r="O550" s="297"/>
      <c r="P550" s="298"/>
      <c r="R550" s="296"/>
      <c r="S550" s="297"/>
      <c r="T550" s="298"/>
    </row>
    <row r="551" customHeight="1" spans="5:20">
      <c r="E551" s="291"/>
      <c r="F551" s="291"/>
      <c r="G551" s="291"/>
      <c r="H551" s="291"/>
      <c r="I551" s="296"/>
      <c r="M551" s="296"/>
      <c r="N551" s="296"/>
      <c r="O551" s="297"/>
      <c r="P551" s="298"/>
      <c r="R551" s="296"/>
      <c r="S551" s="297"/>
      <c r="T551" s="298"/>
    </row>
    <row r="552" customHeight="1" spans="5:20">
      <c r="E552" s="291"/>
      <c r="F552" s="291"/>
      <c r="G552" s="291"/>
      <c r="H552" s="291"/>
      <c r="I552" s="296"/>
      <c r="M552" s="296"/>
      <c r="N552" s="296"/>
      <c r="O552" s="297"/>
      <c r="P552" s="298"/>
      <c r="R552" s="296"/>
      <c r="S552" s="297"/>
      <c r="T552" s="298"/>
    </row>
    <row r="553" customHeight="1" spans="5:20">
      <c r="E553" s="291"/>
      <c r="F553" s="291"/>
      <c r="G553" s="291"/>
      <c r="H553" s="291"/>
      <c r="I553" s="296"/>
      <c r="M553" s="296"/>
      <c r="N553" s="296"/>
      <c r="O553" s="297"/>
      <c r="P553" s="298"/>
      <c r="R553" s="296"/>
      <c r="S553" s="297"/>
      <c r="T553" s="298"/>
    </row>
    <row r="554" customHeight="1" spans="5:20">
      <c r="E554" s="291"/>
      <c r="F554" s="291"/>
      <c r="G554" s="291"/>
      <c r="H554" s="291"/>
      <c r="I554" s="296"/>
      <c r="M554" s="296"/>
      <c r="N554" s="296"/>
      <c r="O554" s="297"/>
      <c r="P554" s="298"/>
      <c r="R554" s="296"/>
      <c r="S554" s="297"/>
      <c r="T554" s="298"/>
    </row>
    <row r="555" customHeight="1" spans="5:20">
      <c r="E555" s="291"/>
      <c r="F555" s="291"/>
      <c r="G555" s="291"/>
      <c r="H555" s="291"/>
      <c r="I555" s="296"/>
      <c r="M555" s="296"/>
      <c r="N555" s="296"/>
      <c r="O555" s="297"/>
      <c r="P555" s="298"/>
      <c r="R555" s="296"/>
      <c r="S555" s="297"/>
      <c r="T555" s="298"/>
    </row>
    <row r="556" customHeight="1" spans="5:20">
      <c r="E556" s="291"/>
      <c r="F556" s="291"/>
      <c r="G556" s="291"/>
      <c r="H556" s="291"/>
      <c r="I556" s="296"/>
      <c r="M556" s="296"/>
      <c r="N556" s="296"/>
      <c r="O556" s="297"/>
      <c r="P556" s="298"/>
      <c r="R556" s="296"/>
      <c r="S556" s="297"/>
      <c r="T556" s="298"/>
    </row>
    <row r="557" customHeight="1" spans="5:20">
      <c r="E557" s="291"/>
      <c r="F557" s="291"/>
      <c r="G557" s="291"/>
      <c r="H557" s="291"/>
      <c r="I557" s="296"/>
      <c r="M557" s="296"/>
      <c r="N557" s="296"/>
      <c r="O557" s="297"/>
      <c r="P557" s="298"/>
      <c r="R557" s="296"/>
      <c r="S557" s="297"/>
      <c r="T557" s="298"/>
    </row>
    <row r="558" customHeight="1" spans="5:20">
      <c r="E558" s="291"/>
      <c r="F558" s="291"/>
      <c r="G558" s="291"/>
      <c r="H558" s="291"/>
      <c r="I558" s="296"/>
      <c r="M558" s="296"/>
      <c r="N558" s="296"/>
      <c r="O558" s="297"/>
      <c r="P558" s="298"/>
      <c r="R558" s="296"/>
      <c r="S558" s="297"/>
      <c r="T558" s="298"/>
    </row>
    <row r="559" customHeight="1" spans="5:20">
      <c r="E559" s="291"/>
      <c r="F559" s="291"/>
      <c r="G559" s="291"/>
      <c r="H559" s="291"/>
      <c r="I559" s="296"/>
      <c r="M559" s="296"/>
      <c r="N559" s="296"/>
      <c r="O559" s="297"/>
      <c r="P559" s="298"/>
      <c r="R559" s="296"/>
      <c r="S559" s="297"/>
      <c r="T559" s="298"/>
    </row>
    <row r="560" customHeight="1" spans="5:20">
      <c r="E560" s="291"/>
      <c r="F560" s="291"/>
      <c r="G560" s="291"/>
      <c r="H560" s="291"/>
      <c r="I560" s="296"/>
      <c r="M560" s="296"/>
      <c r="N560" s="296"/>
      <c r="O560" s="297"/>
      <c r="P560" s="298"/>
      <c r="R560" s="296"/>
      <c r="S560" s="297"/>
      <c r="T560" s="298"/>
    </row>
    <row r="561" customHeight="1" spans="5:20">
      <c r="E561" s="291"/>
      <c r="F561" s="291"/>
      <c r="G561" s="291"/>
      <c r="H561" s="291"/>
      <c r="I561" s="296"/>
      <c r="M561" s="296"/>
      <c r="N561" s="296"/>
      <c r="O561" s="297"/>
      <c r="P561" s="298"/>
      <c r="R561" s="296"/>
      <c r="S561" s="297"/>
      <c r="T561" s="298"/>
    </row>
    <row r="562" customHeight="1" spans="5:20">
      <c r="E562" s="291"/>
      <c r="F562" s="291"/>
      <c r="G562" s="291"/>
      <c r="H562" s="291"/>
      <c r="I562" s="296"/>
      <c r="M562" s="296"/>
      <c r="N562" s="296"/>
      <c r="O562" s="297"/>
      <c r="P562" s="298"/>
      <c r="R562" s="296"/>
      <c r="S562" s="297"/>
      <c r="T562" s="298"/>
    </row>
    <row r="563" customHeight="1" spans="5:20">
      <c r="E563" s="291"/>
      <c r="F563" s="291"/>
      <c r="G563" s="291"/>
      <c r="H563" s="291"/>
      <c r="I563" s="296"/>
      <c r="M563" s="296"/>
      <c r="N563" s="296"/>
      <c r="O563" s="297"/>
      <c r="P563" s="298"/>
      <c r="R563" s="296"/>
      <c r="S563" s="297"/>
      <c r="T563" s="298"/>
    </row>
    <row r="564" customHeight="1" spans="5:20">
      <c r="E564" s="291"/>
      <c r="F564" s="291"/>
      <c r="G564" s="291"/>
      <c r="H564" s="291"/>
      <c r="I564" s="296"/>
      <c r="M564" s="296"/>
      <c r="N564" s="296"/>
      <c r="O564" s="297"/>
      <c r="P564" s="298"/>
      <c r="R564" s="296"/>
      <c r="S564" s="297"/>
      <c r="T564" s="298"/>
    </row>
    <row r="565" customHeight="1" spans="5:20">
      <c r="E565" s="291"/>
      <c r="F565" s="291"/>
      <c r="G565" s="291"/>
      <c r="H565" s="291"/>
      <c r="I565" s="296"/>
      <c r="M565" s="296"/>
      <c r="N565" s="296"/>
      <c r="O565" s="297"/>
      <c r="P565" s="298"/>
      <c r="R565" s="296"/>
      <c r="S565" s="297"/>
      <c r="T565" s="298"/>
    </row>
    <row r="566" customHeight="1" spans="5:20">
      <c r="E566" s="291"/>
      <c r="F566" s="291"/>
      <c r="G566" s="291"/>
      <c r="H566" s="291"/>
      <c r="I566" s="296"/>
      <c r="M566" s="296"/>
      <c r="N566" s="296"/>
      <c r="O566" s="297"/>
      <c r="P566" s="298"/>
      <c r="R566" s="296"/>
      <c r="S566" s="297"/>
      <c r="T566" s="298"/>
    </row>
    <row r="567" customHeight="1" spans="5:20">
      <c r="E567" s="291"/>
      <c r="F567" s="291"/>
      <c r="G567" s="291"/>
      <c r="H567" s="291"/>
      <c r="I567" s="296"/>
      <c r="M567" s="296"/>
      <c r="N567" s="296"/>
      <c r="O567" s="297"/>
      <c r="P567" s="298"/>
      <c r="R567" s="296"/>
      <c r="S567" s="297"/>
      <c r="T567" s="298"/>
    </row>
    <row r="568" customHeight="1" spans="5:20">
      <c r="E568" s="291"/>
      <c r="F568" s="291"/>
      <c r="G568" s="291"/>
      <c r="H568" s="291"/>
      <c r="I568" s="296"/>
      <c r="M568" s="296"/>
      <c r="N568" s="296"/>
      <c r="O568" s="297"/>
      <c r="P568" s="298"/>
      <c r="R568" s="296"/>
      <c r="S568" s="297"/>
      <c r="T568" s="298"/>
    </row>
    <row r="569" customHeight="1" spans="5:20">
      <c r="E569" s="291"/>
      <c r="F569" s="291"/>
      <c r="G569" s="291"/>
      <c r="H569" s="291"/>
      <c r="I569" s="296"/>
      <c r="M569" s="296"/>
      <c r="N569" s="296"/>
      <c r="O569" s="297"/>
      <c r="P569" s="298"/>
      <c r="R569" s="296"/>
      <c r="S569" s="297"/>
      <c r="T569" s="298"/>
    </row>
    <row r="570" customHeight="1" spans="5:20">
      <c r="E570" s="291"/>
      <c r="F570" s="291"/>
      <c r="G570" s="291"/>
      <c r="H570" s="291"/>
      <c r="I570" s="296"/>
      <c r="M570" s="296"/>
      <c r="N570" s="296"/>
      <c r="O570" s="297"/>
      <c r="P570" s="298"/>
      <c r="R570" s="296"/>
      <c r="S570" s="297"/>
      <c r="T570" s="298"/>
    </row>
    <row r="571" customHeight="1" spans="5:20">
      <c r="E571" s="291"/>
      <c r="F571" s="291"/>
      <c r="G571" s="291"/>
      <c r="H571" s="291"/>
      <c r="I571" s="296"/>
      <c r="M571" s="296"/>
      <c r="N571" s="296"/>
      <c r="O571" s="297"/>
      <c r="P571" s="298"/>
      <c r="R571" s="296"/>
      <c r="S571" s="297"/>
      <c r="T571" s="298"/>
    </row>
    <row r="572" customHeight="1" spans="5:20">
      <c r="E572" s="291"/>
      <c r="F572" s="291"/>
      <c r="G572" s="291"/>
      <c r="H572" s="291"/>
      <c r="I572" s="296"/>
      <c r="M572" s="296"/>
      <c r="N572" s="296"/>
      <c r="O572" s="297"/>
      <c r="P572" s="298"/>
      <c r="R572" s="296"/>
      <c r="S572" s="297"/>
      <c r="T572" s="298"/>
    </row>
    <row r="573" customHeight="1" spans="5:20">
      <c r="E573" s="291"/>
      <c r="F573" s="291"/>
      <c r="G573" s="291"/>
      <c r="H573" s="291"/>
      <c r="I573" s="296"/>
      <c r="M573" s="296"/>
      <c r="N573" s="296"/>
      <c r="O573" s="297"/>
      <c r="P573" s="298"/>
      <c r="R573" s="296"/>
      <c r="S573" s="297"/>
      <c r="T573" s="298"/>
    </row>
    <row r="574" customHeight="1" spans="5:20">
      <c r="E574" s="291"/>
      <c r="F574" s="291"/>
      <c r="G574" s="291"/>
      <c r="H574" s="291"/>
      <c r="I574" s="296"/>
      <c r="M574" s="296"/>
      <c r="N574" s="296"/>
      <c r="O574" s="297"/>
      <c r="P574" s="298"/>
      <c r="R574" s="296"/>
      <c r="S574" s="297"/>
      <c r="T574" s="298"/>
    </row>
    <row r="575" customHeight="1" spans="5:20">
      <c r="E575" s="291"/>
      <c r="F575" s="291"/>
      <c r="G575" s="291"/>
      <c r="H575" s="291"/>
      <c r="I575" s="296"/>
      <c r="M575" s="296"/>
      <c r="N575" s="296"/>
      <c r="O575" s="297"/>
      <c r="P575" s="298"/>
      <c r="R575" s="296"/>
      <c r="S575" s="297"/>
      <c r="T575" s="298"/>
    </row>
    <row r="576" customHeight="1" spans="5:20">
      <c r="E576" s="291"/>
      <c r="F576" s="291"/>
      <c r="G576" s="291"/>
      <c r="H576" s="291"/>
      <c r="I576" s="296"/>
      <c r="M576" s="296"/>
      <c r="N576" s="296"/>
      <c r="O576" s="297"/>
      <c r="P576" s="298"/>
      <c r="R576" s="296"/>
      <c r="S576" s="297"/>
      <c r="T576" s="298"/>
    </row>
    <row r="577" customHeight="1" spans="5:20">
      <c r="E577" s="291"/>
      <c r="F577" s="291"/>
      <c r="G577" s="291"/>
      <c r="H577" s="291"/>
      <c r="I577" s="296"/>
      <c r="M577" s="296"/>
      <c r="N577" s="296"/>
      <c r="O577" s="297"/>
      <c r="P577" s="298"/>
      <c r="R577" s="296"/>
      <c r="S577" s="297"/>
      <c r="T577" s="298"/>
    </row>
    <row r="578" customHeight="1" spans="5:20">
      <c r="E578" s="291"/>
      <c r="F578" s="291"/>
      <c r="G578" s="291"/>
      <c r="H578" s="291"/>
      <c r="I578" s="296"/>
      <c r="M578" s="296"/>
      <c r="N578" s="296"/>
      <c r="O578" s="297"/>
      <c r="P578" s="298"/>
      <c r="R578" s="296"/>
      <c r="S578" s="297"/>
      <c r="T578" s="298"/>
    </row>
    <row r="579" customHeight="1" spans="5:20">
      <c r="E579" s="291"/>
      <c r="F579" s="291"/>
      <c r="G579" s="291"/>
      <c r="H579" s="291"/>
      <c r="I579" s="296"/>
      <c r="M579" s="296"/>
      <c r="N579" s="296"/>
      <c r="O579" s="297"/>
      <c r="P579" s="298"/>
      <c r="R579" s="296"/>
      <c r="S579" s="297"/>
      <c r="T579" s="298"/>
    </row>
    <row r="580" customHeight="1" spans="5:20">
      <c r="E580" s="291"/>
      <c r="F580" s="291"/>
      <c r="G580" s="291"/>
      <c r="H580" s="291"/>
      <c r="I580" s="296"/>
      <c r="M580" s="296"/>
      <c r="N580" s="296"/>
      <c r="O580" s="297"/>
      <c r="P580" s="298"/>
      <c r="R580" s="296"/>
      <c r="S580" s="297"/>
      <c r="T580" s="298"/>
    </row>
    <row r="581" customHeight="1" spans="5:20">
      <c r="E581" s="291"/>
      <c r="F581" s="291"/>
      <c r="G581" s="291"/>
      <c r="H581" s="291"/>
      <c r="I581" s="296"/>
      <c r="M581" s="296"/>
      <c r="N581" s="296"/>
      <c r="O581" s="297"/>
      <c r="P581" s="298"/>
      <c r="R581" s="296"/>
      <c r="S581" s="297"/>
      <c r="T581" s="298"/>
    </row>
    <row r="582" customHeight="1" spans="5:20">
      <c r="E582" s="291"/>
      <c r="F582" s="291"/>
      <c r="G582" s="291"/>
      <c r="H582" s="291"/>
      <c r="I582" s="296"/>
      <c r="M582" s="296"/>
      <c r="N582" s="296"/>
      <c r="O582" s="297"/>
      <c r="P582" s="298"/>
      <c r="R582" s="296"/>
      <c r="S582" s="297"/>
      <c r="T582" s="298"/>
    </row>
    <row r="583" customHeight="1" spans="5:20">
      <c r="E583" s="291"/>
      <c r="F583" s="291"/>
      <c r="G583" s="291"/>
      <c r="H583" s="291"/>
      <c r="I583" s="296"/>
      <c r="M583" s="296"/>
      <c r="N583" s="296"/>
      <c r="O583" s="297"/>
      <c r="P583" s="298"/>
      <c r="R583" s="296"/>
      <c r="S583" s="297"/>
      <c r="T583" s="298"/>
    </row>
    <row r="584" customHeight="1" spans="5:20">
      <c r="E584" s="291"/>
      <c r="F584" s="291"/>
      <c r="G584" s="291"/>
      <c r="H584" s="291"/>
      <c r="I584" s="296"/>
      <c r="M584" s="296"/>
      <c r="N584" s="296"/>
      <c r="O584" s="297"/>
      <c r="P584" s="298"/>
      <c r="R584" s="296"/>
      <c r="S584" s="297"/>
      <c r="T584" s="298"/>
    </row>
    <row r="585" customHeight="1" spans="5:20">
      <c r="E585" s="291"/>
      <c r="F585" s="291"/>
      <c r="G585" s="291"/>
      <c r="H585" s="291"/>
      <c r="I585" s="296"/>
      <c r="M585" s="296"/>
      <c r="N585" s="296"/>
      <c r="O585" s="297"/>
      <c r="P585" s="298"/>
      <c r="R585" s="296"/>
      <c r="S585" s="297"/>
      <c r="T585" s="298"/>
    </row>
    <row r="586" customHeight="1" spans="5:20">
      <c r="E586" s="291"/>
      <c r="F586" s="291"/>
      <c r="G586" s="291"/>
      <c r="H586" s="291"/>
      <c r="I586" s="296"/>
      <c r="M586" s="296"/>
      <c r="N586" s="296"/>
      <c r="O586" s="297"/>
      <c r="P586" s="298"/>
      <c r="R586" s="296"/>
      <c r="S586" s="297"/>
      <c r="T586" s="298"/>
    </row>
    <row r="587" customHeight="1" spans="5:20">
      <c r="E587" s="291"/>
      <c r="F587" s="291"/>
      <c r="G587" s="291"/>
      <c r="H587" s="291"/>
      <c r="I587" s="296"/>
      <c r="M587" s="296"/>
      <c r="N587" s="296"/>
      <c r="O587" s="297"/>
      <c r="P587" s="298"/>
      <c r="R587" s="296"/>
      <c r="S587" s="297"/>
      <c r="T587" s="298"/>
    </row>
    <row r="588" customHeight="1" spans="5:20">
      <c r="E588" s="291"/>
      <c r="F588" s="291"/>
      <c r="G588" s="291"/>
      <c r="H588" s="291"/>
      <c r="I588" s="296"/>
      <c r="M588" s="296"/>
      <c r="N588" s="296"/>
      <c r="O588" s="297"/>
      <c r="P588" s="298"/>
      <c r="R588" s="296"/>
      <c r="S588" s="297"/>
      <c r="T588" s="298"/>
    </row>
    <row r="589" customHeight="1" spans="5:20">
      <c r="E589" s="291"/>
      <c r="F589" s="291"/>
      <c r="G589" s="291"/>
      <c r="H589" s="291"/>
      <c r="I589" s="296"/>
      <c r="M589" s="296"/>
      <c r="N589" s="296"/>
      <c r="O589" s="297"/>
      <c r="P589" s="298"/>
      <c r="R589" s="296"/>
      <c r="S589" s="297"/>
      <c r="T589" s="298"/>
    </row>
    <row r="590" customHeight="1" spans="5:20">
      <c r="E590" s="291"/>
      <c r="F590" s="291"/>
      <c r="G590" s="291"/>
      <c r="H590" s="291"/>
      <c r="I590" s="296"/>
      <c r="M590" s="296"/>
      <c r="N590" s="296"/>
      <c r="O590" s="297"/>
      <c r="P590" s="298"/>
      <c r="R590" s="296"/>
      <c r="S590" s="297"/>
      <c r="T590" s="298"/>
    </row>
    <row r="591" customHeight="1" spans="5:20">
      <c r="E591" s="291"/>
      <c r="F591" s="291"/>
      <c r="G591" s="291"/>
      <c r="H591" s="291"/>
      <c r="I591" s="296"/>
      <c r="M591" s="296"/>
      <c r="N591" s="296"/>
      <c r="O591" s="297"/>
      <c r="P591" s="298"/>
      <c r="R591" s="296"/>
      <c r="S591" s="297"/>
      <c r="T591" s="298"/>
    </row>
    <row r="592" customHeight="1" spans="5:20">
      <c r="E592" s="291"/>
      <c r="F592" s="291"/>
      <c r="G592" s="291"/>
      <c r="H592" s="291"/>
      <c r="I592" s="296"/>
      <c r="M592" s="296"/>
      <c r="N592" s="296"/>
      <c r="O592" s="297"/>
      <c r="P592" s="298"/>
      <c r="R592" s="296"/>
      <c r="S592" s="297"/>
      <c r="T592" s="298"/>
    </row>
    <row r="593" customHeight="1" spans="5:20">
      <c r="E593" s="291"/>
      <c r="F593" s="291"/>
      <c r="G593" s="291"/>
      <c r="H593" s="291"/>
      <c r="I593" s="296"/>
      <c r="M593" s="296"/>
      <c r="N593" s="296"/>
      <c r="O593" s="297"/>
      <c r="P593" s="298"/>
      <c r="R593" s="296"/>
      <c r="S593" s="297"/>
      <c r="T593" s="298"/>
    </row>
    <row r="594" customHeight="1" spans="5:20">
      <c r="E594" s="291"/>
      <c r="F594" s="291"/>
      <c r="G594" s="291"/>
      <c r="H594" s="291"/>
      <c r="I594" s="296"/>
      <c r="M594" s="296"/>
      <c r="N594" s="296"/>
      <c r="O594" s="297"/>
      <c r="P594" s="298"/>
      <c r="R594" s="296"/>
      <c r="S594" s="297"/>
      <c r="T594" s="298"/>
    </row>
    <row r="595" customHeight="1" spans="5:20">
      <c r="E595" s="291"/>
      <c r="F595" s="291"/>
      <c r="G595" s="291"/>
      <c r="H595" s="291"/>
      <c r="I595" s="296"/>
      <c r="M595" s="296"/>
      <c r="N595" s="296"/>
      <c r="O595" s="297"/>
      <c r="P595" s="298"/>
      <c r="R595" s="296"/>
      <c r="S595" s="297"/>
      <c r="T595" s="298"/>
    </row>
    <row r="596" customHeight="1" spans="5:20">
      <c r="E596" s="291"/>
      <c r="F596" s="291"/>
      <c r="G596" s="291"/>
      <c r="H596" s="291"/>
      <c r="I596" s="296"/>
      <c r="M596" s="296"/>
      <c r="N596" s="296"/>
      <c r="O596" s="297"/>
      <c r="P596" s="298"/>
      <c r="R596" s="296"/>
      <c r="S596" s="297"/>
      <c r="T596" s="298"/>
    </row>
    <row r="597" customHeight="1" spans="5:20">
      <c r="E597" s="291"/>
      <c r="F597" s="291"/>
      <c r="G597" s="291"/>
      <c r="H597" s="291"/>
      <c r="I597" s="296"/>
      <c r="M597" s="296"/>
      <c r="N597" s="296"/>
      <c r="O597" s="297"/>
      <c r="P597" s="298"/>
      <c r="R597" s="296"/>
      <c r="S597" s="297"/>
      <c r="T597" s="298"/>
    </row>
    <row r="598" customHeight="1" spans="5:20">
      <c r="E598" s="291"/>
      <c r="F598" s="291"/>
      <c r="G598" s="291"/>
      <c r="H598" s="291"/>
      <c r="I598" s="296"/>
      <c r="M598" s="296"/>
      <c r="N598" s="296"/>
      <c r="O598" s="297"/>
      <c r="P598" s="298"/>
      <c r="R598" s="296"/>
      <c r="S598" s="297"/>
      <c r="T598" s="298"/>
    </row>
    <row r="599" customHeight="1" spans="5:20">
      <c r="E599" s="291"/>
      <c r="F599" s="291"/>
      <c r="G599" s="291"/>
      <c r="H599" s="291"/>
      <c r="I599" s="296"/>
      <c r="M599" s="296"/>
      <c r="N599" s="296"/>
      <c r="O599" s="297"/>
      <c r="P599" s="298"/>
      <c r="R599" s="296"/>
      <c r="S599" s="297"/>
      <c r="T599" s="298"/>
    </row>
    <row r="600" customHeight="1" spans="5:20">
      <c r="E600" s="291"/>
      <c r="F600" s="291"/>
      <c r="G600" s="291"/>
      <c r="H600" s="291"/>
      <c r="I600" s="296"/>
      <c r="M600" s="296"/>
      <c r="N600" s="296"/>
      <c r="O600" s="297"/>
      <c r="P600" s="298"/>
      <c r="R600" s="296"/>
      <c r="S600" s="297"/>
      <c r="T600" s="298"/>
    </row>
    <row r="601" customHeight="1" spans="5:20">
      <c r="E601" s="291"/>
      <c r="F601" s="291"/>
      <c r="G601" s="291"/>
      <c r="H601" s="291"/>
      <c r="I601" s="296"/>
      <c r="M601" s="296"/>
      <c r="N601" s="296"/>
      <c r="O601" s="297"/>
      <c r="P601" s="298"/>
      <c r="R601" s="296"/>
      <c r="S601" s="297"/>
      <c r="T601" s="298"/>
    </row>
    <row r="602" customHeight="1" spans="5:20">
      <c r="E602" s="291"/>
      <c r="F602" s="291"/>
      <c r="G602" s="291"/>
      <c r="H602" s="291"/>
      <c r="I602" s="296"/>
      <c r="M602" s="296"/>
      <c r="N602" s="296"/>
      <c r="O602" s="297"/>
      <c r="P602" s="298"/>
      <c r="R602" s="296"/>
      <c r="S602" s="297"/>
      <c r="T602" s="298"/>
    </row>
    <row r="603" customHeight="1" spans="5:20">
      <c r="E603" s="291"/>
      <c r="F603" s="291"/>
      <c r="G603" s="291"/>
      <c r="H603" s="291"/>
      <c r="I603" s="296"/>
      <c r="M603" s="296"/>
      <c r="N603" s="296"/>
      <c r="O603" s="297"/>
      <c r="P603" s="298"/>
      <c r="R603" s="296"/>
      <c r="S603" s="297"/>
      <c r="T603" s="298"/>
    </row>
    <row r="604" customHeight="1" spans="5:20">
      <c r="E604" s="291"/>
      <c r="F604" s="291"/>
      <c r="G604" s="291"/>
      <c r="H604" s="291"/>
      <c r="I604" s="296"/>
      <c r="M604" s="296"/>
      <c r="N604" s="296"/>
      <c r="O604" s="297"/>
      <c r="P604" s="298"/>
      <c r="R604" s="296"/>
      <c r="S604" s="297"/>
      <c r="T604" s="298"/>
    </row>
    <row r="605" customHeight="1" spans="5:20">
      <c r="E605" s="291"/>
      <c r="F605" s="291"/>
      <c r="G605" s="291"/>
      <c r="H605" s="291"/>
      <c r="I605" s="296"/>
      <c r="M605" s="296"/>
      <c r="N605" s="296"/>
      <c r="O605" s="297"/>
      <c r="P605" s="298"/>
      <c r="R605" s="296"/>
      <c r="S605" s="297"/>
      <c r="T605" s="298"/>
    </row>
    <row r="606" customHeight="1" spans="5:20">
      <c r="E606" s="291"/>
      <c r="F606" s="291"/>
      <c r="G606" s="291"/>
      <c r="H606" s="291"/>
      <c r="I606" s="296"/>
      <c r="M606" s="296"/>
      <c r="N606" s="296"/>
      <c r="O606" s="297"/>
      <c r="P606" s="298"/>
      <c r="R606" s="296"/>
      <c r="S606" s="297"/>
      <c r="T606" s="298"/>
    </row>
    <row r="607" customHeight="1" spans="5:20">
      <c r="E607" s="291"/>
      <c r="F607" s="291"/>
      <c r="G607" s="291"/>
      <c r="H607" s="291"/>
      <c r="I607" s="296"/>
      <c r="M607" s="296"/>
      <c r="N607" s="296"/>
      <c r="O607" s="297"/>
      <c r="P607" s="298"/>
      <c r="R607" s="296"/>
      <c r="S607" s="297"/>
      <c r="T607" s="298"/>
    </row>
    <row r="608" customHeight="1" spans="5:20">
      <c r="E608" s="291"/>
      <c r="F608" s="291"/>
      <c r="G608" s="291"/>
      <c r="H608" s="291"/>
      <c r="I608" s="296"/>
      <c r="M608" s="296"/>
      <c r="N608" s="296"/>
      <c r="O608" s="297"/>
      <c r="P608" s="298"/>
      <c r="R608" s="296"/>
      <c r="S608" s="297"/>
      <c r="T608" s="298"/>
    </row>
    <row r="609" customHeight="1" spans="5:20">
      <c r="E609" s="291"/>
      <c r="F609" s="291"/>
      <c r="G609" s="291"/>
      <c r="H609" s="291"/>
      <c r="I609" s="296"/>
      <c r="M609" s="296"/>
      <c r="N609" s="296"/>
      <c r="O609" s="297"/>
      <c r="P609" s="298"/>
      <c r="R609" s="296"/>
      <c r="S609" s="297"/>
      <c r="T609" s="298"/>
    </row>
    <row r="610" customHeight="1" spans="5:20">
      <c r="E610" s="291"/>
      <c r="F610" s="291"/>
      <c r="G610" s="291"/>
      <c r="H610" s="291"/>
      <c r="I610" s="296"/>
      <c r="M610" s="296"/>
      <c r="N610" s="296"/>
      <c r="O610" s="297"/>
      <c r="P610" s="298"/>
      <c r="R610" s="296"/>
      <c r="S610" s="297"/>
      <c r="T610" s="298"/>
    </row>
    <row r="611" customHeight="1" spans="5:20">
      <c r="E611" s="291"/>
      <c r="F611" s="291"/>
      <c r="G611" s="291"/>
      <c r="H611" s="291"/>
      <c r="I611" s="296"/>
      <c r="M611" s="296"/>
      <c r="N611" s="296"/>
      <c r="O611" s="297"/>
      <c r="P611" s="298"/>
      <c r="R611" s="296"/>
      <c r="S611" s="297"/>
      <c r="T611" s="298"/>
    </row>
    <row r="612" customHeight="1" spans="5:20">
      <c r="E612" s="291"/>
      <c r="F612" s="291"/>
      <c r="G612" s="291"/>
      <c r="H612" s="291"/>
      <c r="I612" s="296"/>
      <c r="M612" s="296"/>
      <c r="N612" s="296"/>
      <c r="O612" s="297"/>
      <c r="P612" s="298"/>
      <c r="R612" s="296"/>
      <c r="S612" s="297"/>
      <c r="T612" s="298"/>
    </row>
    <row r="613" customHeight="1" spans="5:20">
      <c r="E613" s="291"/>
      <c r="F613" s="291"/>
      <c r="G613" s="291"/>
      <c r="H613" s="291"/>
      <c r="I613" s="296"/>
      <c r="M613" s="296"/>
      <c r="N613" s="296"/>
      <c r="O613" s="297"/>
      <c r="P613" s="298"/>
      <c r="R613" s="296"/>
      <c r="S613" s="297"/>
      <c r="T613" s="298"/>
    </row>
    <row r="614" customHeight="1" spans="5:20">
      <c r="E614" s="291"/>
      <c r="F614" s="291"/>
      <c r="G614" s="291"/>
      <c r="H614" s="291"/>
      <c r="I614" s="296"/>
      <c r="M614" s="296"/>
      <c r="N614" s="296"/>
      <c r="O614" s="297"/>
      <c r="P614" s="298"/>
      <c r="R614" s="296"/>
      <c r="S614" s="297"/>
      <c r="T614" s="298"/>
    </row>
    <row r="615" customHeight="1" spans="5:20">
      <c r="E615" s="291"/>
      <c r="F615" s="291"/>
      <c r="G615" s="291"/>
      <c r="H615" s="291"/>
      <c r="I615" s="296"/>
      <c r="M615" s="296"/>
      <c r="N615" s="296"/>
      <c r="O615" s="297"/>
      <c r="P615" s="298"/>
      <c r="R615" s="296"/>
      <c r="S615" s="297"/>
      <c r="T615" s="298"/>
    </row>
    <row r="616" customHeight="1" spans="5:20">
      <c r="E616" s="291"/>
      <c r="F616" s="291"/>
      <c r="G616" s="291"/>
      <c r="H616" s="291"/>
      <c r="I616" s="296"/>
      <c r="M616" s="296"/>
      <c r="N616" s="296"/>
      <c r="O616" s="297"/>
      <c r="P616" s="298"/>
      <c r="R616" s="296"/>
      <c r="S616" s="297"/>
      <c r="T616" s="298"/>
    </row>
    <row r="617" customHeight="1" spans="5:20">
      <c r="E617" s="291"/>
      <c r="F617" s="291"/>
      <c r="G617" s="291"/>
      <c r="H617" s="291"/>
      <c r="I617" s="296"/>
      <c r="M617" s="296"/>
      <c r="N617" s="296"/>
      <c r="O617" s="297"/>
      <c r="P617" s="298"/>
      <c r="R617" s="296"/>
      <c r="S617" s="297"/>
      <c r="T617" s="298"/>
    </row>
    <row r="618" customHeight="1" spans="5:20">
      <c r="E618" s="291"/>
      <c r="F618" s="291"/>
      <c r="G618" s="291"/>
      <c r="H618" s="291"/>
      <c r="I618" s="296"/>
      <c r="M618" s="296"/>
      <c r="N618" s="296"/>
      <c r="O618" s="297"/>
      <c r="P618" s="298"/>
      <c r="R618" s="296"/>
      <c r="S618" s="297"/>
      <c r="T618" s="298"/>
    </row>
    <row r="619" customHeight="1" spans="5:20">
      <c r="E619" s="291"/>
      <c r="F619" s="291"/>
      <c r="G619" s="291"/>
      <c r="H619" s="291"/>
      <c r="I619" s="296"/>
      <c r="M619" s="296"/>
      <c r="N619" s="296"/>
      <c r="O619" s="297"/>
      <c r="P619" s="298"/>
      <c r="R619" s="296"/>
      <c r="S619" s="297"/>
      <c r="T619" s="298"/>
    </row>
    <row r="620" customHeight="1" spans="5:20">
      <c r="E620" s="291"/>
      <c r="F620" s="291"/>
      <c r="G620" s="291"/>
      <c r="H620" s="291"/>
      <c r="I620" s="296"/>
      <c r="M620" s="296"/>
      <c r="N620" s="296"/>
      <c r="O620" s="297"/>
      <c r="P620" s="298"/>
      <c r="R620" s="296"/>
      <c r="S620" s="297"/>
      <c r="T620" s="298"/>
    </row>
    <row r="621" customHeight="1" spans="5:20">
      <c r="E621" s="291"/>
      <c r="F621" s="291"/>
      <c r="G621" s="291"/>
      <c r="H621" s="291"/>
      <c r="I621" s="296"/>
      <c r="M621" s="296"/>
      <c r="N621" s="296"/>
      <c r="O621" s="297"/>
      <c r="P621" s="298"/>
      <c r="R621" s="296"/>
      <c r="S621" s="297"/>
      <c r="T621" s="298"/>
    </row>
    <row r="622" customHeight="1" spans="5:20">
      <c r="E622" s="291"/>
      <c r="F622" s="291"/>
      <c r="G622" s="291"/>
      <c r="H622" s="291"/>
      <c r="I622" s="296"/>
      <c r="M622" s="296"/>
      <c r="N622" s="296"/>
      <c r="O622" s="297"/>
      <c r="P622" s="298"/>
      <c r="R622" s="296"/>
      <c r="S622" s="297"/>
      <c r="T622" s="298"/>
    </row>
    <row r="623" customHeight="1" spans="5:20">
      <c r="E623" s="291"/>
      <c r="F623" s="291"/>
      <c r="G623" s="291"/>
      <c r="H623" s="291"/>
      <c r="I623" s="296"/>
      <c r="M623" s="296"/>
      <c r="N623" s="296"/>
      <c r="O623" s="297"/>
      <c r="P623" s="298"/>
      <c r="R623" s="296"/>
      <c r="S623" s="297"/>
      <c r="T623" s="298"/>
    </row>
    <row r="624" customHeight="1" spans="5:20">
      <c r="E624" s="291"/>
      <c r="F624" s="291"/>
      <c r="G624" s="291"/>
      <c r="H624" s="291"/>
      <c r="I624" s="296"/>
      <c r="M624" s="296"/>
      <c r="N624" s="296"/>
      <c r="O624" s="297"/>
      <c r="P624" s="298"/>
      <c r="R624" s="296"/>
      <c r="S624" s="297"/>
      <c r="T624" s="298"/>
    </row>
    <row r="625" customHeight="1" spans="5:20">
      <c r="E625" s="291"/>
      <c r="F625" s="291"/>
      <c r="G625" s="291"/>
      <c r="H625" s="291"/>
      <c r="I625" s="296"/>
      <c r="M625" s="296"/>
      <c r="N625" s="296"/>
      <c r="O625" s="297"/>
      <c r="P625" s="298"/>
      <c r="R625" s="296"/>
      <c r="S625" s="297"/>
      <c r="T625" s="298"/>
    </row>
    <row r="626" customHeight="1" spans="5:20">
      <c r="E626" s="291"/>
      <c r="F626" s="291"/>
      <c r="G626" s="291"/>
      <c r="H626" s="291"/>
      <c r="I626" s="296"/>
      <c r="M626" s="296"/>
      <c r="N626" s="296"/>
      <c r="O626" s="297"/>
      <c r="P626" s="298"/>
      <c r="R626" s="296"/>
      <c r="S626" s="297"/>
      <c r="T626" s="298"/>
    </row>
    <row r="627" customHeight="1" spans="5:20">
      <c r="E627" s="291"/>
      <c r="F627" s="291"/>
      <c r="G627" s="291"/>
      <c r="H627" s="291"/>
      <c r="I627" s="296"/>
      <c r="M627" s="296"/>
      <c r="N627" s="296"/>
      <c r="O627" s="297"/>
      <c r="P627" s="298"/>
      <c r="R627" s="296"/>
      <c r="S627" s="297"/>
      <c r="T627" s="298"/>
    </row>
    <row r="628" customHeight="1" spans="5:20">
      <c r="E628" s="291"/>
      <c r="F628" s="291"/>
      <c r="G628" s="291"/>
      <c r="H628" s="291"/>
      <c r="I628" s="296"/>
      <c r="M628" s="296"/>
      <c r="N628" s="296"/>
      <c r="O628" s="297"/>
      <c r="P628" s="298"/>
      <c r="R628" s="296"/>
      <c r="S628" s="297"/>
      <c r="T628" s="298"/>
    </row>
    <row r="629" customHeight="1" spans="5:20">
      <c r="E629" s="291"/>
      <c r="F629" s="291"/>
      <c r="G629" s="291"/>
      <c r="H629" s="291"/>
      <c r="I629" s="296"/>
      <c r="M629" s="296"/>
      <c r="N629" s="296"/>
      <c r="O629" s="297"/>
      <c r="P629" s="298"/>
      <c r="R629" s="296"/>
      <c r="S629" s="297"/>
      <c r="T629" s="298"/>
    </row>
    <row r="630" customHeight="1" spans="5:20">
      <c r="E630" s="291"/>
      <c r="F630" s="291"/>
      <c r="G630" s="291"/>
      <c r="H630" s="291"/>
      <c r="I630" s="296"/>
      <c r="M630" s="296"/>
      <c r="N630" s="296"/>
      <c r="O630" s="297"/>
      <c r="P630" s="298"/>
      <c r="R630" s="296"/>
      <c r="S630" s="297"/>
      <c r="T630" s="298"/>
    </row>
    <row r="631" customHeight="1" spans="5:20">
      <c r="E631" s="291"/>
      <c r="F631" s="291"/>
      <c r="G631" s="291"/>
      <c r="H631" s="291"/>
      <c r="I631" s="296"/>
      <c r="M631" s="296"/>
      <c r="N631" s="296"/>
      <c r="O631" s="297"/>
      <c r="P631" s="298"/>
      <c r="R631" s="296"/>
      <c r="S631" s="297"/>
      <c r="T631" s="298"/>
    </row>
    <row r="632" customHeight="1" spans="5:20">
      <c r="E632" s="291"/>
      <c r="F632" s="291"/>
      <c r="G632" s="291"/>
      <c r="H632" s="291"/>
      <c r="I632" s="296"/>
      <c r="M632" s="296"/>
      <c r="N632" s="296"/>
      <c r="O632" s="297"/>
      <c r="P632" s="298"/>
      <c r="R632" s="296"/>
      <c r="S632" s="297"/>
      <c r="T632" s="298"/>
    </row>
    <row r="633" customHeight="1" spans="5:20">
      <c r="E633" s="291"/>
      <c r="F633" s="291"/>
      <c r="G633" s="291"/>
      <c r="H633" s="291"/>
      <c r="I633" s="296"/>
      <c r="M633" s="296"/>
      <c r="N633" s="296"/>
      <c r="O633" s="297"/>
      <c r="P633" s="298"/>
      <c r="R633" s="296"/>
      <c r="S633" s="297"/>
      <c r="T633" s="298"/>
    </row>
    <row r="634" customHeight="1" spans="5:20">
      <c r="E634" s="291"/>
      <c r="F634" s="291"/>
      <c r="G634" s="291"/>
      <c r="H634" s="291"/>
      <c r="I634" s="296"/>
      <c r="M634" s="296"/>
      <c r="N634" s="296"/>
      <c r="O634" s="297"/>
      <c r="P634" s="298"/>
      <c r="R634" s="296"/>
      <c r="S634" s="297"/>
      <c r="T634" s="298"/>
    </row>
    <row r="635" customHeight="1" spans="5:20">
      <c r="E635" s="291"/>
      <c r="F635" s="291"/>
      <c r="G635" s="291"/>
      <c r="H635" s="291"/>
      <c r="I635" s="296"/>
      <c r="M635" s="296"/>
      <c r="N635" s="296"/>
      <c r="O635" s="297"/>
      <c r="P635" s="298"/>
      <c r="R635" s="296"/>
      <c r="S635" s="297"/>
      <c r="T635" s="298"/>
    </row>
    <row r="636" customHeight="1" spans="5:20">
      <c r="E636" s="291"/>
      <c r="F636" s="291"/>
      <c r="G636" s="291"/>
      <c r="H636" s="291"/>
      <c r="I636" s="296"/>
      <c r="M636" s="296"/>
      <c r="N636" s="296"/>
      <c r="O636" s="297"/>
      <c r="P636" s="298"/>
      <c r="R636" s="296"/>
      <c r="S636" s="297"/>
      <c r="T636" s="298"/>
    </row>
    <row r="637" customHeight="1" spans="5:20">
      <c r="E637" s="291"/>
      <c r="F637" s="291"/>
      <c r="G637" s="291"/>
      <c r="H637" s="291"/>
      <c r="I637" s="296"/>
      <c r="M637" s="296"/>
      <c r="N637" s="296"/>
      <c r="O637" s="297"/>
      <c r="P637" s="298"/>
      <c r="R637" s="296"/>
      <c r="S637" s="297"/>
      <c r="T637" s="298"/>
    </row>
    <row r="638" customHeight="1" spans="5:20">
      <c r="E638" s="291"/>
      <c r="F638" s="291"/>
      <c r="G638" s="291"/>
      <c r="H638" s="291"/>
      <c r="I638" s="296"/>
      <c r="M638" s="296"/>
      <c r="N638" s="296"/>
      <c r="O638" s="297"/>
      <c r="P638" s="298"/>
      <c r="R638" s="296"/>
      <c r="S638" s="297"/>
      <c r="T638" s="298"/>
    </row>
    <row r="639" customHeight="1" spans="5:20">
      <c r="E639" s="291"/>
      <c r="F639" s="291"/>
      <c r="G639" s="291"/>
      <c r="H639" s="291"/>
      <c r="I639" s="296"/>
      <c r="M639" s="296"/>
      <c r="N639" s="296"/>
      <c r="O639" s="297"/>
      <c r="P639" s="298"/>
      <c r="R639" s="296"/>
      <c r="S639" s="297"/>
      <c r="T639" s="298"/>
    </row>
    <row r="640" customHeight="1" spans="5:20">
      <c r="E640" s="291"/>
      <c r="F640" s="291"/>
      <c r="G640" s="291"/>
      <c r="H640" s="291"/>
      <c r="I640" s="296"/>
      <c r="M640" s="296"/>
      <c r="N640" s="296"/>
      <c r="O640" s="297"/>
      <c r="P640" s="298"/>
      <c r="R640" s="296"/>
      <c r="S640" s="297"/>
      <c r="T640" s="298"/>
    </row>
    <row r="641" customHeight="1" spans="5:20">
      <c r="E641" s="291"/>
      <c r="F641" s="291"/>
      <c r="G641" s="291"/>
      <c r="H641" s="291"/>
      <c r="I641" s="296"/>
      <c r="M641" s="296"/>
      <c r="N641" s="296"/>
      <c r="O641" s="297"/>
      <c r="P641" s="298"/>
      <c r="R641" s="296"/>
      <c r="S641" s="297"/>
      <c r="T641" s="298"/>
    </row>
    <row r="642" customHeight="1" spans="5:20">
      <c r="E642" s="291"/>
      <c r="F642" s="291"/>
      <c r="G642" s="291"/>
      <c r="H642" s="291"/>
      <c r="I642" s="296"/>
      <c r="M642" s="296"/>
      <c r="N642" s="296"/>
      <c r="O642" s="297"/>
      <c r="P642" s="298"/>
      <c r="R642" s="296"/>
      <c r="S642" s="297"/>
      <c r="T642" s="298"/>
    </row>
    <row r="643" customHeight="1" spans="5:20">
      <c r="E643" s="291"/>
      <c r="F643" s="291"/>
      <c r="G643" s="291"/>
      <c r="H643" s="291"/>
      <c r="I643" s="296"/>
      <c r="M643" s="296"/>
      <c r="N643" s="296"/>
      <c r="O643" s="297"/>
      <c r="P643" s="298"/>
      <c r="R643" s="296"/>
      <c r="S643" s="297"/>
      <c r="T643" s="298"/>
    </row>
    <row r="644" customHeight="1" spans="5:20">
      <c r="E644" s="291"/>
      <c r="F644" s="291"/>
      <c r="G644" s="291"/>
      <c r="H644" s="291"/>
      <c r="I644" s="296"/>
      <c r="M644" s="296"/>
      <c r="N644" s="296"/>
      <c r="O644" s="297"/>
      <c r="P644" s="298"/>
      <c r="R644" s="296"/>
      <c r="S644" s="297"/>
      <c r="T644" s="298"/>
    </row>
    <row r="645" customHeight="1" spans="5:20">
      <c r="E645" s="291"/>
      <c r="F645" s="291"/>
      <c r="G645" s="291"/>
      <c r="H645" s="291"/>
      <c r="I645" s="296"/>
      <c r="M645" s="296"/>
      <c r="N645" s="296"/>
      <c r="O645" s="297"/>
      <c r="P645" s="298"/>
      <c r="R645" s="296"/>
      <c r="S645" s="297"/>
      <c r="T645" s="298"/>
    </row>
    <row r="646" customHeight="1" spans="5:20">
      <c r="E646" s="291"/>
      <c r="F646" s="291"/>
      <c r="G646" s="291"/>
      <c r="H646" s="291"/>
      <c r="I646" s="296"/>
      <c r="M646" s="296"/>
      <c r="N646" s="296"/>
      <c r="O646" s="297"/>
      <c r="P646" s="298"/>
      <c r="R646" s="296"/>
      <c r="S646" s="297"/>
      <c r="T646" s="298"/>
    </row>
    <row r="647" customHeight="1" spans="5:20">
      <c r="E647" s="291"/>
      <c r="F647" s="291"/>
      <c r="G647" s="291"/>
      <c r="H647" s="291"/>
      <c r="I647" s="296"/>
      <c r="M647" s="296"/>
      <c r="N647" s="296"/>
      <c r="O647" s="297"/>
      <c r="P647" s="298"/>
      <c r="R647" s="296"/>
      <c r="S647" s="297"/>
      <c r="T647" s="298"/>
    </row>
    <row r="648" customHeight="1" spans="5:20">
      <c r="E648" s="291"/>
      <c r="F648" s="291"/>
      <c r="G648" s="291"/>
      <c r="H648" s="291"/>
      <c r="I648" s="296"/>
      <c r="M648" s="296"/>
      <c r="N648" s="296"/>
      <c r="O648" s="297"/>
      <c r="P648" s="298"/>
      <c r="R648" s="296"/>
      <c r="S648" s="297"/>
      <c r="T648" s="298"/>
    </row>
    <row r="649" customHeight="1" spans="5:20">
      <c r="E649" s="291"/>
      <c r="F649" s="291"/>
      <c r="G649" s="291"/>
      <c r="H649" s="291"/>
      <c r="I649" s="296"/>
      <c r="M649" s="296"/>
      <c r="N649" s="296"/>
      <c r="O649" s="297"/>
      <c r="P649" s="298"/>
      <c r="R649" s="296"/>
      <c r="S649" s="297"/>
      <c r="T649" s="298"/>
    </row>
    <row r="650" customHeight="1" spans="5:20">
      <c r="E650" s="291"/>
      <c r="F650" s="291"/>
      <c r="G650" s="291"/>
      <c r="H650" s="291"/>
      <c r="I650" s="296"/>
      <c r="M650" s="296"/>
      <c r="N650" s="296"/>
      <c r="O650" s="297"/>
      <c r="P650" s="298"/>
      <c r="R650" s="296"/>
      <c r="S650" s="297"/>
      <c r="T650" s="298"/>
    </row>
    <row r="651" customHeight="1" spans="5:20">
      <c r="E651" s="291"/>
      <c r="F651" s="291"/>
      <c r="G651" s="291"/>
      <c r="H651" s="291"/>
      <c r="I651" s="296"/>
      <c r="M651" s="296"/>
      <c r="N651" s="296"/>
      <c r="O651" s="297"/>
      <c r="P651" s="298"/>
      <c r="R651" s="296"/>
      <c r="S651" s="297"/>
      <c r="T651" s="298"/>
    </row>
    <row r="652" customHeight="1" spans="5:20">
      <c r="E652" s="291"/>
      <c r="F652" s="291"/>
      <c r="G652" s="291"/>
      <c r="H652" s="291"/>
      <c r="I652" s="296"/>
      <c r="M652" s="296"/>
      <c r="N652" s="296"/>
      <c r="O652" s="297"/>
      <c r="P652" s="298"/>
      <c r="R652" s="296"/>
      <c r="S652" s="297"/>
      <c r="T652" s="298"/>
    </row>
    <row r="653" customHeight="1" spans="5:20">
      <c r="E653" s="291"/>
      <c r="F653" s="291"/>
      <c r="G653" s="291"/>
      <c r="H653" s="291"/>
      <c r="I653" s="296"/>
      <c r="M653" s="296"/>
      <c r="N653" s="296"/>
      <c r="O653" s="297"/>
      <c r="P653" s="298"/>
      <c r="R653" s="296"/>
      <c r="S653" s="297"/>
      <c r="T653" s="298"/>
    </row>
    <row r="654" customHeight="1" spans="5:20">
      <c r="E654" s="291"/>
      <c r="F654" s="291"/>
      <c r="G654" s="291"/>
      <c r="H654" s="291"/>
      <c r="I654" s="296"/>
      <c r="M654" s="296"/>
      <c r="N654" s="296"/>
      <c r="O654" s="297"/>
      <c r="P654" s="298"/>
      <c r="R654" s="296"/>
      <c r="S654" s="297"/>
      <c r="T654" s="298"/>
    </row>
    <row r="655" customHeight="1" spans="5:20">
      <c r="E655" s="291"/>
      <c r="F655" s="291"/>
      <c r="G655" s="291"/>
      <c r="H655" s="291"/>
      <c r="I655" s="296"/>
      <c r="M655" s="296"/>
      <c r="N655" s="296"/>
      <c r="O655" s="297"/>
      <c r="P655" s="298"/>
      <c r="R655" s="296"/>
      <c r="S655" s="297"/>
      <c r="T655" s="298"/>
    </row>
    <row r="656" customHeight="1" spans="5:20">
      <c r="E656" s="291"/>
      <c r="F656" s="291"/>
      <c r="G656" s="291"/>
      <c r="H656" s="291"/>
      <c r="I656" s="296"/>
      <c r="M656" s="296"/>
      <c r="N656" s="296"/>
      <c r="O656" s="297"/>
      <c r="P656" s="298"/>
      <c r="R656" s="296"/>
      <c r="S656" s="297"/>
      <c r="T656" s="298"/>
    </row>
    <row r="657" customHeight="1" spans="5:20">
      <c r="E657" s="291"/>
      <c r="F657" s="291"/>
      <c r="G657" s="291"/>
      <c r="H657" s="291"/>
      <c r="I657" s="296"/>
      <c r="M657" s="296"/>
      <c r="N657" s="296"/>
      <c r="O657" s="297"/>
      <c r="P657" s="298"/>
      <c r="R657" s="296"/>
      <c r="S657" s="297"/>
      <c r="T657" s="298"/>
    </row>
    <row r="658" customHeight="1" spans="5:20">
      <c r="E658" s="291"/>
      <c r="F658" s="291"/>
      <c r="G658" s="291"/>
      <c r="H658" s="291"/>
      <c r="I658" s="296"/>
      <c r="M658" s="296"/>
      <c r="N658" s="296"/>
      <c r="O658" s="297"/>
      <c r="P658" s="298"/>
      <c r="R658" s="296"/>
      <c r="S658" s="297"/>
      <c r="T658" s="298"/>
    </row>
    <row r="659" customHeight="1" spans="5:20">
      <c r="E659" s="291"/>
      <c r="F659" s="291"/>
      <c r="G659" s="291"/>
      <c r="H659" s="291"/>
      <c r="I659" s="296"/>
      <c r="M659" s="296"/>
      <c r="N659" s="296"/>
      <c r="O659" s="297"/>
      <c r="P659" s="298"/>
      <c r="R659" s="296"/>
      <c r="S659" s="297"/>
      <c r="T659" s="298"/>
    </row>
    <row r="660" customHeight="1" spans="5:20">
      <c r="E660" s="291"/>
      <c r="F660" s="291"/>
      <c r="G660" s="291"/>
      <c r="H660" s="291"/>
      <c r="I660" s="296"/>
      <c r="M660" s="296"/>
      <c r="N660" s="296"/>
      <c r="O660" s="297"/>
      <c r="P660" s="298"/>
      <c r="R660" s="296"/>
      <c r="S660" s="297"/>
      <c r="T660" s="298"/>
    </row>
    <row r="661" customHeight="1" spans="5:20">
      <c r="E661" s="291"/>
      <c r="F661" s="291"/>
      <c r="G661" s="291"/>
      <c r="H661" s="291"/>
      <c r="I661" s="296"/>
      <c r="M661" s="296"/>
      <c r="N661" s="296"/>
      <c r="O661" s="297"/>
      <c r="P661" s="298"/>
      <c r="R661" s="296"/>
      <c r="S661" s="297"/>
      <c r="T661" s="298"/>
    </row>
    <row r="662" customHeight="1" spans="5:20">
      <c r="E662" s="291"/>
      <c r="F662" s="291"/>
      <c r="G662" s="291"/>
      <c r="H662" s="291"/>
      <c r="I662" s="296"/>
      <c r="M662" s="296"/>
      <c r="N662" s="296"/>
      <c r="O662" s="297"/>
      <c r="P662" s="298"/>
      <c r="R662" s="296"/>
      <c r="S662" s="297"/>
      <c r="T662" s="298"/>
    </row>
    <row r="663" customHeight="1" spans="5:20">
      <c r="E663" s="291"/>
      <c r="F663" s="291"/>
      <c r="G663" s="291"/>
      <c r="H663" s="291"/>
      <c r="I663" s="296"/>
      <c r="M663" s="296"/>
      <c r="N663" s="296"/>
      <c r="O663" s="297"/>
      <c r="P663" s="298"/>
      <c r="R663" s="296"/>
      <c r="S663" s="297"/>
      <c r="T663" s="298"/>
    </row>
    <row r="664" customHeight="1" spans="5:20">
      <c r="E664" s="291"/>
      <c r="F664" s="291"/>
      <c r="G664" s="291"/>
      <c r="H664" s="291"/>
      <c r="I664" s="296"/>
      <c r="M664" s="296"/>
      <c r="N664" s="296"/>
      <c r="O664" s="297"/>
      <c r="P664" s="298"/>
      <c r="R664" s="296"/>
      <c r="S664" s="297"/>
      <c r="T664" s="298"/>
    </row>
    <row r="665" customHeight="1" spans="5:20">
      <c r="E665" s="291"/>
      <c r="F665" s="291"/>
      <c r="G665" s="291"/>
      <c r="H665" s="291"/>
      <c r="I665" s="296"/>
      <c r="M665" s="296"/>
      <c r="N665" s="296"/>
      <c r="O665" s="297"/>
      <c r="P665" s="298"/>
      <c r="R665" s="296"/>
      <c r="S665" s="297"/>
      <c r="T665" s="298"/>
    </row>
    <row r="666" customHeight="1" spans="5:20">
      <c r="E666" s="291"/>
      <c r="F666" s="291"/>
      <c r="G666" s="291"/>
      <c r="H666" s="291"/>
      <c r="I666" s="296"/>
      <c r="M666" s="296"/>
      <c r="N666" s="296"/>
      <c r="O666" s="297"/>
      <c r="P666" s="298"/>
      <c r="R666" s="296"/>
      <c r="S666" s="297"/>
      <c r="T666" s="298"/>
    </row>
    <row r="667" customHeight="1" spans="5:20">
      <c r="E667" s="291"/>
      <c r="F667" s="291"/>
      <c r="G667" s="291"/>
      <c r="H667" s="291"/>
      <c r="I667" s="296"/>
      <c r="M667" s="296"/>
      <c r="N667" s="296"/>
      <c r="O667" s="297"/>
      <c r="P667" s="298"/>
      <c r="R667" s="296"/>
      <c r="S667" s="297"/>
      <c r="T667" s="298"/>
    </row>
    <row r="668" customHeight="1" spans="5:20">
      <c r="E668" s="291"/>
      <c r="F668" s="291"/>
      <c r="G668" s="291"/>
      <c r="H668" s="291"/>
      <c r="I668" s="296"/>
      <c r="M668" s="296"/>
      <c r="N668" s="296"/>
      <c r="O668" s="297"/>
      <c r="P668" s="298"/>
      <c r="R668" s="296"/>
      <c r="S668" s="297"/>
      <c r="T668" s="298"/>
    </row>
    <row r="669" customHeight="1" spans="5:20">
      <c r="E669" s="291"/>
      <c r="F669" s="291"/>
      <c r="G669" s="291"/>
      <c r="H669" s="291"/>
      <c r="I669" s="296"/>
      <c r="M669" s="296"/>
      <c r="N669" s="296"/>
      <c r="O669" s="297"/>
      <c r="P669" s="298"/>
      <c r="R669" s="296"/>
      <c r="S669" s="297"/>
      <c r="T669" s="298"/>
    </row>
    <row r="670" customHeight="1" spans="5:20">
      <c r="E670" s="291"/>
      <c r="F670" s="291"/>
      <c r="G670" s="291"/>
      <c r="H670" s="291"/>
      <c r="I670" s="296"/>
      <c r="M670" s="296"/>
      <c r="N670" s="296"/>
      <c r="O670" s="297"/>
      <c r="P670" s="298"/>
      <c r="R670" s="296"/>
      <c r="S670" s="297"/>
      <c r="T670" s="298"/>
    </row>
    <row r="671" customHeight="1" spans="5:20">
      <c r="E671" s="291"/>
      <c r="F671" s="291"/>
      <c r="G671" s="291"/>
      <c r="H671" s="291"/>
      <c r="I671" s="296"/>
      <c r="M671" s="296"/>
      <c r="N671" s="296"/>
      <c r="O671" s="297"/>
      <c r="P671" s="298"/>
      <c r="R671" s="296"/>
      <c r="S671" s="297"/>
      <c r="T671" s="298"/>
    </row>
    <row r="672" customHeight="1" spans="5:20">
      <c r="E672" s="291"/>
      <c r="F672" s="291"/>
      <c r="G672" s="291"/>
      <c r="H672" s="291"/>
      <c r="I672" s="296"/>
      <c r="M672" s="296"/>
      <c r="N672" s="296"/>
      <c r="O672" s="297"/>
      <c r="P672" s="298"/>
      <c r="R672" s="296"/>
      <c r="S672" s="297"/>
      <c r="T672" s="298"/>
    </row>
    <row r="673" customHeight="1" spans="5:20">
      <c r="E673" s="291"/>
      <c r="F673" s="291"/>
      <c r="G673" s="291"/>
      <c r="H673" s="291"/>
      <c r="I673" s="296"/>
      <c r="M673" s="296"/>
      <c r="N673" s="296"/>
      <c r="O673" s="297"/>
      <c r="P673" s="298"/>
      <c r="R673" s="296"/>
      <c r="S673" s="297"/>
      <c r="T673" s="298"/>
    </row>
    <row r="674" customHeight="1" spans="5:20">
      <c r="E674" s="291"/>
      <c r="F674" s="291"/>
      <c r="G674" s="291"/>
      <c r="H674" s="291"/>
      <c r="I674" s="296"/>
      <c r="M674" s="296"/>
      <c r="N674" s="296"/>
      <c r="O674" s="297"/>
      <c r="P674" s="298"/>
      <c r="R674" s="296"/>
      <c r="S674" s="297"/>
      <c r="T674" s="298"/>
    </row>
    <row r="675" customHeight="1" spans="5:20">
      <c r="E675" s="291"/>
      <c r="F675" s="291"/>
      <c r="G675" s="291"/>
      <c r="H675" s="291"/>
      <c r="I675" s="296"/>
      <c r="M675" s="296"/>
      <c r="N675" s="296"/>
      <c r="O675" s="297"/>
      <c r="P675" s="298"/>
      <c r="R675" s="296"/>
      <c r="S675" s="297"/>
      <c r="T675" s="298"/>
    </row>
    <row r="676" customHeight="1" spans="5:20">
      <c r="E676" s="291"/>
      <c r="F676" s="291"/>
      <c r="G676" s="291"/>
      <c r="H676" s="291"/>
      <c r="I676" s="296"/>
      <c r="M676" s="296"/>
      <c r="N676" s="296"/>
      <c r="O676" s="297"/>
      <c r="P676" s="298"/>
      <c r="R676" s="296"/>
      <c r="S676" s="297"/>
      <c r="T676" s="298"/>
    </row>
    <row r="677" customHeight="1" spans="5:20">
      <c r="E677" s="291"/>
      <c r="F677" s="291"/>
      <c r="G677" s="291"/>
      <c r="H677" s="291"/>
      <c r="I677" s="296"/>
      <c r="M677" s="296"/>
      <c r="N677" s="296"/>
      <c r="O677" s="297"/>
      <c r="P677" s="298"/>
      <c r="R677" s="296"/>
      <c r="S677" s="297"/>
      <c r="T677" s="298"/>
    </row>
    <row r="678" customHeight="1" spans="5:20">
      <c r="E678" s="291"/>
      <c r="F678" s="291"/>
      <c r="G678" s="291"/>
      <c r="H678" s="291"/>
      <c r="I678" s="296"/>
      <c r="M678" s="296"/>
      <c r="N678" s="296"/>
      <c r="O678" s="297"/>
      <c r="P678" s="298"/>
      <c r="R678" s="296"/>
      <c r="S678" s="297"/>
      <c r="T678" s="298"/>
    </row>
    <row r="679" customHeight="1" spans="5:20">
      <c r="E679" s="291"/>
      <c r="F679" s="291"/>
      <c r="G679" s="291"/>
      <c r="H679" s="291"/>
      <c r="I679" s="296"/>
      <c r="M679" s="296"/>
      <c r="N679" s="296"/>
      <c r="O679" s="297"/>
      <c r="P679" s="298"/>
      <c r="R679" s="296"/>
      <c r="S679" s="297"/>
      <c r="T679" s="298"/>
    </row>
    <row r="680" customHeight="1" spans="5:20">
      <c r="E680" s="291"/>
      <c r="F680" s="291"/>
      <c r="G680" s="291"/>
      <c r="H680" s="291"/>
      <c r="I680" s="296"/>
      <c r="M680" s="296"/>
      <c r="N680" s="296"/>
      <c r="O680" s="297"/>
      <c r="P680" s="298"/>
      <c r="R680" s="296"/>
      <c r="S680" s="297"/>
      <c r="T680" s="298"/>
    </row>
    <row r="681" customHeight="1" spans="5:20">
      <c r="E681" s="291"/>
      <c r="F681" s="291"/>
      <c r="G681" s="291"/>
      <c r="H681" s="291"/>
      <c r="I681" s="296"/>
      <c r="M681" s="296"/>
      <c r="N681" s="296"/>
      <c r="O681" s="297"/>
      <c r="P681" s="298"/>
      <c r="R681" s="296"/>
      <c r="S681" s="297"/>
      <c r="T681" s="298"/>
    </row>
    <row r="682" customHeight="1" spans="5:20">
      <c r="E682" s="291"/>
      <c r="F682" s="291"/>
      <c r="G682" s="291"/>
      <c r="H682" s="291"/>
      <c r="I682" s="296"/>
      <c r="M682" s="296"/>
      <c r="N682" s="296"/>
      <c r="O682" s="297"/>
      <c r="P682" s="298"/>
      <c r="R682" s="296"/>
      <c r="S682" s="297"/>
      <c r="T682" s="298"/>
    </row>
    <row r="683" customHeight="1" spans="5:20">
      <c r="E683" s="291"/>
      <c r="F683" s="291"/>
      <c r="G683" s="291"/>
      <c r="H683" s="291"/>
      <c r="I683" s="296"/>
      <c r="M683" s="296"/>
      <c r="N683" s="296"/>
      <c r="O683" s="297"/>
      <c r="P683" s="298"/>
      <c r="R683" s="296"/>
      <c r="S683" s="297"/>
      <c r="T683" s="298"/>
    </row>
    <row r="684" customHeight="1" spans="5:20">
      <c r="E684" s="291"/>
      <c r="F684" s="291"/>
      <c r="G684" s="291"/>
      <c r="H684" s="291"/>
      <c r="I684" s="296"/>
      <c r="M684" s="296"/>
      <c r="N684" s="296"/>
      <c r="O684" s="297"/>
      <c r="P684" s="298"/>
      <c r="R684" s="296"/>
      <c r="S684" s="297"/>
      <c r="T684" s="298"/>
    </row>
    <row r="685" customHeight="1" spans="5:20">
      <c r="E685" s="291"/>
      <c r="F685" s="291"/>
      <c r="G685" s="291"/>
      <c r="H685" s="291"/>
      <c r="I685" s="296"/>
      <c r="M685" s="296"/>
      <c r="N685" s="296"/>
      <c r="O685" s="297"/>
      <c r="P685" s="298"/>
      <c r="R685" s="296"/>
      <c r="S685" s="297"/>
      <c r="T685" s="298"/>
    </row>
    <row r="686" customHeight="1" spans="5:20">
      <c r="E686" s="291"/>
      <c r="F686" s="291"/>
      <c r="G686" s="291"/>
      <c r="H686" s="291"/>
      <c r="I686" s="296"/>
      <c r="M686" s="296"/>
      <c r="N686" s="296"/>
      <c r="O686" s="297"/>
      <c r="P686" s="298"/>
      <c r="R686" s="296"/>
      <c r="S686" s="297"/>
      <c r="T686" s="298"/>
    </row>
    <row r="687" customHeight="1" spans="5:20">
      <c r="E687" s="291"/>
      <c r="F687" s="291"/>
      <c r="G687" s="291"/>
      <c r="H687" s="291"/>
      <c r="I687" s="296"/>
      <c r="M687" s="296"/>
      <c r="N687" s="296"/>
      <c r="O687" s="297"/>
      <c r="P687" s="298"/>
      <c r="R687" s="296"/>
      <c r="S687" s="297"/>
      <c r="T687" s="298"/>
    </row>
    <row r="688" customHeight="1" spans="5:20">
      <c r="E688" s="291"/>
      <c r="F688" s="291"/>
      <c r="G688" s="291"/>
      <c r="H688" s="291"/>
      <c r="I688" s="296"/>
      <c r="M688" s="296"/>
      <c r="N688" s="296"/>
      <c r="O688" s="297"/>
      <c r="P688" s="298"/>
      <c r="R688" s="296"/>
      <c r="S688" s="297"/>
      <c r="T688" s="298"/>
    </row>
    <row r="689" customHeight="1" spans="5:20">
      <c r="E689" s="291"/>
      <c r="F689" s="291"/>
      <c r="G689" s="291"/>
      <c r="H689" s="291"/>
      <c r="I689" s="296"/>
      <c r="M689" s="296"/>
      <c r="N689" s="296"/>
      <c r="O689" s="297"/>
      <c r="P689" s="298"/>
      <c r="R689" s="296"/>
      <c r="S689" s="297"/>
      <c r="T689" s="298"/>
    </row>
    <row r="690" customHeight="1" spans="5:20">
      <c r="E690" s="291"/>
      <c r="F690" s="291"/>
      <c r="G690" s="291"/>
      <c r="H690" s="291"/>
      <c r="I690" s="296"/>
      <c r="M690" s="296"/>
      <c r="N690" s="296"/>
      <c r="O690" s="297"/>
      <c r="P690" s="298"/>
      <c r="R690" s="296"/>
      <c r="S690" s="297"/>
      <c r="T690" s="298"/>
    </row>
    <row r="691" customHeight="1" spans="5:20">
      <c r="E691" s="291"/>
      <c r="F691" s="291"/>
      <c r="G691" s="291"/>
      <c r="H691" s="291"/>
      <c r="I691" s="296"/>
      <c r="M691" s="296"/>
      <c r="N691" s="296"/>
      <c r="O691" s="297"/>
      <c r="P691" s="298"/>
      <c r="R691" s="296"/>
      <c r="S691" s="297"/>
      <c r="T691" s="298"/>
    </row>
    <row r="692" customHeight="1" spans="5:20">
      <c r="E692" s="291"/>
      <c r="F692" s="291"/>
      <c r="G692" s="291"/>
      <c r="H692" s="291"/>
      <c r="I692" s="296"/>
      <c r="M692" s="296"/>
      <c r="N692" s="296"/>
      <c r="O692" s="297"/>
      <c r="P692" s="298"/>
      <c r="R692" s="296"/>
      <c r="S692" s="297"/>
      <c r="T692" s="298"/>
    </row>
    <row r="693" customHeight="1" spans="5:20">
      <c r="E693" s="291"/>
      <c r="F693" s="291"/>
      <c r="G693" s="291"/>
      <c r="H693" s="291"/>
      <c r="I693" s="296"/>
      <c r="M693" s="296"/>
      <c r="N693" s="296"/>
      <c r="O693" s="297"/>
      <c r="P693" s="298"/>
      <c r="R693" s="296"/>
      <c r="S693" s="297"/>
      <c r="T693" s="298"/>
    </row>
    <row r="694" customHeight="1" spans="5:20">
      <c r="E694" s="291"/>
      <c r="F694" s="291"/>
      <c r="G694" s="291"/>
      <c r="H694" s="291"/>
      <c r="I694" s="296"/>
      <c r="M694" s="296"/>
      <c r="N694" s="296"/>
      <c r="O694" s="297"/>
      <c r="P694" s="298"/>
      <c r="R694" s="296"/>
      <c r="S694" s="297"/>
      <c r="T694" s="298"/>
    </row>
    <row r="695" customHeight="1" spans="5:20">
      <c r="E695" s="291"/>
      <c r="F695" s="291"/>
      <c r="G695" s="291"/>
      <c r="H695" s="291"/>
      <c r="I695" s="296"/>
      <c r="M695" s="296"/>
      <c r="N695" s="296"/>
      <c r="O695" s="297"/>
      <c r="P695" s="298"/>
      <c r="R695" s="296"/>
      <c r="S695" s="297"/>
      <c r="T695" s="298"/>
    </row>
    <row r="696" customHeight="1" spans="5:20">
      <c r="E696" s="291"/>
      <c r="F696" s="291"/>
      <c r="G696" s="291"/>
      <c r="H696" s="291"/>
      <c r="I696" s="296"/>
      <c r="M696" s="296"/>
      <c r="N696" s="296"/>
      <c r="O696" s="297"/>
      <c r="P696" s="298"/>
      <c r="R696" s="296"/>
      <c r="S696" s="297"/>
      <c r="T696" s="298"/>
    </row>
    <row r="697" customHeight="1" spans="5:20">
      <c r="E697" s="291"/>
      <c r="F697" s="291"/>
      <c r="G697" s="291"/>
      <c r="H697" s="291"/>
      <c r="I697" s="296"/>
      <c r="M697" s="296"/>
      <c r="N697" s="296"/>
      <c r="O697" s="297"/>
      <c r="P697" s="298"/>
      <c r="R697" s="296"/>
      <c r="S697" s="297"/>
      <c r="T697" s="298"/>
    </row>
    <row r="698" customHeight="1" spans="5:20">
      <c r="E698" s="291"/>
      <c r="F698" s="291"/>
      <c r="G698" s="291"/>
      <c r="H698" s="291"/>
      <c r="I698" s="296"/>
      <c r="M698" s="296"/>
      <c r="N698" s="296"/>
      <c r="O698" s="297"/>
      <c r="P698" s="298"/>
      <c r="R698" s="296"/>
      <c r="S698" s="297"/>
      <c r="T698" s="298"/>
    </row>
    <row r="699" customHeight="1" spans="5:20">
      <c r="E699" s="291"/>
      <c r="F699" s="291"/>
      <c r="G699" s="291"/>
      <c r="H699" s="291"/>
      <c r="I699" s="296"/>
      <c r="M699" s="296"/>
      <c r="N699" s="296"/>
      <c r="O699" s="297"/>
      <c r="P699" s="298"/>
      <c r="R699" s="296"/>
      <c r="S699" s="297"/>
      <c r="T699" s="298"/>
    </row>
    <row r="700" customHeight="1" spans="5:20">
      <c r="E700" s="291"/>
      <c r="F700" s="291"/>
      <c r="G700" s="291"/>
      <c r="H700" s="291"/>
      <c r="I700" s="296"/>
      <c r="M700" s="296"/>
      <c r="N700" s="296"/>
      <c r="O700" s="297"/>
      <c r="P700" s="298"/>
      <c r="R700" s="296"/>
      <c r="S700" s="297"/>
      <c r="T700" s="298"/>
    </row>
    <row r="701" customHeight="1" spans="5:20">
      <c r="E701" s="291"/>
      <c r="F701" s="291"/>
      <c r="G701" s="291"/>
      <c r="H701" s="291"/>
      <c r="I701" s="296"/>
      <c r="M701" s="296"/>
      <c r="N701" s="296"/>
      <c r="O701" s="297"/>
      <c r="P701" s="298"/>
      <c r="R701" s="296"/>
      <c r="S701" s="297"/>
      <c r="T701" s="298"/>
    </row>
    <row r="702" customHeight="1" spans="5:20">
      <c r="E702" s="291"/>
      <c r="F702" s="291"/>
      <c r="G702" s="291"/>
      <c r="H702" s="291"/>
      <c r="I702" s="296"/>
      <c r="M702" s="296"/>
      <c r="N702" s="296"/>
      <c r="O702" s="297"/>
      <c r="P702" s="298"/>
      <c r="R702" s="296"/>
      <c r="S702" s="297"/>
      <c r="T702" s="298"/>
    </row>
    <row r="703" customHeight="1" spans="5:20">
      <c r="E703" s="291"/>
      <c r="F703" s="291"/>
      <c r="G703" s="291"/>
      <c r="H703" s="291"/>
      <c r="I703" s="296"/>
      <c r="M703" s="296"/>
      <c r="N703" s="296"/>
      <c r="O703" s="297"/>
      <c r="P703" s="298"/>
      <c r="R703" s="296"/>
      <c r="S703" s="297"/>
      <c r="T703" s="298"/>
    </row>
    <row r="704" customHeight="1" spans="5:20">
      <c r="E704" s="291"/>
      <c r="F704" s="291"/>
      <c r="G704" s="291"/>
      <c r="H704" s="291"/>
      <c r="I704" s="296"/>
      <c r="M704" s="296"/>
      <c r="N704" s="296"/>
      <c r="O704" s="297"/>
      <c r="P704" s="298"/>
      <c r="R704" s="296"/>
      <c r="S704" s="297"/>
      <c r="T704" s="298"/>
    </row>
    <row r="705" customHeight="1" spans="5:20">
      <c r="E705" s="291"/>
      <c r="F705" s="291"/>
      <c r="G705" s="291"/>
      <c r="H705" s="291"/>
      <c r="I705" s="296"/>
      <c r="M705" s="296"/>
      <c r="N705" s="296"/>
      <c r="O705" s="297"/>
      <c r="P705" s="298"/>
      <c r="R705" s="296"/>
      <c r="S705" s="297"/>
      <c r="T705" s="298"/>
    </row>
    <row r="706" customHeight="1" spans="5:20">
      <c r="E706" s="291"/>
      <c r="F706" s="291"/>
      <c r="G706" s="291"/>
      <c r="H706" s="291"/>
      <c r="I706" s="296"/>
      <c r="M706" s="296"/>
      <c r="N706" s="296"/>
      <c r="O706" s="297"/>
      <c r="P706" s="298"/>
      <c r="R706" s="296"/>
      <c r="S706" s="297"/>
      <c r="T706" s="298"/>
    </row>
    <row r="707" customHeight="1" spans="5:20">
      <c r="E707" s="291"/>
      <c r="F707" s="291"/>
      <c r="G707" s="291"/>
      <c r="H707" s="291"/>
      <c r="I707" s="296"/>
      <c r="M707" s="296"/>
      <c r="N707" s="296"/>
      <c r="O707" s="297"/>
      <c r="P707" s="298"/>
      <c r="R707" s="296"/>
      <c r="S707" s="297"/>
      <c r="T707" s="298"/>
    </row>
    <row r="708" customHeight="1" spans="5:20">
      <c r="E708" s="291"/>
      <c r="F708" s="291"/>
      <c r="G708" s="291"/>
      <c r="H708" s="291"/>
      <c r="I708" s="296"/>
      <c r="M708" s="296"/>
      <c r="N708" s="296"/>
      <c r="O708" s="297"/>
      <c r="P708" s="298"/>
      <c r="R708" s="296"/>
      <c r="S708" s="297"/>
      <c r="T708" s="298"/>
    </row>
    <row r="709" customHeight="1" spans="5:20">
      <c r="E709" s="291"/>
      <c r="F709" s="291"/>
      <c r="G709" s="291"/>
      <c r="H709" s="291"/>
      <c r="I709" s="296"/>
      <c r="M709" s="296"/>
      <c r="N709" s="296"/>
      <c r="O709" s="297"/>
      <c r="P709" s="298"/>
      <c r="R709" s="296"/>
      <c r="S709" s="297"/>
      <c r="T709" s="298"/>
    </row>
    <row r="710" customHeight="1" spans="5:20">
      <c r="E710" s="291"/>
      <c r="F710" s="291"/>
      <c r="G710" s="291"/>
      <c r="H710" s="291"/>
      <c r="I710" s="296"/>
      <c r="M710" s="296"/>
      <c r="N710" s="296"/>
      <c r="O710" s="297"/>
      <c r="P710" s="298"/>
      <c r="R710" s="296"/>
      <c r="S710" s="297"/>
      <c r="T710" s="298"/>
    </row>
    <row r="711" customHeight="1" spans="5:20">
      <c r="E711" s="291"/>
      <c r="F711" s="291"/>
      <c r="G711" s="291"/>
      <c r="H711" s="291"/>
      <c r="I711" s="296"/>
      <c r="M711" s="296"/>
      <c r="N711" s="296"/>
      <c r="O711" s="297"/>
      <c r="P711" s="298"/>
      <c r="R711" s="296"/>
      <c r="S711" s="297"/>
      <c r="T711" s="298"/>
    </row>
    <row r="712" customHeight="1" spans="5:20">
      <c r="E712" s="291"/>
      <c r="F712" s="291"/>
      <c r="G712" s="291"/>
      <c r="H712" s="291"/>
      <c r="I712" s="296"/>
      <c r="M712" s="296"/>
      <c r="N712" s="296"/>
      <c r="O712" s="297"/>
      <c r="P712" s="298"/>
      <c r="R712" s="296"/>
      <c r="S712" s="297"/>
      <c r="T712" s="298"/>
    </row>
    <row r="713" customHeight="1" spans="5:20">
      <c r="E713" s="291"/>
      <c r="F713" s="291"/>
      <c r="G713" s="291"/>
      <c r="H713" s="291"/>
      <c r="I713" s="296"/>
      <c r="M713" s="296"/>
      <c r="N713" s="296"/>
      <c r="O713" s="297"/>
      <c r="P713" s="298"/>
      <c r="R713" s="296"/>
      <c r="S713" s="297"/>
      <c r="T713" s="298"/>
    </row>
    <row r="714" customHeight="1" spans="5:20">
      <c r="E714" s="291"/>
      <c r="F714" s="291"/>
      <c r="G714" s="291"/>
      <c r="H714" s="291"/>
      <c r="I714" s="296"/>
      <c r="M714" s="296"/>
      <c r="N714" s="296"/>
      <c r="O714" s="297"/>
      <c r="P714" s="298"/>
      <c r="R714" s="296"/>
      <c r="S714" s="297"/>
      <c r="T714" s="298"/>
    </row>
    <row r="715" customHeight="1" spans="5:20">
      <c r="E715" s="291"/>
      <c r="F715" s="291"/>
      <c r="G715" s="291"/>
      <c r="H715" s="291"/>
      <c r="I715" s="296"/>
      <c r="M715" s="296"/>
      <c r="N715" s="296"/>
      <c r="O715" s="297"/>
      <c r="P715" s="298"/>
      <c r="R715" s="296"/>
      <c r="S715" s="297"/>
      <c r="T715" s="298"/>
    </row>
    <row r="716" customHeight="1" spans="5:20">
      <c r="E716" s="291"/>
      <c r="F716" s="291"/>
      <c r="G716" s="291"/>
      <c r="H716" s="291"/>
      <c r="I716" s="296"/>
      <c r="M716" s="296"/>
      <c r="N716" s="296"/>
      <c r="O716" s="297"/>
      <c r="P716" s="298"/>
      <c r="R716" s="296"/>
      <c r="S716" s="297"/>
      <c r="T716" s="298"/>
    </row>
    <row r="717" customHeight="1" spans="5:20">
      <c r="E717" s="291"/>
      <c r="F717" s="291"/>
      <c r="G717" s="291"/>
      <c r="H717" s="291"/>
      <c r="I717" s="296"/>
      <c r="M717" s="296"/>
      <c r="N717" s="296"/>
      <c r="O717" s="297"/>
      <c r="P717" s="298"/>
      <c r="R717" s="296"/>
      <c r="S717" s="297"/>
      <c r="T717" s="298"/>
    </row>
    <row r="718" customHeight="1" spans="5:20">
      <c r="E718" s="291"/>
      <c r="F718" s="291"/>
      <c r="G718" s="291"/>
      <c r="H718" s="291"/>
      <c r="I718" s="296"/>
      <c r="M718" s="296"/>
      <c r="N718" s="296"/>
      <c r="O718" s="297"/>
      <c r="P718" s="298"/>
      <c r="R718" s="296"/>
      <c r="S718" s="297"/>
      <c r="T718" s="298"/>
    </row>
    <row r="719" customHeight="1" spans="5:20">
      <c r="E719" s="291"/>
      <c r="F719" s="291"/>
      <c r="G719" s="291"/>
      <c r="H719" s="291"/>
      <c r="I719" s="296"/>
      <c r="M719" s="296"/>
      <c r="N719" s="296"/>
      <c r="O719" s="297"/>
      <c r="P719" s="298"/>
      <c r="R719" s="296"/>
      <c r="S719" s="297"/>
      <c r="T719" s="298"/>
    </row>
    <row r="720" customHeight="1" spans="5:20">
      <c r="E720" s="291"/>
      <c r="F720" s="291"/>
      <c r="G720" s="291"/>
      <c r="H720" s="291"/>
      <c r="I720" s="296"/>
      <c r="M720" s="296"/>
      <c r="N720" s="296"/>
      <c r="O720" s="297"/>
      <c r="P720" s="298"/>
      <c r="R720" s="296"/>
      <c r="S720" s="297"/>
      <c r="T720" s="298"/>
    </row>
    <row r="721" customHeight="1" spans="5:20">
      <c r="E721" s="291"/>
      <c r="F721" s="291"/>
      <c r="G721" s="291"/>
      <c r="H721" s="291"/>
      <c r="I721" s="296"/>
      <c r="M721" s="296"/>
      <c r="N721" s="296"/>
      <c r="O721" s="297"/>
      <c r="P721" s="298"/>
      <c r="R721" s="296"/>
      <c r="S721" s="297"/>
      <c r="T721" s="298"/>
    </row>
    <row r="722" customHeight="1" spans="5:20">
      <c r="E722" s="291"/>
      <c r="F722" s="291"/>
      <c r="G722" s="291"/>
      <c r="H722" s="291"/>
      <c r="I722" s="296"/>
      <c r="M722" s="296"/>
      <c r="N722" s="296"/>
      <c r="O722" s="297"/>
      <c r="P722" s="298"/>
      <c r="R722" s="296"/>
      <c r="S722" s="297"/>
      <c r="T722" s="298"/>
    </row>
    <row r="723" customHeight="1" spans="5:20">
      <c r="E723" s="291"/>
      <c r="F723" s="291"/>
      <c r="G723" s="291"/>
      <c r="H723" s="291"/>
      <c r="I723" s="296"/>
      <c r="M723" s="296"/>
      <c r="N723" s="296"/>
      <c r="O723" s="297"/>
      <c r="P723" s="298"/>
      <c r="R723" s="296"/>
      <c r="S723" s="297"/>
      <c r="T723" s="298"/>
    </row>
    <row r="724" customHeight="1" spans="5:20">
      <c r="E724" s="291"/>
      <c r="F724" s="291"/>
      <c r="G724" s="291"/>
      <c r="H724" s="291"/>
      <c r="I724" s="296"/>
      <c r="M724" s="296"/>
      <c r="N724" s="296"/>
      <c r="O724" s="297"/>
      <c r="P724" s="298"/>
      <c r="R724" s="296"/>
      <c r="S724" s="297"/>
      <c r="T724" s="298"/>
    </row>
    <row r="725" customHeight="1" spans="5:20">
      <c r="E725" s="291"/>
      <c r="F725" s="291"/>
      <c r="G725" s="291"/>
      <c r="H725" s="291"/>
      <c r="I725" s="296"/>
      <c r="M725" s="296"/>
      <c r="N725" s="296"/>
      <c r="O725" s="297"/>
      <c r="P725" s="298"/>
      <c r="R725" s="296"/>
      <c r="S725" s="297"/>
      <c r="T725" s="298"/>
    </row>
    <row r="726" customHeight="1" spans="5:20">
      <c r="E726" s="291"/>
      <c r="F726" s="291"/>
      <c r="G726" s="291"/>
      <c r="H726" s="291"/>
      <c r="I726" s="296"/>
      <c r="M726" s="296"/>
      <c r="N726" s="296"/>
      <c r="O726" s="297"/>
      <c r="P726" s="298"/>
      <c r="R726" s="296"/>
      <c r="S726" s="297"/>
      <c r="T726" s="298"/>
    </row>
    <row r="727" customHeight="1" spans="5:20">
      <c r="E727" s="291"/>
      <c r="F727" s="291"/>
      <c r="G727" s="291"/>
      <c r="H727" s="291"/>
      <c r="I727" s="296"/>
      <c r="M727" s="296"/>
      <c r="N727" s="296"/>
      <c r="O727" s="297"/>
      <c r="P727" s="298"/>
      <c r="R727" s="296"/>
      <c r="S727" s="297"/>
      <c r="T727" s="298"/>
    </row>
    <row r="728" customHeight="1" spans="5:20">
      <c r="E728" s="291"/>
      <c r="F728" s="291"/>
      <c r="G728" s="291"/>
      <c r="H728" s="291"/>
      <c r="I728" s="296"/>
      <c r="M728" s="296"/>
      <c r="N728" s="296"/>
      <c r="O728" s="297"/>
      <c r="P728" s="298"/>
      <c r="R728" s="296"/>
      <c r="S728" s="297"/>
      <c r="T728" s="298"/>
    </row>
    <row r="729" customHeight="1" spans="5:20">
      <c r="E729" s="291"/>
      <c r="F729" s="291"/>
      <c r="G729" s="291"/>
      <c r="H729" s="291"/>
      <c r="I729" s="296"/>
      <c r="M729" s="296"/>
      <c r="N729" s="296"/>
      <c r="O729" s="297"/>
      <c r="P729" s="298"/>
      <c r="R729" s="296"/>
      <c r="S729" s="297"/>
      <c r="T729" s="298"/>
    </row>
    <row r="730" customHeight="1" spans="5:20">
      <c r="E730" s="291"/>
      <c r="F730" s="291"/>
      <c r="G730" s="291"/>
      <c r="H730" s="291"/>
      <c r="I730" s="296"/>
      <c r="M730" s="296"/>
      <c r="N730" s="296"/>
      <c r="O730" s="297"/>
      <c r="P730" s="298"/>
      <c r="R730" s="296"/>
      <c r="S730" s="297"/>
      <c r="T730" s="298"/>
    </row>
    <row r="731" customHeight="1" spans="5:20">
      <c r="E731" s="291"/>
      <c r="F731" s="291"/>
      <c r="G731" s="291"/>
      <c r="H731" s="291"/>
      <c r="I731" s="296"/>
      <c r="M731" s="296"/>
      <c r="N731" s="296"/>
      <c r="O731" s="297"/>
      <c r="P731" s="298"/>
      <c r="R731" s="296"/>
      <c r="S731" s="297"/>
      <c r="T731" s="298"/>
    </row>
    <row r="732" customHeight="1" spans="5:20">
      <c r="E732" s="291"/>
      <c r="F732" s="291"/>
      <c r="G732" s="291"/>
      <c r="H732" s="291"/>
      <c r="I732" s="296"/>
      <c r="M732" s="296"/>
      <c r="N732" s="296"/>
      <c r="O732" s="297"/>
      <c r="P732" s="298"/>
      <c r="R732" s="296"/>
      <c r="S732" s="297"/>
      <c r="T732" s="298"/>
    </row>
    <row r="733" customHeight="1" spans="5:20">
      <c r="E733" s="291"/>
      <c r="F733" s="291"/>
      <c r="G733" s="291"/>
      <c r="H733" s="291"/>
      <c r="I733" s="296"/>
      <c r="M733" s="296"/>
      <c r="N733" s="296"/>
      <c r="O733" s="297"/>
      <c r="P733" s="298"/>
      <c r="R733" s="296"/>
      <c r="S733" s="297"/>
      <c r="T733" s="298"/>
    </row>
    <row r="734" customHeight="1" spans="5:20">
      <c r="E734" s="291"/>
      <c r="F734" s="291"/>
      <c r="G734" s="291"/>
      <c r="H734" s="291"/>
      <c r="I734" s="296"/>
      <c r="M734" s="296"/>
      <c r="N734" s="296"/>
      <c r="O734" s="297"/>
      <c r="P734" s="298"/>
      <c r="R734" s="296"/>
      <c r="S734" s="297"/>
      <c r="T734" s="298"/>
    </row>
    <row r="735" customHeight="1" spans="5:20">
      <c r="E735" s="291"/>
      <c r="F735" s="291"/>
      <c r="G735" s="291"/>
      <c r="H735" s="291"/>
      <c r="I735" s="296"/>
      <c r="M735" s="296"/>
      <c r="N735" s="296"/>
      <c r="O735" s="297"/>
      <c r="P735" s="298"/>
      <c r="R735" s="296"/>
      <c r="S735" s="297"/>
      <c r="T735" s="298"/>
    </row>
    <row r="736" customHeight="1" spans="5:20">
      <c r="E736" s="291"/>
      <c r="F736" s="291"/>
      <c r="G736" s="291"/>
      <c r="H736" s="291"/>
      <c r="I736" s="296"/>
      <c r="M736" s="296"/>
      <c r="N736" s="296"/>
      <c r="O736" s="297"/>
      <c r="P736" s="298"/>
      <c r="R736" s="296"/>
      <c r="S736" s="297"/>
      <c r="T736" s="298"/>
    </row>
    <row r="737" customHeight="1" spans="5:20">
      <c r="E737" s="291"/>
      <c r="F737" s="291"/>
      <c r="G737" s="291"/>
      <c r="H737" s="291"/>
      <c r="I737" s="296"/>
      <c r="M737" s="296"/>
      <c r="N737" s="296"/>
      <c r="O737" s="297"/>
      <c r="P737" s="298"/>
      <c r="R737" s="296"/>
      <c r="S737" s="297"/>
      <c r="T737" s="298"/>
    </row>
    <row r="738" customHeight="1" spans="5:20">
      <c r="E738" s="291"/>
      <c r="F738" s="291"/>
      <c r="G738" s="291"/>
      <c r="H738" s="291"/>
      <c r="I738" s="296"/>
      <c r="M738" s="296"/>
      <c r="N738" s="296"/>
      <c r="O738" s="297"/>
      <c r="P738" s="298"/>
      <c r="R738" s="296"/>
      <c r="S738" s="297"/>
      <c r="T738" s="298"/>
    </row>
    <row r="739" customHeight="1" spans="5:20">
      <c r="E739" s="291"/>
      <c r="F739" s="291"/>
      <c r="G739" s="291"/>
      <c r="H739" s="291"/>
      <c r="I739" s="296"/>
      <c r="M739" s="296"/>
      <c r="N739" s="296"/>
      <c r="O739" s="297"/>
      <c r="P739" s="298"/>
      <c r="R739" s="296"/>
      <c r="S739" s="297"/>
      <c r="T739" s="298"/>
    </row>
    <row r="740" customHeight="1" spans="5:20">
      <c r="E740" s="291"/>
      <c r="F740" s="291"/>
      <c r="G740" s="291"/>
      <c r="H740" s="291"/>
      <c r="I740" s="296"/>
      <c r="M740" s="296"/>
      <c r="N740" s="296"/>
      <c r="O740" s="297"/>
      <c r="P740" s="298"/>
      <c r="R740" s="296"/>
      <c r="S740" s="297"/>
      <c r="T740" s="298"/>
    </row>
    <row r="741" customHeight="1" spans="5:20">
      <c r="E741" s="291"/>
      <c r="F741" s="291"/>
      <c r="G741" s="291"/>
      <c r="H741" s="291"/>
      <c r="I741" s="296"/>
      <c r="M741" s="296"/>
      <c r="N741" s="296"/>
      <c r="O741" s="297"/>
      <c r="P741" s="298"/>
      <c r="R741" s="296"/>
      <c r="S741" s="297"/>
      <c r="T741" s="298"/>
    </row>
    <row r="742" customHeight="1" spans="5:20">
      <c r="E742" s="291"/>
      <c r="F742" s="291"/>
      <c r="G742" s="291"/>
      <c r="H742" s="291"/>
      <c r="I742" s="296"/>
      <c r="M742" s="296"/>
      <c r="N742" s="296"/>
      <c r="O742" s="297"/>
      <c r="P742" s="298"/>
      <c r="R742" s="296"/>
      <c r="S742" s="297"/>
      <c r="T742" s="298"/>
    </row>
    <row r="743" customHeight="1" spans="5:20">
      <c r="E743" s="291"/>
      <c r="F743" s="291"/>
      <c r="G743" s="291"/>
      <c r="H743" s="291"/>
      <c r="I743" s="296"/>
      <c r="M743" s="296"/>
      <c r="N743" s="296"/>
      <c r="O743" s="297"/>
      <c r="P743" s="298"/>
      <c r="R743" s="296"/>
      <c r="S743" s="297"/>
      <c r="T743" s="298"/>
    </row>
    <row r="744" customHeight="1" spans="5:20">
      <c r="E744" s="291"/>
      <c r="F744" s="291"/>
      <c r="G744" s="291"/>
      <c r="H744" s="291"/>
      <c r="I744" s="296"/>
      <c r="M744" s="296"/>
      <c r="N744" s="296"/>
      <c r="O744" s="297"/>
      <c r="P744" s="298"/>
      <c r="R744" s="296"/>
      <c r="S744" s="297"/>
      <c r="T744" s="298"/>
    </row>
    <row r="745" customHeight="1" spans="5:20">
      <c r="E745" s="291"/>
      <c r="F745" s="291"/>
      <c r="G745" s="291"/>
      <c r="H745" s="291"/>
      <c r="I745" s="296"/>
      <c r="M745" s="296"/>
      <c r="N745" s="296"/>
      <c r="O745" s="297"/>
      <c r="P745" s="298"/>
      <c r="R745" s="296"/>
      <c r="S745" s="297"/>
      <c r="T745" s="298"/>
    </row>
    <row r="746" customHeight="1" spans="5:20">
      <c r="E746" s="291"/>
      <c r="F746" s="291"/>
      <c r="G746" s="291"/>
      <c r="H746" s="291"/>
      <c r="I746" s="296"/>
      <c r="M746" s="296"/>
      <c r="N746" s="296"/>
      <c r="O746" s="297"/>
      <c r="P746" s="298"/>
      <c r="R746" s="296"/>
      <c r="S746" s="297"/>
      <c r="T746" s="298"/>
    </row>
    <row r="747" customHeight="1" spans="5:20">
      <c r="E747" s="291"/>
      <c r="F747" s="291"/>
      <c r="G747" s="291"/>
      <c r="H747" s="291"/>
      <c r="I747" s="296"/>
      <c r="M747" s="296"/>
      <c r="N747" s="296"/>
      <c r="O747" s="297"/>
      <c r="P747" s="298"/>
      <c r="R747" s="296"/>
      <c r="S747" s="297"/>
      <c r="T747" s="298"/>
    </row>
    <row r="748" customHeight="1" spans="5:20">
      <c r="E748" s="291"/>
      <c r="F748" s="291"/>
      <c r="G748" s="291"/>
      <c r="H748" s="291"/>
      <c r="I748" s="296"/>
      <c r="M748" s="296"/>
      <c r="N748" s="296"/>
      <c r="O748" s="297"/>
      <c r="P748" s="298"/>
      <c r="R748" s="296"/>
      <c r="S748" s="297"/>
      <c r="T748" s="298"/>
    </row>
    <row r="749" customHeight="1" spans="5:20">
      <c r="E749" s="291"/>
      <c r="F749" s="291"/>
      <c r="G749" s="291"/>
      <c r="H749" s="291"/>
      <c r="I749" s="296"/>
      <c r="M749" s="296"/>
      <c r="N749" s="296"/>
      <c r="O749" s="297"/>
      <c r="P749" s="298"/>
      <c r="R749" s="296"/>
      <c r="S749" s="297"/>
      <c r="T749" s="298"/>
    </row>
    <row r="750" customHeight="1" spans="5:20">
      <c r="E750" s="291"/>
      <c r="F750" s="291"/>
      <c r="G750" s="291"/>
      <c r="H750" s="291"/>
      <c r="I750" s="296"/>
      <c r="M750" s="296"/>
      <c r="N750" s="296"/>
      <c r="O750" s="297"/>
      <c r="P750" s="298"/>
      <c r="R750" s="296"/>
      <c r="S750" s="297"/>
      <c r="T750" s="298"/>
    </row>
    <row r="751" customHeight="1" spans="5:20">
      <c r="E751" s="291"/>
      <c r="F751" s="291"/>
      <c r="G751" s="291"/>
      <c r="H751" s="291"/>
      <c r="I751" s="296"/>
      <c r="M751" s="296"/>
      <c r="N751" s="296"/>
      <c r="O751" s="297"/>
      <c r="P751" s="298"/>
      <c r="R751" s="296"/>
      <c r="S751" s="297"/>
      <c r="T751" s="298"/>
    </row>
    <row r="752" customHeight="1" spans="5:20">
      <c r="E752" s="291"/>
      <c r="F752" s="291"/>
      <c r="G752" s="291"/>
      <c r="H752" s="291"/>
      <c r="I752" s="296"/>
      <c r="M752" s="296"/>
      <c r="N752" s="296"/>
      <c r="O752" s="297"/>
      <c r="P752" s="298"/>
      <c r="R752" s="296"/>
      <c r="S752" s="297"/>
      <c r="T752" s="298"/>
    </row>
    <row r="753" customHeight="1" spans="5:20">
      <c r="E753" s="291"/>
      <c r="F753" s="291"/>
      <c r="G753" s="291"/>
      <c r="H753" s="291"/>
      <c r="I753" s="296"/>
      <c r="M753" s="296"/>
      <c r="N753" s="296"/>
      <c r="O753" s="297"/>
      <c r="P753" s="298"/>
      <c r="R753" s="296"/>
      <c r="S753" s="297"/>
      <c r="T753" s="298"/>
    </row>
    <row r="754" customHeight="1" spans="5:20">
      <c r="E754" s="291"/>
      <c r="F754" s="291"/>
      <c r="G754" s="291"/>
      <c r="H754" s="291"/>
      <c r="I754" s="296"/>
      <c r="M754" s="296"/>
      <c r="N754" s="296"/>
      <c r="O754" s="297"/>
      <c r="P754" s="298"/>
      <c r="R754" s="296"/>
      <c r="S754" s="297"/>
      <c r="T754" s="298"/>
    </row>
    <row r="755" customHeight="1" spans="5:20">
      <c r="E755" s="291"/>
      <c r="F755" s="291"/>
      <c r="G755" s="291"/>
      <c r="H755" s="291"/>
      <c r="I755" s="296"/>
      <c r="M755" s="296"/>
      <c r="N755" s="296"/>
      <c r="O755" s="297"/>
      <c r="P755" s="298"/>
      <c r="R755" s="296"/>
      <c r="S755" s="297"/>
      <c r="T755" s="298"/>
    </row>
    <row r="756" customHeight="1" spans="5:20">
      <c r="E756" s="291"/>
      <c r="F756" s="291"/>
      <c r="G756" s="291"/>
      <c r="H756" s="291"/>
      <c r="I756" s="296"/>
      <c r="M756" s="296"/>
      <c r="N756" s="296"/>
      <c r="O756" s="297"/>
      <c r="P756" s="298"/>
      <c r="R756" s="296"/>
      <c r="S756" s="297"/>
      <c r="T756" s="298"/>
    </row>
    <row r="757" customHeight="1" spans="5:20">
      <c r="E757" s="291"/>
      <c r="F757" s="291"/>
      <c r="G757" s="291"/>
      <c r="H757" s="291"/>
      <c r="I757" s="296"/>
      <c r="M757" s="296"/>
      <c r="N757" s="296"/>
      <c r="O757" s="297"/>
      <c r="P757" s="298"/>
      <c r="R757" s="296"/>
      <c r="S757" s="297"/>
      <c r="T757" s="298"/>
    </row>
    <row r="758" customHeight="1" spans="5:20">
      <c r="E758" s="291"/>
      <c r="F758" s="291"/>
      <c r="G758" s="291"/>
      <c r="H758" s="291"/>
      <c r="I758" s="296"/>
      <c r="M758" s="296"/>
      <c r="N758" s="296"/>
      <c r="O758" s="297"/>
      <c r="P758" s="298"/>
      <c r="R758" s="296"/>
      <c r="S758" s="297"/>
      <c r="T758" s="298"/>
    </row>
    <row r="759" customHeight="1" spans="5:20">
      <c r="E759" s="291"/>
      <c r="F759" s="291"/>
      <c r="G759" s="291"/>
      <c r="H759" s="291"/>
      <c r="I759" s="296"/>
      <c r="M759" s="296"/>
      <c r="N759" s="296"/>
      <c r="O759" s="297"/>
      <c r="P759" s="298"/>
      <c r="R759" s="296"/>
      <c r="S759" s="297"/>
      <c r="T759" s="298"/>
    </row>
    <row r="760" customHeight="1" spans="5:20">
      <c r="E760" s="291"/>
      <c r="F760" s="291"/>
      <c r="G760" s="291"/>
      <c r="H760" s="291"/>
      <c r="I760" s="296"/>
      <c r="M760" s="296"/>
      <c r="N760" s="296"/>
      <c r="O760" s="297"/>
      <c r="P760" s="298"/>
      <c r="R760" s="296"/>
      <c r="S760" s="297"/>
      <c r="T760" s="298"/>
    </row>
    <row r="761" customHeight="1" spans="5:20">
      <c r="E761" s="291"/>
      <c r="F761" s="291"/>
      <c r="G761" s="291"/>
      <c r="H761" s="291"/>
      <c r="I761" s="296"/>
      <c r="M761" s="296"/>
      <c r="N761" s="296"/>
      <c r="O761" s="297"/>
      <c r="P761" s="298"/>
      <c r="R761" s="296"/>
      <c r="S761" s="297"/>
      <c r="T761" s="298"/>
    </row>
    <row r="762" customHeight="1" spans="5:20">
      <c r="E762" s="291"/>
      <c r="F762" s="291"/>
      <c r="G762" s="291"/>
      <c r="H762" s="291"/>
      <c r="I762" s="296"/>
      <c r="M762" s="296"/>
      <c r="N762" s="296"/>
      <c r="O762" s="297"/>
      <c r="P762" s="298"/>
      <c r="R762" s="296"/>
      <c r="S762" s="297"/>
      <c r="T762" s="298"/>
    </row>
    <row r="763" customHeight="1" spans="5:20">
      <c r="E763" s="291"/>
      <c r="F763" s="291"/>
      <c r="G763" s="291"/>
      <c r="H763" s="291"/>
      <c r="I763" s="296"/>
      <c r="M763" s="296"/>
      <c r="N763" s="296"/>
      <c r="O763" s="297"/>
      <c r="P763" s="298"/>
      <c r="R763" s="296"/>
      <c r="S763" s="297"/>
      <c r="T763" s="298"/>
    </row>
    <row r="764" customHeight="1" spans="5:20">
      <c r="E764" s="291"/>
      <c r="F764" s="291"/>
      <c r="G764" s="291"/>
      <c r="H764" s="291"/>
      <c r="I764" s="296"/>
      <c r="M764" s="296"/>
      <c r="N764" s="296"/>
      <c r="O764" s="297"/>
      <c r="P764" s="298"/>
      <c r="R764" s="296"/>
      <c r="S764" s="297"/>
      <c r="T764" s="298"/>
    </row>
    <row r="765" customHeight="1" spans="5:20">
      <c r="E765" s="291"/>
      <c r="F765" s="291"/>
      <c r="G765" s="291"/>
      <c r="H765" s="291"/>
      <c r="I765" s="296"/>
      <c r="M765" s="296"/>
      <c r="N765" s="296"/>
      <c r="O765" s="297"/>
      <c r="P765" s="298"/>
      <c r="R765" s="296"/>
      <c r="S765" s="297"/>
      <c r="T765" s="298"/>
    </row>
    <row r="766" customHeight="1" spans="5:20">
      <c r="E766" s="291"/>
      <c r="F766" s="291"/>
      <c r="G766" s="291"/>
      <c r="H766" s="291"/>
      <c r="I766" s="296"/>
      <c r="M766" s="296"/>
      <c r="N766" s="296"/>
      <c r="O766" s="297"/>
      <c r="P766" s="298"/>
      <c r="R766" s="296"/>
      <c r="S766" s="297"/>
      <c r="T766" s="298"/>
    </row>
    <row r="767" customHeight="1" spans="5:20">
      <c r="E767" s="291"/>
      <c r="F767" s="291"/>
      <c r="G767" s="291"/>
      <c r="H767" s="291"/>
      <c r="I767" s="296"/>
      <c r="M767" s="296"/>
      <c r="N767" s="296"/>
      <c r="O767" s="297"/>
      <c r="P767" s="298"/>
      <c r="R767" s="296"/>
      <c r="S767" s="297"/>
      <c r="T767" s="298"/>
    </row>
    <row r="768" customHeight="1" spans="5:20">
      <c r="E768" s="291"/>
      <c r="F768" s="291"/>
      <c r="G768" s="291"/>
      <c r="H768" s="291"/>
      <c r="I768" s="296"/>
      <c r="M768" s="296"/>
      <c r="N768" s="296"/>
      <c r="O768" s="297"/>
      <c r="P768" s="298"/>
      <c r="R768" s="296"/>
      <c r="S768" s="297"/>
      <c r="T768" s="298"/>
    </row>
    <row r="769" customHeight="1" spans="5:20">
      <c r="E769" s="291"/>
      <c r="F769" s="291"/>
      <c r="G769" s="291"/>
      <c r="H769" s="291"/>
      <c r="I769" s="296"/>
      <c r="M769" s="296"/>
      <c r="N769" s="296"/>
      <c r="O769" s="297"/>
      <c r="P769" s="298"/>
      <c r="R769" s="296"/>
      <c r="S769" s="297"/>
      <c r="T769" s="298"/>
    </row>
    <row r="770" customHeight="1" spans="5:20">
      <c r="E770" s="291"/>
      <c r="F770" s="291"/>
      <c r="G770" s="291"/>
      <c r="H770" s="291"/>
      <c r="I770" s="296"/>
      <c r="M770" s="296"/>
      <c r="N770" s="296"/>
      <c r="O770" s="297"/>
      <c r="P770" s="298"/>
      <c r="R770" s="296"/>
      <c r="S770" s="297"/>
      <c r="T770" s="298"/>
    </row>
    <row r="771" customHeight="1" spans="5:20">
      <c r="E771" s="291"/>
      <c r="F771" s="291"/>
      <c r="G771" s="291"/>
      <c r="H771" s="291"/>
      <c r="I771" s="296"/>
      <c r="M771" s="296"/>
      <c r="N771" s="296"/>
      <c r="O771" s="297"/>
      <c r="P771" s="298"/>
      <c r="R771" s="296"/>
      <c r="S771" s="297"/>
      <c r="T771" s="298"/>
    </row>
    <row r="772" customHeight="1" spans="5:20">
      <c r="E772" s="291"/>
      <c r="F772" s="291"/>
      <c r="G772" s="291"/>
      <c r="H772" s="291"/>
      <c r="I772" s="296"/>
      <c r="M772" s="296"/>
      <c r="N772" s="296"/>
      <c r="O772" s="297"/>
      <c r="P772" s="298"/>
      <c r="R772" s="296"/>
      <c r="S772" s="297"/>
      <c r="T772" s="298"/>
    </row>
    <row r="773" customHeight="1" spans="5:20">
      <c r="E773" s="291"/>
      <c r="F773" s="291"/>
      <c r="G773" s="291"/>
      <c r="H773" s="291"/>
      <c r="I773" s="296"/>
      <c r="M773" s="296"/>
      <c r="N773" s="296"/>
      <c r="O773" s="297"/>
      <c r="P773" s="298"/>
      <c r="R773" s="296"/>
      <c r="S773" s="297"/>
      <c r="T773" s="298"/>
    </row>
    <row r="774" customHeight="1" spans="5:20">
      <c r="E774" s="291"/>
      <c r="F774" s="291"/>
      <c r="G774" s="291"/>
      <c r="H774" s="291"/>
      <c r="I774" s="296"/>
      <c r="M774" s="296"/>
      <c r="N774" s="296"/>
      <c r="O774" s="297"/>
      <c r="P774" s="298"/>
      <c r="R774" s="296"/>
      <c r="S774" s="297"/>
      <c r="T774" s="298"/>
    </row>
    <row r="775" customHeight="1" spans="5:20">
      <c r="E775" s="291"/>
      <c r="F775" s="291"/>
      <c r="G775" s="291"/>
      <c r="H775" s="291"/>
      <c r="I775" s="296"/>
      <c r="M775" s="296"/>
      <c r="N775" s="296"/>
      <c r="O775" s="297"/>
      <c r="P775" s="298"/>
      <c r="R775" s="296"/>
      <c r="S775" s="297"/>
      <c r="T775" s="298"/>
    </row>
    <row r="776" customHeight="1" spans="5:20">
      <c r="E776" s="291"/>
      <c r="F776" s="291"/>
      <c r="G776" s="291"/>
      <c r="H776" s="291"/>
      <c r="I776" s="296"/>
      <c r="M776" s="296"/>
      <c r="N776" s="296"/>
      <c r="O776" s="297"/>
      <c r="P776" s="298"/>
      <c r="R776" s="296"/>
      <c r="S776" s="297"/>
      <c r="T776" s="298"/>
    </row>
    <row r="777" customHeight="1" spans="5:20">
      <c r="E777" s="291"/>
      <c r="F777" s="291"/>
      <c r="G777" s="291"/>
      <c r="H777" s="291"/>
      <c r="I777" s="296"/>
      <c r="M777" s="296"/>
      <c r="N777" s="296"/>
      <c r="O777" s="297"/>
      <c r="P777" s="298"/>
      <c r="R777" s="296"/>
      <c r="S777" s="297"/>
      <c r="T777" s="298"/>
    </row>
    <row r="778" customHeight="1" spans="5:20">
      <c r="E778" s="291"/>
      <c r="F778" s="291"/>
      <c r="G778" s="291"/>
      <c r="H778" s="291"/>
      <c r="I778" s="296"/>
      <c r="M778" s="296"/>
      <c r="N778" s="296"/>
      <c r="O778" s="297"/>
      <c r="P778" s="298"/>
      <c r="R778" s="296"/>
      <c r="S778" s="297"/>
      <c r="T778" s="298"/>
    </row>
    <row r="779" customHeight="1" spans="5:20">
      <c r="E779" s="291"/>
      <c r="F779" s="291"/>
      <c r="G779" s="291"/>
      <c r="H779" s="291"/>
      <c r="I779" s="296"/>
      <c r="M779" s="296"/>
      <c r="N779" s="296"/>
      <c r="O779" s="297"/>
      <c r="P779" s="298"/>
      <c r="R779" s="296"/>
      <c r="S779" s="297"/>
      <c r="T779" s="298"/>
    </row>
    <row r="780" customHeight="1" spans="5:20">
      <c r="E780" s="291"/>
      <c r="F780" s="291"/>
      <c r="G780" s="291"/>
      <c r="H780" s="291"/>
      <c r="I780" s="296"/>
      <c r="M780" s="296"/>
      <c r="N780" s="296"/>
      <c r="O780" s="297"/>
      <c r="P780" s="298"/>
      <c r="R780" s="296"/>
      <c r="S780" s="297"/>
      <c r="T780" s="298"/>
    </row>
    <row r="781" customHeight="1" spans="5:20">
      <c r="E781" s="291"/>
      <c r="F781" s="291"/>
      <c r="G781" s="291"/>
      <c r="H781" s="291"/>
      <c r="I781" s="296"/>
      <c r="M781" s="296"/>
      <c r="N781" s="296"/>
      <c r="O781" s="297"/>
      <c r="P781" s="298"/>
      <c r="R781" s="296"/>
      <c r="S781" s="297"/>
      <c r="T781" s="298"/>
    </row>
    <row r="782" customHeight="1" spans="5:20">
      <c r="E782" s="291"/>
      <c r="F782" s="291"/>
      <c r="G782" s="291"/>
      <c r="H782" s="291"/>
      <c r="I782" s="296"/>
      <c r="M782" s="296"/>
      <c r="N782" s="296"/>
      <c r="O782" s="297"/>
      <c r="P782" s="298"/>
      <c r="R782" s="296"/>
      <c r="S782" s="297"/>
      <c r="T782" s="298"/>
    </row>
    <row r="783" customHeight="1" spans="5:20">
      <c r="E783" s="291"/>
      <c r="F783" s="291"/>
      <c r="G783" s="291"/>
      <c r="H783" s="291"/>
      <c r="I783" s="296"/>
      <c r="M783" s="296"/>
      <c r="N783" s="296"/>
      <c r="O783" s="297"/>
      <c r="P783" s="298"/>
      <c r="R783" s="296"/>
      <c r="S783" s="297"/>
      <c r="T783" s="298"/>
    </row>
    <row r="784" customHeight="1" spans="5:20">
      <c r="E784" s="291"/>
      <c r="F784" s="291"/>
      <c r="G784" s="291"/>
      <c r="H784" s="291"/>
      <c r="I784" s="296"/>
      <c r="M784" s="296"/>
      <c r="N784" s="296"/>
      <c r="O784" s="297"/>
      <c r="P784" s="298"/>
      <c r="R784" s="296"/>
      <c r="S784" s="297"/>
      <c r="T784" s="298"/>
    </row>
    <row r="785" customHeight="1" spans="5:20">
      <c r="E785" s="291"/>
      <c r="F785" s="291"/>
      <c r="G785" s="291"/>
      <c r="H785" s="291"/>
      <c r="I785" s="296"/>
      <c r="M785" s="296"/>
      <c r="N785" s="296"/>
      <c r="O785" s="297"/>
      <c r="P785" s="298"/>
      <c r="R785" s="296"/>
      <c r="S785" s="297"/>
      <c r="T785" s="298"/>
    </row>
    <row r="786" customHeight="1" spans="5:20">
      <c r="E786" s="291"/>
      <c r="F786" s="291"/>
      <c r="G786" s="291"/>
      <c r="H786" s="291"/>
      <c r="I786" s="296"/>
      <c r="M786" s="296"/>
      <c r="N786" s="296"/>
      <c r="O786" s="297"/>
      <c r="P786" s="298"/>
      <c r="R786" s="296"/>
      <c r="S786" s="297"/>
      <c r="T786" s="298"/>
    </row>
    <row r="787" customHeight="1" spans="5:20">
      <c r="E787" s="291"/>
      <c r="F787" s="291"/>
      <c r="G787" s="291"/>
      <c r="H787" s="291"/>
      <c r="I787" s="296"/>
      <c r="M787" s="296"/>
      <c r="N787" s="296"/>
      <c r="O787" s="297"/>
      <c r="P787" s="298"/>
      <c r="R787" s="296"/>
      <c r="S787" s="297"/>
      <c r="T787" s="298"/>
    </row>
    <row r="788" customHeight="1" spans="5:20">
      <c r="E788" s="291"/>
      <c r="F788" s="291"/>
      <c r="G788" s="291"/>
      <c r="H788" s="291"/>
      <c r="I788" s="296"/>
      <c r="M788" s="296"/>
      <c r="N788" s="296"/>
      <c r="O788" s="297"/>
      <c r="P788" s="298"/>
      <c r="R788" s="296"/>
      <c r="S788" s="297"/>
      <c r="T788" s="298"/>
    </row>
    <row r="789" customHeight="1" spans="5:20">
      <c r="E789" s="291"/>
      <c r="F789" s="291"/>
      <c r="G789" s="291"/>
      <c r="H789" s="291"/>
      <c r="I789" s="296"/>
      <c r="M789" s="296"/>
      <c r="N789" s="296"/>
      <c r="O789" s="297"/>
      <c r="P789" s="298"/>
      <c r="R789" s="296"/>
      <c r="S789" s="297"/>
      <c r="T789" s="298"/>
    </row>
    <row r="790" customHeight="1" spans="5:20">
      <c r="E790" s="291"/>
      <c r="F790" s="291"/>
      <c r="G790" s="291"/>
      <c r="H790" s="291"/>
      <c r="I790" s="296"/>
      <c r="M790" s="296"/>
      <c r="N790" s="296"/>
      <c r="O790" s="297"/>
      <c r="P790" s="298"/>
      <c r="R790" s="296"/>
      <c r="S790" s="297"/>
      <c r="T790" s="298"/>
    </row>
    <row r="791" customHeight="1" spans="5:20">
      <c r="E791" s="291"/>
      <c r="F791" s="291"/>
      <c r="G791" s="291"/>
      <c r="H791" s="291"/>
      <c r="I791" s="296"/>
      <c r="M791" s="296"/>
      <c r="N791" s="296"/>
      <c r="O791" s="297"/>
      <c r="P791" s="298"/>
      <c r="R791" s="296"/>
      <c r="S791" s="297"/>
      <c r="T791" s="298"/>
    </row>
    <row r="792" customHeight="1" spans="5:20">
      <c r="E792" s="291"/>
      <c r="F792" s="291"/>
      <c r="G792" s="291"/>
      <c r="H792" s="291"/>
      <c r="I792" s="296"/>
      <c r="M792" s="296"/>
      <c r="N792" s="296"/>
      <c r="O792" s="297"/>
      <c r="P792" s="298"/>
      <c r="R792" s="296"/>
      <c r="S792" s="297"/>
      <c r="T792" s="298"/>
    </row>
    <row r="793" customHeight="1" spans="5:20">
      <c r="E793" s="291"/>
      <c r="F793" s="291"/>
      <c r="G793" s="291"/>
      <c r="H793" s="291"/>
      <c r="I793" s="296"/>
      <c r="M793" s="296"/>
      <c r="N793" s="296"/>
      <c r="O793" s="297"/>
      <c r="P793" s="298"/>
      <c r="R793" s="296"/>
      <c r="S793" s="297"/>
      <c r="T793" s="298"/>
    </row>
    <row r="794" customHeight="1" spans="5:20">
      <c r="E794" s="291"/>
      <c r="F794" s="291"/>
      <c r="G794" s="291"/>
      <c r="H794" s="291"/>
      <c r="I794" s="296"/>
      <c r="M794" s="296"/>
      <c r="N794" s="296"/>
      <c r="O794" s="297"/>
      <c r="P794" s="298"/>
      <c r="R794" s="296"/>
      <c r="S794" s="297"/>
      <c r="T794" s="298"/>
    </row>
    <row r="795" customHeight="1" spans="5:20">
      <c r="E795" s="291"/>
      <c r="F795" s="291"/>
      <c r="G795" s="291"/>
      <c r="H795" s="291"/>
      <c r="I795" s="296"/>
      <c r="M795" s="296"/>
      <c r="N795" s="296"/>
      <c r="O795" s="297"/>
      <c r="P795" s="298"/>
      <c r="R795" s="296"/>
      <c r="S795" s="297"/>
      <c r="T795" s="298"/>
    </row>
    <row r="796" customHeight="1" spans="5:20">
      <c r="E796" s="291"/>
      <c r="F796" s="291"/>
      <c r="G796" s="291"/>
      <c r="H796" s="291"/>
      <c r="I796" s="296"/>
      <c r="M796" s="296"/>
      <c r="N796" s="296"/>
      <c r="O796" s="297"/>
      <c r="P796" s="298"/>
      <c r="R796" s="296"/>
      <c r="S796" s="297"/>
      <c r="T796" s="298"/>
    </row>
    <row r="797" customHeight="1" spans="5:20">
      <c r="E797" s="291"/>
      <c r="F797" s="291"/>
      <c r="G797" s="291"/>
      <c r="H797" s="291"/>
      <c r="I797" s="296"/>
      <c r="M797" s="296"/>
      <c r="N797" s="296"/>
      <c r="O797" s="297"/>
      <c r="P797" s="298"/>
      <c r="R797" s="296"/>
      <c r="S797" s="297"/>
      <c r="T797" s="298"/>
    </row>
    <row r="798" customHeight="1" spans="5:20">
      <c r="E798" s="291"/>
      <c r="F798" s="291"/>
      <c r="G798" s="291"/>
      <c r="H798" s="291"/>
      <c r="I798" s="296"/>
      <c r="M798" s="296"/>
      <c r="N798" s="296"/>
      <c r="O798" s="297"/>
      <c r="P798" s="298"/>
      <c r="R798" s="296"/>
      <c r="S798" s="297"/>
      <c r="T798" s="298"/>
    </row>
    <row r="799" customHeight="1" spans="5:20">
      <c r="E799" s="291"/>
      <c r="F799" s="291"/>
      <c r="G799" s="291"/>
      <c r="H799" s="291"/>
      <c r="I799" s="296"/>
      <c r="M799" s="296"/>
      <c r="N799" s="296"/>
      <c r="O799" s="297"/>
      <c r="P799" s="298"/>
      <c r="R799" s="296"/>
      <c r="S799" s="297"/>
      <c r="T799" s="298"/>
    </row>
    <row r="800" customHeight="1" spans="5:20">
      <c r="E800" s="291"/>
      <c r="F800" s="291"/>
      <c r="G800" s="291"/>
      <c r="H800" s="291"/>
      <c r="I800" s="296"/>
      <c r="M800" s="296"/>
      <c r="N800" s="296"/>
      <c r="O800" s="297"/>
      <c r="P800" s="298"/>
      <c r="R800" s="296"/>
      <c r="S800" s="297"/>
      <c r="T800" s="298"/>
    </row>
    <row r="801" customHeight="1" spans="5:20">
      <c r="E801" s="291"/>
      <c r="F801" s="291"/>
      <c r="G801" s="291"/>
      <c r="H801" s="291"/>
      <c r="I801" s="296"/>
      <c r="M801" s="296"/>
      <c r="N801" s="296"/>
      <c r="O801" s="297"/>
      <c r="P801" s="298"/>
      <c r="R801" s="296"/>
      <c r="S801" s="297"/>
      <c r="T801" s="298"/>
    </row>
    <row r="802" customHeight="1" spans="5:20">
      <c r="E802" s="291"/>
      <c r="F802" s="291"/>
      <c r="G802" s="291"/>
      <c r="H802" s="291"/>
      <c r="I802" s="296"/>
      <c r="M802" s="296"/>
      <c r="N802" s="296"/>
      <c r="O802" s="297"/>
      <c r="P802" s="298"/>
      <c r="R802" s="296"/>
      <c r="S802" s="297"/>
      <c r="T802" s="298"/>
    </row>
    <row r="803" customHeight="1" spans="5:20">
      <c r="E803" s="291"/>
      <c r="F803" s="291"/>
      <c r="G803" s="291"/>
      <c r="H803" s="291"/>
      <c r="I803" s="296"/>
      <c r="M803" s="296"/>
      <c r="N803" s="296"/>
      <c r="O803" s="297"/>
      <c r="P803" s="298"/>
      <c r="R803" s="296"/>
      <c r="S803" s="297"/>
      <c r="T803" s="298"/>
    </row>
    <row r="804" customHeight="1" spans="5:20">
      <c r="E804" s="291"/>
      <c r="F804" s="291"/>
      <c r="G804" s="291"/>
      <c r="H804" s="291"/>
      <c r="I804" s="296"/>
      <c r="M804" s="296"/>
      <c r="N804" s="296"/>
      <c r="O804" s="297"/>
      <c r="P804" s="298"/>
      <c r="R804" s="296"/>
      <c r="S804" s="297"/>
      <c r="T804" s="298"/>
    </row>
    <row r="805" customHeight="1" spans="5:20">
      <c r="E805" s="291"/>
      <c r="F805" s="291"/>
      <c r="G805" s="291"/>
      <c r="H805" s="291"/>
      <c r="I805" s="296"/>
      <c r="M805" s="296"/>
      <c r="N805" s="296"/>
      <c r="O805" s="297"/>
      <c r="P805" s="298"/>
      <c r="R805" s="296"/>
      <c r="S805" s="297"/>
      <c r="T805" s="298"/>
    </row>
    <row r="806" customHeight="1" spans="5:20">
      <c r="E806" s="291"/>
      <c r="F806" s="291"/>
      <c r="G806" s="291"/>
      <c r="H806" s="291"/>
      <c r="I806" s="296"/>
      <c r="M806" s="296"/>
      <c r="N806" s="296"/>
      <c r="O806" s="297"/>
      <c r="P806" s="298"/>
      <c r="R806" s="296"/>
      <c r="S806" s="297"/>
      <c r="T806" s="298"/>
    </row>
    <row r="807" customHeight="1" spans="5:20">
      <c r="E807" s="291"/>
      <c r="F807" s="291"/>
      <c r="G807" s="291"/>
      <c r="H807" s="291"/>
      <c r="I807" s="296"/>
      <c r="M807" s="296"/>
      <c r="N807" s="296"/>
      <c r="O807" s="297"/>
      <c r="P807" s="298"/>
      <c r="R807" s="296"/>
      <c r="S807" s="297"/>
      <c r="T807" s="298"/>
    </row>
    <row r="808" customHeight="1" spans="5:20">
      <c r="E808" s="291"/>
      <c r="F808" s="291"/>
      <c r="G808" s="291"/>
      <c r="H808" s="291"/>
      <c r="I808" s="296"/>
      <c r="M808" s="296"/>
      <c r="N808" s="296"/>
      <c r="O808" s="297"/>
      <c r="P808" s="298"/>
      <c r="R808" s="296"/>
      <c r="S808" s="297"/>
      <c r="T808" s="298"/>
    </row>
    <row r="809" customHeight="1" spans="5:20">
      <c r="E809" s="291"/>
      <c r="F809" s="291"/>
      <c r="G809" s="291"/>
      <c r="H809" s="291"/>
      <c r="I809" s="296"/>
      <c r="M809" s="296"/>
      <c r="N809" s="296"/>
      <c r="O809" s="297"/>
      <c r="P809" s="298"/>
      <c r="R809" s="296"/>
      <c r="S809" s="297"/>
      <c r="T809" s="298"/>
    </row>
    <row r="810" customHeight="1" spans="5:20">
      <c r="E810" s="291"/>
      <c r="F810" s="291"/>
      <c r="G810" s="291"/>
      <c r="H810" s="291"/>
      <c r="I810" s="296"/>
      <c r="M810" s="296"/>
      <c r="N810" s="296"/>
      <c r="O810" s="297"/>
      <c r="P810" s="298"/>
      <c r="R810" s="296"/>
      <c r="S810" s="297"/>
      <c r="T810" s="298"/>
    </row>
    <row r="811" customHeight="1" spans="5:20">
      <c r="E811" s="291"/>
      <c r="F811" s="291"/>
      <c r="G811" s="291"/>
      <c r="H811" s="291"/>
      <c r="I811" s="296"/>
      <c r="M811" s="296"/>
      <c r="N811" s="296"/>
      <c r="O811" s="297"/>
      <c r="P811" s="298"/>
      <c r="R811" s="296"/>
      <c r="S811" s="297"/>
      <c r="T811" s="298"/>
    </row>
    <row r="812" customHeight="1" spans="5:20">
      <c r="E812" s="291"/>
      <c r="F812" s="291"/>
      <c r="G812" s="291"/>
      <c r="H812" s="291"/>
      <c r="I812" s="296"/>
      <c r="M812" s="296"/>
      <c r="N812" s="296"/>
      <c r="O812" s="297"/>
      <c r="P812" s="298"/>
      <c r="R812" s="296"/>
      <c r="S812" s="297"/>
      <c r="T812" s="298"/>
    </row>
    <row r="813" customHeight="1" spans="5:20">
      <c r="E813" s="291"/>
      <c r="F813" s="291"/>
      <c r="G813" s="291"/>
      <c r="H813" s="291"/>
      <c r="I813" s="296"/>
      <c r="M813" s="296"/>
      <c r="N813" s="296"/>
      <c r="O813" s="297"/>
      <c r="P813" s="298"/>
      <c r="R813" s="296"/>
      <c r="S813" s="297"/>
      <c r="T813" s="298"/>
    </row>
    <row r="814" customHeight="1" spans="5:20">
      <c r="E814" s="291"/>
      <c r="F814" s="291"/>
      <c r="G814" s="291"/>
      <c r="H814" s="291"/>
      <c r="I814" s="296"/>
      <c r="M814" s="296"/>
      <c r="N814" s="296"/>
      <c r="O814" s="297"/>
      <c r="P814" s="298"/>
      <c r="R814" s="296"/>
      <c r="S814" s="297"/>
      <c r="T814" s="298"/>
    </row>
    <row r="815" customHeight="1" spans="5:20">
      <c r="E815" s="291"/>
      <c r="F815" s="291"/>
      <c r="G815" s="291"/>
      <c r="H815" s="291"/>
      <c r="I815" s="296"/>
      <c r="M815" s="296"/>
      <c r="N815" s="296"/>
      <c r="O815" s="297"/>
      <c r="P815" s="298"/>
      <c r="R815" s="296"/>
      <c r="S815" s="297"/>
      <c r="T815" s="298"/>
    </row>
    <row r="816" customHeight="1" spans="5:20">
      <c r="E816" s="291"/>
      <c r="F816" s="291"/>
      <c r="G816" s="291"/>
      <c r="H816" s="291"/>
      <c r="I816" s="296"/>
      <c r="M816" s="296"/>
      <c r="N816" s="296"/>
      <c r="O816" s="297"/>
      <c r="P816" s="298"/>
      <c r="R816" s="296"/>
      <c r="S816" s="297"/>
      <c r="T816" s="298"/>
    </row>
    <row r="817" customHeight="1" spans="5:20">
      <c r="E817" s="291"/>
      <c r="F817" s="291"/>
      <c r="G817" s="291"/>
      <c r="H817" s="291"/>
      <c r="I817" s="296"/>
      <c r="M817" s="296"/>
      <c r="N817" s="296"/>
      <c r="O817" s="297"/>
      <c r="P817" s="298"/>
      <c r="R817" s="296"/>
      <c r="S817" s="297"/>
      <c r="T817" s="298"/>
    </row>
    <row r="818" customHeight="1" spans="5:20">
      <c r="E818" s="291"/>
      <c r="F818" s="291"/>
      <c r="G818" s="291"/>
      <c r="H818" s="291"/>
      <c r="I818" s="296"/>
      <c r="M818" s="296"/>
      <c r="N818" s="296"/>
      <c r="O818" s="297"/>
      <c r="P818" s="298"/>
      <c r="R818" s="296"/>
      <c r="S818" s="297"/>
      <c r="T818" s="298"/>
    </row>
    <row r="819" customHeight="1" spans="5:20">
      <c r="E819" s="291"/>
      <c r="F819" s="291"/>
      <c r="G819" s="291"/>
      <c r="H819" s="291"/>
      <c r="I819" s="296"/>
      <c r="M819" s="296"/>
      <c r="N819" s="296"/>
      <c r="O819" s="297"/>
      <c r="P819" s="298"/>
      <c r="R819" s="296"/>
      <c r="S819" s="297"/>
      <c r="T819" s="298"/>
    </row>
    <row r="820" customHeight="1" spans="5:20">
      <c r="E820" s="291"/>
      <c r="F820" s="291"/>
      <c r="G820" s="291"/>
      <c r="H820" s="291"/>
      <c r="I820" s="296"/>
      <c r="M820" s="296"/>
      <c r="N820" s="296"/>
      <c r="O820" s="297"/>
      <c r="P820" s="298"/>
      <c r="R820" s="296"/>
      <c r="S820" s="297"/>
      <c r="T820" s="298"/>
    </row>
    <row r="821" customHeight="1" spans="5:20">
      <c r="E821" s="291"/>
      <c r="F821" s="291"/>
      <c r="G821" s="291"/>
      <c r="H821" s="291"/>
      <c r="I821" s="296"/>
      <c r="M821" s="296"/>
      <c r="N821" s="296"/>
      <c r="O821" s="297"/>
      <c r="P821" s="298"/>
      <c r="R821" s="296"/>
      <c r="S821" s="297"/>
      <c r="T821" s="298"/>
    </row>
    <row r="822" customHeight="1" spans="5:20">
      <c r="E822" s="291"/>
      <c r="F822" s="291"/>
      <c r="G822" s="291"/>
      <c r="H822" s="291"/>
      <c r="I822" s="296"/>
      <c r="M822" s="296"/>
      <c r="N822" s="296"/>
      <c r="O822" s="297"/>
      <c r="P822" s="298"/>
      <c r="R822" s="296"/>
      <c r="S822" s="297"/>
      <c r="T822" s="298"/>
    </row>
    <row r="823" customHeight="1" spans="5:20">
      <c r="E823" s="291"/>
      <c r="F823" s="291"/>
      <c r="G823" s="291"/>
      <c r="H823" s="291"/>
      <c r="I823" s="296"/>
      <c r="M823" s="296"/>
      <c r="N823" s="296"/>
      <c r="O823" s="297"/>
      <c r="P823" s="298"/>
      <c r="R823" s="296"/>
      <c r="S823" s="297"/>
      <c r="T823" s="298"/>
    </row>
    <row r="824" customHeight="1" spans="5:20">
      <c r="E824" s="291"/>
      <c r="F824" s="291"/>
      <c r="G824" s="291"/>
      <c r="H824" s="291"/>
      <c r="I824" s="296"/>
      <c r="M824" s="296"/>
      <c r="N824" s="296"/>
      <c r="O824" s="297"/>
      <c r="P824" s="298"/>
      <c r="R824" s="296"/>
      <c r="S824" s="297"/>
      <c r="T824" s="298"/>
    </row>
    <row r="825" customHeight="1" spans="5:20">
      <c r="E825" s="291"/>
      <c r="F825" s="291"/>
      <c r="G825" s="291"/>
      <c r="H825" s="291"/>
      <c r="I825" s="296"/>
      <c r="M825" s="296"/>
      <c r="N825" s="296"/>
      <c r="O825" s="297"/>
      <c r="P825" s="298"/>
      <c r="R825" s="296"/>
      <c r="S825" s="297"/>
      <c r="T825" s="298"/>
    </row>
    <row r="826" customHeight="1" spans="5:20">
      <c r="E826" s="291"/>
      <c r="F826" s="291"/>
      <c r="G826" s="291"/>
      <c r="H826" s="291"/>
      <c r="I826" s="296"/>
      <c r="M826" s="296"/>
      <c r="N826" s="296"/>
      <c r="O826" s="297"/>
      <c r="P826" s="298"/>
      <c r="R826" s="296"/>
      <c r="S826" s="297"/>
      <c r="T826" s="298"/>
    </row>
    <row r="827" customHeight="1" spans="5:20">
      <c r="E827" s="291"/>
      <c r="F827" s="291"/>
      <c r="G827" s="291"/>
      <c r="H827" s="291"/>
      <c r="I827" s="296"/>
      <c r="M827" s="296"/>
      <c r="N827" s="296"/>
      <c r="O827" s="297"/>
      <c r="P827" s="298"/>
      <c r="R827" s="296"/>
      <c r="S827" s="297"/>
      <c r="T827" s="298"/>
    </row>
    <row r="828" customHeight="1" spans="5:20">
      <c r="E828" s="291"/>
      <c r="F828" s="291"/>
      <c r="G828" s="291"/>
      <c r="H828" s="291"/>
      <c r="I828" s="296"/>
      <c r="M828" s="296"/>
      <c r="N828" s="296"/>
      <c r="O828" s="297"/>
      <c r="P828" s="298"/>
      <c r="R828" s="296"/>
      <c r="S828" s="297"/>
      <c r="T828" s="298"/>
    </row>
    <row r="829" customHeight="1" spans="5:20">
      <c r="E829" s="291"/>
      <c r="F829" s="291"/>
      <c r="G829" s="291"/>
      <c r="H829" s="291"/>
      <c r="I829" s="296"/>
      <c r="M829" s="296"/>
      <c r="N829" s="296"/>
      <c r="O829" s="297"/>
      <c r="P829" s="298"/>
      <c r="R829" s="296"/>
      <c r="S829" s="297"/>
      <c r="T829" s="298"/>
    </row>
    <row r="830" customHeight="1" spans="5:20">
      <c r="E830" s="291"/>
      <c r="F830" s="291"/>
      <c r="G830" s="291"/>
      <c r="H830" s="291"/>
      <c r="I830" s="296"/>
      <c r="M830" s="296"/>
      <c r="N830" s="296"/>
      <c r="O830" s="297"/>
      <c r="P830" s="298"/>
      <c r="R830" s="296"/>
      <c r="S830" s="297"/>
      <c r="T830" s="298"/>
    </row>
    <row r="831" customHeight="1" spans="5:20">
      <c r="E831" s="291"/>
      <c r="F831" s="291"/>
      <c r="G831" s="291"/>
      <c r="H831" s="291"/>
      <c r="I831" s="296"/>
      <c r="M831" s="296"/>
      <c r="N831" s="296"/>
      <c r="O831" s="297"/>
      <c r="P831" s="298"/>
      <c r="R831" s="296"/>
      <c r="S831" s="297"/>
      <c r="T831" s="298"/>
    </row>
    <row r="832" customHeight="1" spans="5:20">
      <c r="E832" s="291"/>
      <c r="F832" s="291"/>
      <c r="G832" s="291"/>
      <c r="H832" s="291"/>
      <c r="I832" s="296"/>
      <c r="M832" s="296"/>
      <c r="N832" s="296"/>
      <c r="O832" s="297"/>
      <c r="P832" s="298"/>
      <c r="R832" s="296"/>
      <c r="S832" s="297"/>
      <c r="T832" s="298"/>
    </row>
    <row r="833" customHeight="1" spans="5:20">
      <c r="E833" s="291"/>
      <c r="F833" s="291"/>
      <c r="G833" s="291"/>
      <c r="H833" s="291"/>
      <c r="I833" s="296"/>
      <c r="M833" s="296"/>
      <c r="N833" s="296"/>
      <c r="O833" s="297"/>
      <c r="P833" s="298"/>
      <c r="R833" s="296"/>
      <c r="S833" s="297"/>
      <c r="T833" s="298"/>
    </row>
    <row r="834" customHeight="1" spans="5:20">
      <c r="E834" s="291"/>
      <c r="F834" s="291"/>
      <c r="G834" s="291"/>
      <c r="H834" s="291"/>
      <c r="I834" s="296"/>
      <c r="M834" s="296"/>
      <c r="N834" s="296"/>
      <c r="O834" s="297"/>
      <c r="P834" s="298"/>
      <c r="R834" s="296"/>
      <c r="S834" s="297"/>
      <c r="T834" s="298"/>
    </row>
    <row r="835" customHeight="1" spans="5:20">
      <c r="E835" s="291"/>
      <c r="F835" s="291"/>
      <c r="G835" s="291"/>
      <c r="H835" s="291"/>
      <c r="I835" s="296"/>
      <c r="M835" s="296"/>
      <c r="N835" s="296"/>
      <c r="O835" s="297"/>
      <c r="P835" s="298"/>
      <c r="R835" s="296"/>
      <c r="S835" s="297"/>
      <c r="T835" s="298"/>
    </row>
    <row r="836" customHeight="1" spans="5:20">
      <c r="E836" s="291"/>
      <c r="F836" s="291"/>
      <c r="G836" s="291"/>
      <c r="H836" s="291"/>
      <c r="I836" s="296"/>
      <c r="M836" s="296"/>
      <c r="N836" s="296"/>
      <c r="O836" s="297"/>
      <c r="P836" s="298"/>
      <c r="R836" s="296"/>
      <c r="S836" s="297"/>
      <c r="T836" s="298"/>
    </row>
    <row r="837" customHeight="1" spans="5:20">
      <c r="E837" s="291"/>
      <c r="F837" s="291"/>
      <c r="G837" s="291"/>
      <c r="H837" s="291"/>
      <c r="I837" s="296"/>
      <c r="M837" s="296"/>
      <c r="N837" s="296"/>
      <c r="O837" s="297"/>
      <c r="P837" s="298"/>
      <c r="R837" s="296"/>
      <c r="S837" s="297"/>
      <c r="T837" s="298"/>
    </row>
    <row r="838" customHeight="1" spans="5:20">
      <c r="E838" s="291"/>
      <c r="F838" s="291"/>
      <c r="G838" s="291"/>
      <c r="H838" s="291"/>
      <c r="I838" s="296"/>
      <c r="M838" s="296"/>
      <c r="N838" s="296"/>
      <c r="O838" s="297"/>
      <c r="P838" s="298"/>
      <c r="R838" s="296"/>
      <c r="S838" s="297"/>
      <c r="T838" s="298"/>
    </row>
    <row r="839" customHeight="1" spans="5:20">
      <c r="E839" s="291"/>
      <c r="F839" s="291"/>
      <c r="G839" s="291"/>
      <c r="H839" s="291"/>
      <c r="I839" s="296"/>
      <c r="M839" s="296"/>
      <c r="N839" s="296"/>
      <c r="O839" s="297"/>
      <c r="P839" s="298"/>
      <c r="R839" s="296"/>
      <c r="S839" s="297"/>
      <c r="T839" s="298"/>
    </row>
    <row r="840" customHeight="1" spans="5:20">
      <c r="E840" s="291"/>
      <c r="F840" s="291"/>
      <c r="G840" s="291"/>
      <c r="H840" s="291"/>
      <c r="I840" s="296"/>
      <c r="M840" s="296"/>
      <c r="N840" s="296"/>
      <c r="O840" s="297"/>
      <c r="P840" s="298"/>
      <c r="R840" s="296"/>
      <c r="S840" s="297"/>
      <c r="T840" s="298"/>
    </row>
    <row r="841" customHeight="1" spans="5:20">
      <c r="E841" s="291"/>
      <c r="F841" s="291"/>
      <c r="G841" s="291"/>
      <c r="H841" s="291"/>
      <c r="I841" s="296"/>
      <c r="M841" s="296"/>
      <c r="N841" s="296"/>
      <c r="O841" s="297"/>
      <c r="P841" s="298"/>
      <c r="R841" s="296"/>
      <c r="S841" s="297"/>
      <c r="T841" s="298"/>
    </row>
    <row r="842" customHeight="1" spans="5:20">
      <c r="E842" s="291"/>
      <c r="F842" s="291"/>
      <c r="G842" s="291"/>
      <c r="H842" s="291"/>
      <c r="I842" s="296"/>
      <c r="M842" s="296"/>
      <c r="N842" s="296"/>
      <c r="O842" s="297"/>
      <c r="P842" s="298"/>
      <c r="R842" s="296"/>
      <c r="S842" s="297"/>
      <c r="T842" s="298"/>
    </row>
    <row r="843" customHeight="1" spans="5:20">
      <c r="E843" s="291"/>
      <c r="F843" s="291"/>
      <c r="G843" s="291"/>
      <c r="H843" s="291"/>
      <c r="I843" s="296"/>
      <c r="M843" s="296"/>
      <c r="N843" s="296"/>
      <c r="O843" s="297"/>
      <c r="P843" s="298"/>
      <c r="R843" s="296"/>
      <c r="S843" s="297"/>
      <c r="T843" s="298"/>
    </row>
    <row r="844" customHeight="1" spans="5:20">
      <c r="E844" s="291"/>
      <c r="F844" s="291"/>
      <c r="G844" s="291"/>
      <c r="H844" s="291"/>
      <c r="I844" s="296"/>
      <c r="M844" s="296"/>
      <c r="N844" s="296"/>
      <c r="O844" s="297"/>
      <c r="P844" s="298"/>
      <c r="R844" s="296"/>
      <c r="S844" s="297"/>
      <c r="T844" s="298"/>
    </row>
    <row r="845" customHeight="1" spans="5:20">
      <c r="E845" s="291"/>
      <c r="F845" s="291"/>
      <c r="G845" s="291"/>
      <c r="H845" s="291"/>
      <c r="I845" s="296"/>
      <c r="M845" s="296"/>
      <c r="N845" s="296"/>
      <c r="O845" s="297"/>
      <c r="P845" s="298"/>
      <c r="R845" s="296"/>
      <c r="S845" s="297"/>
      <c r="T845" s="298"/>
    </row>
    <row r="846" customHeight="1" spans="5:20">
      <c r="E846" s="291"/>
      <c r="F846" s="291"/>
      <c r="G846" s="291"/>
      <c r="H846" s="291"/>
      <c r="I846" s="296"/>
      <c r="M846" s="296"/>
      <c r="N846" s="296"/>
      <c r="O846" s="297"/>
      <c r="P846" s="298"/>
      <c r="R846" s="296"/>
      <c r="S846" s="297"/>
      <c r="T846" s="298"/>
    </row>
    <row r="847" customHeight="1" spans="5:20">
      <c r="E847" s="291"/>
      <c r="F847" s="291"/>
      <c r="G847" s="291"/>
      <c r="H847" s="291"/>
      <c r="I847" s="296"/>
      <c r="M847" s="296"/>
      <c r="N847" s="296"/>
      <c r="O847" s="297"/>
      <c r="P847" s="298"/>
      <c r="R847" s="296"/>
      <c r="S847" s="297"/>
      <c r="T847" s="298"/>
    </row>
    <row r="848" customHeight="1" spans="5:20">
      <c r="E848" s="291"/>
      <c r="F848" s="291"/>
      <c r="G848" s="291"/>
      <c r="H848" s="291"/>
      <c r="I848" s="296"/>
      <c r="M848" s="296"/>
      <c r="N848" s="296"/>
      <c r="O848" s="297"/>
      <c r="P848" s="298"/>
      <c r="R848" s="296"/>
      <c r="S848" s="297"/>
      <c r="T848" s="298"/>
    </row>
    <row r="849" customHeight="1" spans="5:20">
      <c r="E849" s="291"/>
      <c r="F849" s="291"/>
      <c r="G849" s="291"/>
      <c r="H849" s="291"/>
      <c r="I849" s="296"/>
      <c r="M849" s="296"/>
      <c r="N849" s="296"/>
      <c r="O849" s="297"/>
      <c r="P849" s="298"/>
      <c r="R849" s="296"/>
      <c r="S849" s="297"/>
      <c r="T849" s="298"/>
    </row>
    <row r="850" customHeight="1" spans="5:20">
      <c r="E850" s="291"/>
      <c r="F850" s="291"/>
      <c r="G850" s="291"/>
      <c r="H850" s="291"/>
      <c r="I850" s="296"/>
      <c r="M850" s="296"/>
      <c r="N850" s="296"/>
      <c r="O850" s="297"/>
      <c r="P850" s="298"/>
      <c r="R850" s="296"/>
      <c r="S850" s="297"/>
      <c r="T850" s="298"/>
    </row>
    <row r="851" customHeight="1" spans="5:20">
      <c r="E851" s="291"/>
      <c r="F851" s="291"/>
      <c r="G851" s="291"/>
      <c r="H851" s="291"/>
      <c r="I851" s="296"/>
      <c r="M851" s="296"/>
      <c r="N851" s="296"/>
      <c r="O851" s="297"/>
      <c r="P851" s="298"/>
      <c r="R851" s="296"/>
      <c r="S851" s="297"/>
      <c r="T851" s="298"/>
    </row>
    <row r="852" customHeight="1" spans="5:20">
      <c r="E852" s="291"/>
      <c r="F852" s="291"/>
      <c r="G852" s="291"/>
      <c r="H852" s="291"/>
      <c r="I852" s="296"/>
      <c r="M852" s="296"/>
      <c r="N852" s="296"/>
      <c r="O852" s="297"/>
      <c r="P852" s="298"/>
      <c r="R852" s="296"/>
      <c r="S852" s="297"/>
      <c r="T852" s="298"/>
    </row>
    <row r="853" customHeight="1" spans="5:20">
      <c r="E853" s="291"/>
      <c r="F853" s="291"/>
      <c r="G853" s="291"/>
      <c r="H853" s="291"/>
      <c r="I853" s="296"/>
      <c r="M853" s="296"/>
      <c r="N853" s="296"/>
      <c r="O853" s="297"/>
      <c r="P853" s="298"/>
      <c r="R853" s="296"/>
      <c r="S853" s="297"/>
      <c r="T853" s="298"/>
    </row>
    <row r="854" customHeight="1" spans="5:20">
      <c r="E854" s="291"/>
      <c r="F854" s="291"/>
      <c r="G854" s="291"/>
      <c r="H854" s="291"/>
      <c r="I854" s="296"/>
      <c r="M854" s="296"/>
      <c r="N854" s="296"/>
      <c r="O854" s="297"/>
      <c r="P854" s="298"/>
      <c r="R854" s="296"/>
      <c r="S854" s="297"/>
      <c r="T854" s="298"/>
    </row>
    <row r="855" customHeight="1" spans="5:20">
      <c r="E855" s="291"/>
      <c r="F855" s="291"/>
      <c r="G855" s="291"/>
      <c r="H855" s="291"/>
      <c r="I855" s="296"/>
      <c r="M855" s="296"/>
      <c r="N855" s="296"/>
      <c r="O855" s="297"/>
      <c r="P855" s="298"/>
      <c r="R855" s="296"/>
      <c r="S855" s="297"/>
      <c r="T855" s="298"/>
    </row>
    <row r="856" customHeight="1" spans="5:20">
      <c r="E856" s="291"/>
      <c r="F856" s="291"/>
      <c r="G856" s="291"/>
      <c r="H856" s="291"/>
      <c r="I856" s="296"/>
      <c r="M856" s="296"/>
      <c r="N856" s="296"/>
      <c r="O856" s="297"/>
      <c r="P856" s="298"/>
      <c r="R856" s="296"/>
      <c r="S856" s="297"/>
      <c r="T856" s="298"/>
    </row>
    <row r="857" customHeight="1" spans="5:20">
      <c r="E857" s="291"/>
      <c r="F857" s="291"/>
      <c r="G857" s="291"/>
      <c r="H857" s="291"/>
      <c r="I857" s="296"/>
      <c r="M857" s="296"/>
      <c r="N857" s="296"/>
      <c r="O857" s="297"/>
      <c r="P857" s="298"/>
      <c r="R857" s="296"/>
      <c r="S857" s="297"/>
      <c r="T857" s="298"/>
    </row>
    <row r="858" customHeight="1" spans="5:20">
      <c r="E858" s="291"/>
      <c r="F858" s="291"/>
      <c r="G858" s="291"/>
      <c r="H858" s="291"/>
      <c r="I858" s="296"/>
      <c r="M858" s="296"/>
      <c r="N858" s="296"/>
      <c r="O858" s="297"/>
      <c r="P858" s="298"/>
      <c r="R858" s="296"/>
      <c r="S858" s="297"/>
      <c r="T858" s="298"/>
    </row>
    <row r="859" customHeight="1" spans="5:20">
      <c r="E859" s="291"/>
      <c r="F859" s="291"/>
      <c r="G859" s="291"/>
      <c r="H859" s="291"/>
      <c r="I859" s="296"/>
      <c r="M859" s="296"/>
      <c r="N859" s="296"/>
      <c r="O859" s="297"/>
      <c r="P859" s="298"/>
      <c r="R859" s="296"/>
      <c r="S859" s="297"/>
      <c r="T859" s="298"/>
    </row>
    <row r="860" customHeight="1" spans="5:20">
      <c r="E860" s="291"/>
      <c r="F860" s="291"/>
      <c r="G860" s="291"/>
      <c r="H860" s="291"/>
      <c r="I860" s="296"/>
      <c r="M860" s="296"/>
      <c r="N860" s="296"/>
      <c r="O860" s="297"/>
      <c r="P860" s="298"/>
      <c r="R860" s="296"/>
      <c r="S860" s="297"/>
      <c r="T860" s="298"/>
    </row>
    <row r="861" customHeight="1" spans="5:20">
      <c r="E861" s="291"/>
      <c r="F861" s="291"/>
      <c r="G861" s="291"/>
      <c r="H861" s="291"/>
      <c r="I861" s="296"/>
      <c r="M861" s="296"/>
      <c r="N861" s="296"/>
      <c r="O861" s="297"/>
      <c r="P861" s="298"/>
      <c r="R861" s="296"/>
      <c r="S861" s="297"/>
      <c r="T861" s="298"/>
    </row>
    <row r="862" customHeight="1" spans="5:20">
      <c r="E862" s="291"/>
      <c r="F862" s="291"/>
      <c r="G862" s="291"/>
      <c r="H862" s="291"/>
      <c r="I862" s="296"/>
      <c r="M862" s="296"/>
      <c r="N862" s="296"/>
      <c r="O862" s="297"/>
      <c r="P862" s="298"/>
      <c r="R862" s="296"/>
      <c r="S862" s="297"/>
      <c r="T862" s="298"/>
    </row>
    <row r="863" customHeight="1" spans="5:20">
      <c r="E863" s="291"/>
      <c r="F863" s="291"/>
      <c r="G863" s="291"/>
      <c r="H863" s="291"/>
      <c r="I863" s="296"/>
      <c r="M863" s="296"/>
      <c r="N863" s="296"/>
      <c r="O863" s="297"/>
      <c r="P863" s="298"/>
      <c r="R863" s="296"/>
      <c r="S863" s="297"/>
      <c r="T863" s="298"/>
    </row>
    <row r="864" customHeight="1" spans="5:20">
      <c r="E864" s="291"/>
      <c r="F864" s="291"/>
      <c r="G864" s="291"/>
      <c r="H864" s="291"/>
      <c r="I864" s="296"/>
      <c r="M864" s="296"/>
      <c r="N864" s="296"/>
      <c r="O864" s="297"/>
      <c r="P864" s="298"/>
      <c r="R864" s="296"/>
      <c r="S864" s="297"/>
      <c r="T864" s="298"/>
    </row>
    <row r="865" customHeight="1" spans="5:20">
      <c r="E865" s="291"/>
      <c r="F865" s="291"/>
      <c r="G865" s="291"/>
      <c r="H865" s="291"/>
      <c r="I865" s="296"/>
      <c r="M865" s="296"/>
      <c r="N865" s="296"/>
      <c r="O865" s="297"/>
      <c r="P865" s="298"/>
      <c r="R865" s="296"/>
      <c r="S865" s="297"/>
      <c r="T865" s="298"/>
    </row>
    <row r="866" customHeight="1" spans="5:20">
      <c r="E866" s="291"/>
      <c r="F866" s="291"/>
      <c r="G866" s="291"/>
      <c r="H866" s="291"/>
      <c r="I866" s="296"/>
      <c r="M866" s="296"/>
      <c r="N866" s="296"/>
      <c r="O866" s="297"/>
      <c r="P866" s="298"/>
      <c r="R866" s="296"/>
      <c r="S866" s="297"/>
      <c r="T866" s="298"/>
    </row>
    <row r="867" customHeight="1" spans="5:20">
      <c r="E867" s="291"/>
      <c r="F867" s="291"/>
      <c r="G867" s="291"/>
      <c r="H867" s="291"/>
      <c r="I867" s="296"/>
      <c r="M867" s="296"/>
      <c r="N867" s="296"/>
      <c r="O867" s="297"/>
      <c r="P867" s="298"/>
      <c r="R867" s="296"/>
      <c r="S867" s="297"/>
      <c r="T867" s="298"/>
    </row>
    <row r="868" customHeight="1" spans="5:20">
      <c r="E868" s="291"/>
      <c r="F868" s="291"/>
      <c r="G868" s="291"/>
      <c r="H868" s="291"/>
      <c r="I868" s="296"/>
      <c r="M868" s="296"/>
      <c r="N868" s="296"/>
      <c r="O868" s="297"/>
      <c r="P868" s="298"/>
      <c r="R868" s="296"/>
      <c r="S868" s="297"/>
      <c r="T868" s="298"/>
    </row>
    <row r="869" customHeight="1" spans="5:20">
      <c r="E869" s="291"/>
      <c r="F869" s="291"/>
      <c r="G869" s="291"/>
      <c r="H869" s="291"/>
      <c r="I869" s="296"/>
      <c r="M869" s="296"/>
      <c r="N869" s="296"/>
      <c r="O869" s="297"/>
      <c r="P869" s="298"/>
      <c r="R869" s="296"/>
      <c r="S869" s="297"/>
      <c r="T869" s="298"/>
    </row>
    <row r="870" customHeight="1" spans="5:20">
      <c r="E870" s="291"/>
      <c r="F870" s="291"/>
      <c r="G870" s="291"/>
      <c r="H870" s="291"/>
      <c r="I870" s="296"/>
      <c r="M870" s="296"/>
      <c r="N870" s="296"/>
      <c r="O870" s="297"/>
      <c r="P870" s="298"/>
      <c r="R870" s="296"/>
      <c r="S870" s="297"/>
      <c r="T870" s="298"/>
    </row>
    <row r="871" customHeight="1" spans="5:20">
      <c r="E871" s="291"/>
      <c r="F871" s="291"/>
      <c r="G871" s="291"/>
      <c r="H871" s="291"/>
      <c r="I871" s="296"/>
      <c r="M871" s="296"/>
      <c r="N871" s="296"/>
      <c r="O871" s="297"/>
      <c r="P871" s="298"/>
      <c r="R871" s="296"/>
      <c r="S871" s="297"/>
      <c r="T871" s="298"/>
    </row>
    <row r="872" customHeight="1" spans="5:20">
      <c r="E872" s="291"/>
      <c r="F872" s="291"/>
      <c r="G872" s="291"/>
      <c r="H872" s="291"/>
      <c r="I872" s="296"/>
      <c r="M872" s="296"/>
      <c r="N872" s="296"/>
      <c r="O872" s="297"/>
      <c r="P872" s="298"/>
      <c r="R872" s="296"/>
      <c r="S872" s="297"/>
      <c r="T872" s="298"/>
    </row>
    <row r="873" customHeight="1" spans="5:20">
      <c r="E873" s="291"/>
      <c r="F873" s="291"/>
      <c r="G873" s="291"/>
      <c r="H873" s="291"/>
      <c r="I873" s="296"/>
      <c r="M873" s="296"/>
      <c r="N873" s="296"/>
      <c r="O873" s="297"/>
      <c r="P873" s="298"/>
      <c r="R873" s="296"/>
      <c r="S873" s="297"/>
      <c r="T873" s="298"/>
    </row>
    <row r="874" customHeight="1" spans="5:20">
      <c r="E874" s="291"/>
      <c r="F874" s="291"/>
      <c r="G874" s="291"/>
      <c r="H874" s="291"/>
      <c r="I874" s="296"/>
      <c r="M874" s="296"/>
      <c r="N874" s="296"/>
      <c r="O874" s="297"/>
      <c r="P874" s="298"/>
      <c r="R874" s="296"/>
      <c r="S874" s="297"/>
      <c r="T874" s="298"/>
    </row>
    <row r="875" customHeight="1" spans="5:20">
      <c r="E875" s="291"/>
      <c r="F875" s="291"/>
      <c r="G875" s="291"/>
      <c r="H875" s="291"/>
      <c r="I875" s="296"/>
      <c r="M875" s="296"/>
      <c r="N875" s="296"/>
      <c r="O875" s="297"/>
      <c r="P875" s="298"/>
      <c r="R875" s="296"/>
      <c r="S875" s="297"/>
      <c r="T875" s="298"/>
    </row>
    <row r="876" customHeight="1" spans="5:20">
      <c r="E876" s="291"/>
      <c r="F876" s="291"/>
      <c r="G876" s="291"/>
      <c r="H876" s="291"/>
      <c r="I876" s="296"/>
      <c r="M876" s="296"/>
      <c r="N876" s="296"/>
      <c r="O876" s="297"/>
      <c r="P876" s="298"/>
      <c r="R876" s="296"/>
      <c r="S876" s="297"/>
      <c r="T876" s="298"/>
    </row>
    <row r="877" customHeight="1" spans="5:20">
      <c r="E877" s="291"/>
      <c r="F877" s="291"/>
      <c r="G877" s="291"/>
      <c r="H877" s="291"/>
      <c r="I877" s="296"/>
      <c r="M877" s="296"/>
      <c r="N877" s="296"/>
      <c r="O877" s="297"/>
      <c r="P877" s="298"/>
      <c r="R877" s="296"/>
      <c r="S877" s="297"/>
      <c r="T877" s="298"/>
    </row>
    <row r="878" customHeight="1" spans="5:20">
      <c r="E878" s="291"/>
      <c r="F878" s="291"/>
      <c r="G878" s="291"/>
      <c r="H878" s="291"/>
      <c r="I878" s="296"/>
      <c r="M878" s="296"/>
      <c r="N878" s="296"/>
      <c r="O878" s="297"/>
      <c r="P878" s="298"/>
      <c r="R878" s="296"/>
      <c r="S878" s="297"/>
      <c r="T878" s="298"/>
    </row>
    <row r="879" customHeight="1" spans="5:20">
      <c r="E879" s="291"/>
      <c r="F879" s="291"/>
      <c r="G879" s="291"/>
      <c r="H879" s="291"/>
      <c r="I879" s="296"/>
      <c r="M879" s="296"/>
      <c r="N879" s="296"/>
      <c r="O879" s="297"/>
      <c r="P879" s="298"/>
      <c r="R879" s="296"/>
      <c r="S879" s="297"/>
      <c r="T879" s="298"/>
    </row>
    <row r="880" customHeight="1" spans="5:20">
      <c r="E880" s="291"/>
      <c r="F880" s="291"/>
      <c r="G880" s="291"/>
      <c r="H880" s="291"/>
      <c r="I880" s="296"/>
      <c r="M880" s="296"/>
      <c r="N880" s="296"/>
      <c r="O880" s="297"/>
      <c r="P880" s="298"/>
      <c r="R880" s="296"/>
      <c r="S880" s="297"/>
      <c r="T880" s="298"/>
    </row>
    <row r="881" customHeight="1" spans="5:20">
      <c r="E881" s="291"/>
      <c r="F881" s="291"/>
      <c r="G881" s="291"/>
      <c r="H881" s="291"/>
      <c r="I881" s="296"/>
      <c r="M881" s="296"/>
      <c r="N881" s="296"/>
      <c r="O881" s="297"/>
      <c r="P881" s="298"/>
      <c r="R881" s="296"/>
      <c r="S881" s="297"/>
      <c r="T881" s="298"/>
    </row>
    <row r="882" customHeight="1" spans="5:20">
      <c r="E882" s="291"/>
      <c r="F882" s="291"/>
      <c r="G882" s="291"/>
      <c r="H882" s="291"/>
      <c r="I882" s="296"/>
      <c r="M882" s="296"/>
      <c r="N882" s="296"/>
      <c r="O882" s="297"/>
      <c r="P882" s="298"/>
      <c r="R882" s="296"/>
      <c r="S882" s="297"/>
      <c r="T882" s="298"/>
    </row>
    <row r="883" customHeight="1" spans="5:20">
      <c r="E883" s="291"/>
      <c r="F883" s="291"/>
      <c r="G883" s="291"/>
      <c r="H883" s="291"/>
      <c r="I883" s="296"/>
      <c r="M883" s="296"/>
      <c r="N883" s="296"/>
      <c r="O883" s="297"/>
      <c r="P883" s="298"/>
      <c r="R883" s="296"/>
      <c r="S883" s="297"/>
      <c r="T883" s="298"/>
    </row>
    <row r="884" customHeight="1" spans="5:20">
      <c r="E884" s="291"/>
      <c r="F884" s="291"/>
      <c r="G884" s="291"/>
      <c r="H884" s="291"/>
      <c r="I884" s="296"/>
      <c r="M884" s="296"/>
      <c r="N884" s="296"/>
      <c r="O884" s="297"/>
      <c r="P884" s="298"/>
      <c r="R884" s="296"/>
      <c r="S884" s="297"/>
      <c r="T884" s="298"/>
    </row>
    <row r="885" customHeight="1" spans="5:20">
      <c r="E885" s="291"/>
      <c r="F885" s="291"/>
      <c r="G885" s="291"/>
      <c r="H885" s="291"/>
      <c r="I885" s="296"/>
      <c r="M885" s="296"/>
      <c r="N885" s="296"/>
      <c r="O885" s="297"/>
      <c r="P885" s="298"/>
      <c r="R885" s="296"/>
      <c r="S885" s="297"/>
      <c r="T885" s="298"/>
    </row>
    <row r="886" customHeight="1" spans="5:20">
      <c r="E886" s="291"/>
      <c r="F886" s="291"/>
      <c r="G886" s="291"/>
      <c r="H886" s="291"/>
      <c r="I886" s="296"/>
      <c r="M886" s="296"/>
      <c r="N886" s="296"/>
      <c r="O886" s="297"/>
      <c r="P886" s="298"/>
      <c r="R886" s="296"/>
      <c r="S886" s="297"/>
      <c r="T886" s="298"/>
    </row>
    <row r="887" customHeight="1" spans="5:20">
      <c r="E887" s="291"/>
      <c r="F887" s="291"/>
      <c r="G887" s="291"/>
      <c r="H887" s="291"/>
      <c r="I887" s="296"/>
      <c r="M887" s="296"/>
      <c r="N887" s="296"/>
      <c r="O887" s="297"/>
      <c r="P887" s="298"/>
      <c r="R887" s="296"/>
      <c r="S887" s="297"/>
      <c r="T887" s="298"/>
    </row>
    <row r="888" customHeight="1" spans="5:20">
      <c r="E888" s="291"/>
      <c r="F888" s="291"/>
      <c r="G888" s="291"/>
      <c r="H888" s="291"/>
      <c r="I888" s="296"/>
      <c r="M888" s="296"/>
      <c r="N888" s="296"/>
      <c r="O888" s="297"/>
      <c r="P888" s="298"/>
      <c r="R888" s="296"/>
      <c r="S888" s="297"/>
      <c r="T888" s="298"/>
    </row>
    <row r="889" customHeight="1" spans="5:20">
      <c r="E889" s="291"/>
      <c r="F889" s="291"/>
      <c r="G889" s="291"/>
      <c r="H889" s="291"/>
      <c r="I889" s="296"/>
      <c r="M889" s="296"/>
      <c r="N889" s="296"/>
      <c r="O889" s="297"/>
      <c r="P889" s="298"/>
      <c r="R889" s="296"/>
      <c r="S889" s="297"/>
      <c r="T889" s="298"/>
    </row>
    <row r="890" customHeight="1" spans="5:20">
      <c r="E890" s="291"/>
      <c r="F890" s="291"/>
      <c r="G890" s="291"/>
      <c r="H890" s="291"/>
      <c r="I890" s="296"/>
      <c r="M890" s="296"/>
      <c r="N890" s="296"/>
      <c r="O890" s="297"/>
      <c r="P890" s="298"/>
      <c r="R890" s="296"/>
      <c r="S890" s="297"/>
      <c r="T890" s="298"/>
    </row>
    <row r="891" customHeight="1" spans="5:20">
      <c r="E891" s="291"/>
      <c r="F891" s="291"/>
      <c r="G891" s="291"/>
      <c r="H891" s="291"/>
      <c r="I891" s="296"/>
      <c r="M891" s="296"/>
      <c r="N891" s="296"/>
      <c r="O891" s="297"/>
      <c r="P891" s="298"/>
      <c r="R891" s="296"/>
      <c r="S891" s="297"/>
      <c r="T891" s="298"/>
    </row>
    <row r="892" customHeight="1" spans="5:20">
      <c r="E892" s="291"/>
      <c r="F892" s="291"/>
      <c r="G892" s="291"/>
      <c r="H892" s="291"/>
      <c r="I892" s="296"/>
      <c r="M892" s="296"/>
      <c r="N892" s="296"/>
      <c r="O892" s="297"/>
      <c r="P892" s="298"/>
      <c r="R892" s="296"/>
      <c r="S892" s="297"/>
      <c r="T892" s="298"/>
    </row>
    <row r="893" customHeight="1" spans="5:20">
      <c r="E893" s="291"/>
      <c r="F893" s="291"/>
      <c r="G893" s="291"/>
      <c r="H893" s="291"/>
      <c r="I893" s="296"/>
      <c r="M893" s="296"/>
      <c r="N893" s="296"/>
      <c r="O893" s="297"/>
      <c r="P893" s="298"/>
      <c r="R893" s="296"/>
      <c r="S893" s="297"/>
      <c r="T893" s="298"/>
    </row>
    <row r="894" customHeight="1" spans="5:20">
      <c r="E894" s="291"/>
      <c r="F894" s="291"/>
      <c r="G894" s="291"/>
      <c r="H894" s="291"/>
      <c r="I894" s="296"/>
      <c r="M894" s="296"/>
      <c r="N894" s="296"/>
      <c r="O894" s="297"/>
      <c r="P894" s="298"/>
      <c r="R894" s="296"/>
      <c r="S894" s="297"/>
      <c r="T894" s="298"/>
    </row>
    <row r="895" customHeight="1" spans="5:20">
      <c r="E895" s="291"/>
      <c r="F895" s="291"/>
      <c r="G895" s="291"/>
      <c r="H895" s="291"/>
      <c r="I895" s="296"/>
      <c r="M895" s="296"/>
      <c r="N895" s="296"/>
      <c r="O895" s="297"/>
      <c r="P895" s="298"/>
      <c r="R895" s="296"/>
      <c r="S895" s="297"/>
      <c r="T895" s="298"/>
    </row>
    <row r="896" customHeight="1" spans="5:20">
      <c r="E896" s="291"/>
      <c r="F896" s="291"/>
      <c r="G896" s="291"/>
      <c r="H896" s="291"/>
      <c r="I896" s="296"/>
      <c r="M896" s="296"/>
      <c r="N896" s="296"/>
      <c r="O896" s="297"/>
      <c r="P896" s="298"/>
      <c r="R896" s="296"/>
      <c r="S896" s="297"/>
      <c r="T896" s="298"/>
    </row>
    <row r="897" customHeight="1" spans="5:20">
      <c r="E897" s="291"/>
      <c r="F897" s="291"/>
      <c r="G897" s="291"/>
      <c r="H897" s="291"/>
      <c r="I897" s="296"/>
      <c r="M897" s="296"/>
      <c r="N897" s="296"/>
      <c r="O897" s="297"/>
      <c r="P897" s="298"/>
      <c r="R897" s="296"/>
      <c r="S897" s="297"/>
      <c r="T897" s="298"/>
    </row>
    <row r="898" customHeight="1" spans="5:20">
      <c r="E898" s="291"/>
      <c r="F898" s="291"/>
      <c r="G898" s="291"/>
      <c r="H898" s="291"/>
      <c r="I898" s="296"/>
      <c r="M898" s="296"/>
      <c r="N898" s="296"/>
      <c r="O898" s="297"/>
      <c r="P898" s="298"/>
      <c r="R898" s="296"/>
      <c r="S898" s="297"/>
      <c r="T898" s="298"/>
    </row>
    <row r="899" customHeight="1" spans="5:20">
      <c r="E899" s="291"/>
      <c r="F899" s="291"/>
      <c r="G899" s="291"/>
      <c r="H899" s="291"/>
      <c r="I899" s="296"/>
      <c r="M899" s="296"/>
      <c r="N899" s="296"/>
      <c r="O899" s="297"/>
      <c r="P899" s="298"/>
      <c r="R899" s="296"/>
      <c r="S899" s="297"/>
      <c r="T899" s="298"/>
    </row>
    <row r="900" customHeight="1" spans="5:20">
      <c r="E900" s="291"/>
      <c r="F900" s="291"/>
      <c r="G900" s="291"/>
      <c r="H900" s="291"/>
      <c r="I900" s="296"/>
      <c r="M900" s="296"/>
      <c r="N900" s="296"/>
      <c r="O900" s="297"/>
      <c r="P900" s="298"/>
      <c r="R900" s="296"/>
      <c r="S900" s="297"/>
      <c r="T900" s="298"/>
    </row>
    <row r="901" customHeight="1" spans="5:20">
      <c r="E901" s="291"/>
      <c r="F901" s="291"/>
      <c r="G901" s="291"/>
      <c r="H901" s="291"/>
      <c r="I901" s="296"/>
      <c r="M901" s="296"/>
      <c r="N901" s="296"/>
      <c r="O901" s="297"/>
      <c r="P901" s="298"/>
      <c r="R901" s="296"/>
      <c r="S901" s="297"/>
      <c r="T901" s="298"/>
    </row>
    <row r="902" customHeight="1" spans="5:20">
      <c r="E902" s="291"/>
      <c r="F902" s="291"/>
      <c r="G902" s="291"/>
      <c r="H902" s="291"/>
      <c r="I902" s="296"/>
      <c r="M902" s="296"/>
      <c r="N902" s="296"/>
      <c r="O902" s="297"/>
      <c r="P902" s="298"/>
      <c r="R902" s="296"/>
      <c r="S902" s="297"/>
      <c r="T902" s="298"/>
    </row>
    <row r="903" customHeight="1" spans="5:20">
      <c r="E903" s="291"/>
      <c r="F903" s="291"/>
      <c r="G903" s="291"/>
      <c r="H903" s="291"/>
      <c r="I903" s="296"/>
      <c r="M903" s="296"/>
      <c r="N903" s="296"/>
      <c r="O903" s="297"/>
      <c r="P903" s="298"/>
      <c r="R903" s="296"/>
      <c r="S903" s="297"/>
      <c r="T903" s="298"/>
    </row>
    <row r="904" customHeight="1" spans="5:20">
      <c r="E904" s="291"/>
      <c r="F904" s="291"/>
      <c r="G904" s="291"/>
      <c r="H904" s="291"/>
      <c r="I904" s="296"/>
      <c r="M904" s="296"/>
      <c r="N904" s="296"/>
      <c r="O904" s="297"/>
      <c r="P904" s="298"/>
      <c r="R904" s="296"/>
      <c r="S904" s="297"/>
      <c r="T904" s="298"/>
    </row>
    <row r="905" customHeight="1" spans="5:20">
      <c r="E905" s="291"/>
      <c r="F905" s="291"/>
      <c r="G905" s="291"/>
      <c r="H905" s="291"/>
      <c r="I905" s="296"/>
      <c r="M905" s="296"/>
      <c r="N905" s="296"/>
      <c r="O905" s="297"/>
      <c r="P905" s="298"/>
      <c r="R905" s="296"/>
      <c r="S905" s="297"/>
      <c r="T905" s="298"/>
    </row>
    <row r="906" customHeight="1" spans="5:20">
      <c r="E906" s="291"/>
      <c r="F906" s="291"/>
      <c r="G906" s="291"/>
      <c r="H906" s="291"/>
      <c r="I906" s="296"/>
      <c r="M906" s="296"/>
      <c r="N906" s="296"/>
      <c r="O906" s="297"/>
      <c r="P906" s="298"/>
      <c r="R906" s="296"/>
      <c r="S906" s="297"/>
      <c r="T906" s="298"/>
    </row>
    <row r="907" customHeight="1" spans="5:20">
      <c r="E907" s="291"/>
      <c r="F907" s="291"/>
      <c r="G907" s="291"/>
      <c r="H907" s="291"/>
      <c r="I907" s="296"/>
      <c r="M907" s="296"/>
      <c r="N907" s="296"/>
      <c r="O907" s="297"/>
      <c r="P907" s="298"/>
      <c r="R907" s="296"/>
      <c r="S907" s="297"/>
      <c r="T907" s="298"/>
    </row>
    <row r="908" customHeight="1" spans="5:20">
      <c r="E908" s="291"/>
      <c r="F908" s="291"/>
      <c r="G908" s="291"/>
      <c r="H908" s="291"/>
      <c r="I908" s="296"/>
      <c r="M908" s="296"/>
      <c r="N908" s="296"/>
      <c r="O908" s="297"/>
      <c r="P908" s="298"/>
      <c r="R908" s="296"/>
      <c r="S908" s="297"/>
      <c r="T908" s="298"/>
    </row>
    <row r="909" customHeight="1" spans="5:20">
      <c r="E909" s="291"/>
      <c r="F909" s="291"/>
      <c r="G909" s="291"/>
      <c r="H909" s="291"/>
      <c r="I909" s="296"/>
      <c r="M909" s="296"/>
      <c r="N909" s="296"/>
      <c r="O909" s="297"/>
      <c r="P909" s="298"/>
      <c r="R909" s="296"/>
      <c r="S909" s="297"/>
      <c r="T909" s="298"/>
    </row>
    <row r="910" customHeight="1" spans="5:20">
      <c r="E910" s="291"/>
      <c r="F910" s="291"/>
      <c r="G910" s="291"/>
      <c r="H910" s="291"/>
      <c r="I910" s="296"/>
      <c r="M910" s="296"/>
      <c r="N910" s="296"/>
      <c r="O910" s="297"/>
      <c r="P910" s="298"/>
      <c r="R910" s="296"/>
      <c r="S910" s="297"/>
      <c r="T910" s="298"/>
    </row>
    <row r="911" customHeight="1" spans="5:20">
      <c r="E911" s="291"/>
      <c r="F911" s="291"/>
      <c r="G911" s="291"/>
      <c r="H911" s="291"/>
      <c r="I911" s="296"/>
      <c r="M911" s="296"/>
      <c r="N911" s="296"/>
      <c r="O911" s="297"/>
      <c r="P911" s="298"/>
      <c r="R911" s="296"/>
      <c r="S911" s="297"/>
      <c r="T911" s="298"/>
    </row>
    <row r="912" customHeight="1" spans="5:20">
      <c r="E912" s="291"/>
      <c r="F912" s="291"/>
      <c r="G912" s="291"/>
      <c r="H912" s="291"/>
      <c r="I912" s="296"/>
      <c r="M912" s="296"/>
      <c r="N912" s="296"/>
      <c r="O912" s="297"/>
      <c r="P912" s="298"/>
      <c r="R912" s="296"/>
      <c r="S912" s="297"/>
      <c r="T912" s="298"/>
    </row>
    <row r="913" customHeight="1" spans="5:20">
      <c r="E913" s="291"/>
      <c r="F913" s="291"/>
      <c r="G913" s="291"/>
      <c r="H913" s="291"/>
      <c r="I913" s="296"/>
      <c r="M913" s="296"/>
      <c r="N913" s="296"/>
      <c r="O913" s="297"/>
      <c r="P913" s="298"/>
      <c r="R913" s="296"/>
      <c r="S913" s="297"/>
      <c r="T913" s="298"/>
    </row>
    <row r="914" customHeight="1" spans="5:20">
      <c r="E914" s="291"/>
      <c r="F914" s="291"/>
      <c r="G914" s="291"/>
      <c r="H914" s="291"/>
      <c r="I914" s="296"/>
      <c r="M914" s="296"/>
      <c r="N914" s="296"/>
      <c r="O914" s="297"/>
      <c r="P914" s="298"/>
      <c r="R914" s="296"/>
      <c r="S914" s="297"/>
      <c r="T914" s="298"/>
    </row>
    <row r="915" customHeight="1" spans="5:20">
      <c r="E915" s="291"/>
      <c r="F915" s="291"/>
      <c r="G915" s="291"/>
      <c r="H915" s="291"/>
      <c r="I915" s="296"/>
      <c r="M915" s="296"/>
      <c r="N915" s="296"/>
      <c r="O915" s="297"/>
      <c r="P915" s="298"/>
      <c r="R915" s="296"/>
      <c r="S915" s="297"/>
      <c r="T915" s="298"/>
    </row>
    <row r="916" customHeight="1" spans="5:20">
      <c r="E916" s="291"/>
      <c r="F916" s="291"/>
      <c r="G916" s="291"/>
      <c r="H916" s="291"/>
      <c r="I916" s="296"/>
      <c r="M916" s="296"/>
      <c r="N916" s="296"/>
      <c r="O916" s="297"/>
      <c r="P916" s="298"/>
      <c r="R916" s="296"/>
      <c r="S916" s="297"/>
      <c r="T916" s="298"/>
    </row>
    <row r="917" customHeight="1" spans="5:20">
      <c r="E917" s="291"/>
      <c r="F917" s="291"/>
      <c r="G917" s="291"/>
      <c r="H917" s="291"/>
      <c r="I917" s="296"/>
      <c r="M917" s="296"/>
      <c r="N917" s="296"/>
      <c r="O917" s="297"/>
      <c r="P917" s="298"/>
      <c r="R917" s="296"/>
      <c r="S917" s="297"/>
      <c r="T917" s="298"/>
    </row>
    <row r="918" customHeight="1" spans="5:20">
      <c r="E918" s="291"/>
      <c r="F918" s="291"/>
      <c r="G918" s="291"/>
      <c r="H918" s="291"/>
      <c r="I918" s="296"/>
      <c r="M918" s="296"/>
      <c r="N918" s="296"/>
      <c r="O918" s="297"/>
      <c r="P918" s="298"/>
      <c r="R918" s="296"/>
      <c r="S918" s="297"/>
      <c r="T918" s="298"/>
    </row>
    <row r="919" customHeight="1" spans="5:20">
      <c r="E919" s="291"/>
      <c r="F919" s="291"/>
      <c r="G919" s="291"/>
      <c r="H919" s="291"/>
      <c r="I919" s="296"/>
      <c r="M919" s="296"/>
      <c r="N919" s="296"/>
      <c r="O919" s="297"/>
      <c r="P919" s="298"/>
      <c r="R919" s="296"/>
      <c r="S919" s="297"/>
      <c r="T919" s="298"/>
    </row>
    <row r="920" customHeight="1" spans="5:20">
      <c r="E920" s="291"/>
      <c r="F920" s="291"/>
      <c r="G920" s="291"/>
      <c r="H920" s="291"/>
      <c r="I920" s="296"/>
      <c r="M920" s="296"/>
      <c r="N920" s="296"/>
      <c r="O920" s="297"/>
      <c r="P920" s="298"/>
      <c r="R920" s="296"/>
      <c r="S920" s="297"/>
      <c r="T920" s="298"/>
    </row>
    <row r="921" customHeight="1" spans="5:20">
      <c r="E921" s="291"/>
      <c r="F921" s="291"/>
      <c r="G921" s="291"/>
      <c r="H921" s="291"/>
      <c r="I921" s="296"/>
      <c r="M921" s="296"/>
      <c r="N921" s="296"/>
      <c r="O921" s="297"/>
      <c r="P921" s="298"/>
      <c r="R921" s="296"/>
      <c r="S921" s="297"/>
      <c r="T921" s="298"/>
    </row>
    <row r="922" customHeight="1" spans="5:20">
      <c r="E922" s="291"/>
      <c r="F922" s="291"/>
      <c r="G922" s="291"/>
      <c r="H922" s="291"/>
      <c r="I922" s="296"/>
      <c r="M922" s="296"/>
      <c r="N922" s="296"/>
      <c r="O922" s="297"/>
      <c r="P922" s="298"/>
      <c r="R922" s="296"/>
      <c r="S922" s="297"/>
      <c r="T922" s="298"/>
    </row>
    <row r="923" customHeight="1" spans="5:20">
      <c r="E923" s="291"/>
      <c r="F923" s="291"/>
      <c r="G923" s="291"/>
      <c r="H923" s="291"/>
      <c r="I923" s="296"/>
      <c r="M923" s="296"/>
      <c r="N923" s="296"/>
      <c r="O923" s="297"/>
      <c r="P923" s="298"/>
      <c r="R923" s="296"/>
      <c r="S923" s="297"/>
      <c r="T923" s="298"/>
    </row>
    <row r="924" customHeight="1" spans="5:20">
      <c r="E924" s="291"/>
      <c r="F924" s="291"/>
      <c r="G924" s="291"/>
      <c r="H924" s="291"/>
      <c r="I924" s="296"/>
      <c r="M924" s="296"/>
      <c r="N924" s="296"/>
      <c r="O924" s="297"/>
      <c r="P924" s="298"/>
      <c r="R924" s="296"/>
      <c r="S924" s="297"/>
      <c r="T924" s="298"/>
    </row>
    <row r="925" customHeight="1" spans="5:20">
      <c r="E925" s="291"/>
      <c r="F925" s="291"/>
      <c r="G925" s="291"/>
      <c r="H925" s="291"/>
      <c r="I925" s="296"/>
      <c r="M925" s="296"/>
      <c r="N925" s="296"/>
      <c r="O925" s="297"/>
      <c r="P925" s="298"/>
      <c r="R925" s="296"/>
      <c r="S925" s="297"/>
      <c r="T925" s="298"/>
    </row>
    <row r="926" customHeight="1" spans="5:20">
      <c r="E926" s="291"/>
      <c r="F926" s="291"/>
      <c r="G926" s="291"/>
      <c r="H926" s="291"/>
      <c r="I926" s="296"/>
      <c r="M926" s="296"/>
      <c r="N926" s="296"/>
      <c r="O926" s="297"/>
      <c r="P926" s="298"/>
      <c r="R926" s="296"/>
      <c r="S926" s="297"/>
      <c r="T926" s="298"/>
    </row>
    <row r="927" customHeight="1" spans="5:20">
      <c r="E927" s="291"/>
      <c r="F927" s="291"/>
      <c r="G927" s="291"/>
      <c r="H927" s="291"/>
      <c r="I927" s="296"/>
      <c r="M927" s="296"/>
      <c r="N927" s="296"/>
      <c r="O927" s="297"/>
      <c r="P927" s="298"/>
      <c r="R927" s="296"/>
      <c r="S927" s="297"/>
      <c r="T927" s="298"/>
    </row>
    <row r="928" customHeight="1" spans="5:20">
      <c r="E928" s="291"/>
      <c r="F928" s="291"/>
      <c r="G928" s="291"/>
      <c r="H928" s="291"/>
      <c r="I928" s="296"/>
      <c r="M928" s="296"/>
      <c r="N928" s="296"/>
      <c r="O928" s="297"/>
      <c r="P928" s="298"/>
      <c r="R928" s="296"/>
      <c r="S928" s="297"/>
      <c r="T928" s="298"/>
    </row>
    <row r="929" customHeight="1" spans="5:20">
      <c r="E929" s="291"/>
      <c r="F929" s="291"/>
      <c r="G929" s="291"/>
      <c r="H929" s="291"/>
      <c r="I929" s="296"/>
      <c r="M929" s="296"/>
      <c r="N929" s="296"/>
      <c r="O929" s="297"/>
      <c r="P929" s="298"/>
      <c r="R929" s="296"/>
      <c r="S929" s="297"/>
      <c r="T929" s="298"/>
    </row>
    <row r="930" customHeight="1" spans="5:20">
      <c r="E930" s="291"/>
      <c r="F930" s="291"/>
      <c r="G930" s="291"/>
      <c r="H930" s="291"/>
      <c r="I930" s="296"/>
      <c r="M930" s="296"/>
      <c r="N930" s="296"/>
      <c r="O930" s="297"/>
      <c r="P930" s="298"/>
      <c r="R930" s="296"/>
      <c r="S930" s="297"/>
      <c r="T930" s="298"/>
    </row>
    <row r="931" customHeight="1" spans="5:20">
      <c r="E931" s="291"/>
      <c r="F931" s="291"/>
      <c r="G931" s="291"/>
      <c r="H931" s="291"/>
      <c r="I931" s="296"/>
      <c r="M931" s="296"/>
      <c r="N931" s="296"/>
      <c r="O931" s="297"/>
      <c r="P931" s="298"/>
      <c r="R931" s="296"/>
      <c r="S931" s="297"/>
      <c r="T931" s="298"/>
    </row>
    <row r="932" customHeight="1" spans="5:20">
      <c r="E932" s="291"/>
      <c r="F932" s="291"/>
      <c r="G932" s="291"/>
      <c r="H932" s="291"/>
      <c r="I932" s="296"/>
      <c r="M932" s="296"/>
      <c r="N932" s="296"/>
      <c r="O932" s="297"/>
      <c r="P932" s="298"/>
      <c r="R932" s="296"/>
      <c r="S932" s="297"/>
      <c r="T932" s="298"/>
    </row>
    <row r="933" customHeight="1" spans="5:20">
      <c r="E933" s="291"/>
      <c r="F933" s="291"/>
      <c r="G933" s="291"/>
      <c r="H933" s="291"/>
      <c r="I933" s="296"/>
      <c r="M933" s="296"/>
      <c r="N933" s="296"/>
      <c r="O933" s="297"/>
      <c r="P933" s="298"/>
      <c r="R933" s="296"/>
      <c r="S933" s="297"/>
      <c r="T933" s="298"/>
    </row>
    <row r="934" customHeight="1" spans="5:20">
      <c r="E934" s="291"/>
      <c r="F934" s="291"/>
      <c r="G934" s="291"/>
      <c r="H934" s="291"/>
      <c r="I934" s="296"/>
      <c r="M934" s="296"/>
      <c r="N934" s="296"/>
      <c r="O934" s="297"/>
      <c r="P934" s="298"/>
      <c r="R934" s="296"/>
      <c r="S934" s="297"/>
      <c r="T934" s="298"/>
    </row>
    <row r="935" customHeight="1" spans="5:20">
      <c r="E935" s="291"/>
      <c r="F935" s="291"/>
      <c r="G935" s="291"/>
      <c r="H935" s="291"/>
      <c r="I935" s="296"/>
      <c r="M935" s="296"/>
      <c r="N935" s="296"/>
      <c r="O935" s="297"/>
      <c r="P935" s="298"/>
      <c r="R935" s="296"/>
      <c r="S935" s="297"/>
      <c r="T935" s="298"/>
    </row>
    <row r="936" customHeight="1" spans="5:20">
      <c r="E936" s="291"/>
      <c r="F936" s="291"/>
      <c r="G936" s="291"/>
      <c r="H936" s="291"/>
      <c r="I936" s="296"/>
      <c r="M936" s="296"/>
      <c r="N936" s="296"/>
      <c r="O936" s="297"/>
      <c r="P936" s="298"/>
      <c r="R936" s="296"/>
      <c r="S936" s="297"/>
      <c r="T936" s="298"/>
    </row>
    <row r="937" customHeight="1" spans="5:20">
      <c r="E937" s="291"/>
      <c r="F937" s="291"/>
      <c r="G937" s="291"/>
      <c r="H937" s="291"/>
      <c r="I937" s="296"/>
      <c r="M937" s="296"/>
      <c r="N937" s="296"/>
      <c r="O937" s="297"/>
      <c r="P937" s="298"/>
      <c r="R937" s="296"/>
      <c r="S937" s="297"/>
      <c r="T937" s="298"/>
    </row>
    <row r="938" customHeight="1" spans="5:20">
      <c r="E938" s="291"/>
      <c r="F938" s="291"/>
      <c r="G938" s="291"/>
      <c r="H938" s="291"/>
      <c r="I938" s="296"/>
      <c r="M938" s="296"/>
      <c r="N938" s="296"/>
      <c r="O938" s="297"/>
      <c r="P938" s="298"/>
      <c r="R938" s="296"/>
      <c r="S938" s="297"/>
      <c r="T938" s="298"/>
    </row>
    <row r="939" customHeight="1" spans="5:20">
      <c r="E939" s="291"/>
      <c r="F939" s="291"/>
      <c r="G939" s="291"/>
      <c r="H939" s="291"/>
      <c r="I939" s="296"/>
      <c r="M939" s="296"/>
      <c r="N939" s="296"/>
      <c r="O939" s="297"/>
      <c r="P939" s="298"/>
      <c r="R939" s="296"/>
      <c r="S939" s="297"/>
      <c r="T939" s="298"/>
    </row>
    <row r="940" customHeight="1" spans="5:20">
      <c r="E940" s="291"/>
      <c r="F940" s="291"/>
      <c r="G940" s="291"/>
      <c r="H940" s="291"/>
      <c r="I940" s="296"/>
      <c r="M940" s="296"/>
      <c r="N940" s="296"/>
      <c r="O940" s="297"/>
      <c r="P940" s="298"/>
      <c r="R940" s="296"/>
      <c r="S940" s="297"/>
      <c r="T940" s="298"/>
    </row>
    <row r="941" customHeight="1" spans="5:20">
      <c r="E941" s="291"/>
      <c r="F941" s="291"/>
      <c r="G941" s="291"/>
      <c r="H941" s="291"/>
      <c r="I941" s="296"/>
      <c r="M941" s="296"/>
      <c r="N941" s="296"/>
      <c r="O941" s="297"/>
      <c r="P941" s="298"/>
      <c r="R941" s="296"/>
      <c r="S941" s="297"/>
      <c r="T941" s="298"/>
    </row>
    <row r="942" customHeight="1" spans="5:20">
      <c r="E942" s="291"/>
      <c r="F942" s="291"/>
      <c r="G942" s="291"/>
      <c r="H942" s="291"/>
      <c r="I942" s="296"/>
      <c r="M942" s="296"/>
      <c r="N942" s="296"/>
      <c r="O942" s="297"/>
      <c r="P942" s="298"/>
      <c r="R942" s="296"/>
      <c r="S942" s="297"/>
      <c r="T942" s="298"/>
    </row>
    <row r="943" customHeight="1" spans="5:20">
      <c r="E943" s="291"/>
      <c r="F943" s="291"/>
      <c r="G943" s="291"/>
      <c r="H943" s="291"/>
      <c r="I943" s="296"/>
      <c r="M943" s="296"/>
      <c r="N943" s="296"/>
      <c r="O943" s="297"/>
      <c r="P943" s="298"/>
      <c r="R943" s="296"/>
      <c r="S943" s="297"/>
      <c r="T943" s="298"/>
    </row>
    <row r="944" customHeight="1" spans="5:20">
      <c r="E944" s="291"/>
      <c r="F944" s="291"/>
      <c r="G944" s="291"/>
      <c r="H944" s="291"/>
      <c r="I944" s="296"/>
      <c r="M944" s="296"/>
      <c r="N944" s="296"/>
      <c r="O944" s="297"/>
      <c r="P944" s="298"/>
      <c r="R944" s="296"/>
      <c r="S944" s="297"/>
      <c r="T944" s="298"/>
    </row>
    <row r="945" customHeight="1" spans="5:20">
      <c r="E945" s="291"/>
      <c r="F945" s="291"/>
      <c r="G945" s="291"/>
      <c r="H945" s="291"/>
      <c r="I945" s="296"/>
      <c r="M945" s="296"/>
      <c r="N945" s="296"/>
      <c r="O945" s="297"/>
      <c r="P945" s="298"/>
      <c r="R945" s="296"/>
      <c r="S945" s="297"/>
      <c r="T945" s="298"/>
    </row>
    <row r="946" customHeight="1" spans="5:20">
      <c r="E946" s="291"/>
      <c r="F946" s="291"/>
      <c r="G946" s="291"/>
      <c r="H946" s="291"/>
      <c r="I946" s="296"/>
      <c r="M946" s="296"/>
      <c r="N946" s="296"/>
      <c r="O946" s="297"/>
      <c r="P946" s="298"/>
      <c r="R946" s="296"/>
      <c r="S946" s="297"/>
      <c r="T946" s="298"/>
    </row>
    <row r="947" customHeight="1" spans="5:20">
      <c r="E947" s="291"/>
      <c r="F947" s="291"/>
      <c r="G947" s="291"/>
      <c r="H947" s="291"/>
      <c r="I947" s="296"/>
      <c r="M947" s="296"/>
      <c r="N947" s="296"/>
      <c r="O947" s="297"/>
      <c r="P947" s="298"/>
      <c r="R947" s="296"/>
      <c r="S947" s="297"/>
      <c r="T947" s="298"/>
    </row>
    <row r="948" customHeight="1" spans="5:20">
      <c r="E948" s="291"/>
      <c r="F948" s="291"/>
      <c r="G948" s="291"/>
      <c r="H948" s="291"/>
      <c r="I948" s="296"/>
      <c r="M948" s="296"/>
      <c r="N948" s="296"/>
      <c r="O948" s="297"/>
      <c r="P948" s="298"/>
      <c r="R948" s="296"/>
      <c r="S948" s="297"/>
      <c r="T948" s="298"/>
    </row>
    <row r="949" customHeight="1" spans="5:20">
      <c r="E949" s="291"/>
      <c r="F949" s="291"/>
      <c r="G949" s="291"/>
      <c r="H949" s="291"/>
      <c r="I949" s="296"/>
      <c r="M949" s="296"/>
      <c r="N949" s="296"/>
      <c r="O949" s="297"/>
      <c r="P949" s="298"/>
      <c r="R949" s="296"/>
      <c r="S949" s="297"/>
      <c r="T949" s="298"/>
    </row>
    <row r="950" customHeight="1" spans="5:20">
      <c r="E950" s="291"/>
      <c r="F950" s="291"/>
      <c r="G950" s="291"/>
      <c r="H950" s="291"/>
      <c r="I950" s="296"/>
      <c r="M950" s="296"/>
      <c r="N950" s="296"/>
      <c r="O950" s="297"/>
      <c r="P950" s="298"/>
      <c r="R950" s="296"/>
      <c r="S950" s="297"/>
      <c r="T950" s="298"/>
    </row>
    <row r="951" customHeight="1" spans="5:20">
      <c r="E951" s="291"/>
      <c r="F951" s="291"/>
      <c r="G951" s="291"/>
      <c r="H951" s="291"/>
      <c r="I951" s="296"/>
      <c r="M951" s="296"/>
      <c r="N951" s="296"/>
      <c r="O951" s="297"/>
      <c r="P951" s="298"/>
      <c r="R951" s="296"/>
      <c r="S951" s="297"/>
      <c r="T951" s="298"/>
    </row>
    <row r="952" customHeight="1" spans="5:20">
      <c r="E952" s="291"/>
      <c r="F952" s="291"/>
      <c r="G952" s="291"/>
      <c r="H952" s="291"/>
      <c r="I952" s="296"/>
      <c r="M952" s="296"/>
      <c r="N952" s="296"/>
      <c r="O952" s="297"/>
      <c r="P952" s="298"/>
      <c r="R952" s="296"/>
      <c r="S952" s="297"/>
      <c r="T952" s="298"/>
    </row>
    <row r="953" customHeight="1" spans="5:20">
      <c r="E953" s="291"/>
      <c r="F953" s="291"/>
      <c r="G953" s="291"/>
      <c r="H953" s="291"/>
      <c r="I953" s="296"/>
      <c r="M953" s="296"/>
      <c r="N953" s="296"/>
      <c r="O953" s="297"/>
      <c r="P953" s="298"/>
      <c r="R953" s="296"/>
      <c r="S953" s="297"/>
      <c r="T953" s="298"/>
    </row>
    <row r="954" customHeight="1" spans="5:20">
      <c r="E954" s="291"/>
      <c r="F954" s="291"/>
      <c r="G954" s="291"/>
      <c r="H954" s="291"/>
      <c r="I954" s="296"/>
      <c r="M954" s="296"/>
      <c r="N954" s="296"/>
      <c r="O954" s="297"/>
      <c r="P954" s="298"/>
      <c r="R954" s="296"/>
      <c r="S954" s="297"/>
      <c r="T954" s="298"/>
    </row>
    <row r="955" customHeight="1" spans="5:20">
      <c r="E955" s="291"/>
      <c r="F955" s="291"/>
      <c r="G955" s="291"/>
      <c r="H955" s="291"/>
      <c r="I955" s="296"/>
      <c r="M955" s="296"/>
      <c r="N955" s="296"/>
      <c r="O955" s="297"/>
      <c r="P955" s="298"/>
      <c r="R955" s="296"/>
      <c r="S955" s="297"/>
      <c r="T955" s="298"/>
    </row>
    <row r="956" customHeight="1" spans="5:20">
      <c r="E956" s="291"/>
      <c r="F956" s="291"/>
      <c r="G956" s="291"/>
      <c r="H956" s="291"/>
      <c r="I956" s="296"/>
      <c r="M956" s="296"/>
      <c r="N956" s="296"/>
      <c r="O956" s="297"/>
      <c r="P956" s="298"/>
      <c r="R956" s="296"/>
      <c r="S956" s="297"/>
      <c r="T956" s="298"/>
    </row>
    <row r="957" customHeight="1" spans="5:20">
      <c r="E957" s="291"/>
      <c r="F957" s="291"/>
      <c r="G957" s="291"/>
      <c r="H957" s="291"/>
      <c r="I957" s="296"/>
      <c r="M957" s="296"/>
      <c r="N957" s="296"/>
      <c r="O957" s="297"/>
      <c r="P957" s="298"/>
      <c r="R957" s="296"/>
      <c r="S957" s="297"/>
      <c r="T957" s="298"/>
    </row>
    <row r="958" customHeight="1" spans="5:20">
      <c r="E958" s="291"/>
      <c r="F958" s="291"/>
      <c r="G958" s="291"/>
      <c r="H958" s="291"/>
      <c r="I958" s="296"/>
      <c r="M958" s="296"/>
      <c r="N958" s="296"/>
      <c r="O958" s="297"/>
      <c r="P958" s="298"/>
      <c r="R958" s="296"/>
      <c r="S958" s="297"/>
      <c r="T958" s="298"/>
    </row>
    <row r="959" customHeight="1" spans="5:20">
      <c r="E959" s="291"/>
      <c r="F959" s="291"/>
      <c r="G959" s="291"/>
      <c r="H959" s="291"/>
      <c r="I959" s="296"/>
      <c r="M959" s="296"/>
      <c r="N959" s="296"/>
      <c r="O959" s="297"/>
      <c r="P959" s="298"/>
      <c r="R959" s="296"/>
      <c r="S959" s="297"/>
      <c r="T959" s="298"/>
    </row>
    <row r="960" customHeight="1" spans="5:20">
      <c r="E960" s="291"/>
      <c r="F960" s="291"/>
      <c r="G960" s="291"/>
      <c r="H960" s="291"/>
      <c r="I960" s="296"/>
      <c r="M960" s="296"/>
      <c r="N960" s="296"/>
      <c r="O960" s="297"/>
      <c r="P960" s="298"/>
      <c r="R960" s="296"/>
      <c r="S960" s="297"/>
      <c r="T960" s="298"/>
    </row>
    <row r="961" customHeight="1" spans="5:20">
      <c r="E961" s="291"/>
      <c r="F961" s="291"/>
      <c r="G961" s="291"/>
      <c r="H961" s="291"/>
      <c r="I961" s="296"/>
      <c r="M961" s="296"/>
      <c r="N961" s="296"/>
      <c r="O961" s="297"/>
      <c r="P961" s="298"/>
      <c r="R961" s="296"/>
      <c r="S961" s="297"/>
      <c r="T961" s="298"/>
    </row>
    <row r="962" customHeight="1" spans="5:20">
      <c r="E962" s="291"/>
      <c r="F962" s="291"/>
      <c r="G962" s="291"/>
      <c r="H962" s="291"/>
      <c r="I962" s="296"/>
      <c r="M962" s="296"/>
      <c r="N962" s="296"/>
      <c r="O962" s="297"/>
      <c r="P962" s="298"/>
      <c r="R962" s="296"/>
      <c r="S962" s="297"/>
      <c r="T962" s="298"/>
    </row>
    <row r="963" customHeight="1" spans="5:20">
      <c r="E963" s="291"/>
      <c r="F963" s="291"/>
      <c r="G963" s="291"/>
      <c r="H963" s="291"/>
      <c r="I963" s="296"/>
      <c r="M963" s="296"/>
      <c r="N963" s="296"/>
      <c r="O963" s="297"/>
      <c r="P963" s="298"/>
      <c r="R963" s="296"/>
      <c r="S963" s="297"/>
      <c r="T963" s="298"/>
    </row>
    <row r="964" customHeight="1" spans="5:20">
      <c r="E964" s="291"/>
      <c r="F964" s="291"/>
      <c r="G964" s="291"/>
      <c r="H964" s="291"/>
      <c r="I964" s="296"/>
      <c r="M964" s="296"/>
      <c r="N964" s="296"/>
      <c r="O964" s="297"/>
      <c r="P964" s="298"/>
      <c r="R964" s="296"/>
      <c r="S964" s="297"/>
      <c r="T964" s="298"/>
    </row>
    <row r="965" customHeight="1" spans="5:20">
      <c r="E965" s="291"/>
      <c r="F965" s="291"/>
      <c r="G965" s="291"/>
      <c r="H965" s="291"/>
      <c r="I965" s="296"/>
      <c r="M965" s="296"/>
      <c r="N965" s="296"/>
      <c r="O965" s="297"/>
      <c r="P965" s="298"/>
      <c r="R965" s="296"/>
      <c r="S965" s="297"/>
      <c r="T965" s="298"/>
    </row>
    <row r="966" customHeight="1" spans="5:20">
      <c r="E966" s="291"/>
      <c r="F966" s="291"/>
      <c r="G966" s="291"/>
      <c r="H966" s="291"/>
      <c r="I966" s="296"/>
      <c r="M966" s="296"/>
      <c r="N966" s="296"/>
      <c r="O966" s="297"/>
      <c r="P966" s="298"/>
      <c r="R966" s="296"/>
      <c r="S966" s="297"/>
      <c r="T966" s="298"/>
    </row>
    <row r="967" customHeight="1" spans="5:20">
      <c r="E967" s="291"/>
      <c r="F967" s="291"/>
      <c r="G967" s="291"/>
      <c r="H967" s="291"/>
      <c r="I967" s="296"/>
      <c r="M967" s="296"/>
      <c r="N967" s="296"/>
      <c r="O967" s="297"/>
      <c r="P967" s="298"/>
      <c r="R967" s="296"/>
      <c r="S967" s="297"/>
      <c r="T967" s="298"/>
    </row>
    <row r="968" customHeight="1" spans="5:20">
      <c r="E968" s="291"/>
      <c r="F968" s="291"/>
      <c r="G968" s="291"/>
      <c r="H968" s="291"/>
      <c r="I968" s="296"/>
      <c r="M968" s="296"/>
      <c r="N968" s="296"/>
      <c r="O968" s="297"/>
      <c r="P968" s="298"/>
      <c r="R968" s="296"/>
      <c r="S968" s="297"/>
      <c r="T968" s="298"/>
    </row>
    <row r="969" customHeight="1" spans="5:20">
      <c r="E969" s="291"/>
      <c r="F969" s="291"/>
      <c r="G969" s="291"/>
      <c r="H969" s="291"/>
      <c r="I969" s="296"/>
      <c r="M969" s="296"/>
      <c r="N969" s="296"/>
      <c r="O969" s="297"/>
      <c r="P969" s="298"/>
      <c r="R969" s="296"/>
      <c r="S969" s="297"/>
      <c r="T969" s="298"/>
    </row>
    <row r="970" customHeight="1" spans="5:20">
      <c r="E970" s="291"/>
      <c r="F970" s="291"/>
      <c r="G970" s="291"/>
      <c r="H970" s="291"/>
      <c r="I970" s="296"/>
      <c r="M970" s="296"/>
      <c r="N970" s="296"/>
      <c r="O970" s="297"/>
      <c r="P970" s="298"/>
      <c r="R970" s="296"/>
      <c r="S970" s="297"/>
      <c r="T970" s="298"/>
    </row>
    <row r="971" customHeight="1" spans="5:20">
      <c r="E971" s="291"/>
      <c r="F971" s="291"/>
      <c r="G971" s="291"/>
      <c r="H971" s="291"/>
      <c r="I971" s="296"/>
      <c r="M971" s="296"/>
      <c r="N971" s="296"/>
      <c r="O971" s="297"/>
      <c r="P971" s="298"/>
      <c r="R971" s="296"/>
      <c r="S971" s="297"/>
      <c r="T971" s="298"/>
    </row>
    <row r="972" customHeight="1" spans="5:20">
      <c r="E972" s="291"/>
      <c r="F972" s="291"/>
      <c r="G972" s="291"/>
      <c r="H972" s="291"/>
      <c r="I972" s="296"/>
      <c r="M972" s="296"/>
      <c r="N972" s="296"/>
      <c r="O972" s="297"/>
      <c r="P972" s="298"/>
      <c r="R972" s="296"/>
      <c r="S972" s="297"/>
      <c r="T972" s="298"/>
    </row>
    <row r="973" customHeight="1" spans="5:20">
      <c r="E973" s="291"/>
      <c r="F973" s="291"/>
      <c r="G973" s="291"/>
      <c r="H973" s="291"/>
      <c r="I973" s="296"/>
      <c r="M973" s="296"/>
      <c r="N973" s="296"/>
      <c r="O973" s="297"/>
      <c r="P973" s="298"/>
      <c r="R973" s="296"/>
      <c r="S973" s="297"/>
      <c r="T973" s="298"/>
    </row>
    <row r="974" customHeight="1" spans="5:20">
      <c r="E974" s="291"/>
      <c r="F974" s="291"/>
      <c r="G974" s="291"/>
      <c r="H974" s="291"/>
      <c r="I974" s="296"/>
      <c r="M974" s="296"/>
      <c r="N974" s="296"/>
      <c r="O974" s="297"/>
      <c r="P974" s="298"/>
      <c r="R974" s="296"/>
      <c r="S974" s="297"/>
      <c r="T974" s="298"/>
    </row>
    <row r="975" customHeight="1" spans="5:20">
      <c r="E975" s="291"/>
      <c r="F975" s="291"/>
      <c r="G975" s="291"/>
      <c r="H975" s="291"/>
      <c r="I975" s="296"/>
      <c r="M975" s="296"/>
      <c r="N975" s="296"/>
      <c r="O975" s="297"/>
      <c r="P975" s="298"/>
      <c r="R975" s="296"/>
      <c r="S975" s="297"/>
      <c r="T975" s="298"/>
    </row>
    <row r="976" customHeight="1" spans="5:20">
      <c r="E976" s="291"/>
      <c r="F976" s="291"/>
      <c r="G976" s="291"/>
      <c r="H976" s="291"/>
      <c r="I976" s="296"/>
      <c r="M976" s="296"/>
      <c r="N976" s="296"/>
      <c r="O976" s="297"/>
      <c r="P976" s="298"/>
      <c r="R976" s="296"/>
      <c r="S976" s="297"/>
      <c r="T976" s="298"/>
    </row>
    <row r="977" customHeight="1" spans="5:20">
      <c r="E977" s="291"/>
      <c r="F977" s="291"/>
      <c r="G977" s="291"/>
      <c r="H977" s="291"/>
      <c r="I977" s="296"/>
      <c r="M977" s="296"/>
      <c r="N977" s="296"/>
      <c r="O977" s="297"/>
      <c r="P977" s="298"/>
      <c r="R977" s="296"/>
      <c r="S977" s="297"/>
      <c r="T977" s="298"/>
    </row>
    <row r="978" customHeight="1" spans="5:20">
      <c r="E978" s="291"/>
      <c r="F978" s="291"/>
      <c r="G978" s="291"/>
      <c r="H978" s="291"/>
      <c r="I978" s="296"/>
      <c r="M978" s="296"/>
      <c r="N978" s="296"/>
      <c r="O978" s="297"/>
      <c r="P978" s="298"/>
      <c r="R978" s="296"/>
      <c r="S978" s="297"/>
      <c r="T978" s="298"/>
    </row>
    <row r="979" customHeight="1" spans="5:20">
      <c r="E979" s="291"/>
      <c r="F979" s="291"/>
      <c r="G979" s="291"/>
      <c r="H979" s="291"/>
      <c r="I979" s="296"/>
      <c r="M979" s="296"/>
      <c r="N979" s="296"/>
      <c r="O979" s="297"/>
      <c r="P979" s="298"/>
      <c r="R979" s="296"/>
      <c r="S979" s="297"/>
      <c r="T979" s="298"/>
    </row>
    <row r="980" customHeight="1" spans="5:20">
      <c r="E980" s="291"/>
      <c r="F980" s="291"/>
      <c r="G980" s="291"/>
      <c r="H980" s="291"/>
      <c r="I980" s="296"/>
      <c r="M980" s="296"/>
      <c r="N980" s="296"/>
      <c r="O980" s="297"/>
      <c r="P980" s="298"/>
      <c r="R980" s="296"/>
      <c r="S980" s="297"/>
      <c r="T980" s="298"/>
    </row>
    <row r="981" customHeight="1" spans="5:20">
      <c r="E981" s="291"/>
      <c r="F981" s="291"/>
      <c r="G981" s="291"/>
      <c r="H981" s="291"/>
      <c r="I981" s="296"/>
      <c r="M981" s="296"/>
      <c r="N981" s="296"/>
      <c r="O981" s="297"/>
      <c r="P981" s="298"/>
      <c r="R981" s="296"/>
      <c r="S981" s="297"/>
      <c r="T981" s="298"/>
    </row>
    <row r="982" customHeight="1" spans="5:20">
      <c r="E982" s="291"/>
      <c r="F982" s="291"/>
      <c r="G982" s="291"/>
      <c r="H982" s="291"/>
      <c r="I982" s="296"/>
      <c r="M982" s="296"/>
      <c r="N982" s="296"/>
      <c r="O982" s="297"/>
      <c r="P982" s="298"/>
      <c r="R982" s="296"/>
      <c r="S982" s="297"/>
      <c r="T982" s="298"/>
    </row>
    <row r="983" customHeight="1" spans="5:20">
      <c r="E983" s="291"/>
      <c r="F983" s="291"/>
      <c r="G983" s="291"/>
      <c r="H983" s="291"/>
      <c r="I983" s="296"/>
      <c r="M983" s="296"/>
      <c r="N983" s="296"/>
      <c r="O983" s="297"/>
      <c r="P983" s="298"/>
      <c r="R983" s="296"/>
      <c r="S983" s="297"/>
      <c r="T983" s="298"/>
    </row>
    <row r="984" customHeight="1" spans="5:20">
      <c r="E984" s="291"/>
      <c r="F984" s="291"/>
      <c r="G984" s="291"/>
      <c r="H984" s="291"/>
      <c r="I984" s="296"/>
      <c r="M984" s="296"/>
      <c r="N984" s="296"/>
      <c r="O984" s="297"/>
      <c r="P984" s="298"/>
      <c r="R984" s="296"/>
      <c r="S984" s="297"/>
      <c r="T984" s="298"/>
    </row>
    <row r="985" customHeight="1" spans="5:20">
      <c r="E985" s="291"/>
      <c r="F985" s="291"/>
      <c r="G985" s="291"/>
      <c r="H985" s="291"/>
      <c r="I985" s="296"/>
      <c r="M985" s="296"/>
      <c r="N985" s="296"/>
      <c r="O985" s="297"/>
      <c r="P985" s="298"/>
      <c r="R985" s="296"/>
      <c r="S985" s="297"/>
      <c r="T985" s="298"/>
    </row>
    <row r="986" customHeight="1" spans="5:20">
      <c r="E986" s="291"/>
      <c r="F986" s="291"/>
      <c r="G986" s="291"/>
      <c r="H986" s="291"/>
      <c r="I986" s="296"/>
      <c r="M986" s="296"/>
      <c r="N986" s="296"/>
      <c r="O986" s="297"/>
      <c r="P986" s="298"/>
      <c r="R986" s="296"/>
      <c r="S986" s="297"/>
      <c r="T986" s="298"/>
    </row>
    <row r="987" customHeight="1" spans="5:20">
      <c r="E987" s="291"/>
      <c r="F987" s="291"/>
      <c r="G987" s="291"/>
      <c r="H987" s="291"/>
      <c r="I987" s="296"/>
      <c r="M987" s="296"/>
      <c r="N987" s="296"/>
      <c r="O987" s="297"/>
      <c r="P987" s="298"/>
      <c r="R987" s="296"/>
      <c r="S987" s="297"/>
      <c r="T987" s="298"/>
    </row>
    <row r="988" customHeight="1" spans="5:20">
      <c r="E988" s="291"/>
      <c r="F988" s="291"/>
      <c r="G988" s="291"/>
      <c r="H988" s="291"/>
      <c r="I988" s="296"/>
      <c r="M988" s="296"/>
      <c r="N988" s="296"/>
      <c r="O988" s="297"/>
      <c r="P988" s="298"/>
      <c r="R988" s="296"/>
      <c r="S988" s="297"/>
      <c r="T988" s="298"/>
    </row>
    <row r="989" customHeight="1" spans="5:20">
      <c r="E989" s="291"/>
      <c r="F989" s="291"/>
      <c r="G989" s="291"/>
      <c r="H989" s="291"/>
      <c r="I989" s="296"/>
      <c r="M989" s="296"/>
      <c r="N989" s="296"/>
      <c r="O989" s="297"/>
      <c r="P989" s="298"/>
      <c r="R989" s="296"/>
      <c r="S989" s="297"/>
      <c r="T989" s="298"/>
    </row>
    <row r="990" customHeight="1" spans="5:20">
      <c r="E990" s="291"/>
      <c r="F990" s="291"/>
      <c r="G990" s="291"/>
      <c r="H990" s="291"/>
      <c r="I990" s="296"/>
      <c r="M990" s="296"/>
      <c r="N990" s="296"/>
      <c r="O990" s="297"/>
      <c r="P990" s="298"/>
      <c r="R990" s="296"/>
      <c r="S990" s="297"/>
      <c r="T990" s="298"/>
    </row>
    <row r="991" customHeight="1" spans="5:20">
      <c r="E991" s="291"/>
      <c r="F991" s="291"/>
      <c r="G991" s="291"/>
      <c r="H991" s="291"/>
      <c r="I991" s="296"/>
      <c r="M991" s="296"/>
      <c r="N991" s="296"/>
      <c r="O991" s="297"/>
      <c r="P991" s="298"/>
      <c r="R991" s="296"/>
      <c r="S991" s="297"/>
      <c r="T991" s="298"/>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BO110"/>
  <sheetViews>
    <sheetView workbookViewId="0">
      <pane xSplit="7" ySplit="2" topLeftCell="H3" activePane="bottomRight" state="frozen"/>
      <selection/>
      <selection pane="topRight"/>
      <selection pane="bottomLeft"/>
      <selection pane="bottomRight" activeCell="H3" sqref="H3"/>
    </sheetView>
  </sheetViews>
  <sheetFormatPr defaultColWidth="12.6285714285714" defaultRowHeight="15.75" customHeight="1"/>
  <cols>
    <col min="1" max="1" width="6.24761904761905" hidden="1" customWidth="1" outlineLevel="1"/>
    <col min="2" max="2" width="5.38095238095238" hidden="1" customWidth="1" outlineLevel="1"/>
    <col min="3" max="3" width="5.75238095238095" hidden="1" customWidth="1" outlineLevel="1"/>
    <col min="4" max="4" width="6.24761904761905" hidden="1" customWidth="1" outlineLevel="1"/>
    <col min="5" max="5" width="6.75238095238095" hidden="1" customWidth="1" outlineLevel="1"/>
    <col min="6" max="6" width="8.5047619047619" customWidth="1" collapsed="1"/>
    <col min="7" max="7" width="38.5047619047619" customWidth="1"/>
    <col min="8" max="8" width="39.6285714285714" customWidth="1"/>
    <col min="9" max="10" width="10.1333333333333" customWidth="1"/>
    <col min="11" max="11" width="7.62857142857143" customWidth="1"/>
    <col min="12" max="12" width="7.38095238095238" customWidth="1"/>
    <col min="13" max="14" width="5.87619047619048" customWidth="1"/>
    <col min="15" max="16" width="10.8761904761905" hidden="1" customWidth="1" outlineLevel="1"/>
    <col min="17" max="17" width="7.24761904761905" customWidth="1" collapsed="1"/>
    <col min="18" max="24" width="7.24761904761905" customWidth="1"/>
    <col min="25" max="25" width="10.8761904761905" customWidth="1"/>
    <col min="26" max="26" width="10.8761904761905" hidden="1" customWidth="1"/>
    <col min="27" max="27" width="9.75238095238095" hidden="1" customWidth="1"/>
    <col min="28" max="29" width="6.75238095238095" customWidth="1"/>
    <col min="30" max="31" width="7.13333333333333" customWidth="1"/>
    <col min="32" max="32" width="8.38095238095238" customWidth="1"/>
    <col min="33" max="33" width="7.24761904761905" customWidth="1"/>
    <col min="34" max="34" width="8.13333333333333" customWidth="1"/>
    <col min="35" max="35" width="10.6285714285714" customWidth="1"/>
    <col min="36" max="36" width="9.75238095238095" customWidth="1"/>
    <col min="37" max="40" width="7.87619047619048" customWidth="1"/>
    <col min="41" max="42" width="9.38095238095238" customWidth="1"/>
    <col min="43" max="43" width="7" customWidth="1"/>
    <col min="44" max="47" width="11.3809523809524" customWidth="1"/>
    <col min="48" max="48" width="34.752380952381" customWidth="1"/>
    <col min="49" max="49" width="11.5047619047619" customWidth="1"/>
    <col min="50" max="50" width="9.38095238095238" customWidth="1"/>
    <col min="51" max="51" width="9.75238095238095" customWidth="1"/>
    <col min="52" max="52" width="34.752380952381" customWidth="1"/>
    <col min="53" max="53" width="11" customWidth="1"/>
    <col min="54" max="55" width="11.5047619047619" customWidth="1"/>
    <col min="56" max="56" width="10.752380952381" customWidth="1"/>
    <col min="57" max="61" width="10.1333333333333" customWidth="1"/>
    <col min="62" max="62" width="9.87619047619048" customWidth="1"/>
    <col min="63" max="63" width="10.8761904761905" customWidth="1"/>
    <col min="64" max="64" width="8.87619047619048" customWidth="1"/>
    <col min="65" max="67" width="12.8761904761905" customWidth="1"/>
  </cols>
  <sheetData>
    <row r="1" customHeight="1" spans="1:67">
      <c r="A1" s="183" t="s">
        <v>2285</v>
      </c>
      <c r="B1" s="184"/>
      <c r="C1" s="184"/>
      <c r="D1" s="184"/>
      <c r="E1" s="185"/>
      <c r="F1" s="186"/>
      <c r="G1" s="186"/>
      <c r="H1" s="186"/>
      <c r="I1" s="186"/>
      <c r="J1" s="186"/>
      <c r="K1" s="186"/>
      <c r="L1" s="186"/>
      <c r="M1" s="186"/>
      <c r="N1" s="183" t="s">
        <v>2286</v>
      </c>
      <c r="O1" s="184"/>
      <c r="P1" s="184"/>
      <c r="Q1" s="184"/>
      <c r="R1" s="184"/>
      <c r="S1" s="184"/>
      <c r="T1" s="184"/>
      <c r="U1" s="184"/>
      <c r="V1" s="184"/>
      <c r="W1" s="184"/>
      <c r="X1" s="184"/>
      <c r="Y1" s="184"/>
      <c r="Z1" s="184"/>
      <c r="AA1" s="184"/>
      <c r="AB1" s="184"/>
      <c r="AC1" s="184"/>
      <c r="AD1" s="184"/>
      <c r="AE1" s="185"/>
      <c r="AF1" s="218" t="s">
        <v>2287</v>
      </c>
      <c r="AG1" s="184"/>
      <c r="AH1" s="184"/>
      <c r="AI1" s="184"/>
      <c r="AJ1" s="184"/>
      <c r="AK1" s="184"/>
      <c r="AL1" s="184"/>
      <c r="AM1" s="184"/>
      <c r="AN1" s="184"/>
      <c r="AO1" s="184"/>
      <c r="AP1" s="184"/>
      <c r="AQ1" s="184"/>
      <c r="AR1" s="184"/>
      <c r="AS1" s="184"/>
      <c r="AT1" s="184"/>
      <c r="AU1" s="184"/>
      <c r="AV1" s="185"/>
      <c r="AW1" s="268" t="s">
        <v>2288</v>
      </c>
      <c r="AX1" s="184"/>
      <c r="AY1" s="185"/>
      <c r="AZ1" s="269" t="s">
        <v>2289</v>
      </c>
      <c r="BA1" s="184"/>
      <c r="BB1" s="184"/>
      <c r="BC1" s="184"/>
      <c r="BD1" s="184"/>
      <c r="BE1" s="184"/>
      <c r="BF1" s="184"/>
      <c r="BG1" s="184"/>
      <c r="BH1" s="184"/>
      <c r="BI1" s="184"/>
      <c r="BJ1" s="184"/>
      <c r="BK1" s="184"/>
      <c r="BL1" s="184"/>
      <c r="BM1" s="184"/>
      <c r="BN1" s="184"/>
      <c r="BO1" s="185"/>
    </row>
    <row r="2" customHeight="1" spans="1:67">
      <c r="A2" s="187" t="s">
        <v>2290</v>
      </c>
      <c r="B2" s="186" t="s">
        <v>2291</v>
      </c>
      <c r="C2" s="186" t="s">
        <v>2292</v>
      </c>
      <c r="D2" s="186" t="s">
        <v>2293</v>
      </c>
      <c r="E2" s="188" t="s">
        <v>2294</v>
      </c>
      <c r="F2" s="189"/>
      <c r="G2" s="189" t="s">
        <v>1052</v>
      </c>
      <c r="H2" s="189" t="s">
        <v>2295</v>
      </c>
      <c r="I2" s="186" t="s">
        <v>2296</v>
      </c>
      <c r="J2" s="186" t="s">
        <v>2297</v>
      </c>
      <c r="K2" s="186" t="s">
        <v>2298</v>
      </c>
      <c r="L2" s="186" t="s">
        <v>2299</v>
      </c>
      <c r="M2" s="186" t="s">
        <v>2300</v>
      </c>
      <c r="N2" s="213" t="s">
        <v>2301</v>
      </c>
      <c r="O2" s="186" t="s">
        <v>2302</v>
      </c>
      <c r="P2" s="186" t="s">
        <v>2303</v>
      </c>
      <c r="Q2" s="186" t="s">
        <v>2304</v>
      </c>
      <c r="R2" s="186" t="s">
        <v>2305</v>
      </c>
      <c r="S2" s="186" t="s">
        <v>2306</v>
      </c>
      <c r="T2" s="186" t="s">
        <v>2307</v>
      </c>
      <c r="U2" s="186" t="s">
        <v>2308</v>
      </c>
      <c r="V2" s="186" t="s">
        <v>2309</v>
      </c>
      <c r="W2" s="186" t="s">
        <v>2310</v>
      </c>
      <c r="X2" s="186" t="s">
        <v>2311</v>
      </c>
      <c r="Y2" s="186" t="s">
        <v>2312</v>
      </c>
      <c r="Z2" s="219" t="s">
        <v>2313</v>
      </c>
      <c r="AA2" s="220" t="s">
        <v>2314</v>
      </c>
      <c r="AB2" s="221" t="s">
        <v>2315</v>
      </c>
      <c r="AC2" s="221" t="s">
        <v>2316</v>
      </c>
      <c r="AD2" s="186" t="s">
        <v>2317</v>
      </c>
      <c r="AE2" s="222" t="s">
        <v>2318</v>
      </c>
      <c r="AF2" s="186" t="s">
        <v>2319</v>
      </c>
      <c r="AG2" s="186" t="s">
        <v>2320</v>
      </c>
      <c r="AH2" s="186" t="s">
        <v>2321</v>
      </c>
      <c r="AI2" s="186" t="s">
        <v>2322</v>
      </c>
      <c r="AJ2" s="248" t="s">
        <v>2323</v>
      </c>
      <c r="AK2" s="221" t="s">
        <v>2324</v>
      </c>
      <c r="AL2" s="221" t="s">
        <v>2325</v>
      </c>
      <c r="AM2" s="221" t="s">
        <v>2326</v>
      </c>
      <c r="AN2" s="249" t="s">
        <v>2327</v>
      </c>
      <c r="AO2" s="221" t="s">
        <v>2328</v>
      </c>
      <c r="AP2" s="221" t="s">
        <v>2329</v>
      </c>
      <c r="AQ2" s="186" t="s">
        <v>2330</v>
      </c>
      <c r="AR2" s="221" t="s">
        <v>2331</v>
      </c>
      <c r="AS2" s="221" t="s">
        <v>2332</v>
      </c>
      <c r="AT2" s="221" t="s">
        <v>2333</v>
      </c>
      <c r="AU2" s="221" t="s">
        <v>2334</v>
      </c>
      <c r="AV2" s="189" t="s">
        <v>2335</v>
      </c>
      <c r="AW2" s="270" t="s">
        <v>2336</v>
      </c>
      <c r="AX2" s="271" t="s">
        <v>2337</v>
      </c>
      <c r="AY2" s="222" t="s">
        <v>2338</v>
      </c>
      <c r="AZ2" s="272" t="s">
        <v>2339</v>
      </c>
      <c r="BA2" s="186" t="s">
        <v>2340</v>
      </c>
      <c r="BB2" s="221" t="s">
        <v>2341</v>
      </c>
      <c r="BC2" s="221" t="s">
        <v>2342</v>
      </c>
      <c r="BD2" s="221" t="s">
        <v>2343</v>
      </c>
      <c r="BE2" s="221" t="s">
        <v>2344</v>
      </c>
      <c r="BF2" s="284" t="s">
        <v>2345</v>
      </c>
      <c r="BG2" s="221" t="s">
        <v>1803</v>
      </c>
      <c r="BH2" s="221" t="s">
        <v>2346</v>
      </c>
      <c r="BI2" s="221" t="s">
        <v>2347</v>
      </c>
      <c r="BJ2" s="186" t="s">
        <v>2348</v>
      </c>
      <c r="BK2" s="186" t="s">
        <v>2349</v>
      </c>
      <c r="BL2" s="186" t="s">
        <v>2350</v>
      </c>
      <c r="BM2" s="271" t="s">
        <v>2351</v>
      </c>
      <c r="BN2" s="271" t="s">
        <v>2352</v>
      </c>
      <c r="BO2" s="222" t="s">
        <v>2353</v>
      </c>
    </row>
    <row r="3" customHeight="1" spans="1:67">
      <c r="A3" s="190" t="b">
        <v>1</v>
      </c>
      <c r="B3" s="191" t="b">
        <v>1</v>
      </c>
      <c r="C3" s="191" t="b">
        <v>1</v>
      </c>
      <c r="D3" s="191" t="b">
        <v>1</v>
      </c>
      <c r="E3" s="192" t="b">
        <v>1</v>
      </c>
      <c r="F3" s="193" t="s">
        <v>2354</v>
      </c>
      <c r="G3" s="194" t="s">
        <v>2355</v>
      </c>
      <c r="H3" s="195" t="s">
        <v>2356</v>
      </c>
      <c r="I3" s="191" t="s">
        <v>124</v>
      </c>
      <c r="J3" s="191" t="s">
        <v>2357</v>
      </c>
      <c r="K3" s="191" t="b">
        <v>1</v>
      </c>
      <c r="L3" s="191" t="b">
        <v>1</v>
      </c>
      <c r="M3" s="191" t="s">
        <v>370</v>
      </c>
      <c r="N3" s="214" t="s">
        <v>2358</v>
      </c>
      <c r="O3" s="215"/>
      <c r="P3" s="215">
        <v>300</v>
      </c>
      <c r="Q3" s="29"/>
      <c r="R3" s="29"/>
      <c r="S3" s="203">
        <f t="shared" ref="S3:S6" si="0">(Q3+R3)/2</f>
        <v>0</v>
      </c>
      <c r="T3" s="29"/>
      <c r="U3" s="29"/>
      <c r="V3" s="203">
        <f t="shared" ref="V3:V25" si="1">(T3+U3)/2</f>
        <v>0</v>
      </c>
      <c r="W3" s="29">
        <v>200</v>
      </c>
      <c r="X3" s="203">
        <f t="shared" ref="X3:X6" si="2">(S3+V3)/2</f>
        <v>0</v>
      </c>
      <c r="Y3" s="223">
        <f t="shared" ref="Y3:Y6" si="3">W3</f>
        <v>200</v>
      </c>
      <c r="Z3" s="224">
        <f t="shared" ref="Z3:Z28" si="4">Y3-25</f>
        <v>175</v>
      </c>
      <c r="AA3" s="225" t="s">
        <v>2359</v>
      </c>
      <c r="AB3" s="226">
        <v>95</v>
      </c>
      <c r="AC3" s="227">
        <f t="shared" ref="AC3:AC28" si="5">AB3/2</f>
        <v>47.5</v>
      </c>
      <c r="AD3" s="228">
        <v>1</v>
      </c>
      <c r="AE3" s="229">
        <f t="shared" ref="AE3:AE28" si="6">AC3+(AC3*AD3)</f>
        <v>95</v>
      </c>
      <c r="AF3" s="191" t="s">
        <v>2360</v>
      </c>
      <c r="AG3" s="191" t="s">
        <v>2361</v>
      </c>
      <c r="AH3" s="191"/>
      <c r="AI3" s="250">
        <v>350</v>
      </c>
      <c r="AJ3" s="251" t="s">
        <v>2362</v>
      </c>
      <c r="AK3" s="227">
        <v>68.49</v>
      </c>
      <c r="AL3" s="227">
        <v>24.47</v>
      </c>
      <c r="AM3" s="252">
        <v>49</v>
      </c>
      <c r="AN3" s="253">
        <f t="shared" ref="AN3:AN6" si="7">Y3/AI3</f>
        <v>0.571428571428571</v>
      </c>
      <c r="AO3" s="245">
        <v>14</v>
      </c>
      <c r="AP3" s="244">
        <v>28</v>
      </c>
      <c r="AQ3" s="262">
        <v>0</v>
      </c>
      <c r="AR3" s="263">
        <f t="shared" ref="AR3:AR28" si="8">AK3*AN3+(AK3*AQ3)</f>
        <v>39.1371428571429</v>
      </c>
      <c r="AS3" s="252">
        <f t="shared" ref="AS3:AS28" si="9">AL3*AN3+(AL3*AQ3)</f>
        <v>13.9828571428571</v>
      </c>
      <c r="AT3" s="252">
        <f t="shared" ref="AT3:AT28" si="10">AP3*AN3+(AP3*AQ3)</f>
        <v>16</v>
      </c>
      <c r="AU3" s="252">
        <f t="shared" ref="AU3:AU28" si="11">AK3*0.05</f>
        <v>3.4245</v>
      </c>
      <c r="AV3" s="191"/>
      <c r="AW3" s="273">
        <f t="shared" ref="AW3:AW28" si="12">AE3+AR3</f>
        <v>134.137142857143</v>
      </c>
      <c r="AX3" s="274">
        <f t="shared" ref="AX3:AX28" si="13">AE3+AS3</f>
        <v>108.982857142857</v>
      </c>
      <c r="AY3" s="275">
        <f t="shared" ref="AY3:AY28" si="14">AE3+AT3</f>
        <v>111</v>
      </c>
      <c r="AZ3" s="207" t="s">
        <v>2363</v>
      </c>
      <c r="BA3" s="29">
        <v>2000</v>
      </c>
      <c r="BB3" s="252">
        <f t="shared" ref="BB3:BB28" si="15">(BA3/AI3)*AP3</f>
        <v>160</v>
      </c>
      <c r="BC3" s="252">
        <f t="shared" ref="BC3:BC28" si="16">BD3</f>
        <v>80</v>
      </c>
      <c r="BD3" s="252">
        <v>80</v>
      </c>
      <c r="BE3" s="252">
        <v>950</v>
      </c>
      <c r="BF3" s="285">
        <f t="shared" ref="BF3:BF28" si="17">BA3/Y3</f>
        <v>10</v>
      </c>
      <c r="BG3" s="252">
        <f t="shared" ref="BG3:BG28" si="18">AB3</f>
        <v>95</v>
      </c>
      <c r="BH3" s="252">
        <f t="shared" ref="BH3:BH28" si="19">BI3</f>
        <v>475</v>
      </c>
      <c r="BI3" s="252">
        <v>475</v>
      </c>
      <c r="BJ3" s="252">
        <f t="shared" ref="BJ3:BJ28" si="20">BI3+BD3</f>
        <v>555</v>
      </c>
      <c r="BK3" s="252">
        <f t="shared" ref="BK3:BK28" si="21">BB3+(BI3*2)</f>
        <v>1110</v>
      </c>
      <c r="BL3" s="286">
        <f t="shared" ref="BL3:BL28" si="22">BJ3/BK3</f>
        <v>0.5</v>
      </c>
      <c r="BM3" s="283">
        <f t="shared" ref="BM3:BM28" si="23">BN3+BO3</f>
        <v>555</v>
      </c>
      <c r="BN3" s="283">
        <f t="shared" ref="BN3:BN28" si="24">BE3-BI3</f>
        <v>475</v>
      </c>
      <c r="BO3" s="275">
        <f t="shared" ref="BO3:BO28" si="25">BB3-BD3</f>
        <v>80</v>
      </c>
    </row>
    <row r="4" customHeight="1" spans="1:67">
      <c r="A4" s="196" t="b">
        <v>1</v>
      </c>
      <c r="B4" s="197" t="b">
        <v>1</v>
      </c>
      <c r="C4" s="197" t="b">
        <v>1</v>
      </c>
      <c r="D4" s="197" t="b">
        <v>1</v>
      </c>
      <c r="E4" s="198" t="b">
        <v>1</v>
      </c>
      <c r="F4" s="199"/>
      <c r="G4" s="200" t="s">
        <v>2364</v>
      </c>
      <c r="H4" s="201" t="s">
        <v>2365</v>
      </c>
      <c r="I4" s="191" t="s">
        <v>124</v>
      </c>
      <c r="J4" s="197" t="s">
        <v>2366</v>
      </c>
      <c r="K4" s="197" t="b">
        <v>1</v>
      </c>
      <c r="L4" s="197" t="b">
        <v>1</v>
      </c>
      <c r="M4" s="197" t="s">
        <v>370</v>
      </c>
      <c r="N4" s="214" t="s">
        <v>2358</v>
      </c>
      <c r="O4" s="215"/>
      <c r="P4" s="215">
        <v>250</v>
      </c>
      <c r="Q4" s="29"/>
      <c r="R4" s="29"/>
      <c r="S4" s="203">
        <f t="shared" si="0"/>
        <v>0</v>
      </c>
      <c r="T4" s="29"/>
      <c r="U4" s="29"/>
      <c r="V4" s="203">
        <f t="shared" si="1"/>
        <v>0</v>
      </c>
      <c r="W4" s="29">
        <v>150</v>
      </c>
      <c r="X4" s="203">
        <f t="shared" si="2"/>
        <v>0</v>
      </c>
      <c r="Y4" s="223">
        <f t="shared" si="3"/>
        <v>150</v>
      </c>
      <c r="Z4" s="230">
        <f t="shared" si="4"/>
        <v>125</v>
      </c>
      <c r="AA4" s="231" t="s">
        <v>2367</v>
      </c>
      <c r="AB4" s="232">
        <v>95</v>
      </c>
      <c r="AC4" s="233">
        <f t="shared" si="5"/>
        <v>47.5</v>
      </c>
      <c r="AD4" s="234">
        <v>1</v>
      </c>
      <c r="AE4" s="235">
        <f t="shared" si="6"/>
        <v>95</v>
      </c>
      <c r="AF4" s="197" t="s">
        <v>2360</v>
      </c>
      <c r="AG4" s="197" t="s">
        <v>2361</v>
      </c>
      <c r="AH4" s="197">
        <v>80</v>
      </c>
      <c r="AI4" s="254">
        <v>300</v>
      </c>
      <c r="AJ4" s="255" t="s">
        <v>2368</v>
      </c>
      <c r="AK4" s="233">
        <v>68.49</v>
      </c>
      <c r="AL4" s="233">
        <v>24.47</v>
      </c>
      <c r="AM4">
        <v>49</v>
      </c>
      <c r="AN4" s="256">
        <f t="shared" si="7"/>
        <v>0.5</v>
      </c>
      <c r="AO4">
        <v>13</v>
      </c>
      <c r="AP4">
        <v>25</v>
      </c>
      <c r="AQ4" s="264">
        <v>0</v>
      </c>
      <c r="AR4" s="265">
        <f t="shared" si="8"/>
        <v>34.245</v>
      </c>
      <c r="AS4" s="252">
        <f t="shared" si="9"/>
        <v>12.235</v>
      </c>
      <c r="AT4" s="252">
        <f t="shared" si="10"/>
        <v>12.5</v>
      </c>
      <c r="AU4" s="252">
        <f t="shared" si="11"/>
        <v>3.4245</v>
      </c>
      <c r="AV4" s="197"/>
      <c r="AW4" s="276">
        <f t="shared" si="12"/>
        <v>129.245</v>
      </c>
      <c r="AX4" s="277">
        <f t="shared" si="13"/>
        <v>107.235</v>
      </c>
      <c r="AY4" s="275">
        <f t="shared" si="14"/>
        <v>107.5</v>
      </c>
      <c r="AZ4" s="207"/>
      <c r="BA4" s="29">
        <v>2000</v>
      </c>
      <c r="BB4" s="252">
        <f t="shared" si="15"/>
        <v>166.666666666667</v>
      </c>
      <c r="BC4" s="252">
        <f t="shared" si="16"/>
        <v>87</v>
      </c>
      <c r="BD4">
        <v>87</v>
      </c>
      <c r="BE4">
        <v>1267</v>
      </c>
      <c r="BF4" s="285">
        <f t="shared" si="17"/>
        <v>13.3333333333333</v>
      </c>
      <c r="BG4" s="252">
        <f t="shared" si="18"/>
        <v>95</v>
      </c>
      <c r="BH4" s="252">
        <f t="shared" si="19"/>
        <v>634</v>
      </c>
      <c r="BI4">
        <v>634</v>
      </c>
      <c r="BJ4" s="252">
        <f t="shared" si="20"/>
        <v>721</v>
      </c>
      <c r="BK4" s="252">
        <f t="shared" si="21"/>
        <v>1434.66666666667</v>
      </c>
      <c r="BL4" s="286">
        <f t="shared" si="22"/>
        <v>0.502555762081784</v>
      </c>
      <c r="BM4" s="283">
        <f t="shared" si="23"/>
        <v>712.666666666667</v>
      </c>
      <c r="BN4" s="283">
        <f t="shared" si="24"/>
        <v>633</v>
      </c>
      <c r="BO4" s="275">
        <f t="shared" si="25"/>
        <v>79.6666666666667</v>
      </c>
    </row>
    <row r="5" customHeight="1" spans="1:67">
      <c r="A5" s="190" t="b">
        <v>1</v>
      </c>
      <c r="B5" s="191" t="b">
        <v>1</v>
      </c>
      <c r="C5" s="191" t="b">
        <v>1</v>
      </c>
      <c r="D5" s="191" t="b">
        <v>1</v>
      </c>
      <c r="E5" s="192" t="b">
        <v>1</v>
      </c>
      <c r="F5" s="193" t="s">
        <v>2354</v>
      </c>
      <c r="G5" s="194" t="s">
        <v>2369</v>
      </c>
      <c r="H5" s="195" t="s">
        <v>2370</v>
      </c>
      <c r="I5" s="191" t="s">
        <v>129</v>
      </c>
      <c r="J5" s="191" t="s">
        <v>2357</v>
      </c>
      <c r="K5" s="191" t="b">
        <v>1</v>
      </c>
      <c r="L5" s="191" t="b">
        <v>1</v>
      </c>
      <c r="M5" s="191" t="s">
        <v>370</v>
      </c>
      <c r="N5" s="214" t="s">
        <v>2358</v>
      </c>
      <c r="O5" s="215"/>
      <c r="P5" s="215">
        <v>300</v>
      </c>
      <c r="Q5" s="29"/>
      <c r="R5" s="29"/>
      <c r="S5" s="203">
        <f t="shared" si="0"/>
        <v>0</v>
      </c>
      <c r="T5" s="29"/>
      <c r="U5" s="29"/>
      <c r="V5" s="203">
        <f t="shared" si="1"/>
        <v>0</v>
      </c>
      <c r="W5" s="29">
        <v>400</v>
      </c>
      <c r="X5" s="203">
        <f t="shared" si="2"/>
        <v>0</v>
      </c>
      <c r="Y5" s="223">
        <f t="shared" si="3"/>
        <v>400</v>
      </c>
      <c r="Z5" s="224">
        <f t="shared" si="4"/>
        <v>375</v>
      </c>
      <c r="AA5" s="225" t="s">
        <v>2359</v>
      </c>
      <c r="AB5" s="226">
        <v>95</v>
      </c>
      <c r="AC5" s="227">
        <f t="shared" si="5"/>
        <v>47.5</v>
      </c>
      <c r="AD5" s="228">
        <v>1</v>
      </c>
      <c r="AE5" s="229">
        <f t="shared" si="6"/>
        <v>95</v>
      </c>
      <c r="AF5" s="191" t="s">
        <v>2360</v>
      </c>
      <c r="AG5" s="191" t="s">
        <v>2361</v>
      </c>
      <c r="AH5" s="191"/>
      <c r="AI5" s="250">
        <v>350</v>
      </c>
      <c r="AJ5" s="251" t="s">
        <v>2362</v>
      </c>
      <c r="AK5" s="227">
        <v>68.49</v>
      </c>
      <c r="AL5" s="227">
        <v>24.47</v>
      </c>
      <c r="AM5">
        <v>49</v>
      </c>
      <c r="AN5" s="253">
        <f t="shared" si="7"/>
        <v>1.14285714285714</v>
      </c>
      <c r="AO5">
        <v>28</v>
      </c>
      <c r="AP5">
        <v>56</v>
      </c>
      <c r="AQ5" s="262">
        <v>0</v>
      </c>
      <c r="AR5" s="263">
        <f t="shared" si="8"/>
        <v>78.2742857142857</v>
      </c>
      <c r="AS5" s="252">
        <f t="shared" si="9"/>
        <v>27.9657142857143</v>
      </c>
      <c r="AT5" s="252">
        <f t="shared" si="10"/>
        <v>64</v>
      </c>
      <c r="AU5" s="252">
        <f t="shared" si="11"/>
        <v>3.4245</v>
      </c>
      <c r="AV5" s="191"/>
      <c r="AW5" s="273">
        <f t="shared" si="12"/>
        <v>173.274285714286</v>
      </c>
      <c r="AX5" s="274">
        <f t="shared" si="13"/>
        <v>122.965714285714</v>
      </c>
      <c r="AY5" s="275">
        <f t="shared" si="14"/>
        <v>159</v>
      </c>
      <c r="AZ5" s="207" t="s">
        <v>2363</v>
      </c>
      <c r="BA5" s="29">
        <v>2000</v>
      </c>
      <c r="BB5" s="252">
        <f t="shared" si="15"/>
        <v>320</v>
      </c>
      <c r="BC5" s="252">
        <f t="shared" si="16"/>
        <v>160</v>
      </c>
      <c r="BD5">
        <v>160</v>
      </c>
      <c r="BE5">
        <v>475</v>
      </c>
      <c r="BF5" s="285">
        <f t="shared" si="17"/>
        <v>5</v>
      </c>
      <c r="BG5" s="252">
        <f t="shared" si="18"/>
        <v>95</v>
      </c>
      <c r="BH5" s="252">
        <f t="shared" si="19"/>
        <v>238</v>
      </c>
      <c r="BI5">
        <v>238</v>
      </c>
      <c r="BJ5" s="252">
        <f t="shared" si="20"/>
        <v>398</v>
      </c>
      <c r="BK5" s="252">
        <f t="shared" si="21"/>
        <v>796</v>
      </c>
      <c r="BL5" s="286">
        <f t="shared" si="22"/>
        <v>0.5</v>
      </c>
      <c r="BM5" s="283">
        <f t="shared" si="23"/>
        <v>397</v>
      </c>
      <c r="BN5" s="283">
        <f t="shared" si="24"/>
        <v>237</v>
      </c>
      <c r="BO5" s="275">
        <f t="shared" si="25"/>
        <v>160</v>
      </c>
    </row>
    <row r="6" customHeight="1" spans="1:67">
      <c r="A6" s="196" t="b">
        <v>1</v>
      </c>
      <c r="B6" s="197" t="b">
        <v>1</v>
      </c>
      <c r="C6" s="197" t="b">
        <v>1</v>
      </c>
      <c r="D6" s="197" t="b">
        <v>1</v>
      </c>
      <c r="E6" s="198" t="b">
        <v>1</v>
      </c>
      <c r="F6" s="199"/>
      <c r="G6" s="200" t="s">
        <v>2371</v>
      </c>
      <c r="H6" s="201" t="s">
        <v>2372</v>
      </c>
      <c r="I6" s="197" t="s">
        <v>129</v>
      </c>
      <c r="J6" s="197" t="s">
        <v>2366</v>
      </c>
      <c r="K6" s="197" t="b">
        <v>1</v>
      </c>
      <c r="L6" s="197" t="b">
        <v>1</v>
      </c>
      <c r="M6" s="197" t="s">
        <v>370</v>
      </c>
      <c r="N6" s="214" t="s">
        <v>2358</v>
      </c>
      <c r="O6" s="215"/>
      <c r="P6" s="215">
        <v>250</v>
      </c>
      <c r="Q6" s="29"/>
      <c r="R6" s="29"/>
      <c r="S6" s="203">
        <f t="shared" si="0"/>
        <v>0</v>
      </c>
      <c r="T6" s="29"/>
      <c r="U6" s="29"/>
      <c r="V6" s="203">
        <f t="shared" si="1"/>
        <v>0</v>
      </c>
      <c r="W6" s="29">
        <v>350</v>
      </c>
      <c r="X6" s="203">
        <f t="shared" si="2"/>
        <v>0</v>
      </c>
      <c r="Y6" s="223">
        <f t="shared" si="3"/>
        <v>350</v>
      </c>
      <c r="Z6" s="230">
        <f t="shared" si="4"/>
        <v>325</v>
      </c>
      <c r="AA6" s="231" t="s">
        <v>2367</v>
      </c>
      <c r="AB6" s="232">
        <v>95</v>
      </c>
      <c r="AC6" s="233">
        <f t="shared" si="5"/>
        <v>47.5</v>
      </c>
      <c r="AD6" s="234">
        <v>1</v>
      </c>
      <c r="AE6" s="235">
        <f t="shared" si="6"/>
        <v>95</v>
      </c>
      <c r="AF6" s="197" t="s">
        <v>2360</v>
      </c>
      <c r="AG6" s="197" t="s">
        <v>2361</v>
      </c>
      <c r="AH6" s="197">
        <v>80</v>
      </c>
      <c r="AI6" s="254">
        <v>300</v>
      </c>
      <c r="AJ6" s="255" t="s">
        <v>2368</v>
      </c>
      <c r="AK6" s="233">
        <v>68.49</v>
      </c>
      <c r="AL6" s="233">
        <v>24.47</v>
      </c>
      <c r="AM6">
        <v>49</v>
      </c>
      <c r="AN6" s="256">
        <f t="shared" si="7"/>
        <v>1.16666666666667</v>
      </c>
      <c r="AO6">
        <v>29</v>
      </c>
      <c r="AP6">
        <v>58</v>
      </c>
      <c r="AQ6" s="264">
        <v>0</v>
      </c>
      <c r="AR6" s="265">
        <f t="shared" si="8"/>
        <v>79.905</v>
      </c>
      <c r="AS6" s="252">
        <f t="shared" si="9"/>
        <v>28.5483333333333</v>
      </c>
      <c r="AT6" s="252">
        <f t="shared" si="10"/>
        <v>67.6666666666667</v>
      </c>
      <c r="AU6" s="252">
        <f t="shared" si="11"/>
        <v>3.4245</v>
      </c>
      <c r="AV6" s="197"/>
      <c r="AW6" s="276">
        <f t="shared" si="12"/>
        <v>174.905</v>
      </c>
      <c r="AX6" s="277">
        <f t="shared" si="13"/>
        <v>123.548333333333</v>
      </c>
      <c r="AY6" s="275">
        <f t="shared" si="14"/>
        <v>162.666666666667</v>
      </c>
      <c r="AZ6" s="207"/>
      <c r="BA6" s="29">
        <v>2000</v>
      </c>
      <c r="BB6" s="252">
        <f t="shared" si="15"/>
        <v>386.666666666667</v>
      </c>
      <c r="BC6" s="252">
        <f t="shared" si="16"/>
        <v>194</v>
      </c>
      <c r="BD6">
        <v>194</v>
      </c>
      <c r="BE6">
        <v>543</v>
      </c>
      <c r="BF6" s="285">
        <f t="shared" si="17"/>
        <v>5.71428571428571</v>
      </c>
      <c r="BG6" s="252">
        <f t="shared" si="18"/>
        <v>95</v>
      </c>
      <c r="BH6" s="252">
        <f t="shared" si="19"/>
        <v>272</v>
      </c>
      <c r="BI6">
        <v>272</v>
      </c>
      <c r="BJ6" s="252">
        <f t="shared" si="20"/>
        <v>466</v>
      </c>
      <c r="BK6" s="252">
        <f t="shared" si="21"/>
        <v>930.666666666667</v>
      </c>
      <c r="BL6" s="286">
        <f t="shared" si="22"/>
        <v>0.500716332378223</v>
      </c>
      <c r="BM6" s="283">
        <f t="shared" si="23"/>
        <v>463.666666666667</v>
      </c>
      <c r="BN6" s="283">
        <f t="shared" si="24"/>
        <v>271</v>
      </c>
      <c r="BO6" s="275">
        <f t="shared" si="25"/>
        <v>192.666666666667</v>
      </c>
    </row>
    <row r="7" customHeight="1" spans="1:67">
      <c r="A7" s="202" t="b">
        <v>1</v>
      </c>
      <c r="B7" s="203" t="b">
        <v>1</v>
      </c>
      <c r="C7" s="203" t="b">
        <v>1</v>
      </c>
      <c r="D7" s="203" t="b">
        <v>0</v>
      </c>
      <c r="E7" s="204" t="b">
        <v>0</v>
      </c>
      <c r="F7" s="203"/>
      <c r="G7" s="205" t="s">
        <v>2373</v>
      </c>
      <c r="H7" s="206" t="s">
        <v>2374</v>
      </c>
      <c r="I7" s="191" t="s">
        <v>124</v>
      </c>
      <c r="J7" s="203" t="s">
        <v>2357</v>
      </c>
      <c r="K7" s="203" t="b">
        <v>1</v>
      </c>
      <c r="L7" s="203" t="b">
        <v>0</v>
      </c>
      <c r="M7" s="203">
        <v>2</v>
      </c>
      <c r="N7" s="216" t="s">
        <v>2358</v>
      </c>
      <c r="O7" s="217"/>
      <c r="P7" s="217">
        <v>300</v>
      </c>
      <c r="Q7" s="203">
        <v>220</v>
      </c>
      <c r="R7" s="203">
        <v>310</v>
      </c>
      <c r="S7" s="203">
        <f>($Q$7+R7)/2</f>
        <v>265</v>
      </c>
      <c r="T7" s="203">
        <v>275</v>
      </c>
      <c r="U7" s="203">
        <v>370</v>
      </c>
      <c r="V7" s="203">
        <f t="shared" si="1"/>
        <v>322.5</v>
      </c>
      <c r="W7" s="203"/>
      <c r="X7" s="203">
        <f t="shared" ref="X7:X8" si="26">(S7+V7)/2/2</f>
        <v>146.875</v>
      </c>
      <c r="Y7" s="223">
        <f t="shared" ref="Y7:Y36" si="27">X7</f>
        <v>146.875</v>
      </c>
      <c r="Z7" s="236">
        <f t="shared" si="4"/>
        <v>121.875</v>
      </c>
      <c r="AA7" s="237" t="s">
        <v>2375</v>
      </c>
      <c r="AB7" s="238">
        <v>95</v>
      </c>
      <c r="AC7" s="239">
        <f t="shared" si="5"/>
        <v>47.5</v>
      </c>
      <c r="AD7" s="240">
        <v>1</v>
      </c>
      <c r="AE7" s="241">
        <f t="shared" si="6"/>
        <v>95</v>
      </c>
      <c r="AF7" s="203" t="s">
        <v>2376</v>
      </c>
      <c r="AG7" s="203" t="s">
        <v>2361</v>
      </c>
      <c r="AH7" s="203" t="s">
        <v>2377</v>
      </c>
      <c r="AI7" s="257" t="s">
        <v>2378</v>
      </c>
      <c r="AJ7" s="258" t="s">
        <v>2379</v>
      </c>
      <c r="AK7" s="239">
        <v>65.99</v>
      </c>
      <c r="AL7" s="239">
        <v>29.64</v>
      </c>
      <c r="AM7">
        <v>60</v>
      </c>
      <c r="AN7" s="259" t="e">
        <f t="shared" ref="AN7:AN8" si="28">(Y7*1.7)/AI7</f>
        <v>#VALUE!</v>
      </c>
      <c r="AO7" t="s">
        <v>2378</v>
      </c>
      <c r="AP7" t="s">
        <v>2378</v>
      </c>
      <c r="AQ7" s="266">
        <v>0</v>
      </c>
      <c r="AR7" s="239" t="e">
        <f t="shared" si="8"/>
        <v>#VALUE!</v>
      </c>
      <c r="AS7" s="239" t="e">
        <f t="shared" si="9"/>
        <v>#VALUE!</v>
      </c>
      <c r="AT7" s="239" t="e">
        <f t="shared" si="10"/>
        <v>#VALUE!</v>
      </c>
      <c r="AU7" s="239">
        <f t="shared" si="11"/>
        <v>3.2995</v>
      </c>
      <c r="AV7" s="203"/>
      <c r="AW7" s="278" t="e">
        <f t="shared" si="12"/>
        <v>#VALUE!</v>
      </c>
      <c r="AX7" s="279" t="e">
        <f t="shared" si="13"/>
        <v>#VALUE!</v>
      </c>
      <c r="AY7" s="280" t="e">
        <f t="shared" si="14"/>
        <v>#VALUE!</v>
      </c>
      <c r="AZ7" s="281" t="s">
        <v>2380</v>
      </c>
      <c r="BA7" s="29">
        <v>5800</v>
      </c>
      <c r="BB7" s="239" t="e">
        <f t="shared" si="15"/>
        <v>#VALUE!</v>
      </c>
      <c r="BC7" s="239" t="str">
        <f t="shared" si="16"/>
        <v>#REF!</v>
      </c>
      <c r="BD7" t="s">
        <v>2378</v>
      </c>
      <c r="BE7">
        <v>3752</v>
      </c>
      <c r="BF7" s="285">
        <f t="shared" si="17"/>
        <v>39.4893617021277</v>
      </c>
      <c r="BG7" s="252">
        <f t="shared" si="18"/>
        <v>95</v>
      </c>
      <c r="BH7" s="239">
        <f t="shared" si="19"/>
        <v>1876</v>
      </c>
      <c r="BI7">
        <v>1876</v>
      </c>
      <c r="BJ7" s="203" t="e">
        <f t="shared" si="20"/>
        <v>#VALUE!</v>
      </c>
      <c r="BK7" s="203" t="e">
        <f t="shared" si="21"/>
        <v>#VALUE!</v>
      </c>
      <c r="BL7" s="287" t="e">
        <f t="shared" si="22"/>
        <v>#VALUE!</v>
      </c>
      <c r="BM7" s="279" t="e">
        <f t="shared" si="23"/>
        <v>#VALUE!</v>
      </c>
      <c r="BN7" s="279">
        <f t="shared" si="24"/>
        <v>1876</v>
      </c>
      <c r="BO7" s="280" t="e">
        <f t="shared" si="25"/>
        <v>#VALUE!</v>
      </c>
    </row>
    <row r="8" customHeight="1" spans="1:67">
      <c r="A8" s="202" t="b">
        <v>1</v>
      </c>
      <c r="B8" s="203" t="b">
        <v>1</v>
      </c>
      <c r="C8" s="203" t="b">
        <v>1</v>
      </c>
      <c r="D8" s="203" t="b">
        <v>0</v>
      </c>
      <c r="E8" s="204" t="b">
        <v>0</v>
      </c>
      <c r="F8" s="203"/>
      <c r="G8" s="205" t="s">
        <v>2381</v>
      </c>
      <c r="H8" s="206" t="s">
        <v>2374</v>
      </c>
      <c r="I8" s="191" t="s">
        <v>124</v>
      </c>
      <c r="J8" s="197" t="s">
        <v>2366</v>
      </c>
      <c r="K8" s="203" t="b">
        <v>1</v>
      </c>
      <c r="L8" s="203" t="b">
        <v>0</v>
      </c>
      <c r="M8" s="203">
        <v>2</v>
      </c>
      <c r="N8" s="216" t="s">
        <v>2358</v>
      </c>
      <c r="O8" s="217"/>
      <c r="P8" s="217">
        <v>300</v>
      </c>
      <c r="Q8" s="203">
        <v>150</v>
      </c>
      <c r="R8" s="203">
        <v>200</v>
      </c>
      <c r="S8" s="203">
        <f t="shared" ref="S8:S25" si="29">(Q8+R8)/2</f>
        <v>175</v>
      </c>
      <c r="T8" s="203">
        <v>200</v>
      </c>
      <c r="U8" s="203">
        <v>280</v>
      </c>
      <c r="V8" s="203">
        <f t="shared" si="1"/>
        <v>240</v>
      </c>
      <c r="W8" s="203"/>
      <c r="X8" s="203">
        <f t="shared" si="26"/>
        <v>103.75</v>
      </c>
      <c r="Y8" s="223">
        <f t="shared" si="27"/>
        <v>103.75</v>
      </c>
      <c r="Z8" s="236">
        <f t="shared" si="4"/>
        <v>78.75</v>
      </c>
      <c r="AA8" s="237" t="s">
        <v>2375</v>
      </c>
      <c r="AB8" s="238">
        <v>95</v>
      </c>
      <c r="AC8" s="239">
        <f t="shared" si="5"/>
        <v>47.5</v>
      </c>
      <c r="AD8" s="240">
        <v>1</v>
      </c>
      <c r="AE8" s="241">
        <f t="shared" si="6"/>
        <v>95</v>
      </c>
      <c r="AF8" s="203" t="s">
        <v>2376</v>
      </c>
      <c r="AG8" s="203" t="s">
        <v>2361</v>
      </c>
      <c r="AH8" s="203" t="s">
        <v>2377</v>
      </c>
      <c r="AI8" t="s">
        <v>2378</v>
      </c>
      <c r="AJ8" s="258" t="s">
        <v>2379</v>
      </c>
      <c r="AK8" s="239">
        <v>65.99</v>
      </c>
      <c r="AL8" s="239">
        <v>29.64</v>
      </c>
      <c r="AM8">
        <v>60</v>
      </c>
      <c r="AN8" s="259" t="e">
        <f t="shared" si="28"/>
        <v>#VALUE!</v>
      </c>
      <c r="AO8" t="s">
        <v>2378</v>
      </c>
      <c r="AP8" t="s">
        <v>2378</v>
      </c>
      <c r="AQ8" s="266">
        <v>0</v>
      </c>
      <c r="AR8" s="239" t="e">
        <f t="shared" si="8"/>
        <v>#VALUE!</v>
      </c>
      <c r="AS8" s="239" t="e">
        <f t="shared" si="9"/>
        <v>#VALUE!</v>
      </c>
      <c r="AT8" s="239" t="e">
        <f t="shared" si="10"/>
        <v>#VALUE!</v>
      </c>
      <c r="AU8" s="239">
        <f t="shared" si="11"/>
        <v>3.2995</v>
      </c>
      <c r="AV8" s="203"/>
      <c r="AW8" s="278" t="e">
        <f t="shared" si="12"/>
        <v>#VALUE!</v>
      </c>
      <c r="AX8" s="279" t="e">
        <f t="shared" si="13"/>
        <v>#VALUE!</v>
      </c>
      <c r="AY8" s="280" t="e">
        <f t="shared" si="14"/>
        <v>#VALUE!</v>
      </c>
      <c r="AZ8" s="281" t="s">
        <v>2380</v>
      </c>
      <c r="BA8" s="29">
        <v>5800</v>
      </c>
      <c r="BB8" s="239" t="e">
        <f t="shared" si="15"/>
        <v>#VALUE!</v>
      </c>
      <c r="BC8" s="239" t="str">
        <f t="shared" si="16"/>
        <v>#REF!</v>
      </c>
      <c r="BD8" t="s">
        <v>2378</v>
      </c>
      <c r="BE8">
        <v>5311</v>
      </c>
      <c r="BF8" s="285">
        <f t="shared" si="17"/>
        <v>55.9036144578313</v>
      </c>
      <c r="BG8" s="252">
        <f t="shared" si="18"/>
        <v>95</v>
      </c>
      <c r="BH8" s="239">
        <f t="shared" si="19"/>
        <v>2656</v>
      </c>
      <c r="BI8">
        <v>2656</v>
      </c>
      <c r="BJ8" s="203" t="e">
        <f t="shared" si="20"/>
        <v>#VALUE!</v>
      </c>
      <c r="BK8" s="203" t="e">
        <f t="shared" si="21"/>
        <v>#VALUE!</v>
      </c>
      <c r="BL8" s="287" t="e">
        <f t="shared" si="22"/>
        <v>#VALUE!</v>
      </c>
      <c r="BM8" s="279" t="e">
        <f t="shared" si="23"/>
        <v>#VALUE!</v>
      </c>
      <c r="BN8" s="279">
        <f t="shared" si="24"/>
        <v>2655</v>
      </c>
      <c r="BO8" s="280" t="e">
        <f t="shared" si="25"/>
        <v>#VALUE!</v>
      </c>
    </row>
    <row r="9" customHeight="1" spans="1:67">
      <c r="A9" s="207" t="b">
        <v>1</v>
      </c>
      <c r="B9" s="29" t="b">
        <v>0</v>
      </c>
      <c r="C9" s="29" t="b">
        <v>1</v>
      </c>
      <c r="D9" s="29" t="b">
        <v>0</v>
      </c>
      <c r="E9" s="208" t="b">
        <v>0</v>
      </c>
      <c r="F9" s="29"/>
      <c r="G9" s="209" t="s">
        <v>2382</v>
      </c>
      <c r="H9" s="206" t="s">
        <v>2383</v>
      </c>
      <c r="I9" s="191" t="s">
        <v>124</v>
      </c>
      <c r="J9" s="29" t="s">
        <v>2357</v>
      </c>
      <c r="K9" s="29" t="b">
        <v>1</v>
      </c>
      <c r="L9" s="29" t="b">
        <v>0</v>
      </c>
      <c r="M9" s="29">
        <v>1</v>
      </c>
      <c r="N9" s="214" t="s">
        <v>2358</v>
      </c>
      <c r="O9" s="215"/>
      <c r="P9" s="215">
        <v>300</v>
      </c>
      <c r="Q9" s="29">
        <v>220</v>
      </c>
      <c r="R9" s="29">
        <v>310</v>
      </c>
      <c r="S9" s="203">
        <f t="shared" si="29"/>
        <v>265</v>
      </c>
      <c r="T9" s="29"/>
      <c r="U9" s="29"/>
      <c r="V9" s="203">
        <f t="shared" si="1"/>
        <v>0</v>
      </c>
      <c r="W9" s="29"/>
      <c r="X9" s="203">
        <f t="shared" ref="X9:X10" si="30">S9</f>
        <v>265</v>
      </c>
      <c r="Y9" s="223">
        <f t="shared" si="27"/>
        <v>265</v>
      </c>
      <c r="Z9" s="242">
        <f t="shared" si="4"/>
        <v>240</v>
      </c>
      <c r="AA9" s="243" t="s">
        <v>2359</v>
      </c>
      <c r="AB9" s="244">
        <v>95</v>
      </c>
      <c r="AC9" s="245">
        <f t="shared" si="5"/>
        <v>47.5</v>
      </c>
      <c r="AD9" s="246">
        <v>1</v>
      </c>
      <c r="AE9" s="247">
        <f t="shared" si="6"/>
        <v>95</v>
      </c>
      <c r="AF9" s="29" t="s">
        <v>2360</v>
      </c>
      <c r="AG9" s="29" t="s">
        <v>2361</v>
      </c>
      <c r="AH9" s="29"/>
      <c r="AI9" s="223">
        <v>350</v>
      </c>
      <c r="AJ9" s="260" t="s">
        <v>2384</v>
      </c>
      <c r="AK9" s="245">
        <v>68.49</v>
      </c>
      <c r="AL9" s="245">
        <v>24.47</v>
      </c>
      <c r="AM9">
        <v>49</v>
      </c>
      <c r="AN9" s="261">
        <f t="shared" ref="AN9:AN10" si="31">Y9/AI9</f>
        <v>0.757142857142857</v>
      </c>
      <c r="AO9">
        <v>19</v>
      </c>
      <c r="AP9">
        <v>38</v>
      </c>
      <c r="AQ9" s="267">
        <v>0</v>
      </c>
      <c r="AR9" s="252">
        <f t="shared" si="8"/>
        <v>51.8567142857143</v>
      </c>
      <c r="AS9" s="252">
        <f t="shared" si="9"/>
        <v>18.5272857142857</v>
      </c>
      <c r="AT9" s="252">
        <f t="shared" si="10"/>
        <v>28.7714285714286</v>
      </c>
      <c r="AU9" s="252">
        <f t="shared" si="11"/>
        <v>3.4245</v>
      </c>
      <c r="AV9" s="29"/>
      <c r="AW9" s="282">
        <f t="shared" si="12"/>
        <v>146.856714285714</v>
      </c>
      <c r="AX9" s="283">
        <f t="shared" si="13"/>
        <v>113.527285714286</v>
      </c>
      <c r="AY9" s="275">
        <f t="shared" si="14"/>
        <v>123.771428571429</v>
      </c>
      <c r="AZ9" s="207"/>
      <c r="BA9" s="29"/>
      <c r="BB9" s="252">
        <f t="shared" si="15"/>
        <v>0</v>
      </c>
      <c r="BC9" s="252">
        <f t="shared" si="16"/>
        <v>0</v>
      </c>
      <c r="BD9">
        <v>0</v>
      </c>
      <c r="BE9">
        <v>0</v>
      </c>
      <c r="BF9" s="285">
        <f t="shared" si="17"/>
        <v>0</v>
      </c>
      <c r="BG9" s="252">
        <f t="shared" si="18"/>
        <v>95</v>
      </c>
      <c r="BH9" s="252">
        <f t="shared" si="19"/>
        <v>0</v>
      </c>
      <c r="BI9">
        <v>0</v>
      </c>
      <c r="BJ9" s="252">
        <f t="shared" si="20"/>
        <v>0</v>
      </c>
      <c r="BK9" s="252">
        <f t="shared" si="21"/>
        <v>0</v>
      </c>
      <c r="BL9" s="286" t="e">
        <f t="shared" si="22"/>
        <v>#DIV/0!</v>
      </c>
      <c r="BM9" s="283">
        <f t="shared" si="23"/>
        <v>0</v>
      </c>
      <c r="BN9" s="283">
        <f t="shared" si="24"/>
        <v>0</v>
      </c>
      <c r="BO9" s="275">
        <f t="shared" si="25"/>
        <v>0</v>
      </c>
    </row>
    <row r="10" customHeight="1" spans="1:67">
      <c r="A10" s="207" t="b">
        <v>1</v>
      </c>
      <c r="B10" s="29" t="b">
        <v>0</v>
      </c>
      <c r="C10" s="29" t="b">
        <v>1</v>
      </c>
      <c r="D10" s="29" t="b">
        <v>0</v>
      </c>
      <c r="E10" s="208" t="b">
        <v>0</v>
      </c>
      <c r="F10" s="29"/>
      <c r="G10" s="209" t="s">
        <v>2385</v>
      </c>
      <c r="H10" s="206" t="s">
        <v>2383</v>
      </c>
      <c r="I10" s="191" t="s">
        <v>124</v>
      </c>
      <c r="J10" s="197" t="s">
        <v>2366</v>
      </c>
      <c r="K10" s="29" t="b">
        <v>1</v>
      </c>
      <c r="L10" s="29" t="b">
        <v>0</v>
      </c>
      <c r="M10" s="29">
        <v>1</v>
      </c>
      <c r="N10" s="214" t="s">
        <v>2358</v>
      </c>
      <c r="O10" s="215"/>
      <c r="P10" s="215">
        <v>300</v>
      </c>
      <c r="Q10" s="203">
        <v>150</v>
      </c>
      <c r="R10" s="203">
        <v>200</v>
      </c>
      <c r="S10" s="203">
        <f t="shared" si="29"/>
        <v>175</v>
      </c>
      <c r="T10" s="29"/>
      <c r="U10" s="29"/>
      <c r="V10" s="203">
        <f t="shared" si="1"/>
        <v>0</v>
      </c>
      <c r="W10" s="29"/>
      <c r="X10" s="203">
        <f t="shared" si="30"/>
        <v>175</v>
      </c>
      <c r="Y10" s="223">
        <f t="shared" si="27"/>
        <v>175</v>
      </c>
      <c r="Z10" s="242">
        <f t="shared" si="4"/>
        <v>150</v>
      </c>
      <c r="AA10" s="243" t="s">
        <v>2359</v>
      </c>
      <c r="AB10" s="244">
        <v>95</v>
      </c>
      <c r="AC10" s="245">
        <f t="shared" si="5"/>
        <v>47.5</v>
      </c>
      <c r="AD10" s="246">
        <v>1</v>
      </c>
      <c r="AE10" s="247">
        <f t="shared" si="6"/>
        <v>95</v>
      </c>
      <c r="AF10" s="29" t="s">
        <v>2360</v>
      </c>
      <c r="AG10" s="29" t="s">
        <v>2361</v>
      </c>
      <c r="AH10" s="29"/>
      <c r="AI10" s="223">
        <v>350</v>
      </c>
      <c r="AJ10" s="260" t="s">
        <v>2384</v>
      </c>
      <c r="AK10" s="245">
        <v>68.49</v>
      </c>
      <c r="AL10" s="245">
        <v>24.47</v>
      </c>
      <c r="AM10">
        <v>49</v>
      </c>
      <c r="AN10" s="261">
        <f t="shared" si="31"/>
        <v>0.5</v>
      </c>
      <c r="AO10">
        <v>13</v>
      </c>
      <c r="AP10">
        <v>25</v>
      </c>
      <c r="AQ10" s="267">
        <v>0</v>
      </c>
      <c r="AR10" s="252">
        <f t="shared" si="8"/>
        <v>34.245</v>
      </c>
      <c r="AS10" s="252">
        <f t="shared" si="9"/>
        <v>12.235</v>
      </c>
      <c r="AT10" s="252">
        <f t="shared" si="10"/>
        <v>12.5</v>
      </c>
      <c r="AU10" s="252">
        <f t="shared" si="11"/>
        <v>3.4245</v>
      </c>
      <c r="AV10" s="29"/>
      <c r="AW10" s="282">
        <f t="shared" si="12"/>
        <v>129.245</v>
      </c>
      <c r="AX10" s="283">
        <f t="shared" si="13"/>
        <v>107.235</v>
      </c>
      <c r="AY10" s="275">
        <f t="shared" si="14"/>
        <v>107.5</v>
      </c>
      <c r="AZ10" s="207"/>
      <c r="BA10" s="29"/>
      <c r="BB10" s="252">
        <f t="shared" si="15"/>
        <v>0</v>
      </c>
      <c r="BC10" s="252">
        <f t="shared" si="16"/>
        <v>0</v>
      </c>
      <c r="BD10">
        <v>0</v>
      </c>
      <c r="BE10">
        <v>0</v>
      </c>
      <c r="BF10" s="285">
        <f t="shared" si="17"/>
        <v>0</v>
      </c>
      <c r="BG10" s="252">
        <f t="shared" si="18"/>
        <v>95</v>
      </c>
      <c r="BH10" s="252">
        <f t="shared" si="19"/>
        <v>0</v>
      </c>
      <c r="BI10">
        <v>0</v>
      </c>
      <c r="BJ10" s="252">
        <f t="shared" si="20"/>
        <v>0</v>
      </c>
      <c r="BK10" s="252">
        <f t="shared" si="21"/>
        <v>0</v>
      </c>
      <c r="BL10" s="286" t="e">
        <f t="shared" si="22"/>
        <v>#DIV/0!</v>
      </c>
      <c r="BM10" s="283">
        <f t="shared" si="23"/>
        <v>0</v>
      </c>
      <c r="BN10" s="283">
        <f t="shared" si="24"/>
        <v>0</v>
      </c>
      <c r="BO10" s="275">
        <f t="shared" si="25"/>
        <v>0</v>
      </c>
    </row>
    <row r="11" customHeight="1" spans="1:67">
      <c r="A11" s="202" t="b">
        <v>1</v>
      </c>
      <c r="B11" s="203" t="b">
        <v>1</v>
      </c>
      <c r="C11" s="203" t="b">
        <v>1</v>
      </c>
      <c r="D11" s="203" t="b">
        <v>0</v>
      </c>
      <c r="E11" s="204" t="b">
        <v>0</v>
      </c>
      <c r="F11" s="203"/>
      <c r="G11" s="205" t="s">
        <v>2373</v>
      </c>
      <c r="H11" s="206" t="s">
        <v>2374</v>
      </c>
      <c r="I11" s="29" t="s">
        <v>129</v>
      </c>
      <c r="J11" s="203" t="s">
        <v>2357</v>
      </c>
      <c r="K11" s="203" t="b">
        <v>1</v>
      </c>
      <c r="L11" s="203" t="b">
        <v>0</v>
      </c>
      <c r="M11" s="203">
        <v>2</v>
      </c>
      <c r="N11" s="216" t="s">
        <v>2358</v>
      </c>
      <c r="O11" s="217"/>
      <c r="P11" s="217">
        <v>300</v>
      </c>
      <c r="Q11" s="203">
        <v>330</v>
      </c>
      <c r="R11" s="203">
        <v>440</v>
      </c>
      <c r="S11" s="203">
        <f t="shared" si="29"/>
        <v>385</v>
      </c>
      <c r="T11" s="203">
        <v>400</v>
      </c>
      <c r="U11" s="203">
        <v>550</v>
      </c>
      <c r="V11" s="203">
        <f t="shared" si="1"/>
        <v>475</v>
      </c>
      <c r="W11" s="203"/>
      <c r="X11" s="203">
        <f t="shared" ref="X11:X12" si="32">(S11+V11)/2/2</f>
        <v>215</v>
      </c>
      <c r="Y11" s="223">
        <f t="shared" si="27"/>
        <v>215</v>
      </c>
      <c r="Z11" s="236">
        <f t="shared" si="4"/>
        <v>190</v>
      </c>
      <c r="AA11" s="237" t="s">
        <v>2375</v>
      </c>
      <c r="AB11" s="238">
        <f t="shared" ref="AB11:AB12" si="33">95*1.4</f>
        <v>133</v>
      </c>
      <c r="AC11" s="239">
        <f t="shared" si="5"/>
        <v>66.5</v>
      </c>
      <c r="AD11" s="240">
        <v>1</v>
      </c>
      <c r="AE11" s="241">
        <f t="shared" si="6"/>
        <v>133</v>
      </c>
      <c r="AF11" s="203" t="s">
        <v>2376</v>
      </c>
      <c r="AG11" s="203" t="s">
        <v>2361</v>
      </c>
      <c r="AH11" s="203" t="s">
        <v>2377</v>
      </c>
      <c r="AI11" s="257" t="s">
        <v>2378</v>
      </c>
      <c r="AJ11" s="258" t="s">
        <v>2379</v>
      </c>
      <c r="AK11" s="239">
        <v>65.99</v>
      </c>
      <c r="AL11" s="239">
        <v>29.64</v>
      </c>
      <c r="AM11">
        <v>60</v>
      </c>
      <c r="AN11" s="259" t="e">
        <f t="shared" ref="AN11:AN12" si="34">(Y11*1.7)/AI11</f>
        <v>#VALUE!</v>
      </c>
      <c r="AO11" t="s">
        <v>2378</v>
      </c>
      <c r="AP11" t="s">
        <v>2378</v>
      </c>
      <c r="AQ11" s="266">
        <v>0</v>
      </c>
      <c r="AR11" s="239" t="e">
        <f t="shared" si="8"/>
        <v>#VALUE!</v>
      </c>
      <c r="AS11" s="239" t="e">
        <f t="shared" si="9"/>
        <v>#VALUE!</v>
      </c>
      <c r="AT11" s="239" t="e">
        <f t="shared" si="10"/>
        <v>#VALUE!</v>
      </c>
      <c r="AU11" s="239">
        <f t="shared" si="11"/>
        <v>3.2995</v>
      </c>
      <c r="AV11" s="203"/>
      <c r="AW11" s="278" t="e">
        <f t="shared" si="12"/>
        <v>#VALUE!</v>
      </c>
      <c r="AX11" s="279" t="e">
        <f t="shared" si="13"/>
        <v>#VALUE!</v>
      </c>
      <c r="AY11" s="280" t="e">
        <f t="shared" si="14"/>
        <v>#VALUE!</v>
      </c>
      <c r="AZ11" s="281" t="s">
        <v>2380</v>
      </c>
      <c r="BA11" s="29">
        <v>5800</v>
      </c>
      <c r="BB11" s="239" t="e">
        <f t="shared" si="15"/>
        <v>#VALUE!</v>
      </c>
      <c r="BC11" s="239" t="str">
        <f t="shared" si="16"/>
        <v>#REF!</v>
      </c>
      <c r="BD11" t="s">
        <v>2378</v>
      </c>
      <c r="BE11">
        <v>3588</v>
      </c>
      <c r="BF11" s="285">
        <f t="shared" si="17"/>
        <v>26.9767441860465</v>
      </c>
      <c r="BG11" s="252">
        <f t="shared" si="18"/>
        <v>133</v>
      </c>
      <c r="BH11" s="239">
        <f t="shared" si="19"/>
        <v>1794</v>
      </c>
      <c r="BI11">
        <v>1794</v>
      </c>
      <c r="BJ11" s="203" t="e">
        <f t="shared" si="20"/>
        <v>#VALUE!</v>
      </c>
      <c r="BK11" s="203" t="e">
        <f t="shared" si="21"/>
        <v>#VALUE!</v>
      </c>
      <c r="BL11" s="287" t="e">
        <f t="shared" si="22"/>
        <v>#VALUE!</v>
      </c>
      <c r="BM11" s="279" t="e">
        <f t="shared" si="23"/>
        <v>#VALUE!</v>
      </c>
      <c r="BN11" s="279">
        <f t="shared" si="24"/>
        <v>1794</v>
      </c>
      <c r="BO11" s="280" t="e">
        <f t="shared" si="25"/>
        <v>#VALUE!</v>
      </c>
    </row>
    <row r="12" customHeight="1" spans="1:67">
      <c r="A12" s="202" t="b">
        <v>1</v>
      </c>
      <c r="B12" s="203" t="b">
        <v>1</v>
      </c>
      <c r="C12" s="203" t="b">
        <v>1</v>
      </c>
      <c r="D12" s="203" t="b">
        <v>0</v>
      </c>
      <c r="E12" s="204" t="b">
        <v>0</v>
      </c>
      <c r="F12" s="203"/>
      <c r="G12" s="205" t="s">
        <v>2381</v>
      </c>
      <c r="H12" s="206" t="s">
        <v>2374</v>
      </c>
      <c r="I12" s="29" t="s">
        <v>129</v>
      </c>
      <c r="J12" s="197" t="s">
        <v>2366</v>
      </c>
      <c r="K12" s="203" t="b">
        <v>1</v>
      </c>
      <c r="L12" s="203" t="b">
        <v>0</v>
      </c>
      <c r="M12" s="203">
        <v>2</v>
      </c>
      <c r="N12" s="216" t="s">
        <v>2358</v>
      </c>
      <c r="O12" s="217"/>
      <c r="P12" s="217">
        <v>300</v>
      </c>
      <c r="Q12" s="203">
        <v>200</v>
      </c>
      <c r="R12" s="203">
        <v>300</v>
      </c>
      <c r="S12" s="203">
        <f t="shared" si="29"/>
        <v>250</v>
      </c>
      <c r="T12" s="203">
        <v>300</v>
      </c>
      <c r="U12" s="203">
        <v>400</v>
      </c>
      <c r="V12" s="203">
        <f t="shared" si="1"/>
        <v>350</v>
      </c>
      <c r="W12" s="203"/>
      <c r="X12" s="203">
        <f t="shared" si="32"/>
        <v>150</v>
      </c>
      <c r="Y12" s="223">
        <f t="shared" si="27"/>
        <v>150</v>
      </c>
      <c r="Z12" s="236">
        <f t="shared" si="4"/>
        <v>125</v>
      </c>
      <c r="AA12" s="237" t="s">
        <v>2375</v>
      </c>
      <c r="AB12" s="238">
        <f t="shared" si="33"/>
        <v>133</v>
      </c>
      <c r="AC12" s="239">
        <f t="shared" si="5"/>
        <v>66.5</v>
      </c>
      <c r="AD12" s="240">
        <v>1</v>
      </c>
      <c r="AE12" s="241">
        <f t="shared" si="6"/>
        <v>133</v>
      </c>
      <c r="AF12" s="203" t="s">
        <v>2376</v>
      </c>
      <c r="AG12" s="203" t="s">
        <v>2361</v>
      </c>
      <c r="AH12" s="203" t="s">
        <v>2377</v>
      </c>
      <c r="AI12" t="s">
        <v>2378</v>
      </c>
      <c r="AJ12" s="258" t="s">
        <v>2379</v>
      </c>
      <c r="AK12" s="239">
        <v>65.99</v>
      </c>
      <c r="AL12" s="239">
        <v>29.64</v>
      </c>
      <c r="AM12">
        <v>60</v>
      </c>
      <c r="AN12" s="259" t="e">
        <f t="shared" si="34"/>
        <v>#VALUE!</v>
      </c>
      <c r="AO12" t="s">
        <v>2378</v>
      </c>
      <c r="AP12" t="s">
        <v>2378</v>
      </c>
      <c r="AQ12" s="266">
        <v>0</v>
      </c>
      <c r="AR12" s="239" t="e">
        <f t="shared" si="8"/>
        <v>#VALUE!</v>
      </c>
      <c r="AS12" s="239" t="e">
        <f t="shared" si="9"/>
        <v>#VALUE!</v>
      </c>
      <c r="AT12" s="239" t="e">
        <f t="shared" si="10"/>
        <v>#VALUE!</v>
      </c>
      <c r="AU12" s="239">
        <f t="shared" si="11"/>
        <v>3.2995</v>
      </c>
      <c r="AV12" s="203"/>
      <c r="AW12" s="278" t="e">
        <f t="shared" si="12"/>
        <v>#VALUE!</v>
      </c>
      <c r="AX12" s="279" t="e">
        <f t="shared" si="13"/>
        <v>#VALUE!</v>
      </c>
      <c r="AY12" s="280" t="e">
        <f t="shared" si="14"/>
        <v>#VALUE!</v>
      </c>
      <c r="AZ12" s="281" t="s">
        <v>2380</v>
      </c>
      <c r="BA12" s="29">
        <v>5800</v>
      </c>
      <c r="BB12" s="239" t="e">
        <f t="shared" si="15"/>
        <v>#VALUE!</v>
      </c>
      <c r="BC12" s="239" t="str">
        <f t="shared" si="16"/>
        <v>#REF!</v>
      </c>
      <c r="BD12" t="s">
        <v>2378</v>
      </c>
      <c r="BE12">
        <v>5143</v>
      </c>
      <c r="BF12" s="285">
        <f t="shared" si="17"/>
        <v>38.6666666666667</v>
      </c>
      <c r="BG12" s="252">
        <f t="shared" si="18"/>
        <v>133</v>
      </c>
      <c r="BH12" s="239">
        <f t="shared" si="19"/>
        <v>2572</v>
      </c>
      <c r="BI12">
        <v>2572</v>
      </c>
      <c r="BJ12" s="203" t="e">
        <f t="shared" si="20"/>
        <v>#VALUE!</v>
      </c>
      <c r="BK12" s="203" t="e">
        <f t="shared" si="21"/>
        <v>#VALUE!</v>
      </c>
      <c r="BL12" s="287" t="e">
        <f t="shared" si="22"/>
        <v>#VALUE!</v>
      </c>
      <c r="BM12" s="279" t="e">
        <f t="shared" si="23"/>
        <v>#VALUE!</v>
      </c>
      <c r="BN12" s="279">
        <f t="shared" si="24"/>
        <v>2571</v>
      </c>
      <c r="BO12" s="280" t="e">
        <f t="shared" si="25"/>
        <v>#VALUE!</v>
      </c>
    </row>
    <row r="13" customHeight="1" spans="1:67">
      <c r="A13" s="207" t="b">
        <v>1</v>
      </c>
      <c r="B13" s="29" t="b">
        <v>0</v>
      </c>
      <c r="C13" s="29" t="b">
        <v>1</v>
      </c>
      <c r="D13" s="29" t="b">
        <v>0</v>
      </c>
      <c r="E13" s="208" t="b">
        <v>0</v>
      </c>
      <c r="F13" s="29"/>
      <c r="G13" s="209" t="s">
        <v>2382</v>
      </c>
      <c r="H13" s="206" t="s">
        <v>2383</v>
      </c>
      <c r="I13" s="29" t="s">
        <v>129</v>
      </c>
      <c r="J13" s="29" t="s">
        <v>2357</v>
      </c>
      <c r="K13" s="29" t="b">
        <v>1</v>
      </c>
      <c r="L13" s="29" t="b">
        <v>0</v>
      </c>
      <c r="M13" s="29">
        <v>1</v>
      </c>
      <c r="N13" s="214" t="s">
        <v>2358</v>
      </c>
      <c r="O13" s="215"/>
      <c r="P13" s="215">
        <v>300</v>
      </c>
      <c r="Q13" s="203">
        <v>330</v>
      </c>
      <c r="R13" s="203">
        <v>440</v>
      </c>
      <c r="S13" s="203">
        <f t="shared" si="29"/>
        <v>385</v>
      </c>
      <c r="T13" s="29"/>
      <c r="U13" s="29"/>
      <c r="V13" s="203">
        <f t="shared" si="1"/>
        <v>0</v>
      </c>
      <c r="W13" s="29"/>
      <c r="X13" s="203">
        <f t="shared" ref="X13:X14" si="35">S13</f>
        <v>385</v>
      </c>
      <c r="Y13" s="223">
        <f t="shared" si="27"/>
        <v>385</v>
      </c>
      <c r="Z13" s="242">
        <f t="shared" si="4"/>
        <v>360</v>
      </c>
      <c r="AA13" s="243" t="s">
        <v>2359</v>
      </c>
      <c r="AB13" s="244">
        <v>95</v>
      </c>
      <c r="AC13" s="245">
        <f t="shared" si="5"/>
        <v>47.5</v>
      </c>
      <c r="AD13" s="246">
        <v>1</v>
      </c>
      <c r="AE13" s="247">
        <f t="shared" si="6"/>
        <v>95</v>
      </c>
      <c r="AF13" s="29" t="s">
        <v>2360</v>
      </c>
      <c r="AG13" s="29" t="s">
        <v>2361</v>
      </c>
      <c r="AH13" s="29"/>
      <c r="AI13" s="223">
        <v>350</v>
      </c>
      <c r="AJ13" s="260" t="s">
        <v>2384</v>
      </c>
      <c r="AK13" s="245">
        <v>68.49</v>
      </c>
      <c r="AL13" s="245">
        <v>24.47</v>
      </c>
      <c r="AM13">
        <v>49</v>
      </c>
      <c r="AN13" s="261">
        <f t="shared" ref="AN13:AN28" si="36">Y13/AI13</f>
        <v>1.1</v>
      </c>
      <c r="AO13">
        <v>27</v>
      </c>
      <c r="AP13">
        <v>54</v>
      </c>
      <c r="AQ13" s="267">
        <v>0</v>
      </c>
      <c r="AR13" s="252">
        <f t="shared" si="8"/>
        <v>75.339</v>
      </c>
      <c r="AS13" s="252">
        <f t="shared" si="9"/>
        <v>26.917</v>
      </c>
      <c r="AT13" s="252">
        <f t="shared" si="10"/>
        <v>59.4</v>
      </c>
      <c r="AU13" s="252">
        <f t="shared" si="11"/>
        <v>3.4245</v>
      </c>
      <c r="AV13" s="29"/>
      <c r="AW13" s="282">
        <f t="shared" si="12"/>
        <v>170.339</v>
      </c>
      <c r="AX13" s="283">
        <f t="shared" si="13"/>
        <v>121.917</v>
      </c>
      <c r="AY13" s="275">
        <f t="shared" si="14"/>
        <v>154.4</v>
      </c>
      <c r="AZ13" s="207"/>
      <c r="BA13" s="29"/>
      <c r="BB13" s="252">
        <f t="shared" si="15"/>
        <v>0</v>
      </c>
      <c r="BC13" s="252">
        <f t="shared" si="16"/>
        <v>0</v>
      </c>
      <c r="BD13">
        <v>0</v>
      </c>
      <c r="BE13">
        <v>0</v>
      </c>
      <c r="BF13" s="285">
        <f t="shared" si="17"/>
        <v>0</v>
      </c>
      <c r="BG13" s="252">
        <f t="shared" si="18"/>
        <v>95</v>
      </c>
      <c r="BH13" s="252">
        <f t="shared" si="19"/>
        <v>0</v>
      </c>
      <c r="BI13">
        <v>0</v>
      </c>
      <c r="BJ13" s="252">
        <f t="shared" si="20"/>
        <v>0</v>
      </c>
      <c r="BK13" s="252">
        <f t="shared" si="21"/>
        <v>0</v>
      </c>
      <c r="BL13" s="286" t="e">
        <f t="shared" si="22"/>
        <v>#DIV/0!</v>
      </c>
      <c r="BM13" s="283">
        <f t="shared" si="23"/>
        <v>0</v>
      </c>
      <c r="BN13" s="283">
        <f t="shared" si="24"/>
        <v>0</v>
      </c>
      <c r="BO13" s="275">
        <f t="shared" si="25"/>
        <v>0</v>
      </c>
    </row>
    <row r="14" customHeight="1" spans="1:67">
      <c r="A14" s="207" t="b">
        <v>1</v>
      </c>
      <c r="B14" s="29" t="b">
        <v>0</v>
      </c>
      <c r="C14" s="29" t="b">
        <v>1</v>
      </c>
      <c r="D14" s="29" t="b">
        <v>0</v>
      </c>
      <c r="E14" s="208" t="b">
        <v>0</v>
      </c>
      <c r="F14" s="29"/>
      <c r="G14" s="209" t="s">
        <v>2385</v>
      </c>
      <c r="H14" s="206" t="s">
        <v>2383</v>
      </c>
      <c r="I14" s="29" t="s">
        <v>129</v>
      </c>
      <c r="J14" s="197" t="s">
        <v>2366</v>
      </c>
      <c r="K14" s="29" t="b">
        <v>1</v>
      </c>
      <c r="L14" s="29" t="b">
        <v>0</v>
      </c>
      <c r="M14" s="29">
        <v>1</v>
      </c>
      <c r="N14" s="214" t="s">
        <v>2358</v>
      </c>
      <c r="O14" s="215"/>
      <c r="P14" s="215">
        <v>300</v>
      </c>
      <c r="Q14" s="203">
        <v>200</v>
      </c>
      <c r="R14" s="203">
        <v>300</v>
      </c>
      <c r="S14" s="203">
        <f t="shared" si="29"/>
        <v>250</v>
      </c>
      <c r="T14" s="29"/>
      <c r="U14" s="29"/>
      <c r="V14" s="203">
        <f t="shared" si="1"/>
        <v>0</v>
      </c>
      <c r="W14" s="29"/>
      <c r="X14" s="203">
        <f t="shared" si="35"/>
        <v>250</v>
      </c>
      <c r="Y14" s="223">
        <f t="shared" si="27"/>
        <v>250</v>
      </c>
      <c r="Z14" s="242">
        <f t="shared" si="4"/>
        <v>225</v>
      </c>
      <c r="AA14" s="243" t="s">
        <v>2359</v>
      </c>
      <c r="AB14" s="244">
        <v>95</v>
      </c>
      <c r="AC14" s="245">
        <f t="shared" si="5"/>
        <v>47.5</v>
      </c>
      <c r="AD14" s="246">
        <v>1</v>
      </c>
      <c r="AE14" s="247">
        <f t="shared" si="6"/>
        <v>95</v>
      </c>
      <c r="AF14" s="29" t="s">
        <v>2360</v>
      </c>
      <c r="AG14" s="29" t="s">
        <v>2361</v>
      </c>
      <c r="AH14" s="29"/>
      <c r="AI14" s="223">
        <v>350</v>
      </c>
      <c r="AJ14" s="260" t="s">
        <v>2384</v>
      </c>
      <c r="AK14" s="245">
        <v>68.49</v>
      </c>
      <c r="AL14" s="245">
        <v>24.47</v>
      </c>
      <c r="AM14">
        <v>49</v>
      </c>
      <c r="AN14" s="261">
        <f t="shared" si="36"/>
        <v>0.714285714285714</v>
      </c>
      <c r="AO14">
        <v>18</v>
      </c>
      <c r="AP14">
        <v>35</v>
      </c>
      <c r="AQ14" s="267">
        <v>0</v>
      </c>
      <c r="AR14" s="252">
        <f t="shared" si="8"/>
        <v>48.9214285714286</v>
      </c>
      <c r="AS14" s="252">
        <f t="shared" si="9"/>
        <v>17.4785714285714</v>
      </c>
      <c r="AT14" s="252">
        <f t="shared" si="10"/>
        <v>25</v>
      </c>
      <c r="AU14" s="252">
        <f t="shared" si="11"/>
        <v>3.4245</v>
      </c>
      <c r="AV14" s="29"/>
      <c r="AW14" s="282">
        <f t="shared" si="12"/>
        <v>143.921428571429</v>
      </c>
      <c r="AX14" s="283">
        <f t="shared" si="13"/>
        <v>112.478571428571</v>
      </c>
      <c r="AY14" s="275">
        <f t="shared" si="14"/>
        <v>120</v>
      </c>
      <c r="AZ14" s="207"/>
      <c r="BA14" s="29"/>
      <c r="BB14" s="252">
        <f t="shared" si="15"/>
        <v>0</v>
      </c>
      <c r="BC14" s="252">
        <f t="shared" si="16"/>
        <v>0</v>
      </c>
      <c r="BD14">
        <v>0</v>
      </c>
      <c r="BE14">
        <v>0</v>
      </c>
      <c r="BF14" s="285">
        <f t="shared" si="17"/>
        <v>0</v>
      </c>
      <c r="BG14" s="252">
        <f t="shared" si="18"/>
        <v>95</v>
      </c>
      <c r="BH14" s="252">
        <f t="shared" si="19"/>
        <v>0</v>
      </c>
      <c r="BI14">
        <v>0</v>
      </c>
      <c r="BJ14" s="252">
        <f t="shared" si="20"/>
        <v>0</v>
      </c>
      <c r="BK14" s="252">
        <f t="shared" si="21"/>
        <v>0</v>
      </c>
      <c r="BL14" s="286" t="e">
        <f t="shared" si="22"/>
        <v>#DIV/0!</v>
      </c>
      <c r="BM14" s="283">
        <f t="shared" si="23"/>
        <v>0</v>
      </c>
      <c r="BN14" s="283">
        <f t="shared" si="24"/>
        <v>0</v>
      </c>
      <c r="BO14" s="275">
        <f t="shared" si="25"/>
        <v>0</v>
      </c>
    </row>
    <row r="15" customHeight="1" spans="1:67">
      <c r="A15" s="207" t="b">
        <v>1</v>
      </c>
      <c r="B15" s="29" t="b">
        <v>0</v>
      </c>
      <c r="C15" s="29" t="b">
        <v>0</v>
      </c>
      <c r="D15" s="29" t="b">
        <v>0</v>
      </c>
      <c r="E15" s="208" t="b">
        <v>0</v>
      </c>
      <c r="F15" s="29"/>
      <c r="G15" s="205" t="s">
        <v>2386</v>
      </c>
      <c r="H15" s="210"/>
      <c r="I15" s="29"/>
      <c r="J15" s="29"/>
      <c r="K15" s="29" t="b">
        <v>0</v>
      </c>
      <c r="L15" s="29" t="b">
        <v>0</v>
      </c>
      <c r="M15" s="29"/>
      <c r="N15" s="214"/>
      <c r="O15" s="215"/>
      <c r="P15" s="215"/>
      <c r="Q15" s="29">
        <v>275</v>
      </c>
      <c r="R15" s="29">
        <v>275</v>
      </c>
      <c r="S15" s="203">
        <f t="shared" si="29"/>
        <v>275</v>
      </c>
      <c r="T15" s="29">
        <v>300</v>
      </c>
      <c r="U15" s="29">
        <v>300</v>
      </c>
      <c r="V15" s="203">
        <f t="shared" si="1"/>
        <v>300</v>
      </c>
      <c r="W15" s="29"/>
      <c r="X15" s="203">
        <f t="shared" ref="X15:X25" si="37">(S15+V15)/2</f>
        <v>287.5</v>
      </c>
      <c r="Y15" s="223">
        <f t="shared" si="27"/>
        <v>287.5</v>
      </c>
      <c r="Z15" s="242">
        <f t="shared" si="4"/>
        <v>262.5</v>
      </c>
      <c r="AA15" s="243"/>
      <c r="AB15" s="244">
        <v>95</v>
      </c>
      <c r="AC15" s="245">
        <f t="shared" si="5"/>
        <v>47.5</v>
      </c>
      <c r="AD15" s="246">
        <v>1</v>
      </c>
      <c r="AE15" s="247">
        <f t="shared" si="6"/>
        <v>95</v>
      </c>
      <c r="AF15" s="29"/>
      <c r="AG15" s="29"/>
      <c r="AH15" s="29"/>
      <c r="AI15" s="223"/>
      <c r="AJ15" s="260"/>
      <c r="AK15" s="245"/>
      <c r="AL15" s="245"/>
      <c r="AM15">
        <v>0</v>
      </c>
      <c r="AN15" s="261" t="e">
        <f t="shared" si="36"/>
        <v>#DIV/0!</v>
      </c>
      <c r="AO15" t="s">
        <v>2387</v>
      </c>
      <c r="AP15" t="s">
        <v>2387</v>
      </c>
      <c r="AQ15" s="267">
        <v>0</v>
      </c>
      <c r="AR15" s="252" t="e">
        <f t="shared" si="8"/>
        <v>#DIV/0!</v>
      </c>
      <c r="AS15" s="252" t="e">
        <f t="shared" si="9"/>
        <v>#DIV/0!</v>
      </c>
      <c r="AT15" s="252" t="e">
        <f t="shared" si="10"/>
        <v>#VALUE!</v>
      </c>
      <c r="AU15" s="252">
        <f t="shared" si="11"/>
        <v>0</v>
      </c>
      <c r="AV15" s="29"/>
      <c r="AW15" s="282" t="e">
        <f t="shared" si="12"/>
        <v>#DIV/0!</v>
      </c>
      <c r="AX15" s="283" t="e">
        <f t="shared" si="13"/>
        <v>#DIV/0!</v>
      </c>
      <c r="AY15" s="275" t="e">
        <f t="shared" si="14"/>
        <v>#VALUE!</v>
      </c>
      <c r="AZ15" s="207"/>
      <c r="BA15" s="29"/>
      <c r="BB15" s="252" t="e">
        <f t="shared" si="15"/>
        <v>#DIV/0!</v>
      </c>
      <c r="BC15" s="252" t="str">
        <f t="shared" si="16"/>
        <v>#DIV/0!</v>
      </c>
      <c r="BD15" t="s">
        <v>2387</v>
      </c>
      <c r="BE15">
        <v>0</v>
      </c>
      <c r="BF15" s="285">
        <f t="shared" si="17"/>
        <v>0</v>
      </c>
      <c r="BG15" s="252">
        <f t="shared" si="18"/>
        <v>95</v>
      </c>
      <c r="BH15" s="252">
        <f t="shared" si="19"/>
        <v>0</v>
      </c>
      <c r="BI15">
        <v>0</v>
      </c>
      <c r="BJ15" s="288" t="e">
        <f t="shared" si="20"/>
        <v>#VALUE!</v>
      </c>
      <c r="BK15" s="288" t="e">
        <f t="shared" si="21"/>
        <v>#DIV/0!</v>
      </c>
      <c r="BL15" s="286" t="e">
        <f t="shared" si="22"/>
        <v>#VALUE!</v>
      </c>
      <c r="BM15" s="283" t="e">
        <f t="shared" si="23"/>
        <v>#DIV/0!</v>
      </c>
      <c r="BN15" s="283">
        <f t="shared" si="24"/>
        <v>0</v>
      </c>
      <c r="BO15" s="275" t="e">
        <f t="shared" si="25"/>
        <v>#DIV/0!</v>
      </c>
    </row>
    <row r="16" customHeight="1" spans="1:67">
      <c r="A16" s="207" t="b">
        <v>1</v>
      </c>
      <c r="B16" s="29" t="b">
        <v>0</v>
      </c>
      <c r="C16" s="29" t="b">
        <v>0</v>
      </c>
      <c r="D16" s="29" t="b">
        <v>0</v>
      </c>
      <c r="E16" s="208" t="b">
        <v>0</v>
      </c>
      <c r="F16" s="29"/>
      <c r="G16" s="205" t="s">
        <v>2388</v>
      </c>
      <c r="H16" s="210"/>
      <c r="I16" s="29"/>
      <c r="J16" s="29"/>
      <c r="K16" s="29" t="b">
        <v>0</v>
      </c>
      <c r="L16" s="29" t="b">
        <v>0</v>
      </c>
      <c r="M16" s="29"/>
      <c r="N16" s="214"/>
      <c r="O16" s="215"/>
      <c r="P16" s="215"/>
      <c r="Q16" s="29">
        <v>275</v>
      </c>
      <c r="R16" s="29">
        <v>275</v>
      </c>
      <c r="S16" s="203">
        <f t="shared" si="29"/>
        <v>275</v>
      </c>
      <c r="T16" s="29">
        <v>300</v>
      </c>
      <c r="U16" s="29">
        <v>300</v>
      </c>
      <c r="V16" s="203">
        <f t="shared" si="1"/>
        <v>300</v>
      </c>
      <c r="W16" s="29"/>
      <c r="X16" s="203">
        <f t="shared" si="37"/>
        <v>287.5</v>
      </c>
      <c r="Y16" s="223">
        <f t="shared" si="27"/>
        <v>287.5</v>
      </c>
      <c r="Z16" s="242">
        <f t="shared" si="4"/>
        <v>262.5</v>
      </c>
      <c r="AA16" s="243"/>
      <c r="AB16" s="244">
        <v>95</v>
      </c>
      <c r="AC16" s="245">
        <f t="shared" si="5"/>
        <v>47.5</v>
      </c>
      <c r="AD16" s="246">
        <v>1</v>
      </c>
      <c r="AE16" s="247">
        <f t="shared" si="6"/>
        <v>95</v>
      </c>
      <c r="AF16" s="29"/>
      <c r="AG16" s="29"/>
      <c r="AH16" s="29"/>
      <c r="AI16" s="223"/>
      <c r="AJ16" s="260"/>
      <c r="AK16" s="245"/>
      <c r="AL16" s="245"/>
      <c r="AM16">
        <v>0</v>
      </c>
      <c r="AN16" s="261" t="e">
        <f t="shared" si="36"/>
        <v>#DIV/0!</v>
      </c>
      <c r="AO16" t="s">
        <v>2387</v>
      </c>
      <c r="AP16" t="s">
        <v>2387</v>
      </c>
      <c r="AQ16" s="267">
        <v>0</v>
      </c>
      <c r="AR16" s="252" t="e">
        <f t="shared" si="8"/>
        <v>#DIV/0!</v>
      </c>
      <c r="AS16" s="252" t="e">
        <f t="shared" si="9"/>
        <v>#DIV/0!</v>
      </c>
      <c r="AT16" s="252" t="e">
        <f t="shared" si="10"/>
        <v>#VALUE!</v>
      </c>
      <c r="AU16" s="252">
        <f t="shared" si="11"/>
        <v>0</v>
      </c>
      <c r="AV16" s="29"/>
      <c r="AW16" s="282" t="e">
        <f t="shared" si="12"/>
        <v>#DIV/0!</v>
      </c>
      <c r="AX16" s="283" t="e">
        <f t="shared" si="13"/>
        <v>#DIV/0!</v>
      </c>
      <c r="AY16" s="275" t="e">
        <f t="shared" si="14"/>
        <v>#VALUE!</v>
      </c>
      <c r="AZ16" s="207"/>
      <c r="BA16" s="29"/>
      <c r="BB16" s="252" t="e">
        <f t="shared" si="15"/>
        <v>#DIV/0!</v>
      </c>
      <c r="BC16" s="252" t="str">
        <f t="shared" si="16"/>
        <v>#DIV/0!</v>
      </c>
      <c r="BD16" t="s">
        <v>2387</v>
      </c>
      <c r="BE16">
        <v>0</v>
      </c>
      <c r="BF16" s="285">
        <f t="shared" si="17"/>
        <v>0</v>
      </c>
      <c r="BG16" s="252">
        <f t="shared" si="18"/>
        <v>95</v>
      </c>
      <c r="BH16" s="252">
        <f t="shared" si="19"/>
        <v>0</v>
      </c>
      <c r="BI16">
        <v>0</v>
      </c>
      <c r="BJ16" s="288" t="e">
        <f t="shared" si="20"/>
        <v>#VALUE!</v>
      </c>
      <c r="BK16" s="288" t="e">
        <f t="shared" si="21"/>
        <v>#DIV/0!</v>
      </c>
      <c r="BL16" s="286" t="e">
        <f t="shared" si="22"/>
        <v>#VALUE!</v>
      </c>
      <c r="BM16" s="283" t="e">
        <f t="shared" si="23"/>
        <v>#DIV/0!</v>
      </c>
      <c r="BN16" s="283">
        <f t="shared" si="24"/>
        <v>0</v>
      </c>
      <c r="BO16" s="275" t="e">
        <f t="shared" si="25"/>
        <v>#DIV/0!</v>
      </c>
    </row>
    <row r="17" customHeight="1" spans="1:67">
      <c r="A17" s="207" t="b">
        <v>0</v>
      </c>
      <c r="B17" s="29" t="b">
        <v>0</v>
      </c>
      <c r="C17" s="29" t="b">
        <v>0</v>
      </c>
      <c r="D17" s="29" t="b">
        <v>0</v>
      </c>
      <c r="E17" s="208" t="b">
        <v>0</v>
      </c>
      <c r="F17" s="29"/>
      <c r="G17" s="205" t="s">
        <v>2389</v>
      </c>
      <c r="H17" s="210"/>
      <c r="I17" s="29"/>
      <c r="J17" s="29"/>
      <c r="K17" s="29" t="b">
        <v>0</v>
      </c>
      <c r="L17" s="29" t="b">
        <v>0</v>
      </c>
      <c r="M17" s="29"/>
      <c r="N17" s="214"/>
      <c r="O17" s="215"/>
      <c r="P17" s="215"/>
      <c r="Q17" s="29"/>
      <c r="R17" s="29"/>
      <c r="S17" s="203">
        <f t="shared" si="29"/>
        <v>0</v>
      </c>
      <c r="T17" s="29"/>
      <c r="U17" s="29"/>
      <c r="V17" s="203">
        <f t="shared" si="1"/>
        <v>0</v>
      </c>
      <c r="W17" s="29"/>
      <c r="X17" s="203">
        <f t="shared" si="37"/>
        <v>0</v>
      </c>
      <c r="Y17" s="223">
        <f t="shared" si="27"/>
        <v>0</v>
      </c>
      <c r="Z17" s="242">
        <f t="shared" si="4"/>
        <v>-25</v>
      </c>
      <c r="AA17" s="243"/>
      <c r="AB17" s="244">
        <v>95</v>
      </c>
      <c r="AC17" s="245">
        <f t="shared" si="5"/>
        <v>47.5</v>
      </c>
      <c r="AD17" s="246">
        <v>1</v>
      </c>
      <c r="AE17" s="247">
        <f t="shared" si="6"/>
        <v>95</v>
      </c>
      <c r="AF17" s="29"/>
      <c r="AG17" s="29"/>
      <c r="AH17" s="29"/>
      <c r="AI17" s="223"/>
      <c r="AJ17" s="260"/>
      <c r="AK17" s="245"/>
      <c r="AL17" s="245"/>
      <c r="AM17">
        <v>0</v>
      </c>
      <c r="AN17" s="261" t="e">
        <f t="shared" si="36"/>
        <v>#DIV/0!</v>
      </c>
      <c r="AO17" t="s">
        <v>2387</v>
      </c>
      <c r="AP17" t="s">
        <v>2387</v>
      </c>
      <c r="AQ17" s="267">
        <v>0</v>
      </c>
      <c r="AR17" s="252" t="e">
        <f t="shared" si="8"/>
        <v>#DIV/0!</v>
      </c>
      <c r="AS17" s="252" t="e">
        <f t="shared" si="9"/>
        <v>#DIV/0!</v>
      </c>
      <c r="AT17" s="252" t="e">
        <f t="shared" si="10"/>
        <v>#VALUE!</v>
      </c>
      <c r="AU17" s="252">
        <f t="shared" si="11"/>
        <v>0</v>
      </c>
      <c r="AV17" s="29"/>
      <c r="AW17" s="282" t="e">
        <f t="shared" si="12"/>
        <v>#DIV/0!</v>
      </c>
      <c r="AX17" s="283" t="e">
        <f t="shared" si="13"/>
        <v>#DIV/0!</v>
      </c>
      <c r="AY17" s="275" t="e">
        <f t="shared" si="14"/>
        <v>#VALUE!</v>
      </c>
      <c r="AZ17" s="207"/>
      <c r="BA17" s="29"/>
      <c r="BB17" s="252" t="e">
        <f t="shared" si="15"/>
        <v>#DIV/0!</v>
      </c>
      <c r="BC17" s="252" t="str">
        <f t="shared" si="16"/>
        <v>#DIV/0!</v>
      </c>
      <c r="BD17" t="s">
        <v>2387</v>
      </c>
      <c r="BE17" t="s">
        <v>2387</v>
      </c>
      <c r="BF17" s="285" t="e">
        <f t="shared" si="17"/>
        <v>#DIV/0!</v>
      </c>
      <c r="BG17" s="252">
        <f t="shared" si="18"/>
        <v>95</v>
      </c>
      <c r="BH17" s="252" t="str">
        <f t="shared" si="19"/>
        <v>#DIV/0!</v>
      </c>
      <c r="BI17" t="s">
        <v>2387</v>
      </c>
      <c r="BJ17" s="288" t="e">
        <f t="shared" si="20"/>
        <v>#VALUE!</v>
      </c>
      <c r="BK17" s="288" t="e">
        <f t="shared" si="21"/>
        <v>#DIV/0!</v>
      </c>
      <c r="BL17" s="286" t="e">
        <f t="shared" si="22"/>
        <v>#VALUE!</v>
      </c>
      <c r="BM17" s="283" t="e">
        <f t="shared" si="23"/>
        <v>#VALUE!</v>
      </c>
      <c r="BN17" s="283" t="e">
        <f t="shared" si="24"/>
        <v>#VALUE!</v>
      </c>
      <c r="BO17" s="275" t="e">
        <f t="shared" si="25"/>
        <v>#DIV/0!</v>
      </c>
    </row>
    <row r="18" customHeight="1" spans="1:67">
      <c r="A18" s="207" t="b">
        <v>0</v>
      </c>
      <c r="B18" s="29" t="b">
        <v>0</v>
      </c>
      <c r="C18" s="29" t="b">
        <v>0</v>
      </c>
      <c r="D18" s="29" t="b">
        <v>0</v>
      </c>
      <c r="E18" s="208" t="b">
        <v>0</v>
      </c>
      <c r="F18" s="29"/>
      <c r="G18" s="205" t="s">
        <v>2390</v>
      </c>
      <c r="H18" s="210"/>
      <c r="I18" s="29"/>
      <c r="J18" s="29"/>
      <c r="K18" s="29" t="b">
        <v>0</v>
      </c>
      <c r="L18" s="29" t="b">
        <v>0</v>
      </c>
      <c r="M18" s="29"/>
      <c r="N18" s="214"/>
      <c r="O18" s="215"/>
      <c r="P18" s="215"/>
      <c r="Q18" s="29"/>
      <c r="R18" s="29"/>
      <c r="S18" s="203">
        <f t="shared" si="29"/>
        <v>0</v>
      </c>
      <c r="T18" s="29"/>
      <c r="U18" s="29"/>
      <c r="V18" s="203">
        <f t="shared" si="1"/>
        <v>0</v>
      </c>
      <c r="W18" s="29"/>
      <c r="X18" s="203">
        <f t="shared" si="37"/>
        <v>0</v>
      </c>
      <c r="Y18" s="223">
        <f t="shared" si="27"/>
        <v>0</v>
      </c>
      <c r="Z18" s="242">
        <f t="shared" si="4"/>
        <v>-25</v>
      </c>
      <c r="AA18" s="243"/>
      <c r="AB18" s="244">
        <v>95</v>
      </c>
      <c r="AC18" s="245">
        <f t="shared" si="5"/>
        <v>47.5</v>
      </c>
      <c r="AD18" s="246">
        <v>1</v>
      </c>
      <c r="AE18" s="247">
        <f t="shared" si="6"/>
        <v>95</v>
      </c>
      <c r="AF18" s="29"/>
      <c r="AG18" s="245"/>
      <c r="AH18" s="29"/>
      <c r="AI18" s="223"/>
      <c r="AJ18" s="260"/>
      <c r="AK18" s="245"/>
      <c r="AL18" s="245"/>
      <c r="AM18">
        <v>0</v>
      </c>
      <c r="AN18" s="261" t="e">
        <f t="shared" si="36"/>
        <v>#DIV/0!</v>
      </c>
      <c r="AO18" t="s">
        <v>2387</v>
      </c>
      <c r="AP18" t="s">
        <v>2387</v>
      </c>
      <c r="AQ18" s="267">
        <v>0</v>
      </c>
      <c r="AR18" s="252" t="e">
        <f t="shared" si="8"/>
        <v>#DIV/0!</v>
      </c>
      <c r="AS18" s="252" t="e">
        <f t="shared" si="9"/>
        <v>#DIV/0!</v>
      </c>
      <c r="AT18" s="252" t="e">
        <f t="shared" si="10"/>
        <v>#VALUE!</v>
      </c>
      <c r="AU18" s="252">
        <f t="shared" si="11"/>
        <v>0</v>
      </c>
      <c r="AV18" s="29"/>
      <c r="AW18" s="282" t="e">
        <f t="shared" si="12"/>
        <v>#DIV/0!</v>
      </c>
      <c r="AX18" s="283" t="e">
        <f t="shared" si="13"/>
        <v>#DIV/0!</v>
      </c>
      <c r="AY18" s="275" t="e">
        <f t="shared" si="14"/>
        <v>#VALUE!</v>
      </c>
      <c r="AZ18" s="207"/>
      <c r="BA18" s="29"/>
      <c r="BB18" s="252" t="e">
        <f t="shared" si="15"/>
        <v>#DIV/0!</v>
      </c>
      <c r="BC18" s="252" t="str">
        <f t="shared" si="16"/>
        <v>#DIV/0!</v>
      </c>
      <c r="BD18" t="s">
        <v>2387</v>
      </c>
      <c r="BE18" t="s">
        <v>2387</v>
      </c>
      <c r="BF18" s="285" t="e">
        <f t="shared" si="17"/>
        <v>#DIV/0!</v>
      </c>
      <c r="BG18" s="252">
        <f t="shared" si="18"/>
        <v>95</v>
      </c>
      <c r="BH18" s="252" t="str">
        <f t="shared" si="19"/>
        <v>#DIV/0!</v>
      </c>
      <c r="BI18" t="s">
        <v>2387</v>
      </c>
      <c r="BJ18" s="288" t="e">
        <f t="shared" si="20"/>
        <v>#VALUE!</v>
      </c>
      <c r="BK18" s="288" t="e">
        <f t="shared" si="21"/>
        <v>#DIV/0!</v>
      </c>
      <c r="BL18" s="286" t="e">
        <f t="shared" si="22"/>
        <v>#VALUE!</v>
      </c>
      <c r="BM18" s="283" t="e">
        <f t="shared" si="23"/>
        <v>#VALUE!</v>
      </c>
      <c r="BN18" s="283" t="e">
        <f t="shared" si="24"/>
        <v>#VALUE!</v>
      </c>
      <c r="BO18" s="275" t="e">
        <f t="shared" si="25"/>
        <v>#DIV/0!</v>
      </c>
    </row>
    <row r="19" customHeight="1" spans="1:67">
      <c r="A19" s="207" t="b">
        <v>0</v>
      </c>
      <c r="B19" s="29" t="b">
        <v>0</v>
      </c>
      <c r="C19" s="29" t="b">
        <v>0</v>
      </c>
      <c r="D19" s="29" t="b">
        <v>0</v>
      </c>
      <c r="E19" s="208" t="b">
        <v>0</v>
      </c>
      <c r="F19" s="29"/>
      <c r="G19" s="205" t="s">
        <v>2391</v>
      </c>
      <c r="H19" s="210"/>
      <c r="I19" s="29"/>
      <c r="J19" s="29"/>
      <c r="K19" s="29" t="b">
        <v>0</v>
      </c>
      <c r="L19" s="29" t="b">
        <v>0</v>
      </c>
      <c r="M19" s="29"/>
      <c r="N19" s="214"/>
      <c r="O19" s="215"/>
      <c r="P19" s="215"/>
      <c r="Q19" s="29"/>
      <c r="R19" s="29"/>
      <c r="S19" s="203">
        <f t="shared" si="29"/>
        <v>0</v>
      </c>
      <c r="T19" s="29"/>
      <c r="U19" s="29"/>
      <c r="V19" s="203">
        <f t="shared" si="1"/>
        <v>0</v>
      </c>
      <c r="W19" s="29"/>
      <c r="X19" s="203">
        <f t="shared" si="37"/>
        <v>0</v>
      </c>
      <c r="Y19" s="223">
        <f t="shared" si="27"/>
        <v>0</v>
      </c>
      <c r="Z19" s="242">
        <f t="shared" si="4"/>
        <v>-25</v>
      </c>
      <c r="AA19" s="243"/>
      <c r="AB19" s="244">
        <v>95</v>
      </c>
      <c r="AC19" s="245">
        <f t="shared" si="5"/>
        <v>47.5</v>
      </c>
      <c r="AD19" s="246">
        <v>1</v>
      </c>
      <c r="AE19" s="247">
        <f t="shared" si="6"/>
        <v>95</v>
      </c>
      <c r="AF19" s="29"/>
      <c r="AG19" s="29"/>
      <c r="AH19" s="29"/>
      <c r="AI19" s="223"/>
      <c r="AJ19" s="260"/>
      <c r="AK19" s="245"/>
      <c r="AL19" s="245"/>
      <c r="AM19">
        <v>0</v>
      </c>
      <c r="AN19" s="261" t="e">
        <f t="shared" si="36"/>
        <v>#DIV/0!</v>
      </c>
      <c r="AO19" t="s">
        <v>2387</v>
      </c>
      <c r="AP19" t="s">
        <v>2387</v>
      </c>
      <c r="AQ19" s="267">
        <v>0</v>
      </c>
      <c r="AR19" s="252" t="e">
        <f t="shared" si="8"/>
        <v>#DIV/0!</v>
      </c>
      <c r="AS19" s="252" t="e">
        <f t="shared" si="9"/>
        <v>#DIV/0!</v>
      </c>
      <c r="AT19" s="252" t="e">
        <f t="shared" si="10"/>
        <v>#VALUE!</v>
      </c>
      <c r="AU19" s="252">
        <f t="shared" si="11"/>
        <v>0</v>
      </c>
      <c r="AV19" s="29"/>
      <c r="AW19" s="282" t="e">
        <f t="shared" si="12"/>
        <v>#DIV/0!</v>
      </c>
      <c r="AX19" s="283" t="e">
        <f t="shared" si="13"/>
        <v>#DIV/0!</v>
      </c>
      <c r="AY19" s="275" t="e">
        <f t="shared" si="14"/>
        <v>#VALUE!</v>
      </c>
      <c r="AZ19" s="207"/>
      <c r="BA19" s="29"/>
      <c r="BB19" s="252" t="e">
        <f t="shared" si="15"/>
        <v>#DIV/0!</v>
      </c>
      <c r="BC19" s="252" t="str">
        <f t="shared" si="16"/>
        <v>#DIV/0!</v>
      </c>
      <c r="BD19" t="s">
        <v>2387</v>
      </c>
      <c r="BE19" t="s">
        <v>2387</v>
      </c>
      <c r="BF19" s="285" t="e">
        <f t="shared" si="17"/>
        <v>#DIV/0!</v>
      </c>
      <c r="BG19" s="252">
        <f t="shared" si="18"/>
        <v>95</v>
      </c>
      <c r="BH19" s="252" t="str">
        <f t="shared" si="19"/>
        <v>#DIV/0!</v>
      </c>
      <c r="BI19" t="s">
        <v>2387</v>
      </c>
      <c r="BJ19" s="288" t="e">
        <f t="shared" si="20"/>
        <v>#VALUE!</v>
      </c>
      <c r="BK19" s="288" t="e">
        <f t="shared" si="21"/>
        <v>#DIV/0!</v>
      </c>
      <c r="BL19" s="286" t="e">
        <f t="shared" si="22"/>
        <v>#VALUE!</v>
      </c>
      <c r="BM19" s="283" t="e">
        <f t="shared" si="23"/>
        <v>#VALUE!</v>
      </c>
      <c r="BN19" s="283" t="e">
        <f t="shared" si="24"/>
        <v>#VALUE!</v>
      </c>
      <c r="BO19" s="275" t="e">
        <f t="shared" si="25"/>
        <v>#DIV/0!</v>
      </c>
    </row>
    <row r="20" customHeight="1" spans="1:67">
      <c r="A20" s="207" t="b">
        <v>0</v>
      </c>
      <c r="B20" s="29" t="b">
        <v>0</v>
      </c>
      <c r="C20" s="29" t="b">
        <v>0</v>
      </c>
      <c r="D20" s="29" t="b">
        <v>0</v>
      </c>
      <c r="E20" s="208" t="b">
        <v>0</v>
      </c>
      <c r="F20" s="29"/>
      <c r="G20" s="205" t="s">
        <v>317</v>
      </c>
      <c r="H20" s="210"/>
      <c r="I20" s="29"/>
      <c r="J20" s="29"/>
      <c r="K20" s="29" t="b">
        <v>0</v>
      </c>
      <c r="L20" s="29" t="b">
        <v>0</v>
      </c>
      <c r="M20" s="29"/>
      <c r="N20" s="214"/>
      <c r="O20" s="215"/>
      <c r="P20" s="215"/>
      <c r="Q20" s="29"/>
      <c r="R20" s="29"/>
      <c r="S20" s="203">
        <f t="shared" si="29"/>
        <v>0</v>
      </c>
      <c r="T20" s="29"/>
      <c r="U20" s="29"/>
      <c r="V20" s="203">
        <f t="shared" si="1"/>
        <v>0</v>
      </c>
      <c r="W20" s="29"/>
      <c r="X20" s="203">
        <f t="shared" si="37"/>
        <v>0</v>
      </c>
      <c r="Y20" s="223">
        <f t="shared" si="27"/>
        <v>0</v>
      </c>
      <c r="Z20" s="242">
        <f t="shared" si="4"/>
        <v>-25</v>
      </c>
      <c r="AA20" s="243"/>
      <c r="AB20" s="244">
        <v>95</v>
      </c>
      <c r="AC20" s="245">
        <f t="shared" si="5"/>
        <v>47.5</v>
      </c>
      <c r="AD20" s="246">
        <v>1</v>
      </c>
      <c r="AE20" s="247">
        <f t="shared" si="6"/>
        <v>95</v>
      </c>
      <c r="AF20" s="29"/>
      <c r="AG20" s="29"/>
      <c r="AH20" s="29"/>
      <c r="AI20" s="223"/>
      <c r="AJ20" s="260"/>
      <c r="AK20" s="245"/>
      <c r="AL20" s="245"/>
      <c r="AM20">
        <v>0</v>
      </c>
      <c r="AN20" s="261" t="e">
        <f t="shared" si="36"/>
        <v>#DIV/0!</v>
      </c>
      <c r="AO20" t="s">
        <v>2387</v>
      </c>
      <c r="AP20" t="s">
        <v>2387</v>
      </c>
      <c r="AQ20" s="267">
        <v>0</v>
      </c>
      <c r="AR20" s="252" t="e">
        <f t="shared" si="8"/>
        <v>#DIV/0!</v>
      </c>
      <c r="AS20" s="252" t="e">
        <f t="shared" si="9"/>
        <v>#DIV/0!</v>
      </c>
      <c r="AT20" s="252" t="e">
        <f t="shared" si="10"/>
        <v>#VALUE!</v>
      </c>
      <c r="AU20" s="252">
        <f t="shared" si="11"/>
        <v>0</v>
      </c>
      <c r="AV20" s="29"/>
      <c r="AW20" s="282" t="e">
        <f t="shared" si="12"/>
        <v>#DIV/0!</v>
      </c>
      <c r="AX20" s="283" t="e">
        <f t="shared" si="13"/>
        <v>#DIV/0!</v>
      </c>
      <c r="AY20" s="275" t="e">
        <f t="shared" si="14"/>
        <v>#VALUE!</v>
      </c>
      <c r="AZ20" s="207"/>
      <c r="BA20" s="29"/>
      <c r="BB20" s="252" t="e">
        <f t="shared" si="15"/>
        <v>#DIV/0!</v>
      </c>
      <c r="BC20" s="252" t="str">
        <f t="shared" si="16"/>
        <v>#DIV/0!</v>
      </c>
      <c r="BD20" t="s">
        <v>2387</v>
      </c>
      <c r="BE20" t="s">
        <v>2387</v>
      </c>
      <c r="BF20" s="285" t="e">
        <f t="shared" si="17"/>
        <v>#DIV/0!</v>
      </c>
      <c r="BG20" s="252">
        <f t="shared" si="18"/>
        <v>95</v>
      </c>
      <c r="BH20" s="252" t="str">
        <f t="shared" si="19"/>
        <v>#DIV/0!</v>
      </c>
      <c r="BI20" t="s">
        <v>2387</v>
      </c>
      <c r="BJ20" s="288" t="e">
        <f t="shared" si="20"/>
        <v>#VALUE!</v>
      </c>
      <c r="BK20" s="288" t="e">
        <f t="shared" si="21"/>
        <v>#DIV/0!</v>
      </c>
      <c r="BL20" s="286" t="e">
        <f t="shared" si="22"/>
        <v>#VALUE!</v>
      </c>
      <c r="BM20" s="283" t="e">
        <f t="shared" si="23"/>
        <v>#VALUE!</v>
      </c>
      <c r="BN20" s="283" t="e">
        <f t="shared" si="24"/>
        <v>#VALUE!</v>
      </c>
      <c r="BO20" s="275" t="e">
        <f t="shared" si="25"/>
        <v>#DIV/0!</v>
      </c>
    </row>
    <row r="21" customHeight="1" spans="1:67">
      <c r="A21" s="207" t="b">
        <v>0</v>
      </c>
      <c r="B21" s="29" t="b">
        <v>0</v>
      </c>
      <c r="C21" s="29" t="b">
        <v>0</v>
      </c>
      <c r="D21" s="29" t="b">
        <v>0</v>
      </c>
      <c r="E21" s="208" t="b">
        <v>0</v>
      </c>
      <c r="F21" s="29"/>
      <c r="G21" s="205" t="s">
        <v>2392</v>
      </c>
      <c r="H21" s="210"/>
      <c r="I21" s="29"/>
      <c r="J21" s="29"/>
      <c r="K21" s="29" t="b">
        <v>0</v>
      </c>
      <c r="L21" s="29" t="b">
        <v>0</v>
      </c>
      <c r="M21" s="29"/>
      <c r="N21" s="214"/>
      <c r="O21" s="215"/>
      <c r="P21" s="215"/>
      <c r="Q21" s="29">
        <v>75</v>
      </c>
      <c r="R21" s="29">
        <v>100</v>
      </c>
      <c r="S21" s="203">
        <f t="shared" si="29"/>
        <v>87.5</v>
      </c>
      <c r="T21" s="29">
        <v>100</v>
      </c>
      <c r="U21" s="29">
        <v>150</v>
      </c>
      <c r="V21" s="203">
        <f t="shared" si="1"/>
        <v>125</v>
      </c>
      <c r="W21" s="29"/>
      <c r="X21" s="203">
        <f t="shared" si="37"/>
        <v>106.25</v>
      </c>
      <c r="Y21" s="223">
        <f t="shared" si="27"/>
        <v>106.25</v>
      </c>
      <c r="Z21" s="242">
        <f t="shared" si="4"/>
        <v>81.25</v>
      </c>
      <c r="AA21" s="243"/>
      <c r="AB21" s="244">
        <v>95</v>
      </c>
      <c r="AC21" s="245">
        <f t="shared" si="5"/>
        <v>47.5</v>
      </c>
      <c r="AD21" s="246">
        <v>1</v>
      </c>
      <c r="AE21" s="247">
        <f t="shared" si="6"/>
        <v>95</v>
      </c>
      <c r="AF21" s="29"/>
      <c r="AG21" s="29"/>
      <c r="AH21" s="29"/>
      <c r="AI21" s="223"/>
      <c r="AJ21" s="260"/>
      <c r="AK21" s="245"/>
      <c r="AL21" s="245"/>
      <c r="AM21">
        <v>0</v>
      </c>
      <c r="AN21" s="261" t="e">
        <f t="shared" si="36"/>
        <v>#DIV/0!</v>
      </c>
      <c r="AO21" t="s">
        <v>2387</v>
      </c>
      <c r="AP21" t="s">
        <v>2387</v>
      </c>
      <c r="AQ21" s="267">
        <v>0</v>
      </c>
      <c r="AR21" s="252" t="e">
        <f t="shared" si="8"/>
        <v>#DIV/0!</v>
      </c>
      <c r="AS21" s="252" t="e">
        <f t="shared" si="9"/>
        <v>#DIV/0!</v>
      </c>
      <c r="AT21" s="252" t="e">
        <f t="shared" si="10"/>
        <v>#VALUE!</v>
      </c>
      <c r="AU21" s="252">
        <f t="shared" si="11"/>
        <v>0</v>
      </c>
      <c r="AV21" s="29"/>
      <c r="AW21" s="282" t="e">
        <f t="shared" si="12"/>
        <v>#DIV/0!</v>
      </c>
      <c r="AX21" s="283" t="e">
        <f t="shared" si="13"/>
        <v>#DIV/0!</v>
      </c>
      <c r="AY21" s="275" t="e">
        <f t="shared" si="14"/>
        <v>#VALUE!</v>
      </c>
      <c r="AZ21" s="207"/>
      <c r="BA21" s="29"/>
      <c r="BB21" s="252" t="e">
        <f t="shared" si="15"/>
        <v>#DIV/0!</v>
      </c>
      <c r="BC21" s="252" t="str">
        <f t="shared" si="16"/>
        <v>#DIV/0!</v>
      </c>
      <c r="BD21" t="s">
        <v>2387</v>
      </c>
      <c r="BE21">
        <v>0</v>
      </c>
      <c r="BF21" s="285">
        <f t="shared" si="17"/>
        <v>0</v>
      </c>
      <c r="BG21" s="252">
        <f t="shared" si="18"/>
        <v>95</v>
      </c>
      <c r="BH21" s="252">
        <f t="shared" si="19"/>
        <v>0</v>
      </c>
      <c r="BI21">
        <v>0</v>
      </c>
      <c r="BJ21" s="288" t="e">
        <f t="shared" si="20"/>
        <v>#VALUE!</v>
      </c>
      <c r="BK21" s="288" t="e">
        <f t="shared" si="21"/>
        <v>#DIV/0!</v>
      </c>
      <c r="BL21" s="286" t="e">
        <f t="shared" si="22"/>
        <v>#VALUE!</v>
      </c>
      <c r="BM21" s="283" t="e">
        <f t="shared" si="23"/>
        <v>#DIV/0!</v>
      </c>
      <c r="BN21" s="283">
        <f t="shared" si="24"/>
        <v>0</v>
      </c>
      <c r="BO21" s="275" t="e">
        <f t="shared" si="25"/>
        <v>#DIV/0!</v>
      </c>
    </row>
    <row r="22" customHeight="1" spans="1:67">
      <c r="A22" s="207" t="b">
        <v>0</v>
      </c>
      <c r="B22" s="29" t="b">
        <v>0</v>
      </c>
      <c r="C22" s="29" t="b">
        <v>0</v>
      </c>
      <c r="D22" s="29" t="b">
        <v>0</v>
      </c>
      <c r="E22" s="208" t="b">
        <v>0</v>
      </c>
      <c r="F22" s="29"/>
      <c r="G22" s="205" t="s">
        <v>2393</v>
      </c>
      <c r="H22" s="210"/>
      <c r="I22" s="29"/>
      <c r="J22" s="29"/>
      <c r="K22" s="29" t="b">
        <v>0</v>
      </c>
      <c r="L22" s="29" t="b">
        <v>0</v>
      </c>
      <c r="M22" s="29"/>
      <c r="N22" s="214"/>
      <c r="O22" s="215"/>
      <c r="P22" s="215"/>
      <c r="Q22" s="29"/>
      <c r="R22" s="29"/>
      <c r="S22" s="203">
        <f t="shared" si="29"/>
        <v>0</v>
      </c>
      <c r="T22" s="29"/>
      <c r="U22" s="29"/>
      <c r="V22" s="203">
        <f t="shared" si="1"/>
        <v>0</v>
      </c>
      <c r="W22" s="29"/>
      <c r="X22" s="203">
        <f t="shared" si="37"/>
        <v>0</v>
      </c>
      <c r="Y22" s="223">
        <f t="shared" si="27"/>
        <v>0</v>
      </c>
      <c r="Z22" s="242">
        <f t="shared" si="4"/>
        <v>-25</v>
      </c>
      <c r="AA22" s="243"/>
      <c r="AB22" s="244">
        <v>95</v>
      </c>
      <c r="AC22" s="245">
        <f t="shared" si="5"/>
        <v>47.5</v>
      </c>
      <c r="AD22" s="246">
        <v>1</v>
      </c>
      <c r="AE22" s="247">
        <f t="shared" si="6"/>
        <v>95</v>
      </c>
      <c r="AF22" s="29"/>
      <c r="AG22" s="29"/>
      <c r="AH22" s="29"/>
      <c r="AI22" s="223"/>
      <c r="AJ22" s="260"/>
      <c r="AK22" s="245"/>
      <c r="AL22" s="245"/>
      <c r="AM22">
        <v>0</v>
      </c>
      <c r="AN22" s="261" t="e">
        <f t="shared" si="36"/>
        <v>#DIV/0!</v>
      </c>
      <c r="AO22" t="s">
        <v>2387</v>
      </c>
      <c r="AP22" t="s">
        <v>2387</v>
      </c>
      <c r="AQ22" s="267">
        <v>0</v>
      </c>
      <c r="AR22" s="252" t="e">
        <f t="shared" si="8"/>
        <v>#DIV/0!</v>
      </c>
      <c r="AS22" s="252" t="e">
        <f t="shared" si="9"/>
        <v>#DIV/0!</v>
      </c>
      <c r="AT22" s="252" t="e">
        <f t="shared" si="10"/>
        <v>#VALUE!</v>
      </c>
      <c r="AU22" s="252">
        <f t="shared" si="11"/>
        <v>0</v>
      </c>
      <c r="AV22" s="29"/>
      <c r="AW22" s="282" t="e">
        <f t="shared" si="12"/>
        <v>#DIV/0!</v>
      </c>
      <c r="AX22" s="283" t="e">
        <f t="shared" si="13"/>
        <v>#DIV/0!</v>
      </c>
      <c r="AY22" s="275" t="e">
        <f t="shared" si="14"/>
        <v>#VALUE!</v>
      </c>
      <c r="AZ22" s="207"/>
      <c r="BA22" s="29"/>
      <c r="BB22" s="252" t="e">
        <f t="shared" si="15"/>
        <v>#DIV/0!</v>
      </c>
      <c r="BC22" s="252" t="str">
        <f t="shared" si="16"/>
        <v>#DIV/0!</v>
      </c>
      <c r="BD22" t="s">
        <v>2387</v>
      </c>
      <c r="BE22" t="s">
        <v>2387</v>
      </c>
      <c r="BF22" s="285" t="e">
        <f t="shared" si="17"/>
        <v>#DIV/0!</v>
      </c>
      <c r="BG22" s="252">
        <f t="shared" si="18"/>
        <v>95</v>
      </c>
      <c r="BH22" s="252" t="str">
        <f t="shared" si="19"/>
        <v>#DIV/0!</v>
      </c>
      <c r="BI22" t="s">
        <v>2387</v>
      </c>
      <c r="BJ22" s="288" t="e">
        <f t="shared" si="20"/>
        <v>#VALUE!</v>
      </c>
      <c r="BK22" s="288" t="e">
        <f t="shared" si="21"/>
        <v>#DIV/0!</v>
      </c>
      <c r="BL22" s="286" t="e">
        <f t="shared" si="22"/>
        <v>#VALUE!</v>
      </c>
      <c r="BM22" s="283" t="e">
        <f t="shared" si="23"/>
        <v>#VALUE!</v>
      </c>
      <c r="BN22" s="283" t="e">
        <f t="shared" si="24"/>
        <v>#VALUE!</v>
      </c>
      <c r="BO22" s="275" t="e">
        <f t="shared" si="25"/>
        <v>#DIV/0!</v>
      </c>
    </row>
    <row r="23" customHeight="1" spans="1:67">
      <c r="A23" s="207" t="b">
        <v>0</v>
      </c>
      <c r="B23" s="29" t="b">
        <v>0</v>
      </c>
      <c r="C23" s="29" t="b">
        <v>0</v>
      </c>
      <c r="D23" s="29" t="b">
        <v>0</v>
      </c>
      <c r="E23" s="208" t="b">
        <v>0</v>
      </c>
      <c r="F23" s="29"/>
      <c r="G23" s="205" t="s">
        <v>2394</v>
      </c>
      <c r="H23" s="210"/>
      <c r="I23" s="29"/>
      <c r="J23" s="29"/>
      <c r="K23" s="29" t="b">
        <v>0</v>
      </c>
      <c r="L23" s="29" t="b">
        <v>0</v>
      </c>
      <c r="M23" s="29"/>
      <c r="N23" s="214"/>
      <c r="O23" s="215"/>
      <c r="P23" s="215"/>
      <c r="Q23" s="29"/>
      <c r="R23" s="29"/>
      <c r="S23" s="203">
        <f t="shared" si="29"/>
        <v>0</v>
      </c>
      <c r="T23" s="29"/>
      <c r="U23" s="29"/>
      <c r="V23" s="203">
        <f t="shared" si="1"/>
        <v>0</v>
      </c>
      <c r="W23" s="29"/>
      <c r="X23" s="203">
        <f t="shared" si="37"/>
        <v>0</v>
      </c>
      <c r="Y23" s="223">
        <f t="shared" si="27"/>
        <v>0</v>
      </c>
      <c r="Z23" s="242">
        <f t="shared" si="4"/>
        <v>-25</v>
      </c>
      <c r="AA23" s="243"/>
      <c r="AB23" s="244">
        <v>95</v>
      </c>
      <c r="AC23" s="245">
        <f t="shared" si="5"/>
        <v>47.5</v>
      </c>
      <c r="AD23" s="246">
        <v>1</v>
      </c>
      <c r="AE23" s="247">
        <f t="shared" si="6"/>
        <v>95</v>
      </c>
      <c r="AF23" s="29"/>
      <c r="AG23" s="29"/>
      <c r="AH23" s="29"/>
      <c r="AI23" s="223"/>
      <c r="AJ23" s="260"/>
      <c r="AK23" s="245"/>
      <c r="AL23" s="245"/>
      <c r="AM23">
        <v>0</v>
      </c>
      <c r="AN23" s="261" t="e">
        <f t="shared" si="36"/>
        <v>#DIV/0!</v>
      </c>
      <c r="AO23" t="s">
        <v>2387</v>
      </c>
      <c r="AP23" t="s">
        <v>2387</v>
      </c>
      <c r="AQ23" s="267">
        <v>0</v>
      </c>
      <c r="AR23" s="252" t="e">
        <f t="shared" si="8"/>
        <v>#DIV/0!</v>
      </c>
      <c r="AS23" s="252" t="e">
        <f t="shared" si="9"/>
        <v>#DIV/0!</v>
      </c>
      <c r="AT23" s="252" t="e">
        <f t="shared" si="10"/>
        <v>#VALUE!</v>
      </c>
      <c r="AU23" s="252">
        <f t="shared" si="11"/>
        <v>0</v>
      </c>
      <c r="AV23" s="29"/>
      <c r="AW23" s="282" t="e">
        <f t="shared" si="12"/>
        <v>#DIV/0!</v>
      </c>
      <c r="AX23" s="283" t="e">
        <f t="shared" si="13"/>
        <v>#DIV/0!</v>
      </c>
      <c r="AY23" s="275" t="e">
        <f t="shared" si="14"/>
        <v>#VALUE!</v>
      </c>
      <c r="AZ23" s="207"/>
      <c r="BA23" s="29"/>
      <c r="BB23" s="252" t="e">
        <f t="shared" si="15"/>
        <v>#DIV/0!</v>
      </c>
      <c r="BC23" s="252" t="str">
        <f t="shared" si="16"/>
        <v>#DIV/0!</v>
      </c>
      <c r="BD23" t="s">
        <v>2387</v>
      </c>
      <c r="BE23" t="s">
        <v>2387</v>
      </c>
      <c r="BF23" s="285" t="e">
        <f t="shared" si="17"/>
        <v>#DIV/0!</v>
      </c>
      <c r="BG23" s="252">
        <f t="shared" si="18"/>
        <v>95</v>
      </c>
      <c r="BH23" s="252" t="str">
        <f t="shared" si="19"/>
        <v>#DIV/0!</v>
      </c>
      <c r="BI23" t="s">
        <v>2387</v>
      </c>
      <c r="BJ23" s="288" t="e">
        <f t="shared" si="20"/>
        <v>#VALUE!</v>
      </c>
      <c r="BK23" s="288" t="e">
        <f t="shared" si="21"/>
        <v>#DIV/0!</v>
      </c>
      <c r="BL23" s="286" t="e">
        <f t="shared" si="22"/>
        <v>#VALUE!</v>
      </c>
      <c r="BM23" s="283" t="e">
        <f t="shared" si="23"/>
        <v>#VALUE!</v>
      </c>
      <c r="BN23" s="283" t="e">
        <f t="shared" si="24"/>
        <v>#VALUE!</v>
      </c>
      <c r="BO23" s="275" t="e">
        <f t="shared" si="25"/>
        <v>#DIV/0!</v>
      </c>
    </row>
    <row r="24" customHeight="1" spans="1:67">
      <c r="A24" s="207" t="b">
        <v>0</v>
      </c>
      <c r="B24" s="29" t="b">
        <v>0</v>
      </c>
      <c r="C24" s="29" t="b">
        <v>0</v>
      </c>
      <c r="D24" s="29" t="b">
        <v>0</v>
      </c>
      <c r="E24" s="208" t="b">
        <v>0</v>
      </c>
      <c r="F24" s="29"/>
      <c r="G24" s="205" t="s">
        <v>2395</v>
      </c>
      <c r="H24" s="210"/>
      <c r="I24" s="29"/>
      <c r="J24" s="29"/>
      <c r="K24" s="29" t="b">
        <v>0</v>
      </c>
      <c r="L24" s="29" t="b">
        <v>0</v>
      </c>
      <c r="M24" s="29"/>
      <c r="N24" s="214"/>
      <c r="O24" s="215"/>
      <c r="P24" s="215"/>
      <c r="Q24" s="29"/>
      <c r="R24" s="29"/>
      <c r="S24" s="203">
        <f t="shared" si="29"/>
        <v>0</v>
      </c>
      <c r="T24" s="29"/>
      <c r="U24" s="29"/>
      <c r="V24" s="203">
        <f t="shared" si="1"/>
        <v>0</v>
      </c>
      <c r="W24" s="29"/>
      <c r="X24" s="203">
        <f t="shared" si="37"/>
        <v>0</v>
      </c>
      <c r="Y24" s="223">
        <f t="shared" si="27"/>
        <v>0</v>
      </c>
      <c r="Z24" s="242">
        <f t="shared" si="4"/>
        <v>-25</v>
      </c>
      <c r="AA24" s="243"/>
      <c r="AB24" s="244">
        <v>95</v>
      </c>
      <c r="AC24" s="245">
        <f t="shared" si="5"/>
        <v>47.5</v>
      </c>
      <c r="AD24" s="246">
        <v>1</v>
      </c>
      <c r="AE24" s="247">
        <f t="shared" si="6"/>
        <v>95</v>
      </c>
      <c r="AF24" s="29"/>
      <c r="AG24" s="29"/>
      <c r="AH24" s="29"/>
      <c r="AI24" s="223"/>
      <c r="AJ24" s="260"/>
      <c r="AK24" s="245"/>
      <c r="AL24" s="245"/>
      <c r="AM24">
        <v>0</v>
      </c>
      <c r="AN24" s="261" t="e">
        <f t="shared" si="36"/>
        <v>#DIV/0!</v>
      </c>
      <c r="AO24" t="s">
        <v>2387</v>
      </c>
      <c r="AP24" t="s">
        <v>2387</v>
      </c>
      <c r="AQ24" s="267">
        <v>0</v>
      </c>
      <c r="AR24" s="252" t="e">
        <f t="shared" si="8"/>
        <v>#DIV/0!</v>
      </c>
      <c r="AS24" s="252" t="e">
        <f t="shared" si="9"/>
        <v>#DIV/0!</v>
      </c>
      <c r="AT24" s="252" t="e">
        <f t="shared" si="10"/>
        <v>#VALUE!</v>
      </c>
      <c r="AU24" s="252">
        <f t="shared" si="11"/>
        <v>0</v>
      </c>
      <c r="AV24" s="29"/>
      <c r="AW24" s="282" t="e">
        <f t="shared" si="12"/>
        <v>#DIV/0!</v>
      </c>
      <c r="AX24" s="283" t="e">
        <f t="shared" si="13"/>
        <v>#DIV/0!</v>
      </c>
      <c r="AY24" s="275" t="e">
        <f t="shared" si="14"/>
        <v>#VALUE!</v>
      </c>
      <c r="AZ24" s="207"/>
      <c r="BA24" s="29"/>
      <c r="BB24" s="252" t="e">
        <f t="shared" si="15"/>
        <v>#DIV/0!</v>
      </c>
      <c r="BC24" s="252" t="str">
        <f t="shared" si="16"/>
        <v>#DIV/0!</v>
      </c>
      <c r="BD24" t="s">
        <v>2387</v>
      </c>
      <c r="BE24" t="s">
        <v>2387</v>
      </c>
      <c r="BF24" s="285" t="e">
        <f t="shared" si="17"/>
        <v>#DIV/0!</v>
      </c>
      <c r="BG24" s="252">
        <f t="shared" si="18"/>
        <v>95</v>
      </c>
      <c r="BH24" s="252" t="str">
        <f t="shared" si="19"/>
        <v>#DIV/0!</v>
      </c>
      <c r="BI24" t="s">
        <v>2387</v>
      </c>
      <c r="BJ24" s="288" t="e">
        <f t="shared" si="20"/>
        <v>#VALUE!</v>
      </c>
      <c r="BK24" s="288" t="e">
        <f t="shared" si="21"/>
        <v>#DIV/0!</v>
      </c>
      <c r="BL24" s="286" t="e">
        <f t="shared" si="22"/>
        <v>#VALUE!</v>
      </c>
      <c r="BM24" s="283" t="e">
        <f t="shared" si="23"/>
        <v>#VALUE!</v>
      </c>
      <c r="BN24" s="283" t="e">
        <f t="shared" si="24"/>
        <v>#VALUE!</v>
      </c>
      <c r="BO24" s="275" t="e">
        <f t="shared" si="25"/>
        <v>#DIV/0!</v>
      </c>
    </row>
    <row r="25" customHeight="1" spans="1:67">
      <c r="A25" s="207" t="b">
        <v>0</v>
      </c>
      <c r="B25" s="29" t="b">
        <v>0</v>
      </c>
      <c r="C25" s="29" t="b">
        <v>0</v>
      </c>
      <c r="D25" s="29" t="b">
        <v>0</v>
      </c>
      <c r="E25" s="208" t="b">
        <v>0</v>
      </c>
      <c r="F25" s="29"/>
      <c r="G25" s="205" t="s">
        <v>2396</v>
      </c>
      <c r="H25" s="210"/>
      <c r="I25" s="29"/>
      <c r="J25" s="29"/>
      <c r="K25" s="29" t="b">
        <v>0</v>
      </c>
      <c r="L25" s="29" t="b">
        <v>0</v>
      </c>
      <c r="M25" s="29"/>
      <c r="N25" s="214"/>
      <c r="O25" s="215"/>
      <c r="P25" s="215"/>
      <c r="Q25" s="29"/>
      <c r="R25" s="29"/>
      <c r="S25" s="203">
        <f t="shared" si="29"/>
        <v>0</v>
      </c>
      <c r="T25" s="29"/>
      <c r="U25" s="29"/>
      <c r="V25" s="203">
        <f t="shared" si="1"/>
        <v>0</v>
      </c>
      <c r="W25" s="29"/>
      <c r="X25" s="203">
        <f t="shared" si="37"/>
        <v>0</v>
      </c>
      <c r="Y25" s="223">
        <f t="shared" si="27"/>
        <v>0</v>
      </c>
      <c r="Z25" s="242">
        <f t="shared" si="4"/>
        <v>-25</v>
      </c>
      <c r="AA25" s="243"/>
      <c r="AB25" s="244">
        <v>95</v>
      </c>
      <c r="AC25" s="245">
        <f t="shared" si="5"/>
        <v>47.5</v>
      </c>
      <c r="AD25" s="246">
        <v>1</v>
      </c>
      <c r="AE25" s="247">
        <f t="shared" si="6"/>
        <v>95</v>
      </c>
      <c r="AF25" s="29"/>
      <c r="AG25" s="29"/>
      <c r="AH25" s="29"/>
      <c r="AI25" s="223"/>
      <c r="AJ25" s="260"/>
      <c r="AK25" s="245"/>
      <c r="AL25" s="245"/>
      <c r="AM25">
        <v>0</v>
      </c>
      <c r="AN25" s="261" t="e">
        <f t="shared" si="36"/>
        <v>#DIV/0!</v>
      </c>
      <c r="AO25" t="s">
        <v>2387</v>
      </c>
      <c r="AP25" t="s">
        <v>2387</v>
      </c>
      <c r="AQ25" s="267">
        <v>0</v>
      </c>
      <c r="AR25" s="252" t="e">
        <f t="shared" si="8"/>
        <v>#DIV/0!</v>
      </c>
      <c r="AS25" s="252" t="e">
        <f t="shared" si="9"/>
        <v>#DIV/0!</v>
      </c>
      <c r="AT25" s="252" t="e">
        <f t="shared" si="10"/>
        <v>#VALUE!</v>
      </c>
      <c r="AU25" s="252">
        <f t="shared" si="11"/>
        <v>0</v>
      </c>
      <c r="AV25" s="29"/>
      <c r="AW25" s="282" t="e">
        <f t="shared" si="12"/>
        <v>#DIV/0!</v>
      </c>
      <c r="AX25" s="283" t="e">
        <f t="shared" si="13"/>
        <v>#DIV/0!</v>
      </c>
      <c r="AY25" s="275" t="e">
        <f t="shared" si="14"/>
        <v>#VALUE!</v>
      </c>
      <c r="AZ25" s="207"/>
      <c r="BA25" s="29"/>
      <c r="BB25" s="252" t="e">
        <f t="shared" si="15"/>
        <v>#DIV/0!</v>
      </c>
      <c r="BC25" s="252" t="str">
        <f t="shared" si="16"/>
        <v>#DIV/0!</v>
      </c>
      <c r="BD25" t="s">
        <v>2387</v>
      </c>
      <c r="BE25" t="s">
        <v>2387</v>
      </c>
      <c r="BF25" s="285" t="e">
        <f t="shared" si="17"/>
        <v>#DIV/0!</v>
      </c>
      <c r="BG25" s="252">
        <f t="shared" si="18"/>
        <v>95</v>
      </c>
      <c r="BH25" s="252" t="str">
        <f t="shared" si="19"/>
        <v>#DIV/0!</v>
      </c>
      <c r="BI25" t="s">
        <v>2387</v>
      </c>
      <c r="BJ25" s="288" t="e">
        <f t="shared" si="20"/>
        <v>#VALUE!</v>
      </c>
      <c r="BK25" s="288" t="e">
        <f t="shared" si="21"/>
        <v>#DIV/0!</v>
      </c>
      <c r="BL25" s="286" t="e">
        <f t="shared" si="22"/>
        <v>#VALUE!</v>
      </c>
      <c r="BM25" s="283" t="e">
        <f t="shared" si="23"/>
        <v>#VALUE!</v>
      </c>
      <c r="BN25" s="283" t="e">
        <f t="shared" si="24"/>
        <v>#VALUE!</v>
      </c>
      <c r="BO25" s="275" t="e">
        <f t="shared" si="25"/>
        <v>#DIV/0!</v>
      </c>
    </row>
    <row r="26" customHeight="1" spans="1:67">
      <c r="A26" s="207" t="b">
        <v>0</v>
      </c>
      <c r="B26" s="29" t="b">
        <v>0</v>
      </c>
      <c r="C26" s="29" t="b">
        <v>0</v>
      </c>
      <c r="D26" s="29" t="b">
        <v>0</v>
      </c>
      <c r="E26" s="208" t="b">
        <v>0</v>
      </c>
      <c r="F26" s="29"/>
      <c r="G26" s="205" t="s">
        <v>2397</v>
      </c>
      <c r="H26" s="210"/>
      <c r="I26" s="29"/>
      <c r="J26" s="29"/>
      <c r="K26" s="29" t="b">
        <v>0</v>
      </c>
      <c r="L26" s="29" t="b">
        <v>0</v>
      </c>
      <c r="M26" s="29"/>
      <c r="N26" s="214"/>
      <c r="O26" s="215"/>
      <c r="P26" s="215"/>
      <c r="Q26" s="29"/>
      <c r="R26" s="29"/>
      <c r="S26" s="29"/>
      <c r="T26" s="29"/>
      <c r="U26" s="29"/>
      <c r="V26" s="29"/>
      <c r="W26" s="29"/>
      <c r="X26" s="29"/>
      <c r="Y26" s="223">
        <f t="shared" si="27"/>
        <v>0</v>
      </c>
      <c r="Z26" s="242">
        <f t="shared" si="4"/>
        <v>-25</v>
      </c>
      <c r="AA26" s="243"/>
      <c r="AB26" s="244">
        <v>95</v>
      </c>
      <c r="AC26" s="245">
        <f t="shared" si="5"/>
        <v>47.5</v>
      </c>
      <c r="AD26" s="246">
        <v>1</v>
      </c>
      <c r="AE26" s="247">
        <f t="shared" si="6"/>
        <v>95</v>
      </c>
      <c r="AF26" s="29"/>
      <c r="AG26" s="29"/>
      <c r="AH26" s="29"/>
      <c r="AI26" s="223"/>
      <c r="AJ26" s="260"/>
      <c r="AK26" s="245"/>
      <c r="AL26" s="245"/>
      <c r="AM26">
        <v>0</v>
      </c>
      <c r="AN26" s="261" t="e">
        <f t="shared" si="36"/>
        <v>#DIV/0!</v>
      </c>
      <c r="AO26" t="s">
        <v>2387</v>
      </c>
      <c r="AP26" t="s">
        <v>2387</v>
      </c>
      <c r="AQ26" s="267">
        <v>0</v>
      </c>
      <c r="AR26" s="252" t="e">
        <f t="shared" si="8"/>
        <v>#DIV/0!</v>
      </c>
      <c r="AS26" s="252" t="e">
        <f t="shared" si="9"/>
        <v>#DIV/0!</v>
      </c>
      <c r="AT26" s="252" t="e">
        <f t="shared" si="10"/>
        <v>#VALUE!</v>
      </c>
      <c r="AU26" s="252">
        <f t="shared" si="11"/>
        <v>0</v>
      </c>
      <c r="AV26" s="29"/>
      <c r="AW26" s="282" t="e">
        <f t="shared" si="12"/>
        <v>#DIV/0!</v>
      </c>
      <c r="AX26" s="283" t="e">
        <f t="shared" si="13"/>
        <v>#DIV/0!</v>
      </c>
      <c r="AY26" s="275" t="e">
        <f t="shared" si="14"/>
        <v>#VALUE!</v>
      </c>
      <c r="AZ26" s="207"/>
      <c r="BA26" s="29"/>
      <c r="BB26" s="252" t="e">
        <f t="shared" si="15"/>
        <v>#DIV/0!</v>
      </c>
      <c r="BC26" s="252" t="str">
        <f t="shared" si="16"/>
        <v>#DIV/0!</v>
      </c>
      <c r="BD26" t="s">
        <v>2387</v>
      </c>
      <c r="BE26" t="s">
        <v>2387</v>
      </c>
      <c r="BF26" s="285" t="e">
        <f t="shared" si="17"/>
        <v>#DIV/0!</v>
      </c>
      <c r="BG26" s="252">
        <f t="shared" si="18"/>
        <v>95</v>
      </c>
      <c r="BH26" s="252" t="str">
        <f t="shared" si="19"/>
        <v>#DIV/0!</v>
      </c>
      <c r="BI26" t="s">
        <v>2387</v>
      </c>
      <c r="BJ26" s="288" t="e">
        <f t="shared" si="20"/>
        <v>#VALUE!</v>
      </c>
      <c r="BK26" s="288" t="e">
        <f t="shared" si="21"/>
        <v>#DIV/0!</v>
      </c>
      <c r="BL26" s="286" t="e">
        <f t="shared" si="22"/>
        <v>#VALUE!</v>
      </c>
      <c r="BM26" s="283" t="e">
        <f t="shared" si="23"/>
        <v>#VALUE!</v>
      </c>
      <c r="BN26" s="283" t="e">
        <f t="shared" si="24"/>
        <v>#VALUE!</v>
      </c>
      <c r="BO26" s="275" t="e">
        <f t="shared" si="25"/>
        <v>#DIV/0!</v>
      </c>
    </row>
    <row r="27" customHeight="1" spans="1:67">
      <c r="A27" s="207" t="b">
        <v>0</v>
      </c>
      <c r="B27" s="29" t="b">
        <v>0</v>
      </c>
      <c r="C27" s="29" t="b">
        <v>0</v>
      </c>
      <c r="D27" s="29" t="b">
        <v>0</v>
      </c>
      <c r="E27" s="208" t="b">
        <v>0</v>
      </c>
      <c r="F27" s="29"/>
      <c r="G27" s="205" t="s">
        <v>2398</v>
      </c>
      <c r="H27" s="210"/>
      <c r="I27" s="29"/>
      <c r="J27" s="29"/>
      <c r="K27" s="29" t="b">
        <v>0</v>
      </c>
      <c r="L27" s="29" t="b">
        <v>0</v>
      </c>
      <c r="M27" s="29"/>
      <c r="N27" s="214"/>
      <c r="O27" s="215"/>
      <c r="P27" s="215"/>
      <c r="Q27" s="29"/>
      <c r="R27" s="29"/>
      <c r="S27" s="29"/>
      <c r="T27" s="29"/>
      <c r="U27" s="29"/>
      <c r="V27" s="29"/>
      <c r="W27" s="29"/>
      <c r="X27" s="29"/>
      <c r="Y27" s="223">
        <f t="shared" si="27"/>
        <v>0</v>
      </c>
      <c r="Z27" s="242">
        <f t="shared" si="4"/>
        <v>-25</v>
      </c>
      <c r="AA27" s="243"/>
      <c r="AB27" s="244">
        <v>95</v>
      </c>
      <c r="AC27" s="245">
        <f t="shared" si="5"/>
        <v>47.5</v>
      </c>
      <c r="AD27" s="246">
        <v>1</v>
      </c>
      <c r="AE27" s="247">
        <f t="shared" si="6"/>
        <v>95</v>
      </c>
      <c r="AF27" s="29"/>
      <c r="AG27" s="29"/>
      <c r="AH27" s="29"/>
      <c r="AI27" s="223"/>
      <c r="AJ27" s="260"/>
      <c r="AK27" s="245"/>
      <c r="AL27" s="245"/>
      <c r="AM27">
        <v>0</v>
      </c>
      <c r="AN27" s="261" t="e">
        <f t="shared" si="36"/>
        <v>#DIV/0!</v>
      </c>
      <c r="AO27" t="s">
        <v>2387</v>
      </c>
      <c r="AP27" t="s">
        <v>2387</v>
      </c>
      <c r="AQ27" s="267">
        <v>0</v>
      </c>
      <c r="AR27" s="252" t="e">
        <f t="shared" si="8"/>
        <v>#DIV/0!</v>
      </c>
      <c r="AS27" s="252" t="e">
        <f t="shared" si="9"/>
        <v>#DIV/0!</v>
      </c>
      <c r="AT27" s="252" t="e">
        <f t="shared" si="10"/>
        <v>#VALUE!</v>
      </c>
      <c r="AU27" s="252">
        <f t="shared" si="11"/>
        <v>0</v>
      </c>
      <c r="AV27" s="29"/>
      <c r="AW27" s="282" t="e">
        <f t="shared" si="12"/>
        <v>#DIV/0!</v>
      </c>
      <c r="AX27" s="283" t="e">
        <f t="shared" si="13"/>
        <v>#DIV/0!</v>
      </c>
      <c r="AY27" s="275" t="e">
        <f t="shared" si="14"/>
        <v>#VALUE!</v>
      </c>
      <c r="AZ27" s="207"/>
      <c r="BA27" s="29"/>
      <c r="BB27" s="252" t="e">
        <f t="shared" si="15"/>
        <v>#DIV/0!</v>
      </c>
      <c r="BC27" s="252" t="str">
        <f t="shared" si="16"/>
        <v>#DIV/0!</v>
      </c>
      <c r="BD27" t="s">
        <v>2387</v>
      </c>
      <c r="BE27" t="s">
        <v>2387</v>
      </c>
      <c r="BF27" s="285" t="e">
        <f t="shared" si="17"/>
        <v>#DIV/0!</v>
      </c>
      <c r="BG27" s="252">
        <f t="shared" si="18"/>
        <v>95</v>
      </c>
      <c r="BH27" s="252" t="str">
        <f t="shared" si="19"/>
        <v>#DIV/0!</v>
      </c>
      <c r="BI27" t="s">
        <v>2387</v>
      </c>
      <c r="BJ27" s="288" t="e">
        <f t="shared" si="20"/>
        <v>#VALUE!</v>
      </c>
      <c r="BK27" s="288" t="e">
        <f t="shared" si="21"/>
        <v>#DIV/0!</v>
      </c>
      <c r="BL27" s="286" t="e">
        <f t="shared" si="22"/>
        <v>#VALUE!</v>
      </c>
      <c r="BM27" s="283" t="e">
        <f t="shared" si="23"/>
        <v>#VALUE!</v>
      </c>
      <c r="BN27" s="283" t="e">
        <f t="shared" si="24"/>
        <v>#VALUE!</v>
      </c>
      <c r="BO27" s="275" t="e">
        <f t="shared" si="25"/>
        <v>#DIV/0!</v>
      </c>
    </row>
    <row r="28" customHeight="1" spans="1:67">
      <c r="A28" s="207" t="b">
        <v>0</v>
      </c>
      <c r="B28" s="29" t="b">
        <v>0</v>
      </c>
      <c r="C28" s="29" t="b">
        <v>0</v>
      </c>
      <c r="D28" s="29" t="b">
        <v>0</v>
      </c>
      <c r="E28" s="208" t="b">
        <v>0</v>
      </c>
      <c r="F28" s="29"/>
      <c r="G28" s="205" t="s">
        <v>2399</v>
      </c>
      <c r="H28" s="210"/>
      <c r="I28" s="29"/>
      <c r="J28" s="29"/>
      <c r="K28" s="29" t="b">
        <v>0</v>
      </c>
      <c r="L28" s="29" t="b">
        <v>0</v>
      </c>
      <c r="M28" s="29"/>
      <c r="N28" s="214"/>
      <c r="O28" s="215"/>
      <c r="P28" s="215" t="str">
        <f>IFERROR(1/O28,"")</f>
        <v/>
      </c>
      <c r="Q28" s="29"/>
      <c r="R28" s="29"/>
      <c r="S28" s="29"/>
      <c r="T28" s="29"/>
      <c r="U28" s="29"/>
      <c r="V28" s="29"/>
      <c r="W28" s="29"/>
      <c r="X28" s="29"/>
      <c r="Y28" s="223">
        <f t="shared" si="27"/>
        <v>0</v>
      </c>
      <c r="Z28" s="242">
        <f t="shared" si="4"/>
        <v>-25</v>
      </c>
      <c r="AA28" s="243"/>
      <c r="AB28" s="244">
        <v>95</v>
      </c>
      <c r="AC28" s="245">
        <f t="shared" si="5"/>
        <v>47.5</v>
      </c>
      <c r="AD28" s="246">
        <v>1</v>
      </c>
      <c r="AE28" s="247">
        <f t="shared" si="6"/>
        <v>95</v>
      </c>
      <c r="AF28" s="29"/>
      <c r="AG28" s="29"/>
      <c r="AH28" s="29"/>
      <c r="AI28" s="223"/>
      <c r="AJ28" s="260"/>
      <c r="AK28" s="245"/>
      <c r="AL28" s="245"/>
      <c r="AM28">
        <v>0</v>
      </c>
      <c r="AN28" s="261" t="e">
        <f t="shared" si="36"/>
        <v>#DIV/0!</v>
      </c>
      <c r="AO28" t="s">
        <v>2387</v>
      </c>
      <c r="AP28" t="s">
        <v>2387</v>
      </c>
      <c r="AQ28" s="267">
        <v>0</v>
      </c>
      <c r="AR28" s="252" t="e">
        <f t="shared" si="8"/>
        <v>#DIV/0!</v>
      </c>
      <c r="AS28" s="252" t="e">
        <f t="shared" si="9"/>
        <v>#DIV/0!</v>
      </c>
      <c r="AT28" s="252" t="e">
        <f t="shared" si="10"/>
        <v>#VALUE!</v>
      </c>
      <c r="AU28" s="252">
        <f t="shared" si="11"/>
        <v>0</v>
      </c>
      <c r="AV28" s="29"/>
      <c r="AW28" s="282" t="e">
        <f t="shared" si="12"/>
        <v>#DIV/0!</v>
      </c>
      <c r="AX28" s="283" t="e">
        <f t="shared" si="13"/>
        <v>#DIV/0!</v>
      </c>
      <c r="AY28" s="275" t="e">
        <f t="shared" si="14"/>
        <v>#VALUE!</v>
      </c>
      <c r="AZ28" s="207"/>
      <c r="BA28" s="29"/>
      <c r="BB28" s="252" t="e">
        <f t="shared" si="15"/>
        <v>#DIV/0!</v>
      </c>
      <c r="BC28" s="252" t="str">
        <f t="shared" si="16"/>
        <v>#DIV/0!</v>
      </c>
      <c r="BD28" t="s">
        <v>2387</v>
      </c>
      <c r="BE28" t="s">
        <v>2387</v>
      </c>
      <c r="BF28" s="285" t="e">
        <f t="shared" si="17"/>
        <v>#DIV/0!</v>
      </c>
      <c r="BG28" s="252">
        <f t="shared" si="18"/>
        <v>95</v>
      </c>
      <c r="BH28" s="252" t="str">
        <f t="shared" si="19"/>
        <v>#DIV/0!</v>
      </c>
      <c r="BI28" t="s">
        <v>2387</v>
      </c>
      <c r="BJ28" s="288" t="e">
        <f t="shared" si="20"/>
        <v>#VALUE!</v>
      </c>
      <c r="BK28" s="288" t="e">
        <f t="shared" si="21"/>
        <v>#DIV/0!</v>
      </c>
      <c r="BL28" s="286" t="e">
        <f t="shared" si="22"/>
        <v>#VALUE!</v>
      </c>
      <c r="BM28" s="283" t="e">
        <f t="shared" si="23"/>
        <v>#VALUE!</v>
      </c>
      <c r="BN28" s="283" t="e">
        <f t="shared" si="24"/>
        <v>#VALUE!</v>
      </c>
      <c r="BO28" s="275" t="e">
        <f t="shared" si="25"/>
        <v>#DIV/0!</v>
      </c>
    </row>
    <row r="29" customHeight="1" spans="1:67">
      <c r="A29" s="207" t="b">
        <v>0</v>
      </c>
      <c r="B29" s="29" t="b">
        <v>0</v>
      </c>
      <c r="C29" s="29" t="b">
        <v>0</v>
      </c>
      <c r="D29" s="29" t="b">
        <v>0</v>
      </c>
      <c r="E29" s="208" t="b">
        <v>0</v>
      </c>
      <c r="F29" s="29"/>
      <c r="G29" s="205" t="s">
        <v>2400</v>
      </c>
      <c r="H29" s="210"/>
      <c r="I29" s="29"/>
      <c r="J29" s="29"/>
      <c r="K29" s="29" t="b">
        <v>0</v>
      </c>
      <c r="L29" s="29" t="b">
        <v>0</v>
      </c>
      <c r="M29" s="29"/>
      <c r="N29" s="214"/>
      <c r="O29" s="215"/>
      <c r="P29" s="215"/>
      <c r="Q29" s="29"/>
      <c r="R29" s="29"/>
      <c r="S29" s="29"/>
      <c r="T29" s="29"/>
      <c r="U29" s="29"/>
      <c r="V29" s="29"/>
      <c r="W29" s="29"/>
      <c r="X29" s="29"/>
      <c r="Y29" s="223">
        <f t="shared" si="27"/>
        <v>0</v>
      </c>
      <c r="Z29" s="242"/>
      <c r="AA29" s="243"/>
      <c r="AB29" s="244"/>
      <c r="AC29" s="245"/>
      <c r="AD29" s="246"/>
      <c r="AE29" s="247"/>
      <c r="AF29" s="29"/>
      <c r="AG29" s="29"/>
      <c r="AH29" s="29"/>
      <c r="AI29" s="223"/>
      <c r="AJ29" s="260"/>
      <c r="AK29" s="245"/>
      <c r="AL29" s="245"/>
      <c r="AM29" s="252"/>
      <c r="AN29" s="261"/>
      <c r="AO29" s="245"/>
      <c r="AP29" s="244"/>
      <c r="AQ29" s="267"/>
      <c r="AR29" s="252"/>
      <c r="AS29" s="252"/>
      <c r="AT29" s="252"/>
      <c r="AU29" s="252"/>
      <c r="AV29" s="29"/>
      <c r="AW29" s="282"/>
      <c r="AX29" s="283"/>
      <c r="AY29" s="275"/>
      <c r="AZ29" s="207"/>
      <c r="BA29" s="29"/>
      <c r="BB29" s="252"/>
      <c r="BC29" s="252"/>
      <c r="BD29" s="252"/>
      <c r="BE29" s="252"/>
      <c r="BF29" s="285"/>
      <c r="BG29" s="252"/>
      <c r="BH29" s="252"/>
      <c r="BI29" s="252"/>
      <c r="BJ29" s="288"/>
      <c r="BK29" s="288"/>
      <c r="BL29" s="286"/>
      <c r="BM29" s="283"/>
      <c r="BN29" s="283"/>
      <c r="BO29" s="275"/>
    </row>
    <row r="30" customHeight="1" spans="1:67">
      <c r="A30" s="207" t="b">
        <v>0</v>
      </c>
      <c r="B30" s="29" t="b">
        <v>0</v>
      </c>
      <c r="C30" s="29" t="b">
        <v>0</v>
      </c>
      <c r="D30" s="29" t="b">
        <v>0</v>
      </c>
      <c r="E30" s="208" t="b">
        <v>0</v>
      </c>
      <c r="F30" s="29"/>
      <c r="G30" s="205" t="s">
        <v>2401</v>
      </c>
      <c r="H30" s="210"/>
      <c r="I30" s="29"/>
      <c r="J30" s="29"/>
      <c r="K30" s="29" t="b">
        <v>0</v>
      </c>
      <c r="L30" s="29" t="b">
        <v>0</v>
      </c>
      <c r="M30" s="29"/>
      <c r="N30" s="214"/>
      <c r="O30" s="215"/>
      <c r="P30" s="215"/>
      <c r="Q30" s="29"/>
      <c r="R30" s="29"/>
      <c r="S30" s="29"/>
      <c r="T30" s="29"/>
      <c r="U30" s="29"/>
      <c r="V30" s="29"/>
      <c r="W30" s="29"/>
      <c r="X30" s="29"/>
      <c r="Y30" s="223">
        <f t="shared" si="27"/>
        <v>0</v>
      </c>
      <c r="Z30" s="242"/>
      <c r="AA30" s="243"/>
      <c r="AB30" s="244"/>
      <c r="AC30" s="245"/>
      <c r="AD30" s="246"/>
      <c r="AE30" s="247"/>
      <c r="AF30" s="29"/>
      <c r="AG30" s="29"/>
      <c r="AH30" s="29"/>
      <c r="AI30" s="223"/>
      <c r="AJ30" s="260"/>
      <c r="AK30" s="245"/>
      <c r="AL30" s="245"/>
      <c r="AM30" s="252"/>
      <c r="AN30" s="261"/>
      <c r="AO30" s="245"/>
      <c r="AP30" s="244"/>
      <c r="AQ30" s="267"/>
      <c r="AR30" s="252"/>
      <c r="AS30" s="252"/>
      <c r="AT30" s="252"/>
      <c r="AU30" s="252"/>
      <c r="AV30" s="29"/>
      <c r="AW30" s="282"/>
      <c r="AX30" s="283"/>
      <c r="AY30" s="275"/>
      <c r="AZ30" s="207"/>
      <c r="BA30" s="29"/>
      <c r="BB30" s="252"/>
      <c r="BC30" s="252"/>
      <c r="BD30" s="252"/>
      <c r="BE30" s="252"/>
      <c r="BF30" s="285"/>
      <c r="BG30" s="252"/>
      <c r="BH30" s="252"/>
      <c r="BI30" s="252"/>
      <c r="BJ30" s="288"/>
      <c r="BK30" s="288"/>
      <c r="BL30" s="286"/>
      <c r="BM30" s="283"/>
      <c r="BN30" s="283"/>
      <c r="BO30" s="275"/>
    </row>
    <row r="31" customHeight="1" spans="1:67">
      <c r="A31" s="207" t="b">
        <v>0</v>
      </c>
      <c r="B31" s="29" t="b">
        <v>0</v>
      </c>
      <c r="C31" s="29" t="b">
        <v>0</v>
      </c>
      <c r="D31" s="29" t="b">
        <v>0</v>
      </c>
      <c r="E31" s="208" t="b">
        <v>0</v>
      </c>
      <c r="F31" s="29"/>
      <c r="G31" s="205" t="s">
        <v>2402</v>
      </c>
      <c r="H31" s="210"/>
      <c r="I31" s="29"/>
      <c r="J31" s="29"/>
      <c r="K31" s="29" t="b">
        <v>0</v>
      </c>
      <c r="L31" s="29" t="b">
        <v>0</v>
      </c>
      <c r="M31" s="29"/>
      <c r="N31" s="214"/>
      <c r="O31" s="215"/>
      <c r="P31" s="215"/>
      <c r="Q31" s="29"/>
      <c r="R31" s="29"/>
      <c r="S31" s="29"/>
      <c r="T31" s="29"/>
      <c r="U31" s="29"/>
      <c r="V31" s="29"/>
      <c r="W31" s="29"/>
      <c r="X31" s="29"/>
      <c r="Y31" s="223">
        <f t="shared" si="27"/>
        <v>0</v>
      </c>
      <c r="Z31" s="242"/>
      <c r="AA31" s="243"/>
      <c r="AB31" s="244"/>
      <c r="AC31" s="245"/>
      <c r="AD31" s="246"/>
      <c r="AE31" s="247"/>
      <c r="AF31" s="29"/>
      <c r="AG31" s="29"/>
      <c r="AH31" s="29"/>
      <c r="AI31" s="223"/>
      <c r="AJ31" s="260"/>
      <c r="AK31" s="245"/>
      <c r="AL31" s="245"/>
      <c r="AM31" s="252"/>
      <c r="AN31" s="261"/>
      <c r="AO31" s="245"/>
      <c r="AP31" s="244"/>
      <c r="AQ31" s="267"/>
      <c r="AR31" s="252"/>
      <c r="AS31" s="252"/>
      <c r="AT31" s="252"/>
      <c r="AU31" s="252"/>
      <c r="AV31" s="29"/>
      <c r="AW31" s="282"/>
      <c r="AX31" s="283"/>
      <c r="AY31" s="275"/>
      <c r="AZ31" s="207"/>
      <c r="BA31" s="29"/>
      <c r="BB31" s="252"/>
      <c r="BC31" s="252"/>
      <c r="BD31" s="252"/>
      <c r="BE31" s="252"/>
      <c r="BF31" s="285"/>
      <c r="BG31" s="252"/>
      <c r="BH31" s="252"/>
      <c r="BI31" s="252"/>
      <c r="BJ31" s="288"/>
      <c r="BK31" s="288"/>
      <c r="BL31" s="286"/>
      <c r="BM31" s="283"/>
      <c r="BN31" s="283"/>
      <c r="BO31" s="275"/>
    </row>
    <row r="32" customHeight="1" spans="1:67">
      <c r="A32" s="207" t="b">
        <v>0</v>
      </c>
      <c r="B32" s="29" t="b">
        <v>0</v>
      </c>
      <c r="C32" s="29" t="b">
        <v>0</v>
      </c>
      <c r="D32" s="29" t="b">
        <v>0</v>
      </c>
      <c r="E32" s="208" t="b">
        <v>0</v>
      </c>
      <c r="F32" s="29"/>
      <c r="G32" s="205" t="s">
        <v>2403</v>
      </c>
      <c r="H32" s="210"/>
      <c r="I32" s="29"/>
      <c r="J32" s="29"/>
      <c r="K32" s="29" t="b">
        <v>0</v>
      </c>
      <c r="L32" s="29" t="b">
        <v>0</v>
      </c>
      <c r="M32" s="29"/>
      <c r="N32" s="214"/>
      <c r="O32" s="215"/>
      <c r="P32" s="215"/>
      <c r="Q32" s="29"/>
      <c r="R32" s="29"/>
      <c r="S32" s="29"/>
      <c r="T32" s="29"/>
      <c r="U32" s="29"/>
      <c r="V32" s="29"/>
      <c r="W32" s="29"/>
      <c r="X32" s="29"/>
      <c r="Y32" s="223">
        <f t="shared" si="27"/>
        <v>0</v>
      </c>
      <c r="Z32" s="242"/>
      <c r="AA32" s="243"/>
      <c r="AB32" s="244"/>
      <c r="AC32" s="245"/>
      <c r="AD32" s="246"/>
      <c r="AE32" s="247"/>
      <c r="AF32" s="29"/>
      <c r="AG32" s="29"/>
      <c r="AH32" s="29"/>
      <c r="AI32" s="223"/>
      <c r="AJ32" s="260"/>
      <c r="AK32" s="245"/>
      <c r="AL32" s="245"/>
      <c r="AM32" s="252"/>
      <c r="AN32" s="261"/>
      <c r="AO32" s="245"/>
      <c r="AP32" s="244"/>
      <c r="AQ32" s="267"/>
      <c r="AR32" s="252"/>
      <c r="AS32" s="252"/>
      <c r="AT32" s="252"/>
      <c r="AU32" s="252"/>
      <c r="AV32" s="29"/>
      <c r="AW32" s="282"/>
      <c r="AX32" s="283"/>
      <c r="AY32" s="275"/>
      <c r="AZ32" s="207"/>
      <c r="BA32" s="29"/>
      <c r="BB32" s="252"/>
      <c r="BC32" s="252"/>
      <c r="BD32" s="252"/>
      <c r="BE32" s="252"/>
      <c r="BF32" s="285"/>
      <c r="BG32" s="252"/>
      <c r="BH32" s="252"/>
      <c r="BI32" s="252"/>
      <c r="BJ32" s="288"/>
      <c r="BK32" s="288"/>
      <c r="BL32" s="286"/>
      <c r="BM32" s="283"/>
      <c r="BN32" s="283"/>
      <c r="BO32" s="275"/>
    </row>
    <row r="33" customHeight="1" spans="1:67">
      <c r="A33" s="207" t="b">
        <v>1</v>
      </c>
      <c r="B33" s="29" t="b">
        <v>0</v>
      </c>
      <c r="C33" s="29" t="b">
        <v>1</v>
      </c>
      <c r="D33" s="29" t="b">
        <v>0</v>
      </c>
      <c r="E33" s="208" t="b">
        <v>0</v>
      </c>
      <c r="F33" s="29"/>
      <c r="G33" s="205" t="s">
        <v>2381</v>
      </c>
      <c r="H33" s="211" t="s">
        <v>2404</v>
      </c>
      <c r="I33" s="29" t="s">
        <v>129</v>
      </c>
      <c r="J33" s="29" t="s">
        <v>2366</v>
      </c>
      <c r="K33" s="29" t="b">
        <v>1</v>
      </c>
      <c r="L33" s="29" t="b">
        <v>1</v>
      </c>
      <c r="M33" s="29" t="s">
        <v>370</v>
      </c>
      <c r="N33" s="214" t="s">
        <v>2358</v>
      </c>
      <c r="O33" s="215"/>
      <c r="P33" s="215">
        <v>250</v>
      </c>
      <c r="Q33" s="29"/>
      <c r="R33" s="29"/>
      <c r="S33" s="29"/>
      <c r="T33" s="29"/>
      <c r="U33" s="29"/>
      <c r="V33" s="29"/>
      <c r="W33" s="29">
        <v>225</v>
      </c>
      <c r="X33" s="29"/>
      <c r="Y33" s="223">
        <f t="shared" si="27"/>
        <v>0</v>
      </c>
      <c r="Z33" s="242">
        <f t="shared" ref="Z33:Z34" si="38">Y33-25</f>
        <v>-25</v>
      </c>
      <c r="AA33" s="243" t="s">
        <v>2367</v>
      </c>
      <c r="AB33" s="244">
        <v>95</v>
      </c>
      <c r="AC33" s="245">
        <f t="shared" ref="AC33:AC34" si="39">AB33/2</f>
        <v>47.5</v>
      </c>
      <c r="AD33" s="246">
        <v>1</v>
      </c>
      <c r="AE33" s="247">
        <f t="shared" ref="AE33:AE34" si="40">AC33+(AC33*AD33)</f>
        <v>95</v>
      </c>
      <c r="AF33" s="29" t="s">
        <v>2360</v>
      </c>
      <c r="AG33" s="29" t="s">
        <v>2361</v>
      </c>
      <c r="AH33" s="29"/>
      <c r="AI33" s="223">
        <v>300</v>
      </c>
      <c r="AJ33" s="260" t="s">
        <v>2368</v>
      </c>
      <c r="AK33" s="245">
        <v>68.49</v>
      </c>
      <c r="AL33" s="245">
        <v>24.47</v>
      </c>
      <c r="AM33" s="252">
        <v>49</v>
      </c>
      <c r="AN33" s="261">
        <f t="shared" ref="AN33:AN34" si="41">Y33/AI33</f>
        <v>0</v>
      </c>
      <c r="AO33" s="245">
        <v>0</v>
      </c>
      <c r="AP33" s="244">
        <v>0</v>
      </c>
      <c r="AQ33" s="267">
        <v>0</v>
      </c>
      <c r="AR33" s="252">
        <f t="shared" ref="AR33:AR34" si="42">AK33*AN33+(AK33*AQ33)</f>
        <v>0</v>
      </c>
      <c r="AS33" s="252">
        <f t="shared" ref="AS33:AS34" si="43">AL33*AN33+(AL33*AQ33)</f>
        <v>0</v>
      </c>
      <c r="AT33" s="252">
        <f t="shared" ref="AT33:AT34" si="44">AP33*AN33+(AP33*AQ33)</f>
        <v>0</v>
      </c>
      <c r="AU33" s="252">
        <f t="shared" ref="AU33:AU34" si="45">AK33*0.05</f>
        <v>3.4245</v>
      </c>
      <c r="AV33" s="29"/>
      <c r="AW33" s="282">
        <f t="shared" ref="AW33:AW34" si="46">AE33+AR33</f>
        <v>95</v>
      </c>
      <c r="AX33" s="283">
        <f t="shared" ref="AX33:AX34" si="47">AE33+AS33</f>
        <v>95</v>
      </c>
      <c r="AY33" s="275">
        <f t="shared" ref="AY33:AY34" si="48">AE33+AT33</f>
        <v>95</v>
      </c>
      <c r="AZ33" s="207"/>
      <c r="BA33" s="29"/>
      <c r="BB33" s="252">
        <f t="shared" ref="BB33:BB34" si="49">(BA33/AI33)*AP33</f>
        <v>0</v>
      </c>
      <c r="BC33" s="252">
        <f t="shared" ref="BC33:BC34" si="50">BD33</f>
        <v>0</v>
      </c>
      <c r="BD33" s="252">
        <v>0</v>
      </c>
      <c r="BE33" s="252" t="s">
        <v>2387</v>
      </c>
      <c r="BF33" s="285" t="e">
        <f t="shared" ref="BF33:BF34" si="51">BA33/Y33</f>
        <v>#DIV/0!</v>
      </c>
      <c r="BG33" s="252">
        <f t="shared" ref="BG33:BG34" si="52">AB33</f>
        <v>95</v>
      </c>
      <c r="BH33" s="252" t="str">
        <f t="shared" ref="BH33:BH34" si="53">BI33</f>
        <v>#DIV/0!</v>
      </c>
      <c r="BI33" s="252" t="s">
        <v>2387</v>
      </c>
      <c r="BJ33" s="288" t="e">
        <f t="shared" ref="BJ33:BJ34" si="54">BI33+BD33</f>
        <v>#VALUE!</v>
      </c>
      <c r="BK33" s="288" t="e">
        <f t="shared" ref="BK33:BK34" si="55">BB33+(BI33*2)</f>
        <v>#VALUE!</v>
      </c>
      <c r="BL33" s="286" t="e">
        <f t="shared" ref="BL33:BL34" si="56">BJ33/BK33</f>
        <v>#VALUE!</v>
      </c>
      <c r="BM33" s="283" t="e">
        <f t="shared" ref="BM33:BM34" si="57">BN33+BO33</f>
        <v>#VALUE!</v>
      </c>
      <c r="BN33" s="283" t="e">
        <f t="shared" ref="BN33:BN34" si="58">BE33-BI33</f>
        <v>#VALUE!</v>
      </c>
      <c r="BO33" s="275">
        <f t="shared" ref="BO33:BO34" si="59">BB33-BD33</f>
        <v>0</v>
      </c>
    </row>
    <row r="34" customHeight="1" spans="1:67">
      <c r="A34" s="207" t="b">
        <v>1</v>
      </c>
      <c r="B34" s="29" t="b">
        <v>0</v>
      </c>
      <c r="C34" s="29" t="b">
        <v>1</v>
      </c>
      <c r="D34" s="29" t="b">
        <v>0</v>
      </c>
      <c r="E34" s="208" t="b">
        <v>0</v>
      </c>
      <c r="F34" s="29"/>
      <c r="G34" s="205" t="s">
        <v>2405</v>
      </c>
      <c r="H34" s="211" t="s">
        <v>2406</v>
      </c>
      <c r="I34" s="29" t="s">
        <v>129</v>
      </c>
      <c r="J34" s="29" t="s">
        <v>2407</v>
      </c>
      <c r="K34" s="29" t="b">
        <v>1</v>
      </c>
      <c r="L34" s="29" t="b">
        <v>1</v>
      </c>
      <c r="M34" s="29" t="s">
        <v>370</v>
      </c>
      <c r="N34" s="214" t="s">
        <v>2358</v>
      </c>
      <c r="O34" s="215"/>
      <c r="P34" s="215">
        <v>250</v>
      </c>
      <c r="Q34" s="29"/>
      <c r="R34" s="29"/>
      <c r="S34" s="29"/>
      <c r="T34" s="29"/>
      <c r="U34" s="29"/>
      <c r="V34" s="29"/>
      <c r="W34" s="29">
        <v>225</v>
      </c>
      <c r="X34" s="29"/>
      <c r="Y34" s="223">
        <f t="shared" si="27"/>
        <v>0</v>
      </c>
      <c r="Z34" s="242">
        <f t="shared" si="38"/>
        <v>-25</v>
      </c>
      <c r="AA34" s="243" t="s">
        <v>2367</v>
      </c>
      <c r="AB34" s="244">
        <v>95</v>
      </c>
      <c r="AC34" s="245">
        <f t="shared" si="39"/>
        <v>47.5</v>
      </c>
      <c r="AD34" s="246">
        <v>1</v>
      </c>
      <c r="AE34" s="247">
        <f t="shared" si="40"/>
        <v>95</v>
      </c>
      <c r="AF34" s="29" t="s">
        <v>2360</v>
      </c>
      <c r="AG34" s="29" t="s">
        <v>2361</v>
      </c>
      <c r="AH34" s="29"/>
      <c r="AI34" s="223">
        <v>300</v>
      </c>
      <c r="AJ34" s="260" t="s">
        <v>2368</v>
      </c>
      <c r="AK34" s="245">
        <v>68.49</v>
      </c>
      <c r="AL34" s="245">
        <v>24.47</v>
      </c>
      <c r="AM34">
        <v>49</v>
      </c>
      <c r="AN34" s="261">
        <f t="shared" si="41"/>
        <v>0</v>
      </c>
      <c r="AO34">
        <v>0</v>
      </c>
      <c r="AP34">
        <v>0</v>
      </c>
      <c r="AQ34" s="267">
        <v>0</v>
      </c>
      <c r="AR34" s="252">
        <f t="shared" si="42"/>
        <v>0</v>
      </c>
      <c r="AS34" s="252">
        <f t="shared" si="43"/>
        <v>0</v>
      </c>
      <c r="AT34" s="252">
        <f t="shared" si="44"/>
        <v>0</v>
      </c>
      <c r="AU34" s="252">
        <f t="shared" si="45"/>
        <v>3.4245</v>
      </c>
      <c r="AV34" s="29"/>
      <c r="AW34" s="282">
        <f t="shared" si="46"/>
        <v>95</v>
      </c>
      <c r="AX34" s="283">
        <f t="shared" si="47"/>
        <v>95</v>
      </c>
      <c r="AY34" s="275">
        <f t="shared" si="48"/>
        <v>95</v>
      </c>
      <c r="AZ34" s="207"/>
      <c r="BA34" s="29"/>
      <c r="BB34" s="252">
        <f t="shared" si="49"/>
        <v>0</v>
      </c>
      <c r="BC34" s="252">
        <f t="shared" si="50"/>
        <v>0</v>
      </c>
      <c r="BD34">
        <v>0</v>
      </c>
      <c r="BE34" t="s">
        <v>2387</v>
      </c>
      <c r="BF34" s="285" t="e">
        <f t="shared" si="51"/>
        <v>#DIV/0!</v>
      </c>
      <c r="BG34" s="252">
        <f t="shared" si="52"/>
        <v>95</v>
      </c>
      <c r="BH34" s="252" t="str">
        <f t="shared" si="53"/>
        <v>#DIV/0!</v>
      </c>
      <c r="BI34" t="s">
        <v>2387</v>
      </c>
      <c r="BJ34" s="288" t="e">
        <f t="shared" si="54"/>
        <v>#VALUE!</v>
      </c>
      <c r="BK34" s="288" t="e">
        <f t="shared" si="55"/>
        <v>#VALUE!</v>
      </c>
      <c r="BL34" s="286" t="e">
        <f t="shared" si="56"/>
        <v>#VALUE!</v>
      </c>
      <c r="BM34" s="283" t="e">
        <f t="shared" si="57"/>
        <v>#VALUE!</v>
      </c>
      <c r="BN34" s="283" t="e">
        <f t="shared" si="58"/>
        <v>#VALUE!</v>
      </c>
      <c r="BO34" s="275">
        <f t="shared" si="59"/>
        <v>0</v>
      </c>
    </row>
    <row r="35" customHeight="1" spans="1:67">
      <c r="A35" s="207" t="b">
        <v>1</v>
      </c>
      <c r="B35" s="29" t="b">
        <v>0</v>
      </c>
      <c r="C35" s="29" t="b">
        <v>0</v>
      </c>
      <c r="D35" s="29" t="b">
        <v>0</v>
      </c>
      <c r="E35" s="208" t="b">
        <v>0</v>
      </c>
      <c r="F35" s="29"/>
      <c r="G35" s="205" t="s">
        <v>2408</v>
      </c>
      <c r="H35" s="210"/>
      <c r="I35" s="29"/>
      <c r="J35" s="29"/>
      <c r="K35" s="29" t="b">
        <v>0</v>
      </c>
      <c r="L35" s="29" t="b">
        <v>0</v>
      </c>
      <c r="M35" s="29"/>
      <c r="N35" s="214"/>
      <c r="O35" s="215"/>
      <c r="P35" s="215"/>
      <c r="Q35" s="29">
        <v>350</v>
      </c>
      <c r="R35" s="29">
        <v>700</v>
      </c>
      <c r="S35" s="203">
        <f t="shared" ref="S35:S36" si="60">(Q35+R35)/2</f>
        <v>525</v>
      </c>
      <c r="T35" s="29"/>
      <c r="U35" s="29"/>
      <c r="V35" s="29"/>
      <c r="W35" s="29"/>
      <c r="X35" s="29"/>
      <c r="Y35" s="223">
        <f t="shared" si="27"/>
        <v>0</v>
      </c>
      <c r="Z35" s="242"/>
      <c r="AA35" s="243"/>
      <c r="AB35" s="244"/>
      <c r="AC35" s="245"/>
      <c r="AD35" s="246"/>
      <c r="AE35" s="247"/>
      <c r="AF35" s="29"/>
      <c r="AG35" s="29"/>
      <c r="AH35" s="29"/>
      <c r="AI35" s="223"/>
      <c r="AJ35" s="260"/>
      <c r="AK35" s="245"/>
      <c r="AL35" s="245"/>
      <c r="AM35" s="252"/>
      <c r="AN35" s="261"/>
      <c r="AO35" s="245"/>
      <c r="AP35" s="244"/>
      <c r="AQ35" s="267"/>
      <c r="AR35" s="252"/>
      <c r="AS35" s="252"/>
      <c r="AT35" s="252"/>
      <c r="AU35" s="252"/>
      <c r="AV35" s="29"/>
      <c r="AW35" s="282"/>
      <c r="AX35" s="283"/>
      <c r="AY35" s="275"/>
      <c r="AZ35" s="207"/>
      <c r="BA35" s="29"/>
      <c r="BB35" s="252"/>
      <c r="BC35" s="252"/>
      <c r="BD35" s="252"/>
      <c r="BE35" s="252"/>
      <c r="BF35" s="285"/>
      <c r="BG35" s="252"/>
      <c r="BH35" s="252"/>
      <c r="BI35" s="252"/>
      <c r="BJ35" s="288"/>
      <c r="BK35" s="288"/>
      <c r="BL35" s="286"/>
      <c r="BM35" s="283"/>
      <c r="BN35" s="283"/>
      <c r="BO35" s="275"/>
    </row>
    <row r="36" customHeight="1" spans="1:67">
      <c r="A36" s="207" t="b">
        <v>0</v>
      </c>
      <c r="B36" s="29" t="b">
        <v>0</v>
      </c>
      <c r="C36" s="29" t="b">
        <v>0</v>
      </c>
      <c r="D36" s="29" t="b">
        <v>0</v>
      </c>
      <c r="E36" s="208" t="b">
        <v>0</v>
      </c>
      <c r="F36" s="29"/>
      <c r="G36" s="205" t="s">
        <v>2162</v>
      </c>
      <c r="H36" s="210"/>
      <c r="I36" s="29"/>
      <c r="J36" s="29"/>
      <c r="K36" s="29" t="b">
        <v>0</v>
      </c>
      <c r="L36" s="29" t="b">
        <v>0</v>
      </c>
      <c r="M36" s="29"/>
      <c r="N36" s="214"/>
      <c r="O36" s="215"/>
      <c r="P36" s="215"/>
      <c r="Q36" s="29">
        <v>75</v>
      </c>
      <c r="R36" s="29">
        <v>100</v>
      </c>
      <c r="S36" s="203">
        <f t="shared" si="60"/>
        <v>87.5</v>
      </c>
      <c r="T36" s="29">
        <v>100</v>
      </c>
      <c r="U36" s="29">
        <v>150</v>
      </c>
      <c r="V36" s="203">
        <f>(T36+U36)/2</f>
        <v>125</v>
      </c>
      <c r="W36" s="29"/>
      <c r="X36" s="203">
        <f>(S36+V36)/2/2</f>
        <v>53.125</v>
      </c>
      <c r="Y36" s="223">
        <f t="shared" si="27"/>
        <v>53.125</v>
      </c>
      <c r="Z36" s="242"/>
      <c r="AA36" s="243"/>
      <c r="AB36" s="244"/>
      <c r="AC36" s="245"/>
      <c r="AD36" s="246"/>
      <c r="AE36" s="247"/>
      <c r="AF36" s="29"/>
      <c r="AG36" s="29"/>
      <c r="AH36" s="29"/>
      <c r="AI36" s="223"/>
      <c r="AJ36" s="260"/>
      <c r="AK36" s="245"/>
      <c r="AL36" s="245"/>
      <c r="AM36" s="252"/>
      <c r="AN36" s="261"/>
      <c r="AO36" s="245"/>
      <c r="AP36" s="244"/>
      <c r="AQ36" s="267"/>
      <c r="AR36" s="252"/>
      <c r="AS36" s="252"/>
      <c r="AT36" s="252"/>
      <c r="AU36" s="252"/>
      <c r="AV36" s="29"/>
      <c r="AW36" s="282"/>
      <c r="AX36" s="283"/>
      <c r="AY36" s="275"/>
      <c r="AZ36" s="207"/>
      <c r="BA36" s="29"/>
      <c r="BB36" s="252"/>
      <c r="BC36" s="252"/>
      <c r="BD36" s="252"/>
      <c r="BE36" s="252"/>
      <c r="BF36" s="285"/>
      <c r="BG36" s="252"/>
      <c r="BH36" s="252"/>
      <c r="BI36" s="252"/>
      <c r="BJ36" s="288"/>
      <c r="BK36" s="288"/>
      <c r="BL36" s="286"/>
      <c r="BM36" s="283"/>
      <c r="BN36" s="283"/>
      <c r="BO36" s="275"/>
    </row>
    <row r="37" customHeight="1" spans="1:67">
      <c r="A37" s="207" t="b">
        <v>0</v>
      </c>
      <c r="B37" s="29" t="b">
        <v>0</v>
      </c>
      <c r="C37" s="29" t="b">
        <v>0</v>
      </c>
      <c r="D37" s="29" t="b">
        <v>0</v>
      </c>
      <c r="E37" s="208" t="b">
        <v>0</v>
      </c>
      <c r="F37" s="29"/>
      <c r="G37" s="29"/>
      <c r="H37" s="210"/>
      <c r="I37" s="29"/>
      <c r="J37" s="29"/>
      <c r="K37" s="29" t="b">
        <v>0</v>
      </c>
      <c r="L37" s="29" t="b">
        <v>0</v>
      </c>
      <c r="M37" s="29"/>
      <c r="N37" s="214"/>
      <c r="O37" s="215"/>
      <c r="P37" s="215"/>
      <c r="Q37" s="29"/>
      <c r="R37" s="29"/>
      <c r="S37" s="29"/>
      <c r="T37" s="29"/>
      <c r="U37" s="29"/>
      <c r="V37" s="29"/>
      <c r="W37" s="29"/>
      <c r="X37" s="29"/>
      <c r="Y37" s="223"/>
      <c r="Z37" s="242"/>
      <c r="AA37" s="243"/>
      <c r="AB37" s="244"/>
      <c r="AC37" s="245"/>
      <c r="AD37" s="246"/>
      <c r="AE37" s="247"/>
      <c r="AF37" s="29"/>
      <c r="AG37" s="29"/>
      <c r="AH37" s="29"/>
      <c r="AI37" s="223"/>
      <c r="AJ37" s="260"/>
      <c r="AK37" s="245"/>
      <c r="AL37" s="245"/>
      <c r="AM37" s="252"/>
      <c r="AN37" s="261"/>
      <c r="AO37" s="245"/>
      <c r="AP37" s="244"/>
      <c r="AQ37" s="267"/>
      <c r="AR37" s="252"/>
      <c r="AS37" s="252"/>
      <c r="AT37" s="252"/>
      <c r="AU37" s="252"/>
      <c r="AV37" s="29"/>
      <c r="AW37" s="282"/>
      <c r="AX37" s="283"/>
      <c r="AY37" s="275"/>
      <c r="AZ37" s="207"/>
      <c r="BA37" s="29"/>
      <c r="BB37" s="252"/>
      <c r="BC37" s="252"/>
      <c r="BD37" s="252"/>
      <c r="BE37" s="252"/>
      <c r="BF37" s="285"/>
      <c r="BG37" s="252"/>
      <c r="BH37" s="252"/>
      <c r="BI37" s="252"/>
      <c r="BJ37" s="288"/>
      <c r="BK37" s="288"/>
      <c r="BL37" s="286"/>
      <c r="BM37" s="283"/>
      <c r="BN37" s="283"/>
      <c r="BO37" s="275"/>
    </row>
    <row r="38" customHeight="1" spans="1:67">
      <c r="A38" s="207" t="b">
        <v>0</v>
      </c>
      <c r="B38" s="29" t="b">
        <v>0</v>
      </c>
      <c r="C38" s="29" t="b">
        <v>0</v>
      </c>
      <c r="D38" s="29" t="b">
        <v>0</v>
      </c>
      <c r="E38" s="208" t="b">
        <v>0</v>
      </c>
      <c r="F38" s="29"/>
      <c r="G38" s="29"/>
      <c r="H38" s="210"/>
      <c r="I38" s="29"/>
      <c r="J38" s="29"/>
      <c r="K38" s="29" t="b">
        <v>0</v>
      </c>
      <c r="L38" s="29" t="b">
        <v>0</v>
      </c>
      <c r="M38" s="29"/>
      <c r="N38" s="214"/>
      <c r="O38" s="215"/>
      <c r="P38" s="215"/>
      <c r="Q38" s="29"/>
      <c r="R38" s="29"/>
      <c r="S38" s="29"/>
      <c r="T38" s="29"/>
      <c r="U38" s="29"/>
      <c r="V38" s="29"/>
      <c r="W38" s="29"/>
      <c r="X38" s="29"/>
      <c r="Y38" s="223"/>
      <c r="Z38" s="242"/>
      <c r="AA38" s="243"/>
      <c r="AB38" s="244"/>
      <c r="AC38" s="245"/>
      <c r="AD38" s="246"/>
      <c r="AE38" s="247"/>
      <c r="AF38" s="29"/>
      <c r="AG38" s="29"/>
      <c r="AH38" s="29"/>
      <c r="AI38" s="223"/>
      <c r="AJ38" s="260"/>
      <c r="AK38" s="245"/>
      <c r="AL38" s="245"/>
      <c r="AM38" s="252"/>
      <c r="AN38" s="261"/>
      <c r="AO38" s="245"/>
      <c r="AP38" s="244"/>
      <c r="AQ38" s="267"/>
      <c r="AR38" s="252"/>
      <c r="AS38" s="252"/>
      <c r="AT38" s="252"/>
      <c r="AU38" s="252"/>
      <c r="AV38" s="29"/>
      <c r="AW38" s="282"/>
      <c r="AX38" s="283"/>
      <c r="AY38" s="275"/>
      <c r="AZ38" s="207"/>
      <c r="BA38" s="29"/>
      <c r="BB38" s="252"/>
      <c r="BC38" s="252"/>
      <c r="BD38" s="252"/>
      <c r="BE38" s="252"/>
      <c r="BF38" s="285"/>
      <c r="BG38" s="252"/>
      <c r="BH38" s="252"/>
      <c r="BI38" s="252"/>
      <c r="BJ38" s="288"/>
      <c r="BK38" s="288"/>
      <c r="BL38" s="286"/>
      <c r="BM38" s="283"/>
      <c r="BN38" s="283"/>
      <c r="BO38" s="275"/>
    </row>
    <row r="39" customHeight="1" spans="1:67">
      <c r="A39" s="207" t="b">
        <v>0</v>
      </c>
      <c r="B39" s="29" t="b">
        <v>0</v>
      </c>
      <c r="C39" s="29" t="b">
        <v>0</v>
      </c>
      <c r="D39" s="29" t="b">
        <v>0</v>
      </c>
      <c r="E39" s="208" t="b">
        <v>0</v>
      </c>
      <c r="F39" s="29"/>
      <c r="G39" s="29"/>
      <c r="H39" s="210"/>
      <c r="I39" s="29"/>
      <c r="J39" s="29"/>
      <c r="K39" s="29" t="b">
        <v>0</v>
      </c>
      <c r="L39" s="29" t="b">
        <v>0</v>
      </c>
      <c r="M39" s="29"/>
      <c r="N39" s="214"/>
      <c r="O39" s="215"/>
      <c r="P39" s="215"/>
      <c r="Q39" s="29"/>
      <c r="R39" s="29"/>
      <c r="S39" s="29"/>
      <c r="T39" s="29"/>
      <c r="U39" s="29"/>
      <c r="V39" s="29"/>
      <c r="W39" s="29"/>
      <c r="X39" s="29"/>
      <c r="Y39" s="223"/>
      <c r="Z39" s="242"/>
      <c r="AA39" s="243"/>
      <c r="AB39" s="244"/>
      <c r="AC39" s="245"/>
      <c r="AD39" s="246"/>
      <c r="AE39" s="247"/>
      <c r="AF39" s="29"/>
      <c r="AG39" s="29"/>
      <c r="AH39" s="29"/>
      <c r="AI39" s="223"/>
      <c r="AJ39" s="260"/>
      <c r="AK39" s="245"/>
      <c r="AL39" s="245"/>
      <c r="AM39" s="252"/>
      <c r="AN39" s="261"/>
      <c r="AO39" s="245"/>
      <c r="AP39" s="244"/>
      <c r="AQ39" s="267"/>
      <c r="AR39" s="252"/>
      <c r="AS39" s="252"/>
      <c r="AT39" s="252"/>
      <c r="AU39" s="252"/>
      <c r="AV39" s="29"/>
      <c r="AW39" s="282"/>
      <c r="AX39" s="283"/>
      <c r="AY39" s="275"/>
      <c r="AZ39" s="207"/>
      <c r="BA39" s="29"/>
      <c r="BB39" s="252"/>
      <c r="BC39" s="252"/>
      <c r="BD39" s="252"/>
      <c r="BE39" s="252"/>
      <c r="BF39" s="285"/>
      <c r="BG39" s="252"/>
      <c r="BH39" s="252"/>
      <c r="BI39" s="252"/>
      <c r="BJ39" s="288"/>
      <c r="BK39" s="288"/>
      <c r="BL39" s="286"/>
      <c r="BM39" s="283"/>
      <c r="BN39" s="283"/>
      <c r="BO39" s="275"/>
    </row>
    <row r="40" customHeight="1" spans="1:67">
      <c r="A40" s="207" t="b">
        <v>0</v>
      </c>
      <c r="B40" s="29" t="b">
        <v>0</v>
      </c>
      <c r="C40" s="29" t="b">
        <v>0</v>
      </c>
      <c r="D40" s="29" t="b">
        <v>0</v>
      </c>
      <c r="E40" s="208" t="b">
        <v>0</v>
      </c>
      <c r="F40" s="29"/>
      <c r="G40" s="29"/>
      <c r="H40" s="210"/>
      <c r="I40" s="29"/>
      <c r="J40" s="29"/>
      <c r="K40" s="29" t="b">
        <v>0</v>
      </c>
      <c r="L40" s="29" t="b">
        <v>0</v>
      </c>
      <c r="M40" s="29"/>
      <c r="N40" s="214"/>
      <c r="O40" s="215"/>
      <c r="P40" s="215"/>
      <c r="Q40" s="29"/>
      <c r="R40" s="29"/>
      <c r="S40" s="29"/>
      <c r="T40" s="29"/>
      <c r="U40" s="29"/>
      <c r="V40" s="29"/>
      <c r="W40" s="29"/>
      <c r="X40" s="29"/>
      <c r="Y40" s="223"/>
      <c r="Z40" s="242"/>
      <c r="AA40" s="243"/>
      <c r="AB40" s="244"/>
      <c r="AC40" s="245"/>
      <c r="AD40" s="246"/>
      <c r="AE40" s="247"/>
      <c r="AF40" s="29"/>
      <c r="AG40" s="29"/>
      <c r="AH40" s="29"/>
      <c r="AI40" s="223"/>
      <c r="AJ40" s="260"/>
      <c r="AK40" s="245"/>
      <c r="AL40" s="245"/>
      <c r="AM40" s="252"/>
      <c r="AN40" s="261"/>
      <c r="AO40" s="245"/>
      <c r="AP40" s="244"/>
      <c r="AQ40" s="267"/>
      <c r="AR40" s="252"/>
      <c r="AS40" s="252"/>
      <c r="AT40" s="252"/>
      <c r="AU40" s="252"/>
      <c r="AV40" s="29"/>
      <c r="AW40" s="282"/>
      <c r="AX40" s="283"/>
      <c r="AY40" s="275"/>
      <c r="AZ40" s="207"/>
      <c r="BA40" s="29"/>
      <c r="BB40" s="252"/>
      <c r="BC40" s="252"/>
      <c r="BD40" s="252"/>
      <c r="BE40" s="252"/>
      <c r="BF40" s="285"/>
      <c r="BG40" s="252"/>
      <c r="BH40" s="252"/>
      <c r="BI40" s="252"/>
      <c r="BJ40" s="288"/>
      <c r="BK40" s="288"/>
      <c r="BL40" s="286"/>
      <c r="BM40" s="283"/>
      <c r="BN40" s="283"/>
      <c r="BO40" s="275"/>
    </row>
    <row r="41" customHeight="1" spans="1:67">
      <c r="A41" s="207" t="b">
        <v>0</v>
      </c>
      <c r="B41" s="29" t="b">
        <v>0</v>
      </c>
      <c r="C41" s="29" t="b">
        <v>0</v>
      </c>
      <c r="D41" s="29" t="b">
        <v>0</v>
      </c>
      <c r="E41" s="208" t="b">
        <v>0</v>
      </c>
      <c r="F41" s="29"/>
      <c r="G41" s="29"/>
      <c r="H41" s="210"/>
      <c r="I41" s="29"/>
      <c r="J41" s="29"/>
      <c r="K41" s="29" t="b">
        <v>0</v>
      </c>
      <c r="L41" s="29" t="b">
        <v>0</v>
      </c>
      <c r="M41" s="29"/>
      <c r="N41" s="214"/>
      <c r="O41" s="215"/>
      <c r="P41" s="215"/>
      <c r="Q41" s="29"/>
      <c r="R41" s="29"/>
      <c r="S41" s="29"/>
      <c r="T41" s="29"/>
      <c r="U41" s="29"/>
      <c r="V41" s="29"/>
      <c r="W41" s="29"/>
      <c r="X41" s="29"/>
      <c r="Y41" s="223"/>
      <c r="Z41" s="242"/>
      <c r="AA41" s="243"/>
      <c r="AB41" s="244"/>
      <c r="AC41" s="245"/>
      <c r="AD41" s="246"/>
      <c r="AE41" s="247"/>
      <c r="AF41" s="29"/>
      <c r="AG41" s="29"/>
      <c r="AH41" s="29"/>
      <c r="AI41" s="223"/>
      <c r="AJ41" s="260"/>
      <c r="AK41" s="245"/>
      <c r="AL41" s="245"/>
      <c r="AM41" s="252"/>
      <c r="AN41" s="261"/>
      <c r="AO41" s="245"/>
      <c r="AP41" s="244"/>
      <c r="AQ41" s="267"/>
      <c r="AR41" s="252"/>
      <c r="AS41" s="252"/>
      <c r="AT41" s="252"/>
      <c r="AU41" s="252"/>
      <c r="AV41" s="29"/>
      <c r="AW41" s="282"/>
      <c r="AX41" s="283"/>
      <c r="AY41" s="275"/>
      <c r="AZ41" s="207"/>
      <c r="BA41" s="29"/>
      <c r="BB41" s="252"/>
      <c r="BC41" s="252"/>
      <c r="BD41" s="252"/>
      <c r="BE41" s="252"/>
      <c r="BF41" s="285"/>
      <c r="BG41" s="252"/>
      <c r="BH41" s="252"/>
      <c r="BI41" s="252"/>
      <c r="BJ41" s="288"/>
      <c r="BK41" s="288"/>
      <c r="BL41" s="286"/>
      <c r="BM41" s="283"/>
      <c r="BN41" s="283"/>
      <c r="BO41" s="275"/>
    </row>
    <row r="42" customHeight="1" spans="1:67">
      <c r="A42" s="207" t="b">
        <v>0</v>
      </c>
      <c r="B42" s="29" t="b">
        <v>0</v>
      </c>
      <c r="C42" s="29" t="b">
        <v>0</v>
      </c>
      <c r="D42" s="29" t="b">
        <v>0</v>
      </c>
      <c r="E42" s="208" t="b">
        <v>0</v>
      </c>
      <c r="F42" s="29"/>
      <c r="G42" s="29"/>
      <c r="H42" s="210"/>
      <c r="I42" s="29"/>
      <c r="J42" s="29"/>
      <c r="K42" s="29" t="b">
        <v>0</v>
      </c>
      <c r="L42" s="29" t="b">
        <v>0</v>
      </c>
      <c r="M42" s="29"/>
      <c r="N42" s="214"/>
      <c r="O42" s="215"/>
      <c r="P42" s="215"/>
      <c r="Q42" s="29"/>
      <c r="R42" s="29"/>
      <c r="S42" s="29"/>
      <c r="T42" s="29"/>
      <c r="U42" s="29"/>
      <c r="V42" s="29"/>
      <c r="W42" s="29"/>
      <c r="X42" s="29"/>
      <c r="Y42" s="223"/>
      <c r="Z42" s="242"/>
      <c r="AA42" s="243"/>
      <c r="AB42" s="244"/>
      <c r="AC42" s="245"/>
      <c r="AD42" s="246"/>
      <c r="AE42" s="247"/>
      <c r="AF42" s="29"/>
      <c r="AG42" s="29"/>
      <c r="AH42" s="29"/>
      <c r="AI42" s="223"/>
      <c r="AJ42" s="260"/>
      <c r="AK42" s="245"/>
      <c r="AL42" s="245"/>
      <c r="AM42" s="252"/>
      <c r="AN42" s="261"/>
      <c r="AO42" s="245"/>
      <c r="AP42" s="244"/>
      <c r="AQ42" s="267"/>
      <c r="AR42" s="252"/>
      <c r="AS42" s="252"/>
      <c r="AT42" s="252"/>
      <c r="AU42" s="252"/>
      <c r="AV42" s="29"/>
      <c r="AW42" s="282"/>
      <c r="AX42" s="283"/>
      <c r="AY42" s="275"/>
      <c r="AZ42" s="207"/>
      <c r="BA42" s="29"/>
      <c r="BB42" s="252"/>
      <c r="BC42" s="252"/>
      <c r="BD42" s="252"/>
      <c r="BE42" s="252"/>
      <c r="BF42" s="285"/>
      <c r="BG42" s="252"/>
      <c r="BH42" s="252"/>
      <c r="BI42" s="252"/>
      <c r="BJ42" s="288"/>
      <c r="BK42" s="288"/>
      <c r="BL42" s="286"/>
      <c r="BM42" s="283"/>
      <c r="BN42" s="283"/>
      <c r="BO42" s="275"/>
    </row>
    <row r="43" customHeight="1" spans="1:67">
      <c r="A43" s="207" t="b">
        <v>0</v>
      </c>
      <c r="B43" s="29" t="b">
        <v>0</v>
      </c>
      <c r="C43" s="29" t="b">
        <v>0</v>
      </c>
      <c r="D43" s="29" t="b">
        <v>0</v>
      </c>
      <c r="E43" s="208" t="b">
        <v>0</v>
      </c>
      <c r="F43" s="29"/>
      <c r="G43" s="29"/>
      <c r="H43" s="210"/>
      <c r="I43" s="29"/>
      <c r="J43" s="29"/>
      <c r="K43" s="29" t="b">
        <v>0</v>
      </c>
      <c r="L43" s="29" t="b">
        <v>0</v>
      </c>
      <c r="M43" s="29"/>
      <c r="N43" s="214"/>
      <c r="O43" s="215"/>
      <c r="P43" s="215"/>
      <c r="Q43" s="29"/>
      <c r="R43" s="29"/>
      <c r="S43" s="29"/>
      <c r="T43" s="29"/>
      <c r="U43" s="29"/>
      <c r="V43" s="29"/>
      <c r="W43" s="29"/>
      <c r="X43" s="29"/>
      <c r="Y43" s="223"/>
      <c r="Z43" s="242"/>
      <c r="AA43" s="243"/>
      <c r="AB43" s="244"/>
      <c r="AC43" s="245"/>
      <c r="AD43" s="246"/>
      <c r="AE43" s="247"/>
      <c r="AF43" s="29"/>
      <c r="AG43" s="29"/>
      <c r="AH43" s="29"/>
      <c r="AI43" s="223"/>
      <c r="AJ43" s="260"/>
      <c r="AK43" s="245"/>
      <c r="AL43" s="245"/>
      <c r="AM43" s="252"/>
      <c r="AN43" s="261"/>
      <c r="AO43" s="245"/>
      <c r="AP43" s="244"/>
      <c r="AQ43" s="267"/>
      <c r="AR43" s="252"/>
      <c r="AS43" s="252"/>
      <c r="AT43" s="252"/>
      <c r="AU43" s="252"/>
      <c r="AV43" s="29"/>
      <c r="AW43" s="282"/>
      <c r="AX43" s="283"/>
      <c r="AY43" s="275"/>
      <c r="AZ43" s="207"/>
      <c r="BA43" s="29"/>
      <c r="BB43" s="252"/>
      <c r="BC43" s="252"/>
      <c r="BD43" s="252"/>
      <c r="BE43" s="252"/>
      <c r="BF43" s="285"/>
      <c r="BG43" s="252"/>
      <c r="BH43" s="252"/>
      <c r="BI43" s="252"/>
      <c r="BJ43" s="288"/>
      <c r="BK43" s="288"/>
      <c r="BL43" s="286"/>
      <c r="BM43" s="283"/>
      <c r="BN43" s="283"/>
      <c r="BO43" s="275"/>
    </row>
    <row r="44" customHeight="1" spans="1:67">
      <c r="A44" s="207" t="b">
        <v>0</v>
      </c>
      <c r="B44" s="29" t="b">
        <v>0</v>
      </c>
      <c r="C44" s="29" t="b">
        <v>0</v>
      </c>
      <c r="D44" s="29" t="b">
        <v>0</v>
      </c>
      <c r="E44" s="208" t="b">
        <v>0</v>
      </c>
      <c r="F44" s="29"/>
      <c r="G44" s="29" t="s">
        <v>2409</v>
      </c>
      <c r="H44" s="210"/>
      <c r="I44" s="29"/>
      <c r="J44" s="29"/>
      <c r="K44" s="29" t="b">
        <v>0</v>
      </c>
      <c r="L44" s="29" t="b">
        <v>0</v>
      </c>
      <c r="M44" s="29"/>
      <c r="N44" s="214"/>
      <c r="O44" s="29"/>
      <c r="P44" s="215" t="str">
        <f t="shared" ref="P44:P110" si="61">IFERROR(1/O44,"")</f>
        <v/>
      </c>
      <c r="Q44" s="29"/>
      <c r="R44" s="29"/>
      <c r="S44" s="29"/>
      <c r="T44" s="29"/>
      <c r="U44" s="29"/>
      <c r="V44" s="29"/>
      <c r="W44" s="29"/>
      <c r="X44" s="29"/>
      <c r="Y44" s="223"/>
      <c r="Z44" s="242">
        <f t="shared" ref="Z44:Z110" si="62">Y44-25</f>
        <v>-25</v>
      </c>
      <c r="AA44" s="243"/>
      <c r="AB44" s="244">
        <v>95</v>
      </c>
      <c r="AC44" s="245">
        <f t="shared" ref="AC44:AC110" si="63">AB44/2</f>
        <v>47.5</v>
      </c>
      <c r="AD44" s="246">
        <v>1</v>
      </c>
      <c r="AE44" s="247">
        <f t="shared" ref="AE44:AE71" si="64">AC44+(AC44*AD44)</f>
        <v>95</v>
      </c>
      <c r="AF44" s="29"/>
      <c r="AG44" s="29"/>
      <c r="AH44" s="29"/>
      <c r="AI44" s="223"/>
      <c r="AJ44" s="260"/>
      <c r="AK44" s="245"/>
      <c r="AL44" s="245"/>
      <c r="AM44" s="252">
        <v>0</v>
      </c>
      <c r="AN44" s="261" t="e">
        <f t="shared" ref="AN44:AN110" si="65">Y44/AI44</f>
        <v>#DIV/0!</v>
      </c>
      <c r="AO44" s="245" t="s">
        <v>2387</v>
      </c>
      <c r="AP44" s="244" t="s">
        <v>2387</v>
      </c>
      <c r="AQ44" s="267">
        <v>0</v>
      </c>
      <c r="AR44" s="252" t="e">
        <f t="shared" ref="AR44:AR110" si="66">AK44*AN44+(AK44*AQ44)</f>
        <v>#DIV/0!</v>
      </c>
      <c r="AS44" s="252" t="e">
        <f t="shared" ref="AS44:AS110" si="67">AL44*AN44+(AL44*AQ44)</f>
        <v>#DIV/0!</v>
      </c>
      <c r="AT44" s="252" t="e">
        <f t="shared" ref="AT44:AT110" si="68">AP44*AN44+(AP44*AQ44)</f>
        <v>#VALUE!</v>
      </c>
      <c r="AU44" s="252">
        <f t="shared" ref="AU44:AU110" si="69">AK44*0.05</f>
        <v>0</v>
      </c>
      <c r="AV44" s="29"/>
      <c r="AW44" s="282" t="e">
        <f t="shared" ref="AW44:AW110" si="70">AE44+AR44</f>
        <v>#DIV/0!</v>
      </c>
      <c r="AX44" s="283" t="e">
        <f t="shared" ref="AX44:AX110" si="71">AE44+AS44</f>
        <v>#DIV/0!</v>
      </c>
      <c r="AY44" s="275" t="e">
        <f t="shared" ref="AY44:AY110" si="72">AE44+AT44</f>
        <v>#VALUE!</v>
      </c>
      <c r="AZ44" s="207"/>
      <c r="BA44" s="29"/>
      <c r="BB44" s="252" t="e">
        <f t="shared" ref="BB44:BB110" si="73">(BA44/AI44)*AP44</f>
        <v>#DIV/0!</v>
      </c>
      <c r="BC44" s="252" t="str">
        <f t="shared" ref="BC44:BC110" si="74">BD44</f>
        <v>#DIV/0!</v>
      </c>
      <c r="BD44" s="252" t="s">
        <v>2387</v>
      </c>
      <c r="BE44" s="252" t="s">
        <v>2387</v>
      </c>
      <c r="BF44" s="285" t="e">
        <f t="shared" ref="BF44:BF110" si="75">BA44/Y44</f>
        <v>#DIV/0!</v>
      </c>
      <c r="BG44" s="252">
        <f t="shared" ref="BG44:BG110" si="76">AB44</f>
        <v>95</v>
      </c>
      <c r="BH44" s="252" t="str">
        <f t="shared" ref="BH44:BH110" si="77">BI44</f>
        <v>#DIV/0!</v>
      </c>
      <c r="BI44" s="252" t="s">
        <v>2387</v>
      </c>
      <c r="BJ44" s="288" t="e">
        <f t="shared" ref="BJ44:BJ110" si="78">BI44+BD44</f>
        <v>#VALUE!</v>
      </c>
      <c r="BK44" s="288" t="e">
        <f t="shared" ref="BK44:BK110" si="79">BB44+(BI44*2)</f>
        <v>#DIV/0!</v>
      </c>
      <c r="BL44" s="286" t="e">
        <f t="shared" ref="BL44:BL110" si="80">BJ44/BK44</f>
        <v>#VALUE!</v>
      </c>
      <c r="BM44" s="283" t="e">
        <f t="shared" ref="BM44:BM110" si="81">BN44+BO44</f>
        <v>#VALUE!</v>
      </c>
      <c r="BN44" s="283" t="e">
        <f t="shared" ref="BN44:BN110" si="82">BE44-BI44</f>
        <v>#VALUE!</v>
      </c>
      <c r="BO44" s="275" t="e">
        <f t="shared" ref="BO44:BO110" si="83">BB44-BD44</f>
        <v>#DIV/0!</v>
      </c>
    </row>
    <row r="45" customHeight="1" spans="1:67">
      <c r="A45" s="207" t="b">
        <v>0</v>
      </c>
      <c r="B45" s="29" t="b">
        <v>0</v>
      </c>
      <c r="C45" s="29" t="b">
        <v>0</v>
      </c>
      <c r="D45" s="29" t="b">
        <v>0</v>
      </c>
      <c r="E45" s="208" t="b">
        <v>0</v>
      </c>
      <c r="F45" s="29"/>
      <c r="G45" s="29" t="s">
        <v>2410</v>
      </c>
      <c r="H45" s="210"/>
      <c r="I45" s="29"/>
      <c r="J45" s="29"/>
      <c r="K45" s="29" t="b">
        <v>0</v>
      </c>
      <c r="L45" s="29" t="b">
        <v>0</v>
      </c>
      <c r="M45" s="29"/>
      <c r="N45" s="214"/>
      <c r="O45" s="29"/>
      <c r="P45" s="215" t="str">
        <f t="shared" si="61"/>
        <v/>
      </c>
      <c r="Q45" s="29"/>
      <c r="R45" s="29"/>
      <c r="S45" s="29"/>
      <c r="T45" s="29"/>
      <c r="U45" s="29"/>
      <c r="V45" s="29"/>
      <c r="W45" s="29"/>
      <c r="X45" s="29"/>
      <c r="Y45" s="223"/>
      <c r="Z45" s="242">
        <f t="shared" si="62"/>
        <v>-25</v>
      </c>
      <c r="AA45" s="243"/>
      <c r="AB45" s="244"/>
      <c r="AC45" s="245">
        <f t="shared" si="63"/>
        <v>0</v>
      </c>
      <c r="AD45" s="246">
        <v>1</v>
      </c>
      <c r="AE45" s="247">
        <f t="shared" si="64"/>
        <v>0</v>
      </c>
      <c r="AF45" s="29"/>
      <c r="AG45" s="29"/>
      <c r="AH45" s="29"/>
      <c r="AI45" s="223"/>
      <c r="AJ45" s="260"/>
      <c r="AK45" s="245"/>
      <c r="AL45" s="245"/>
      <c r="AM45">
        <v>0</v>
      </c>
      <c r="AN45" s="261" t="e">
        <f t="shared" si="65"/>
        <v>#DIV/0!</v>
      </c>
      <c r="AO45" t="s">
        <v>2387</v>
      </c>
      <c r="AP45" t="s">
        <v>2387</v>
      </c>
      <c r="AQ45" s="267">
        <v>0</v>
      </c>
      <c r="AR45" s="252" t="e">
        <f t="shared" si="66"/>
        <v>#DIV/0!</v>
      </c>
      <c r="AS45" s="252" t="e">
        <f t="shared" si="67"/>
        <v>#DIV/0!</v>
      </c>
      <c r="AT45" s="252" t="e">
        <f t="shared" si="68"/>
        <v>#VALUE!</v>
      </c>
      <c r="AU45" s="252">
        <f t="shared" si="69"/>
        <v>0</v>
      </c>
      <c r="AV45" s="29"/>
      <c r="AW45" s="282" t="e">
        <f t="shared" si="70"/>
        <v>#DIV/0!</v>
      </c>
      <c r="AX45" s="283" t="e">
        <f t="shared" si="71"/>
        <v>#DIV/0!</v>
      </c>
      <c r="AY45" s="275" t="e">
        <f t="shared" si="72"/>
        <v>#VALUE!</v>
      </c>
      <c r="AZ45" s="207"/>
      <c r="BA45" s="29"/>
      <c r="BB45" s="252" t="e">
        <f t="shared" si="73"/>
        <v>#DIV/0!</v>
      </c>
      <c r="BC45" s="252" t="str">
        <f t="shared" si="74"/>
        <v>#DIV/0!</v>
      </c>
      <c r="BD45" t="s">
        <v>2387</v>
      </c>
      <c r="BE45" t="s">
        <v>2387</v>
      </c>
      <c r="BF45" s="285" t="e">
        <f t="shared" si="75"/>
        <v>#DIV/0!</v>
      </c>
      <c r="BG45" s="252">
        <f t="shared" si="76"/>
        <v>0</v>
      </c>
      <c r="BH45" s="252" t="str">
        <f t="shared" si="77"/>
        <v>#DIV/0!</v>
      </c>
      <c r="BI45" t="s">
        <v>2387</v>
      </c>
      <c r="BJ45" s="288" t="e">
        <f t="shared" si="78"/>
        <v>#VALUE!</v>
      </c>
      <c r="BK45" s="288" t="e">
        <f t="shared" si="79"/>
        <v>#DIV/0!</v>
      </c>
      <c r="BL45" s="286" t="e">
        <f t="shared" si="80"/>
        <v>#VALUE!</v>
      </c>
      <c r="BM45" s="283" t="e">
        <f t="shared" si="81"/>
        <v>#VALUE!</v>
      </c>
      <c r="BN45" s="283" t="e">
        <f t="shared" si="82"/>
        <v>#VALUE!</v>
      </c>
      <c r="BO45" s="275" t="e">
        <f t="shared" si="83"/>
        <v>#DIV/0!</v>
      </c>
    </row>
    <row r="46" customHeight="1" spans="1:67">
      <c r="A46" s="207" t="b">
        <v>0</v>
      </c>
      <c r="B46" s="29" t="b">
        <v>0</v>
      </c>
      <c r="C46" s="29" t="b">
        <v>0</v>
      </c>
      <c r="D46" s="29" t="b">
        <v>0</v>
      </c>
      <c r="E46" s="208" t="b">
        <v>0</v>
      </c>
      <c r="F46" s="29"/>
      <c r="G46" s="29" t="s">
        <v>2411</v>
      </c>
      <c r="H46" s="210"/>
      <c r="I46" s="29"/>
      <c r="J46" s="29"/>
      <c r="K46" s="29" t="b">
        <v>0</v>
      </c>
      <c r="L46" s="29" t="b">
        <v>0</v>
      </c>
      <c r="M46" s="29"/>
      <c r="N46" s="214"/>
      <c r="O46" s="29"/>
      <c r="P46" s="215" t="str">
        <f t="shared" si="61"/>
        <v/>
      </c>
      <c r="Q46" s="29"/>
      <c r="R46" s="29"/>
      <c r="S46" s="29"/>
      <c r="T46" s="29"/>
      <c r="U46" s="29"/>
      <c r="V46" s="29"/>
      <c r="W46" s="29"/>
      <c r="X46" s="29"/>
      <c r="Y46" s="223"/>
      <c r="Z46" s="242">
        <f t="shared" si="62"/>
        <v>-25</v>
      </c>
      <c r="AA46" s="243"/>
      <c r="AB46" s="244"/>
      <c r="AC46" s="245">
        <f t="shared" si="63"/>
        <v>0</v>
      </c>
      <c r="AD46" s="246">
        <v>1</v>
      </c>
      <c r="AE46" s="247">
        <f t="shared" si="64"/>
        <v>0</v>
      </c>
      <c r="AF46" s="29"/>
      <c r="AG46" s="29"/>
      <c r="AH46" s="29"/>
      <c r="AI46" s="223"/>
      <c r="AJ46" s="260"/>
      <c r="AK46" s="245"/>
      <c r="AL46" s="245"/>
      <c r="AM46">
        <v>0</v>
      </c>
      <c r="AN46" s="261" t="e">
        <f t="shared" si="65"/>
        <v>#DIV/0!</v>
      </c>
      <c r="AO46" t="s">
        <v>2387</v>
      </c>
      <c r="AP46" t="s">
        <v>2387</v>
      </c>
      <c r="AQ46" s="267">
        <v>0</v>
      </c>
      <c r="AR46" s="252" t="e">
        <f t="shared" si="66"/>
        <v>#DIV/0!</v>
      </c>
      <c r="AS46" s="252" t="e">
        <f t="shared" si="67"/>
        <v>#DIV/0!</v>
      </c>
      <c r="AT46" s="252" t="e">
        <f t="shared" si="68"/>
        <v>#VALUE!</v>
      </c>
      <c r="AU46" s="252">
        <f t="shared" si="69"/>
        <v>0</v>
      </c>
      <c r="AV46" s="29"/>
      <c r="AW46" s="282" t="e">
        <f t="shared" si="70"/>
        <v>#DIV/0!</v>
      </c>
      <c r="AX46" s="283" t="e">
        <f t="shared" si="71"/>
        <v>#DIV/0!</v>
      </c>
      <c r="AY46" s="275" t="e">
        <f t="shared" si="72"/>
        <v>#VALUE!</v>
      </c>
      <c r="AZ46" s="207"/>
      <c r="BA46" s="29"/>
      <c r="BB46" s="252" t="e">
        <f t="shared" si="73"/>
        <v>#DIV/0!</v>
      </c>
      <c r="BC46" s="252" t="str">
        <f t="shared" si="74"/>
        <v>#DIV/0!</v>
      </c>
      <c r="BD46" t="s">
        <v>2387</v>
      </c>
      <c r="BE46" t="s">
        <v>2387</v>
      </c>
      <c r="BF46" s="285" t="e">
        <f t="shared" si="75"/>
        <v>#DIV/0!</v>
      </c>
      <c r="BG46" s="252">
        <f t="shared" si="76"/>
        <v>0</v>
      </c>
      <c r="BH46" s="252" t="str">
        <f t="shared" si="77"/>
        <v>#DIV/0!</v>
      </c>
      <c r="BI46" t="s">
        <v>2387</v>
      </c>
      <c r="BJ46" s="288" t="e">
        <f t="shared" si="78"/>
        <v>#VALUE!</v>
      </c>
      <c r="BK46" s="288" t="e">
        <f t="shared" si="79"/>
        <v>#DIV/0!</v>
      </c>
      <c r="BL46" s="286" t="e">
        <f t="shared" si="80"/>
        <v>#VALUE!</v>
      </c>
      <c r="BM46" s="283" t="e">
        <f t="shared" si="81"/>
        <v>#VALUE!</v>
      </c>
      <c r="BN46" s="283" t="e">
        <f t="shared" si="82"/>
        <v>#VALUE!</v>
      </c>
      <c r="BO46" s="275" t="e">
        <f t="shared" si="83"/>
        <v>#DIV/0!</v>
      </c>
    </row>
    <row r="47" customHeight="1" spans="1:67">
      <c r="A47" s="207" t="b">
        <v>0</v>
      </c>
      <c r="B47" s="29" t="b">
        <v>0</v>
      </c>
      <c r="C47" s="29" t="b">
        <v>0</v>
      </c>
      <c r="D47" s="29" t="b">
        <v>0</v>
      </c>
      <c r="E47" s="208" t="b">
        <v>0</v>
      </c>
      <c r="F47" s="29"/>
      <c r="G47" s="29" t="s">
        <v>2412</v>
      </c>
      <c r="H47" s="210"/>
      <c r="I47" s="29"/>
      <c r="J47" s="29"/>
      <c r="K47" s="29" t="b">
        <v>0</v>
      </c>
      <c r="L47" s="29" t="b">
        <v>0</v>
      </c>
      <c r="M47" s="29"/>
      <c r="N47" s="214"/>
      <c r="O47" s="29"/>
      <c r="P47" s="215" t="str">
        <f t="shared" si="61"/>
        <v/>
      </c>
      <c r="Q47" s="29"/>
      <c r="R47" s="29"/>
      <c r="S47" s="29"/>
      <c r="T47" s="29"/>
      <c r="U47" s="29"/>
      <c r="V47" s="29"/>
      <c r="W47" s="29"/>
      <c r="X47" s="29"/>
      <c r="Y47" s="223"/>
      <c r="Z47" s="242">
        <f t="shared" si="62"/>
        <v>-25</v>
      </c>
      <c r="AA47" s="243"/>
      <c r="AB47" s="244"/>
      <c r="AC47" s="245">
        <f t="shared" si="63"/>
        <v>0</v>
      </c>
      <c r="AD47" s="246">
        <v>1</v>
      </c>
      <c r="AE47" s="247">
        <f t="shared" si="64"/>
        <v>0</v>
      </c>
      <c r="AF47" s="29"/>
      <c r="AG47" s="29"/>
      <c r="AH47" s="29"/>
      <c r="AI47" s="223"/>
      <c r="AJ47" s="260"/>
      <c r="AK47" s="245"/>
      <c r="AL47" s="245"/>
      <c r="AM47">
        <v>0</v>
      </c>
      <c r="AN47" s="261" t="e">
        <f t="shared" si="65"/>
        <v>#DIV/0!</v>
      </c>
      <c r="AO47" t="s">
        <v>2387</v>
      </c>
      <c r="AP47" t="s">
        <v>2387</v>
      </c>
      <c r="AQ47" s="267">
        <v>0</v>
      </c>
      <c r="AR47" s="252" t="e">
        <f t="shared" si="66"/>
        <v>#DIV/0!</v>
      </c>
      <c r="AS47" s="252" t="e">
        <f t="shared" si="67"/>
        <v>#DIV/0!</v>
      </c>
      <c r="AT47" s="252" t="e">
        <f t="shared" si="68"/>
        <v>#VALUE!</v>
      </c>
      <c r="AU47" s="252">
        <f t="shared" si="69"/>
        <v>0</v>
      </c>
      <c r="AV47" s="29"/>
      <c r="AW47" s="282" t="e">
        <f t="shared" si="70"/>
        <v>#DIV/0!</v>
      </c>
      <c r="AX47" s="283" t="e">
        <f t="shared" si="71"/>
        <v>#DIV/0!</v>
      </c>
      <c r="AY47" s="275" t="e">
        <f t="shared" si="72"/>
        <v>#VALUE!</v>
      </c>
      <c r="AZ47" s="207"/>
      <c r="BA47" s="29"/>
      <c r="BB47" s="252" t="e">
        <f t="shared" si="73"/>
        <v>#DIV/0!</v>
      </c>
      <c r="BC47" s="252" t="str">
        <f t="shared" si="74"/>
        <v>#DIV/0!</v>
      </c>
      <c r="BD47" t="s">
        <v>2387</v>
      </c>
      <c r="BE47" t="s">
        <v>2387</v>
      </c>
      <c r="BF47" s="285" t="e">
        <f t="shared" si="75"/>
        <v>#DIV/0!</v>
      </c>
      <c r="BG47" s="252">
        <f t="shared" si="76"/>
        <v>0</v>
      </c>
      <c r="BH47" s="252" t="str">
        <f t="shared" si="77"/>
        <v>#DIV/0!</v>
      </c>
      <c r="BI47" t="s">
        <v>2387</v>
      </c>
      <c r="BJ47" s="288" t="e">
        <f t="shared" si="78"/>
        <v>#VALUE!</v>
      </c>
      <c r="BK47" s="288" t="e">
        <f t="shared" si="79"/>
        <v>#DIV/0!</v>
      </c>
      <c r="BL47" s="286" t="e">
        <f t="shared" si="80"/>
        <v>#VALUE!</v>
      </c>
      <c r="BM47" s="283" t="e">
        <f t="shared" si="81"/>
        <v>#VALUE!</v>
      </c>
      <c r="BN47" s="283" t="e">
        <f t="shared" si="82"/>
        <v>#VALUE!</v>
      </c>
      <c r="BO47" s="275" t="e">
        <f t="shared" si="83"/>
        <v>#DIV/0!</v>
      </c>
    </row>
    <row r="48" customHeight="1" spans="1:67">
      <c r="A48" s="207" t="b">
        <v>0</v>
      </c>
      <c r="B48" s="29" t="b">
        <v>0</v>
      </c>
      <c r="C48" s="29" t="b">
        <v>0</v>
      </c>
      <c r="D48" s="29" t="b">
        <v>0</v>
      </c>
      <c r="E48" s="208" t="b">
        <v>0</v>
      </c>
      <c r="F48" s="29"/>
      <c r="G48" s="29" t="s">
        <v>2413</v>
      </c>
      <c r="H48" s="210"/>
      <c r="I48" s="29"/>
      <c r="J48" s="29"/>
      <c r="K48" s="29" t="b">
        <v>0</v>
      </c>
      <c r="L48" s="29" t="b">
        <v>0</v>
      </c>
      <c r="M48" s="29"/>
      <c r="N48" s="214"/>
      <c r="O48" s="29"/>
      <c r="P48" s="215" t="str">
        <f t="shared" si="61"/>
        <v/>
      </c>
      <c r="Q48" s="29"/>
      <c r="R48" s="29"/>
      <c r="S48" s="29"/>
      <c r="T48" s="29"/>
      <c r="U48" s="29"/>
      <c r="V48" s="29"/>
      <c r="W48" s="29"/>
      <c r="X48" s="29"/>
      <c r="Y48" s="223"/>
      <c r="Z48" s="242">
        <f t="shared" si="62"/>
        <v>-25</v>
      </c>
      <c r="AA48" s="243"/>
      <c r="AB48" s="244"/>
      <c r="AC48" s="245">
        <f t="shared" si="63"/>
        <v>0</v>
      </c>
      <c r="AD48" s="246">
        <v>1</v>
      </c>
      <c r="AE48" s="247">
        <f t="shared" si="64"/>
        <v>0</v>
      </c>
      <c r="AF48" s="29"/>
      <c r="AG48" s="29"/>
      <c r="AH48" s="29"/>
      <c r="AI48" s="223"/>
      <c r="AJ48" s="260"/>
      <c r="AK48" s="245"/>
      <c r="AL48" s="245"/>
      <c r="AM48">
        <v>0</v>
      </c>
      <c r="AN48" s="261" t="e">
        <f t="shared" si="65"/>
        <v>#DIV/0!</v>
      </c>
      <c r="AO48" t="s">
        <v>2387</v>
      </c>
      <c r="AP48" t="s">
        <v>2387</v>
      </c>
      <c r="AQ48" s="267">
        <v>0</v>
      </c>
      <c r="AR48" s="252" t="e">
        <f t="shared" si="66"/>
        <v>#DIV/0!</v>
      </c>
      <c r="AS48" s="252" t="e">
        <f t="shared" si="67"/>
        <v>#DIV/0!</v>
      </c>
      <c r="AT48" s="252" t="e">
        <f t="shared" si="68"/>
        <v>#VALUE!</v>
      </c>
      <c r="AU48" s="252">
        <f t="shared" si="69"/>
        <v>0</v>
      </c>
      <c r="AV48" s="29"/>
      <c r="AW48" s="282" t="e">
        <f t="shared" si="70"/>
        <v>#DIV/0!</v>
      </c>
      <c r="AX48" s="283" t="e">
        <f t="shared" si="71"/>
        <v>#DIV/0!</v>
      </c>
      <c r="AY48" s="275" t="e">
        <f t="shared" si="72"/>
        <v>#VALUE!</v>
      </c>
      <c r="AZ48" s="207"/>
      <c r="BA48" s="29"/>
      <c r="BB48" s="252" t="e">
        <f t="shared" si="73"/>
        <v>#DIV/0!</v>
      </c>
      <c r="BC48" s="252" t="str">
        <f t="shared" si="74"/>
        <v>#DIV/0!</v>
      </c>
      <c r="BD48" t="s">
        <v>2387</v>
      </c>
      <c r="BE48" t="s">
        <v>2387</v>
      </c>
      <c r="BF48" s="285" t="e">
        <f t="shared" si="75"/>
        <v>#DIV/0!</v>
      </c>
      <c r="BG48" s="252">
        <f t="shared" si="76"/>
        <v>0</v>
      </c>
      <c r="BH48" s="252" t="str">
        <f t="shared" si="77"/>
        <v>#DIV/0!</v>
      </c>
      <c r="BI48" t="s">
        <v>2387</v>
      </c>
      <c r="BJ48" s="288" t="e">
        <f t="shared" si="78"/>
        <v>#VALUE!</v>
      </c>
      <c r="BK48" s="288" t="e">
        <f t="shared" si="79"/>
        <v>#DIV/0!</v>
      </c>
      <c r="BL48" s="286" t="e">
        <f t="shared" si="80"/>
        <v>#VALUE!</v>
      </c>
      <c r="BM48" s="283" t="e">
        <f t="shared" si="81"/>
        <v>#VALUE!</v>
      </c>
      <c r="BN48" s="283" t="e">
        <f t="shared" si="82"/>
        <v>#VALUE!</v>
      </c>
      <c r="BO48" s="275" t="e">
        <f t="shared" si="83"/>
        <v>#DIV/0!</v>
      </c>
    </row>
    <row r="49" customHeight="1" spans="1:67">
      <c r="A49" s="207" t="b">
        <v>0</v>
      </c>
      <c r="B49" s="29" t="b">
        <v>0</v>
      </c>
      <c r="C49" s="29" t="b">
        <v>0</v>
      </c>
      <c r="D49" s="29" t="b">
        <v>0</v>
      </c>
      <c r="E49" s="208" t="b">
        <v>0</v>
      </c>
      <c r="F49" s="29"/>
      <c r="G49" s="29" t="s">
        <v>2414</v>
      </c>
      <c r="H49" s="210"/>
      <c r="I49" s="29"/>
      <c r="J49" s="29"/>
      <c r="K49" s="29" t="b">
        <v>0</v>
      </c>
      <c r="L49" s="29" t="b">
        <v>0</v>
      </c>
      <c r="M49" s="29"/>
      <c r="N49" s="214"/>
      <c r="O49" s="29"/>
      <c r="P49" s="215" t="str">
        <f t="shared" si="61"/>
        <v/>
      </c>
      <c r="Q49" s="29"/>
      <c r="R49" s="29"/>
      <c r="S49" s="29"/>
      <c r="T49" s="29"/>
      <c r="U49" s="29"/>
      <c r="V49" s="29"/>
      <c r="W49" s="29"/>
      <c r="X49" s="29"/>
      <c r="Y49" s="223"/>
      <c r="Z49" s="242">
        <f t="shared" si="62"/>
        <v>-25</v>
      </c>
      <c r="AA49" s="243"/>
      <c r="AB49" s="244"/>
      <c r="AC49" s="245">
        <f t="shared" si="63"/>
        <v>0</v>
      </c>
      <c r="AD49" s="246">
        <v>1</v>
      </c>
      <c r="AE49" s="247">
        <f t="shared" si="64"/>
        <v>0</v>
      </c>
      <c r="AF49" s="29"/>
      <c r="AG49" s="29"/>
      <c r="AH49" s="29"/>
      <c r="AI49" s="223"/>
      <c r="AJ49" s="260"/>
      <c r="AK49" s="245"/>
      <c r="AL49" s="245"/>
      <c r="AM49">
        <v>0</v>
      </c>
      <c r="AN49" s="261" t="e">
        <f t="shared" si="65"/>
        <v>#DIV/0!</v>
      </c>
      <c r="AO49" t="s">
        <v>2387</v>
      </c>
      <c r="AP49" t="s">
        <v>2387</v>
      </c>
      <c r="AQ49" s="267">
        <v>0</v>
      </c>
      <c r="AR49" s="252" t="e">
        <f t="shared" si="66"/>
        <v>#DIV/0!</v>
      </c>
      <c r="AS49" s="252" t="e">
        <f t="shared" si="67"/>
        <v>#DIV/0!</v>
      </c>
      <c r="AT49" s="252" t="e">
        <f t="shared" si="68"/>
        <v>#VALUE!</v>
      </c>
      <c r="AU49" s="252">
        <f t="shared" si="69"/>
        <v>0</v>
      </c>
      <c r="AV49" s="29"/>
      <c r="AW49" s="282" t="e">
        <f t="shared" si="70"/>
        <v>#DIV/0!</v>
      </c>
      <c r="AX49" s="283" t="e">
        <f t="shared" si="71"/>
        <v>#DIV/0!</v>
      </c>
      <c r="AY49" s="275" t="e">
        <f t="shared" si="72"/>
        <v>#VALUE!</v>
      </c>
      <c r="AZ49" s="207"/>
      <c r="BA49" s="29"/>
      <c r="BB49" s="252" t="e">
        <f t="shared" si="73"/>
        <v>#DIV/0!</v>
      </c>
      <c r="BC49" s="252" t="str">
        <f t="shared" si="74"/>
        <v>#DIV/0!</v>
      </c>
      <c r="BD49" t="s">
        <v>2387</v>
      </c>
      <c r="BE49" t="s">
        <v>2387</v>
      </c>
      <c r="BF49" s="285" t="e">
        <f t="shared" si="75"/>
        <v>#DIV/0!</v>
      </c>
      <c r="BG49" s="252">
        <f t="shared" si="76"/>
        <v>0</v>
      </c>
      <c r="BH49" s="252" t="str">
        <f t="shared" si="77"/>
        <v>#DIV/0!</v>
      </c>
      <c r="BI49" t="s">
        <v>2387</v>
      </c>
      <c r="BJ49" s="288" t="e">
        <f t="shared" si="78"/>
        <v>#VALUE!</v>
      </c>
      <c r="BK49" s="288" t="e">
        <f t="shared" si="79"/>
        <v>#DIV/0!</v>
      </c>
      <c r="BL49" s="286" t="e">
        <f t="shared" si="80"/>
        <v>#VALUE!</v>
      </c>
      <c r="BM49" s="283" t="e">
        <f t="shared" si="81"/>
        <v>#VALUE!</v>
      </c>
      <c r="BN49" s="283" t="e">
        <f t="shared" si="82"/>
        <v>#VALUE!</v>
      </c>
      <c r="BO49" s="275" t="e">
        <f t="shared" si="83"/>
        <v>#DIV/0!</v>
      </c>
    </row>
    <row r="50" customHeight="1" spans="1:67">
      <c r="A50" s="207" t="b">
        <v>0</v>
      </c>
      <c r="B50" s="29" t="b">
        <v>0</v>
      </c>
      <c r="C50" s="29" t="b">
        <v>0</v>
      </c>
      <c r="D50" s="29" t="b">
        <v>0</v>
      </c>
      <c r="E50" s="208" t="b">
        <v>0</v>
      </c>
      <c r="F50" s="29"/>
      <c r="G50" s="29" t="s">
        <v>2415</v>
      </c>
      <c r="H50" s="210"/>
      <c r="I50" s="29"/>
      <c r="J50" s="29"/>
      <c r="K50" s="29" t="b">
        <v>0</v>
      </c>
      <c r="L50" s="29" t="b">
        <v>0</v>
      </c>
      <c r="M50" s="29"/>
      <c r="N50" s="214"/>
      <c r="O50" s="29"/>
      <c r="P50" s="215" t="str">
        <f t="shared" si="61"/>
        <v/>
      </c>
      <c r="Q50" s="29"/>
      <c r="R50" s="29"/>
      <c r="S50" s="29"/>
      <c r="T50" s="29"/>
      <c r="U50" s="29"/>
      <c r="V50" s="29"/>
      <c r="W50" s="29"/>
      <c r="X50" s="29"/>
      <c r="Y50" s="223"/>
      <c r="Z50" s="242">
        <f t="shared" si="62"/>
        <v>-25</v>
      </c>
      <c r="AA50" s="243"/>
      <c r="AB50" s="244"/>
      <c r="AC50" s="245">
        <f t="shared" si="63"/>
        <v>0</v>
      </c>
      <c r="AD50" s="246">
        <v>1</v>
      </c>
      <c r="AE50" s="247">
        <f t="shared" si="64"/>
        <v>0</v>
      </c>
      <c r="AF50" s="29"/>
      <c r="AG50" s="29"/>
      <c r="AH50" s="29"/>
      <c r="AI50" s="223"/>
      <c r="AJ50" s="260"/>
      <c r="AK50" s="245"/>
      <c r="AL50" s="245"/>
      <c r="AM50">
        <v>0</v>
      </c>
      <c r="AN50" s="261" t="e">
        <f t="shared" si="65"/>
        <v>#DIV/0!</v>
      </c>
      <c r="AO50" t="s">
        <v>2387</v>
      </c>
      <c r="AP50" t="s">
        <v>2387</v>
      </c>
      <c r="AQ50" s="267">
        <v>0</v>
      </c>
      <c r="AR50" s="252" t="e">
        <f t="shared" si="66"/>
        <v>#DIV/0!</v>
      </c>
      <c r="AS50" s="252" t="e">
        <f t="shared" si="67"/>
        <v>#DIV/0!</v>
      </c>
      <c r="AT50" s="252" t="e">
        <f t="shared" si="68"/>
        <v>#VALUE!</v>
      </c>
      <c r="AU50" s="252">
        <f t="shared" si="69"/>
        <v>0</v>
      </c>
      <c r="AV50" s="29"/>
      <c r="AW50" s="282" t="e">
        <f t="shared" si="70"/>
        <v>#DIV/0!</v>
      </c>
      <c r="AX50" s="283" t="e">
        <f t="shared" si="71"/>
        <v>#DIV/0!</v>
      </c>
      <c r="AY50" s="275" t="e">
        <f t="shared" si="72"/>
        <v>#VALUE!</v>
      </c>
      <c r="AZ50" s="207"/>
      <c r="BA50" s="29"/>
      <c r="BB50" s="252" t="e">
        <f t="shared" si="73"/>
        <v>#DIV/0!</v>
      </c>
      <c r="BC50" s="252" t="str">
        <f t="shared" si="74"/>
        <v>#DIV/0!</v>
      </c>
      <c r="BD50" t="s">
        <v>2387</v>
      </c>
      <c r="BE50" t="s">
        <v>2387</v>
      </c>
      <c r="BF50" s="285" t="e">
        <f t="shared" si="75"/>
        <v>#DIV/0!</v>
      </c>
      <c r="BG50" s="252">
        <f t="shared" si="76"/>
        <v>0</v>
      </c>
      <c r="BH50" s="252" t="str">
        <f t="shared" si="77"/>
        <v>#DIV/0!</v>
      </c>
      <c r="BI50" t="s">
        <v>2387</v>
      </c>
      <c r="BJ50" s="288" t="e">
        <f t="shared" si="78"/>
        <v>#VALUE!</v>
      </c>
      <c r="BK50" s="288" t="e">
        <f t="shared" si="79"/>
        <v>#DIV/0!</v>
      </c>
      <c r="BL50" s="286" t="e">
        <f t="shared" si="80"/>
        <v>#VALUE!</v>
      </c>
      <c r="BM50" s="283" t="e">
        <f t="shared" si="81"/>
        <v>#VALUE!</v>
      </c>
      <c r="BN50" s="283" t="e">
        <f t="shared" si="82"/>
        <v>#VALUE!</v>
      </c>
      <c r="BO50" s="275" t="e">
        <f t="shared" si="83"/>
        <v>#DIV/0!</v>
      </c>
    </row>
    <row r="51" customHeight="1" spans="1:67">
      <c r="A51" s="207" t="b">
        <v>0</v>
      </c>
      <c r="B51" s="29" t="b">
        <v>0</v>
      </c>
      <c r="C51" s="29" t="b">
        <v>0</v>
      </c>
      <c r="D51" s="29" t="b">
        <v>0</v>
      </c>
      <c r="E51" s="208" t="b">
        <v>0</v>
      </c>
      <c r="F51" s="29"/>
      <c r="G51" s="29" t="s">
        <v>2416</v>
      </c>
      <c r="H51" s="210"/>
      <c r="I51" s="29"/>
      <c r="J51" s="29"/>
      <c r="K51" s="29" t="b">
        <v>0</v>
      </c>
      <c r="L51" s="29" t="b">
        <v>0</v>
      </c>
      <c r="M51" s="29"/>
      <c r="N51" s="214"/>
      <c r="O51" s="29"/>
      <c r="P51" s="215" t="str">
        <f t="shared" si="61"/>
        <v/>
      </c>
      <c r="Q51" s="29"/>
      <c r="R51" s="29"/>
      <c r="S51" s="29"/>
      <c r="T51" s="29"/>
      <c r="U51" s="29"/>
      <c r="V51" s="29"/>
      <c r="W51" s="29"/>
      <c r="X51" s="29"/>
      <c r="Y51" s="223"/>
      <c r="Z51" s="242">
        <f t="shared" si="62"/>
        <v>-25</v>
      </c>
      <c r="AA51" s="243"/>
      <c r="AB51" s="244"/>
      <c r="AC51" s="245">
        <f t="shared" si="63"/>
        <v>0</v>
      </c>
      <c r="AD51" s="246">
        <v>1</v>
      </c>
      <c r="AE51" s="247">
        <f t="shared" si="64"/>
        <v>0</v>
      </c>
      <c r="AF51" s="29"/>
      <c r="AG51" s="29"/>
      <c r="AH51" s="29"/>
      <c r="AI51" s="223"/>
      <c r="AJ51" s="260"/>
      <c r="AK51" s="245"/>
      <c r="AL51" s="245"/>
      <c r="AM51">
        <v>0</v>
      </c>
      <c r="AN51" s="261" t="e">
        <f t="shared" si="65"/>
        <v>#DIV/0!</v>
      </c>
      <c r="AO51" t="s">
        <v>2387</v>
      </c>
      <c r="AP51" t="s">
        <v>2387</v>
      </c>
      <c r="AQ51" s="267">
        <v>0</v>
      </c>
      <c r="AR51" s="252" t="e">
        <f t="shared" si="66"/>
        <v>#DIV/0!</v>
      </c>
      <c r="AS51" s="252" t="e">
        <f t="shared" si="67"/>
        <v>#DIV/0!</v>
      </c>
      <c r="AT51" s="252" t="e">
        <f t="shared" si="68"/>
        <v>#VALUE!</v>
      </c>
      <c r="AU51" s="252">
        <f t="shared" si="69"/>
        <v>0</v>
      </c>
      <c r="AV51" s="29"/>
      <c r="AW51" s="282" t="e">
        <f t="shared" si="70"/>
        <v>#DIV/0!</v>
      </c>
      <c r="AX51" s="283" t="e">
        <f t="shared" si="71"/>
        <v>#DIV/0!</v>
      </c>
      <c r="AY51" s="275" t="e">
        <f t="shared" si="72"/>
        <v>#VALUE!</v>
      </c>
      <c r="AZ51" s="207"/>
      <c r="BA51" s="29"/>
      <c r="BB51" s="252" t="e">
        <f t="shared" si="73"/>
        <v>#DIV/0!</v>
      </c>
      <c r="BC51" s="252" t="str">
        <f t="shared" si="74"/>
        <v>#DIV/0!</v>
      </c>
      <c r="BD51" t="s">
        <v>2387</v>
      </c>
      <c r="BE51" t="s">
        <v>2387</v>
      </c>
      <c r="BF51" s="285" t="e">
        <f t="shared" si="75"/>
        <v>#DIV/0!</v>
      </c>
      <c r="BG51" s="252">
        <f t="shared" si="76"/>
        <v>0</v>
      </c>
      <c r="BH51" s="252" t="str">
        <f t="shared" si="77"/>
        <v>#DIV/0!</v>
      </c>
      <c r="BI51" t="s">
        <v>2387</v>
      </c>
      <c r="BJ51" s="288" t="e">
        <f t="shared" si="78"/>
        <v>#VALUE!</v>
      </c>
      <c r="BK51" s="288" t="e">
        <f t="shared" si="79"/>
        <v>#DIV/0!</v>
      </c>
      <c r="BL51" s="286" t="e">
        <f t="shared" si="80"/>
        <v>#VALUE!</v>
      </c>
      <c r="BM51" s="283" t="e">
        <f t="shared" si="81"/>
        <v>#VALUE!</v>
      </c>
      <c r="BN51" s="283" t="e">
        <f t="shared" si="82"/>
        <v>#VALUE!</v>
      </c>
      <c r="BO51" s="275" t="e">
        <f t="shared" si="83"/>
        <v>#DIV/0!</v>
      </c>
    </row>
    <row r="52" customHeight="1" spans="1:67">
      <c r="A52" s="207" t="b">
        <v>0</v>
      </c>
      <c r="B52" s="29" t="b">
        <v>0</v>
      </c>
      <c r="C52" s="29" t="b">
        <v>0</v>
      </c>
      <c r="D52" s="29" t="b">
        <v>0</v>
      </c>
      <c r="E52" s="208" t="b">
        <v>0</v>
      </c>
      <c r="F52" s="29"/>
      <c r="G52" s="29" t="s">
        <v>2417</v>
      </c>
      <c r="H52" s="210"/>
      <c r="I52" s="29"/>
      <c r="J52" s="29"/>
      <c r="K52" s="29" t="b">
        <v>0</v>
      </c>
      <c r="L52" s="29" t="b">
        <v>0</v>
      </c>
      <c r="M52" s="29"/>
      <c r="N52" s="214"/>
      <c r="O52" s="29"/>
      <c r="P52" s="215" t="str">
        <f t="shared" si="61"/>
        <v/>
      </c>
      <c r="Q52" s="29"/>
      <c r="R52" s="29"/>
      <c r="S52" s="29"/>
      <c r="T52" s="29"/>
      <c r="U52" s="29"/>
      <c r="V52" s="29"/>
      <c r="W52" s="29"/>
      <c r="X52" s="29"/>
      <c r="Y52" s="223"/>
      <c r="Z52" s="242">
        <f t="shared" si="62"/>
        <v>-25</v>
      </c>
      <c r="AA52" s="243"/>
      <c r="AB52" s="244"/>
      <c r="AC52" s="245">
        <f t="shared" si="63"/>
        <v>0</v>
      </c>
      <c r="AD52" s="246">
        <v>1</v>
      </c>
      <c r="AE52" s="247">
        <f t="shared" si="64"/>
        <v>0</v>
      </c>
      <c r="AF52" s="29"/>
      <c r="AG52" s="29"/>
      <c r="AH52" s="29"/>
      <c r="AI52" s="223"/>
      <c r="AJ52" s="260"/>
      <c r="AK52" s="245"/>
      <c r="AL52" s="245"/>
      <c r="AM52">
        <v>0</v>
      </c>
      <c r="AN52" s="261" t="e">
        <f t="shared" si="65"/>
        <v>#DIV/0!</v>
      </c>
      <c r="AO52" t="s">
        <v>2387</v>
      </c>
      <c r="AP52" t="s">
        <v>2387</v>
      </c>
      <c r="AQ52" s="267">
        <v>0</v>
      </c>
      <c r="AR52" s="252" t="e">
        <f t="shared" si="66"/>
        <v>#DIV/0!</v>
      </c>
      <c r="AS52" s="252" t="e">
        <f t="shared" si="67"/>
        <v>#DIV/0!</v>
      </c>
      <c r="AT52" s="252" t="e">
        <f t="shared" si="68"/>
        <v>#VALUE!</v>
      </c>
      <c r="AU52" s="252">
        <f t="shared" si="69"/>
        <v>0</v>
      </c>
      <c r="AV52" s="29"/>
      <c r="AW52" s="282" t="e">
        <f t="shared" si="70"/>
        <v>#DIV/0!</v>
      </c>
      <c r="AX52" s="283" t="e">
        <f t="shared" si="71"/>
        <v>#DIV/0!</v>
      </c>
      <c r="AY52" s="275" t="e">
        <f t="shared" si="72"/>
        <v>#VALUE!</v>
      </c>
      <c r="AZ52" s="207"/>
      <c r="BA52" s="29"/>
      <c r="BB52" s="252" t="e">
        <f t="shared" si="73"/>
        <v>#DIV/0!</v>
      </c>
      <c r="BC52" s="252" t="str">
        <f t="shared" si="74"/>
        <v>#DIV/0!</v>
      </c>
      <c r="BD52" t="s">
        <v>2387</v>
      </c>
      <c r="BE52" t="s">
        <v>2387</v>
      </c>
      <c r="BF52" s="285" t="e">
        <f t="shared" si="75"/>
        <v>#DIV/0!</v>
      </c>
      <c r="BG52" s="252">
        <f t="shared" si="76"/>
        <v>0</v>
      </c>
      <c r="BH52" s="252" t="str">
        <f t="shared" si="77"/>
        <v>#DIV/0!</v>
      </c>
      <c r="BI52" t="s">
        <v>2387</v>
      </c>
      <c r="BJ52" s="288" t="e">
        <f t="shared" si="78"/>
        <v>#VALUE!</v>
      </c>
      <c r="BK52" s="288" t="e">
        <f t="shared" si="79"/>
        <v>#DIV/0!</v>
      </c>
      <c r="BL52" s="286" t="e">
        <f t="shared" si="80"/>
        <v>#VALUE!</v>
      </c>
      <c r="BM52" s="283" t="e">
        <f t="shared" si="81"/>
        <v>#VALUE!</v>
      </c>
      <c r="BN52" s="283" t="e">
        <f t="shared" si="82"/>
        <v>#VALUE!</v>
      </c>
      <c r="BO52" s="275" t="e">
        <f t="shared" si="83"/>
        <v>#DIV/0!</v>
      </c>
    </row>
    <row r="53" customHeight="1" spans="1:67">
      <c r="A53" s="207" t="b">
        <v>0</v>
      </c>
      <c r="B53" s="29" t="b">
        <v>0</v>
      </c>
      <c r="C53" s="29" t="b">
        <v>0</v>
      </c>
      <c r="D53" s="29" t="b">
        <v>0</v>
      </c>
      <c r="E53" s="208" t="b">
        <v>0</v>
      </c>
      <c r="F53" s="29"/>
      <c r="G53" s="29" t="s">
        <v>2418</v>
      </c>
      <c r="H53" s="210"/>
      <c r="I53" s="29"/>
      <c r="J53" s="29"/>
      <c r="K53" s="29" t="b">
        <v>0</v>
      </c>
      <c r="L53" s="29" t="b">
        <v>0</v>
      </c>
      <c r="M53" s="29"/>
      <c r="N53" s="214"/>
      <c r="O53" s="29"/>
      <c r="P53" s="215" t="str">
        <f t="shared" si="61"/>
        <v/>
      </c>
      <c r="Q53" s="29"/>
      <c r="R53" s="29"/>
      <c r="S53" s="29"/>
      <c r="T53" s="29"/>
      <c r="U53" s="29"/>
      <c r="V53" s="29"/>
      <c r="W53" s="29"/>
      <c r="X53" s="29"/>
      <c r="Y53" s="223"/>
      <c r="Z53" s="242">
        <f t="shared" si="62"/>
        <v>-25</v>
      </c>
      <c r="AA53" s="243"/>
      <c r="AB53" s="244"/>
      <c r="AC53" s="245">
        <f t="shared" si="63"/>
        <v>0</v>
      </c>
      <c r="AD53" s="246">
        <v>1</v>
      </c>
      <c r="AE53" s="247">
        <f t="shared" si="64"/>
        <v>0</v>
      </c>
      <c r="AF53" s="29"/>
      <c r="AG53" s="29"/>
      <c r="AH53" s="29"/>
      <c r="AI53" s="223"/>
      <c r="AJ53" s="260"/>
      <c r="AK53" s="245"/>
      <c r="AL53" s="245"/>
      <c r="AM53">
        <v>0</v>
      </c>
      <c r="AN53" s="261" t="e">
        <f t="shared" si="65"/>
        <v>#DIV/0!</v>
      </c>
      <c r="AO53" t="s">
        <v>2387</v>
      </c>
      <c r="AP53" t="s">
        <v>2387</v>
      </c>
      <c r="AQ53" s="267">
        <v>0</v>
      </c>
      <c r="AR53" s="252" t="e">
        <f t="shared" si="66"/>
        <v>#DIV/0!</v>
      </c>
      <c r="AS53" s="252" t="e">
        <f t="shared" si="67"/>
        <v>#DIV/0!</v>
      </c>
      <c r="AT53" s="252" t="e">
        <f t="shared" si="68"/>
        <v>#VALUE!</v>
      </c>
      <c r="AU53" s="252">
        <f t="shared" si="69"/>
        <v>0</v>
      </c>
      <c r="AV53" s="29"/>
      <c r="AW53" s="282" t="e">
        <f t="shared" si="70"/>
        <v>#DIV/0!</v>
      </c>
      <c r="AX53" s="283" t="e">
        <f t="shared" si="71"/>
        <v>#DIV/0!</v>
      </c>
      <c r="AY53" s="275" t="e">
        <f t="shared" si="72"/>
        <v>#VALUE!</v>
      </c>
      <c r="AZ53" s="207"/>
      <c r="BA53" s="29"/>
      <c r="BB53" s="252" t="e">
        <f t="shared" si="73"/>
        <v>#DIV/0!</v>
      </c>
      <c r="BC53" s="252" t="str">
        <f t="shared" si="74"/>
        <v>#DIV/0!</v>
      </c>
      <c r="BD53" t="s">
        <v>2387</v>
      </c>
      <c r="BE53" t="s">
        <v>2387</v>
      </c>
      <c r="BF53" s="285" t="e">
        <f t="shared" si="75"/>
        <v>#DIV/0!</v>
      </c>
      <c r="BG53" s="252">
        <f t="shared" si="76"/>
        <v>0</v>
      </c>
      <c r="BH53" s="252" t="str">
        <f t="shared" si="77"/>
        <v>#DIV/0!</v>
      </c>
      <c r="BI53" t="s">
        <v>2387</v>
      </c>
      <c r="BJ53" s="288" t="e">
        <f t="shared" si="78"/>
        <v>#VALUE!</v>
      </c>
      <c r="BK53" s="288" t="e">
        <f t="shared" si="79"/>
        <v>#DIV/0!</v>
      </c>
      <c r="BL53" s="286" t="e">
        <f t="shared" si="80"/>
        <v>#VALUE!</v>
      </c>
      <c r="BM53" s="283" t="e">
        <f t="shared" si="81"/>
        <v>#VALUE!</v>
      </c>
      <c r="BN53" s="283" t="e">
        <f t="shared" si="82"/>
        <v>#VALUE!</v>
      </c>
      <c r="BO53" s="275" t="e">
        <f t="shared" si="83"/>
        <v>#DIV/0!</v>
      </c>
    </row>
    <row r="54" customHeight="1" spans="1:67">
      <c r="A54" s="207" t="b">
        <v>0</v>
      </c>
      <c r="B54" s="29" t="b">
        <v>0</v>
      </c>
      <c r="C54" s="29" t="b">
        <v>0</v>
      </c>
      <c r="D54" s="29" t="b">
        <v>0</v>
      </c>
      <c r="E54" s="208" t="b">
        <v>0</v>
      </c>
      <c r="F54" s="29"/>
      <c r="G54" s="29" t="s">
        <v>2419</v>
      </c>
      <c r="H54" s="210"/>
      <c r="I54" s="29"/>
      <c r="J54" s="29"/>
      <c r="K54" s="29" t="b">
        <v>0</v>
      </c>
      <c r="L54" s="29" t="b">
        <v>0</v>
      </c>
      <c r="M54" s="29"/>
      <c r="N54" s="214"/>
      <c r="O54" s="29"/>
      <c r="P54" s="215" t="str">
        <f t="shared" si="61"/>
        <v/>
      </c>
      <c r="Q54" s="29"/>
      <c r="R54" s="29"/>
      <c r="S54" s="29"/>
      <c r="T54" s="29"/>
      <c r="U54" s="29"/>
      <c r="V54" s="29"/>
      <c r="W54" s="29"/>
      <c r="X54" s="29"/>
      <c r="Y54" s="223"/>
      <c r="Z54" s="242">
        <f t="shared" si="62"/>
        <v>-25</v>
      </c>
      <c r="AA54" s="243"/>
      <c r="AB54" s="244"/>
      <c r="AC54" s="245">
        <f t="shared" si="63"/>
        <v>0</v>
      </c>
      <c r="AD54" s="246">
        <v>1</v>
      </c>
      <c r="AE54" s="247">
        <f t="shared" si="64"/>
        <v>0</v>
      </c>
      <c r="AF54" s="29"/>
      <c r="AG54" s="29"/>
      <c r="AH54" s="29"/>
      <c r="AI54" s="223"/>
      <c r="AJ54" s="260"/>
      <c r="AK54" s="245"/>
      <c r="AL54" s="245"/>
      <c r="AM54">
        <v>0</v>
      </c>
      <c r="AN54" s="261" t="e">
        <f t="shared" si="65"/>
        <v>#DIV/0!</v>
      </c>
      <c r="AO54" t="s">
        <v>2387</v>
      </c>
      <c r="AP54" t="s">
        <v>2387</v>
      </c>
      <c r="AQ54" s="267">
        <v>0</v>
      </c>
      <c r="AR54" s="252" t="e">
        <f t="shared" si="66"/>
        <v>#DIV/0!</v>
      </c>
      <c r="AS54" s="252" t="e">
        <f t="shared" si="67"/>
        <v>#DIV/0!</v>
      </c>
      <c r="AT54" s="252" t="e">
        <f t="shared" si="68"/>
        <v>#VALUE!</v>
      </c>
      <c r="AU54" s="252">
        <f t="shared" si="69"/>
        <v>0</v>
      </c>
      <c r="AV54" s="29"/>
      <c r="AW54" s="282" t="e">
        <f t="shared" si="70"/>
        <v>#DIV/0!</v>
      </c>
      <c r="AX54" s="283" t="e">
        <f t="shared" si="71"/>
        <v>#DIV/0!</v>
      </c>
      <c r="AY54" s="275" t="e">
        <f t="shared" si="72"/>
        <v>#VALUE!</v>
      </c>
      <c r="AZ54" s="207"/>
      <c r="BA54" s="29"/>
      <c r="BB54" s="252" t="e">
        <f t="shared" si="73"/>
        <v>#DIV/0!</v>
      </c>
      <c r="BC54" s="252" t="str">
        <f t="shared" si="74"/>
        <v>#DIV/0!</v>
      </c>
      <c r="BD54" t="s">
        <v>2387</v>
      </c>
      <c r="BE54" t="s">
        <v>2387</v>
      </c>
      <c r="BF54" s="285" t="e">
        <f t="shared" si="75"/>
        <v>#DIV/0!</v>
      </c>
      <c r="BG54" s="252">
        <f t="shared" si="76"/>
        <v>0</v>
      </c>
      <c r="BH54" s="252" t="str">
        <f t="shared" si="77"/>
        <v>#DIV/0!</v>
      </c>
      <c r="BI54" t="s">
        <v>2387</v>
      </c>
      <c r="BJ54" s="288" t="e">
        <f t="shared" si="78"/>
        <v>#VALUE!</v>
      </c>
      <c r="BK54" s="288" t="e">
        <f t="shared" si="79"/>
        <v>#DIV/0!</v>
      </c>
      <c r="BL54" s="286" t="e">
        <f t="shared" si="80"/>
        <v>#VALUE!</v>
      </c>
      <c r="BM54" s="283" t="e">
        <f t="shared" si="81"/>
        <v>#VALUE!</v>
      </c>
      <c r="BN54" s="283" t="e">
        <f t="shared" si="82"/>
        <v>#VALUE!</v>
      </c>
      <c r="BO54" s="275" t="e">
        <f t="shared" si="83"/>
        <v>#DIV/0!</v>
      </c>
    </row>
    <row r="55" customHeight="1" spans="1:67">
      <c r="A55" s="207" t="b">
        <v>0</v>
      </c>
      <c r="B55" s="29" t="b">
        <v>0</v>
      </c>
      <c r="C55" s="29" t="b">
        <v>0</v>
      </c>
      <c r="D55" s="29" t="b">
        <v>0</v>
      </c>
      <c r="E55" s="208" t="b">
        <v>0</v>
      </c>
      <c r="F55" s="29"/>
      <c r="G55" s="29" t="s">
        <v>2420</v>
      </c>
      <c r="H55" s="210"/>
      <c r="I55" s="29"/>
      <c r="J55" s="29"/>
      <c r="K55" s="29" t="b">
        <v>0</v>
      </c>
      <c r="L55" s="29" t="b">
        <v>0</v>
      </c>
      <c r="M55" s="29"/>
      <c r="N55" s="214"/>
      <c r="O55" s="29"/>
      <c r="P55" s="215" t="str">
        <f t="shared" si="61"/>
        <v/>
      </c>
      <c r="Q55" s="29"/>
      <c r="R55" s="29"/>
      <c r="S55" s="29"/>
      <c r="T55" s="29"/>
      <c r="U55" s="29"/>
      <c r="V55" s="29"/>
      <c r="W55" s="29"/>
      <c r="X55" s="29"/>
      <c r="Y55" s="223"/>
      <c r="Z55" s="242">
        <f t="shared" si="62"/>
        <v>-25</v>
      </c>
      <c r="AA55" s="243"/>
      <c r="AB55" s="244"/>
      <c r="AC55" s="245">
        <f t="shared" si="63"/>
        <v>0</v>
      </c>
      <c r="AD55" s="246">
        <v>1</v>
      </c>
      <c r="AE55" s="247">
        <f t="shared" si="64"/>
        <v>0</v>
      </c>
      <c r="AF55" s="29"/>
      <c r="AG55" s="29"/>
      <c r="AH55" s="29"/>
      <c r="AI55" s="223"/>
      <c r="AJ55" s="260"/>
      <c r="AK55" s="245"/>
      <c r="AL55" s="245"/>
      <c r="AM55">
        <v>0</v>
      </c>
      <c r="AN55" s="261" t="e">
        <f t="shared" si="65"/>
        <v>#DIV/0!</v>
      </c>
      <c r="AO55" t="s">
        <v>2387</v>
      </c>
      <c r="AP55" t="s">
        <v>2387</v>
      </c>
      <c r="AQ55" s="267">
        <v>0</v>
      </c>
      <c r="AR55" s="252" t="e">
        <f t="shared" si="66"/>
        <v>#DIV/0!</v>
      </c>
      <c r="AS55" s="252" t="e">
        <f t="shared" si="67"/>
        <v>#DIV/0!</v>
      </c>
      <c r="AT55" s="252" t="e">
        <f t="shared" si="68"/>
        <v>#VALUE!</v>
      </c>
      <c r="AU55" s="252">
        <f t="shared" si="69"/>
        <v>0</v>
      </c>
      <c r="AV55" s="29"/>
      <c r="AW55" s="282" t="e">
        <f t="shared" si="70"/>
        <v>#DIV/0!</v>
      </c>
      <c r="AX55" s="283" t="e">
        <f t="shared" si="71"/>
        <v>#DIV/0!</v>
      </c>
      <c r="AY55" s="275" t="e">
        <f t="shared" si="72"/>
        <v>#VALUE!</v>
      </c>
      <c r="AZ55" s="207"/>
      <c r="BA55" s="29"/>
      <c r="BB55" s="252" t="e">
        <f t="shared" si="73"/>
        <v>#DIV/0!</v>
      </c>
      <c r="BC55" s="252" t="str">
        <f t="shared" si="74"/>
        <v>#DIV/0!</v>
      </c>
      <c r="BD55" t="s">
        <v>2387</v>
      </c>
      <c r="BE55" t="s">
        <v>2387</v>
      </c>
      <c r="BF55" s="285" t="e">
        <f t="shared" si="75"/>
        <v>#DIV/0!</v>
      </c>
      <c r="BG55" s="252">
        <f t="shared" si="76"/>
        <v>0</v>
      </c>
      <c r="BH55" s="252" t="str">
        <f t="shared" si="77"/>
        <v>#DIV/0!</v>
      </c>
      <c r="BI55" t="s">
        <v>2387</v>
      </c>
      <c r="BJ55" s="288" t="e">
        <f t="shared" si="78"/>
        <v>#VALUE!</v>
      </c>
      <c r="BK55" s="288" t="e">
        <f t="shared" si="79"/>
        <v>#DIV/0!</v>
      </c>
      <c r="BL55" s="286" t="e">
        <f t="shared" si="80"/>
        <v>#VALUE!</v>
      </c>
      <c r="BM55" s="283" t="e">
        <f t="shared" si="81"/>
        <v>#VALUE!</v>
      </c>
      <c r="BN55" s="283" t="e">
        <f t="shared" si="82"/>
        <v>#VALUE!</v>
      </c>
      <c r="BO55" s="275" t="e">
        <f t="shared" si="83"/>
        <v>#DIV/0!</v>
      </c>
    </row>
    <row r="56" customHeight="1" spans="1:67">
      <c r="A56" s="207" t="b">
        <v>0</v>
      </c>
      <c r="B56" s="29" t="b">
        <v>0</v>
      </c>
      <c r="C56" s="29" t="b">
        <v>0</v>
      </c>
      <c r="D56" s="29" t="b">
        <v>0</v>
      </c>
      <c r="E56" s="208" t="b">
        <v>0</v>
      </c>
      <c r="F56" s="29"/>
      <c r="G56" s="29" t="s">
        <v>2421</v>
      </c>
      <c r="H56" s="210"/>
      <c r="I56" s="29"/>
      <c r="J56" s="29"/>
      <c r="K56" s="29" t="b">
        <v>0</v>
      </c>
      <c r="L56" s="29" t="b">
        <v>0</v>
      </c>
      <c r="M56" s="29"/>
      <c r="N56" s="214"/>
      <c r="O56" s="29"/>
      <c r="P56" s="215" t="str">
        <f t="shared" si="61"/>
        <v/>
      </c>
      <c r="Q56" s="29"/>
      <c r="R56" s="29"/>
      <c r="S56" s="29"/>
      <c r="T56" s="29"/>
      <c r="U56" s="29"/>
      <c r="V56" s="29"/>
      <c r="W56" s="29"/>
      <c r="X56" s="29"/>
      <c r="Y56" s="223"/>
      <c r="Z56" s="242">
        <f t="shared" si="62"/>
        <v>-25</v>
      </c>
      <c r="AA56" s="243"/>
      <c r="AB56" s="244"/>
      <c r="AC56" s="245">
        <f t="shared" si="63"/>
        <v>0</v>
      </c>
      <c r="AD56" s="246">
        <v>1</v>
      </c>
      <c r="AE56" s="247">
        <f t="shared" si="64"/>
        <v>0</v>
      </c>
      <c r="AF56" s="29"/>
      <c r="AG56" s="29"/>
      <c r="AH56" s="29"/>
      <c r="AI56" s="223"/>
      <c r="AJ56" s="260"/>
      <c r="AK56" s="245"/>
      <c r="AL56" s="245"/>
      <c r="AM56">
        <v>0</v>
      </c>
      <c r="AN56" s="261" t="e">
        <f t="shared" si="65"/>
        <v>#DIV/0!</v>
      </c>
      <c r="AO56" t="s">
        <v>2387</v>
      </c>
      <c r="AP56" t="s">
        <v>2387</v>
      </c>
      <c r="AQ56" s="267">
        <v>0</v>
      </c>
      <c r="AR56" s="252" t="e">
        <f t="shared" si="66"/>
        <v>#DIV/0!</v>
      </c>
      <c r="AS56" s="252" t="e">
        <f t="shared" si="67"/>
        <v>#DIV/0!</v>
      </c>
      <c r="AT56" s="252" t="e">
        <f t="shared" si="68"/>
        <v>#VALUE!</v>
      </c>
      <c r="AU56" s="252">
        <f t="shared" si="69"/>
        <v>0</v>
      </c>
      <c r="AV56" s="29"/>
      <c r="AW56" s="282" t="e">
        <f t="shared" si="70"/>
        <v>#DIV/0!</v>
      </c>
      <c r="AX56" s="283" t="e">
        <f t="shared" si="71"/>
        <v>#DIV/0!</v>
      </c>
      <c r="AY56" s="275" t="e">
        <f t="shared" si="72"/>
        <v>#VALUE!</v>
      </c>
      <c r="AZ56" s="207"/>
      <c r="BA56" s="29"/>
      <c r="BB56" s="252" t="e">
        <f t="shared" si="73"/>
        <v>#DIV/0!</v>
      </c>
      <c r="BC56" s="252" t="str">
        <f t="shared" si="74"/>
        <v>#DIV/0!</v>
      </c>
      <c r="BD56" t="s">
        <v>2387</v>
      </c>
      <c r="BE56" t="s">
        <v>2387</v>
      </c>
      <c r="BF56" s="285" t="e">
        <f t="shared" si="75"/>
        <v>#DIV/0!</v>
      </c>
      <c r="BG56" s="252">
        <f t="shared" si="76"/>
        <v>0</v>
      </c>
      <c r="BH56" s="252" t="str">
        <f t="shared" si="77"/>
        <v>#DIV/0!</v>
      </c>
      <c r="BI56" t="s">
        <v>2387</v>
      </c>
      <c r="BJ56" s="288" t="e">
        <f t="shared" si="78"/>
        <v>#VALUE!</v>
      </c>
      <c r="BK56" s="288" t="e">
        <f t="shared" si="79"/>
        <v>#DIV/0!</v>
      </c>
      <c r="BL56" s="286" t="e">
        <f t="shared" si="80"/>
        <v>#VALUE!</v>
      </c>
      <c r="BM56" s="283" t="e">
        <f t="shared" si="81"/>
        <v>#VALUE!</v>
      </c>
      <c r="BN56" s="283" t="e">
        <f t="shared" si="82"/>
        <v>#VALUE!</v>
      </c>
      <c r="BO56" s="275" t="e">
        <f t="shared" si="83"/>
        <v>#DIV/0!</v>
      </c>
    </row>
    <row r="57" customHeight="1" spans="1:67">
      <c r="A57" s="207" t="b">
        <v>0</v>
      </c>
      <c r="B57" s="29" t="b">
        <v>0</v>
      </c>
      <c r="C57" s="29" t="b">
        <v>0</v>
      </c>
      <c r="D57" s="29" t="b">
        <v>0</v>
      </c>
      <c r="E57" s="208" t="b">
        <v>0</v>
      </c>
      <c r="F57" s="29"/>
      <c r="G57" s="29" t="s">
        <v>2422</v>
      </c>
      <c r="H57" s="210"/>
      <c r="I57" s="29"/>
      <c r="J57" s="29"/>
      <c r="K57" s="29" t="b">
        <v>0</v>
      </c>
      <c r="L57" s="29" t="b">
        <v>0</v>
      </c>
      <c r="M57" s="29"/>
      <c r="N57" s="214"/>
      <c r="O57" s="29"/>
      <c r="P57" s="215" t="str">
        <f t="shared" si="61"/>
        <v/>
      </c>
      <c r="Q57" s="29"/>
      <c r="R57" s="29"/>
      <c r="S57" s="29"/>
      <c r="T57" s="29"/>
      <c r="U57" s="29"/>
      <c r="V57" s="29"/>
      <c r="W57" s="29"/>
      <c r="X57" s="29"/>
      <c r="Y57" s="223"/>
      <c r="Z57" s="242">
        <f t="shared" si="62"/>
        <v>-25</v>
      </c>
      <c r="AA57" s="243"/>
      <c r="AB57" s="244"/>
      <c r="AC57" s="245">
        <f t="shared" si="63"/>
        <v>0</v>
      </c>
      <c r="AD57" s="246">
        <v>1</v>
      </c>
      <c r="AE57" s="247">
        <f t="shared" si="64"/>
        <v>0</v>
      </c>
      <c r="AF57" s="29"/>
      <c r="AG57" s="29"/>
      <c r="AH57" s="29"/>
      <c r="AI57" s="223"/>
      <c r="AJ57" s="260"/>
      <c r="AK57" s="245"/>
      <c r="AL57" s="245"/>
      <c r="AM57">
        <v>0</v>
      </c>
      <c r="AN57" s="261" t="e">
        <f t="shared" si="65"/>
        <v>#DIV/0!</v>
      </c>
      <c r="AO57" t="s">
        <v>2387</v>
      </c>
      <c r="AP57" t="s">
        <v>2387</v>
      </c>
      <c r="AQ57" s="267">
        <v>0</v>
      </c>
      <c r="AR57" s="252" t="e">
        <f t="shared" si="66"/>
        <v>#DIV/0!</v>
      </c>
      <c r="AS57" s="252" t="e">
        <f t="shared" si="67"/>
        <v>#DIV/0!</v>
      </c>
      <c r="AT57" s="252" t="e">
        <f t="shared" si="68"/>
        <v>#VALUE!</v>
      </c>
      <c r="AU57" s="252">
        <f t="shared" si="69"/>
        <v>0</v>
      </c>
      <c r="AV57" s="29"/>
      <c r="AW57" s="282" t="e">
        <f t="shared" si="70"/>
        <v>#DIV/0!</v>
      </c>
      <c r="AX57" s="283" t="e">
        <f t="shared" si="71"/>
        <v>#DIV/0!</v>
      </c>
      <c r="AY57" s="275" t="e">
        <f t="shared" si="72"/>
        <v>#VALUE!</v>
      </c>
      <c r="AZ57" s="207"/>
      <c r="BA57" s="29"/>
      <c r="BB57" s="252" t="e">
        <f t="shared" si="73"/>
        <v>#DIV/0!</v>
      </c>
      <c r="BC57" s="252" t="str">
        <f t="shared" si="74"/>
        <v>#DIV/0!</v>
      </c>
      <c r="BD57" t="s">
        <v>2387</v>
      </c>
      <c r="BE57" t="s">
        <v>2387</v>
      </c>
      <c r="BF57" s="285" t="e">
        <f t="shared" si="75"/>
        <v>#DIV/0!</v>
      </c>
      <c r="BG57" s="252">
        <f t="shared" si="76"/>
        <v>0</v>
      </c>
      <c r="BH57" s="252" t="str">
        <f t="shared" si="77"/>
        <v>#DIV/0!</v>
      </c>
      <c r="BI57" t="s">
        <v>2387</v>
      </c>
      <c r="BJ57" s="288" t="e">
        <f t="shared" si="78"/>
        <v>#VALUE!</v>
      </c>
      <c r="BK57" s="288" t="e">
        <f t="shared" si="79"/>
        <v>#DIV/0!</v>
      </c>
      <c r="BL57" s="286" t="e">
        <f t="shared" si="80"/>
        <v>#VALUE!</v>
      </c>
      <c r="BM57" s="283" t="e">
        <f t="shared" si="81"/>
        <v>#VALUE!</v>
      </c>
      <c r="BN57" s="283" t="e">
        <f t="shared" si="82"/>
        <v>#VALUE!</v>
      </c>
      <c r="BO57" s="275" t="e">
        <f t="shared" si="83"/>
        <v>#DIV/0!</v>
      </c>
    </row>
    <row r="58" customHeight="1" spans="1:67">
      <c r="A58" s="207" t="b">
        <v>0</v>
      </c>
      <c r="B58" s="29" t="b">
        <v>0</v>
      </c>
      <c r="C58" s="29" t="b">
        <v>0</v>
      </c>
      <c r="D58" s="29" t="b">
        <v>0</v>
      </c>
      <c r="E58" s="208" t="b">
        <v>0</v>
      </c>
      <c r="F58" s="29"/>
      <c r="G58" s="29" t="s">
        <v>2423</v>
      </c>
      <c r="H58" s="210"/>
      <c r="I58" s="29"/>
      <c r="J58" s="29"/>
      <c r="K58" s="29" t="b">
        <v>0</v>
      </c>
      <c r="L58" s="29" t="b">
        <v>0</v>
      </c>
      <c r="M58" s="29"/>
      <c r="N58" s="214"/>
      <c r="O58" s="29"/>
      <c r="P58" s="215" t="str">
        <f t="shared" si="61"/>
        <v/>
      </c>
      <c r="Q58" s="29"/>
      <c r="R58" s="29"/>
      <c r="S58" s="29"/>
      <c r="T58" s="29"/>
      <c r="U58" s="29"/>
      <c r="V58" s="29"/>
      <c r="W58" s="29"/>
      <c r="X58" s="29"/>
      <c r="Y58" s="223"/>
      <c r="Z58" s="242">
        <f t="shared" si="62"/>
        <v>-25</v>
      </c>
      <c r="AA58" s="243"/>
      <c r="AB58" s="244"/>
      <c r="AC58" s="245">
        <f t="shared" si="63"/>
        <v>0</v>
      </c>
      <c r="AD58" s="246">
        <v>1</v>
      </c>
      <c r="AE58" s="247">
        <f t="shared" si="64"/>
        <v>0</v>
      </c>
      <c r="AF58" s="29"/>
      <c r="AG58" s="29"/>
      <c r="AH58" s="29"/>
      <c r="AI58" s="223"/>
      <c r="AJ58" s="260"/>
      <c r="AK58" s="245"/>
      <c r="AL58" s="245"/>
      <c r="AM58">
        <v>0</v>
      </c>
      <c r="AN58" s="261" t="e">
        <f t="shared" si="65"/>
        <v>#DIV/0!</v>
      </c>
      <c r="AO58" t="s">
        <v>2387</v>
      </c>
      <c r="AP58" t="s">
        <v>2387</v>
      </c>
      <c r="AQ58" s="267">
        <v>0</v>
      </c>
      <c r="AR58" s="252" t="e">
        <f t="shared" si="66"/>
        <v>#DIV/0!</v>
      </c>
      <c r="AS58" s="252" t="e">
        <f t="shared" si="67"/>
        <v>#DIV/0!</v>
      </c>
      <c r="AT58" s="252" t="e">
        <f t="shared" si="68"/>
        <v>#VALUE!</v>
      </c>
      <c r="AU58" s="252">
        <f t="shared" si="69"/>
        <v>0</v>
      </c>
      <c r="AV58" s="29"/>
      <c r="AW58" s="282" t="e">
        <f t="shared" si="70"/>
        <v>#DIV/0!</v>
      </c>
      <c r="AX58" s="283" t="e">
        <f t="shared" si="71"/>
        <v>#DIV/0!</v>
      </c>
      <c r="AY58" s="275" t="e">
        <f t="shared" si="72"/>
        <v>#VALUE!</v>
      </c>
      <c r="AZ58" s="207"/>
      <c r="BA58" s="29"/>
      <c r="BB58" s="252" t="e">
        <f t="shared" si="73"/>
        <v>#DIV/0!</v>
      </c>
      <c r="BC58" s="252" t="str">
        <f t="shared" si="74"/>
        <v>#DIV/0!</v>
      </c>
      <c r="BD58" t="s">
        <v>2387</v>
      </c>
      <c r="BE58" t="s">
        <v>2387</v>
      </c>
      <c r="BF58" s="285" t="e">
        <f t="shared" si="75"/>
        <v>#DIV/0!</v>
      </c>
      <c r="BG58" s="252">
        <f t="shared" si="76"/>
        <v>0</v>
      </c>
      <c r="BH58" s="252" t="str">
        <f t="shared" si="77"/>
        <v>#DIV/0!</v>
      </c>
      <c r="BI58" t="s">
        <v>2387</v>
      </c>
      <c r="BJ58" s="288" t="e">
        <f t="shared" si="78"/>
        <v>#VALUE!</v>
      </c>
      <c r="BK58" s="288" t="e">
        <f t="shared" si="79"/>
        <v>#DIV/0!</v>
      </c>
      <c r="BL58" s="286" t="e">
        <f t="shared" si="80"/>
        <v>#VALUE!</v>
      </c>
      <c r="BM58" s="283" t="e">
        <f t="shared" si="81"/>
        <v>#VALUE!</v>
      </c>
      <c r="BN58" s="283" t="e">
        <f t="shared" si="82"/>
        <v>#VALUE!</v>
      </c>
      <c r="BO58" s="275" t="e">
        <f t="shared" si="83"/>
        <v>#DIV/0!</v>
      </c>
    </row>
    <row r="59" customHeight="1" spans="1:67">
      <c r="A59" s="207" t="b">
        <v>0</v>
      </c>
      <c r="B59" s="29" t="b">
        <v>0</v>
      </c>
      <c r="C59" s="29" t="b">
        <v>0</v>
      </c>
      <c r="D59" s="29" t="b">
        <v>0</v>
      </c>
      <c r="E59" s="208" t="b">
        <v>0</v>
      </c>
      <c r="F59" s="29"/>
      <c r="G59" s="29" t="s">
        <v>2424</v>
      </c>
      <c r="H59" s="210"/>
      <c r="I59" s="29"/>
      <c r="J59" s="29"/>
      <c r="K59" s="29" t="b">
        <v>0</v>
      </c>
      <c r="L59" s="29" t="b">
        <v>0</v>
      </c>
      <c r="M59" s="29"/>
      <c r="N59" s="214"/>
      <c r="O59" s="29"/>
      <c r="P59" s="215" t="str">
        <f t="shared" si="61"/>
        <v/>
      </c>
      <c r="Q59" s="29"/>
      <c r="R59" s="29"/>
      <c r="S59" s="29"/>
      <c r="T59" s="29"/>
      <c r="U59" s="29"/>
      <c r="V59" s="29"/>
      <c r="W59" s="29"/>
      <c r="X59" s="29"/>
      <c r="Y59" s="223"/>
      <c r="Z59" s="242">
        <f t="shared" si="62"/>
        <v>-25</v>
      </c>
      <c r="AA59" s="243"/>
      <c r="AB59" s="244"/>
      <c r="AC59" s="245">
        <f t="shared" si="63"/>
        <v>0</v>
      </c>
      <c r="AD59" s="246">
        <v>1</v>
      </c>
      <c r="AE59" s="247">
        <f t="shared" si="64"/>
        <v>0</v>
      </c>
      <c r="AF59" s="29"/>
      <c r="AG59" s="29"/>
      <c r="AH59" s="29"/>
      <c r="AI59" s="223"/>
      <c r="AJ59" s="260"/>
      <c r="AK59" s="245"/>
      <c r="AL59" s="245"/>
      <c r="AM59">
        <v>0</v>
      </c>
      <c r="AN59" s="261" t="e">
        <f t="shared" si="65"/>
        <v>#DIV/0!</v>
      </c>
      <c r="AO59" t="s">
        <v>2387</v>
      </c>
      <c r="AP59" t="s">
        <v>2387</v>
      </c>
      <c r="AQ59" s="267">
        <v>0</v>
      </c>
      <c r="AR59" s="252" t="e">
        <f t="shared" si="66"/>
        <v>#DIV/0!</v>
      </c>
      <c r="AS59" s="252" t="e">
        <f t="shared" si="67"/>
        <v>#DIV/0!</v>
      </c>
      <c r="AT59" s="252" t="e">
        <f t="shared" si="68"/>
        <v>#VALUE!</v>
      </c>
      <c r="AU59" s="252">
        <f t="shared" si="69"/>
        <v>0</v>
      </c>
      <c r="AV59" s="29"/>
      <c r="AW59" s="282" t="e">
        <f t="shared" si="70"/>
        <v>#DIV/0!</v>
      </c>
      <c r="AX59" s="283" t="e">
        <f t="shared" si="71"/>
        <v>#DIV/0!</v>
      </c>
      <c r="AY59" s="275" t="e">
        <f t="shared" si="72"/>
        <v>#VALUE!</v>
      </c>
      <c r="AZ59" s="207"/>
      <c r="BA59" s="29"/>
      <c r="BB59" s="252" t="e">
        <f t="shared" si="73"/>
        <v>#DIV/0!</v>
      </c>
      <c r="BC59" s="252" t="str">
        <f t="shared" si="74"/>
        <v>#DIV/0!</v>
      </c>
      <c r="BD59" t="s">
        <v>2387</v>
      </c>
      <c r="BE59" t="s">
        <v>2387</v>
      </c>
      <c r="BF59" s="285" t="e">
        <f t="shared" si="75"/>
        <v>#DIV/0!</v>
      </c>
      <c r="BG59" s="252">
        <f t="shared" si="76"/>
        <v>0</v>
      </c>
      <c r="BH59" s="252" t="str">
        <f t="shared" si="77"/>
        <v>#DIV/0!</v>
      </c>
      <c r="BI59" t="s">
        <v>2387</v>
      </c>
      <c r="BJ59" s="288" t="e">
        <f t="shared" si="78"/>
        <v>#VALUE!</v>
      </c>
      <c r="BK59" s="288" t="e">
        <f t="shared" si="79"/>
        <v>#DIV/0!</v>
      </c>
      <c r="BL59" s="286" t="e">
        <f t="shared" si="80"/>
        <v>#VALUE!</v>
      </c>
      <c r="BM59" s="283" t="e">
        <f t="shared" si="81"/>
        <v>#VALUE!</v>
      </c>
      <c r="BN59" s="283" t="e">
        <f t="shared" si="82"/>
        <v>#VALUE!</v>
      </c>
      <c r="BO59" s="275" t="e">
        <f t="shared" si="83"/>
        <v>#DIV/0!</v>
      </c>
    </row>
    <row r="60" customHeight="1" spans="1:67">
      <c r="A60" s="207" t="b">
        <v>0</v>
      </c>
      <c r="B60" s="29" t="b">
        <v>0</v>
      </c>
      <c r="C60" s="29" t="b">
        <v>0</v>
      </c>
      <c r="D60" s="29" t="b">
        <v>0</v>
      </c>
      <c r="E60" s="208" t="b">
        <v>0</v>
      </c>
      <c r="F60" s="29"/>
      <c r="G60" s="29" t="s">
        <v>2425</v>
      </c>
      <c r="H60" s="210"/>
      <c r="I60" s="29"/>
      <c r="J60" s="29"/>
      <c r="K60" s="29" t="b">
        <v>0</v>
      </c>
      <c r="L60" s="29" t="b">
        <v>0</v>
      </c>
      <c r="M60" s="29"/>
      <c r="N60" s="214"/>
      <c r="O60" s="29"/>
      <c r="P60" s="215" t="str">
        <f t="shared" si="61"/>
        <v/>
      </c>
      <c r="Q60" s="29"/>
      <c r="R60" s="29"/>
      <c r="S60" s="29"/>
      <c r="T60" s="29"/>
      <c r="U60" s="29"/>
      <c r="V60" s="29"/>
      <c r="W60" s="29"/>
      <c r="X60" s="29"/>
      <c r="Y60" s="223"/>
      <c r="Z60" s="242">
        <f t="shared" si="62"/>
        <v>-25</v>
      </c>
      <c r="AA60" s="243"/>
      <c r="AB60" s="244"/>
      <c r="AC60" s="245">
        <f t="shared" si="63"/>
        <v>0</v>
      </c>
      <c r="AD60" s="246">
        <v>1</v>
      </c>
      <c r="AE60" s="247">
        <f t="shared" si="64"/>
        <v>0</v>
      </c>
      <c r="AF60" s="29"/>
      <c r="AG60" s="29"/>
      <c r="AH60" s="29"/>
      <c r="AI60" s="223"/>
      <c r="AJ60" s="260"/>
      <c r="AK60" s="245"/>
      <c r="AL60" s="245"/>
      <c r="AM60">
        <v>0</v>
      </c>
      <c r="AN60" s="261" t="e">
        <f t="shared" si="65"/>
        <v>#DIV/0!</v>
      </c>
      <c r="AO60" t="s">
        <v>2387</v>
      </c>
      <c r="AP60" t="s">
        <v>2387</v>
      </c>
      <c r="AQ60" s="267">
        <v>0</v>
      </c>
      <c r="AR60" s="252" t="e">
        <f t="shared" si="66"/>
        <v>#DIV/0!</v>
      </c>
      <c r="AS60" s="252" t="e">
        <f t="shared" si="67"/>
        <v>#DIV/0!</v>
      </c>
      <c r="AT60" s="252" t="e">
        <f t="shared" si="68"/>
        <v>#VALUE!</v>
      </c>
      <c r="AU60" s="252">
        <f t="shared" si="69"/>
        <v>0</v>
      </c>
      <c r="AV60" s="29"/>
      <c r="AW60" s="282" t="e">
        <f t="shared" si="70"/>
        <v>#DIV/0!</v>
      </c>
      <c r="AX60" s="283" t="e">
        <f t="shared" si="71"/>
        <v>#DIV/0!</v>
      </c>
      <c r="AY60" s="275" t="e">
        <f t="shared" si="72"/>
        <v>#VALUE!</v>
      </c>
      <c r="AZ60" s="207"/>
      <c r="BA60" s="29"/>
      <c r="BB60" s="252" t="e">
        <f t="shared" si="73"/>
        <v>#DIV/0!</v>
      </c>
      <c r="BC60" s="252" t="str">
        <f t="shared" si="74"/>
        <v>#DIV/0!</v>
      </c>
      <c r="BD60" t="s">
        <v>2387</v>
      </c>
      <c r="BE60" t="s">
        <v>2387</v>
      </c>
      <c r="BF60" s="285" t="e">
        <f t="shared" si="75"/>
        <v>#DIV/0!</v>
      </c>
      <c r="BG60" s="252">
        <f t="shared" si="76"/>
        <v>0</v>
      </c>
      <c r="BH60" s="252" t="str">
        <f t="shared" si="77"/>
        <v>#DIV/0!</v>
      </c>
      <c r="BI60" t="s">
        <v>2387</v>
      </c>
      <c r="BJ60" s="288" t="e">
        <f t="shared" si="78"/>
        <v>#VALUE!</v>
      </c>
      <c r="BK60" s="288" t="e">
        <f t="shared" si="79"/>
        <v>#DIV/0!</v>
      </c>
      <c r="BL60" s="286" t="e">
        <f t="shared" si="80"/>
        <v>#VALUE!</v>
      </c>
      <c r="BM60" s="283" t="e">
        <f t="shared" si="81"/>
        <v>#VALUE!</v>
      </c>
      <c r="BN60" s="283" t="e">
        <f t="shared" si="82"/>
        <v>#VALUE!</v>
      </c>
      <c r="BO60" s="275" t="e">
        <f t="shared" si="83"/>
        <v>#DIV/0!</v>
      </c>
    </row>
    <row r="61" customHeight="1" spans="1:67">
      <c r="A61" s="207" t="b">
        <v>0</v>
      </c>
      <c r="B61" s="29" t="b">
        <v>0</v>
      </c>
      <c r="C61" s="29" t="b">
        <v>0</v>
      </c>
      <c r="D61" s="29" t="b">
        <v>0</v>
      </c>
      <c r="E61" s="208" t="b">
        <v>0</v>
      </c>
      <c r="F61" s="29"/>
      <c r="G61" s="29" t="s">
        <v>2426</v>
      </c>
      <c r="H61" s="210"/>
      <c r="I61" s="29"/>
      <c r="J61" s="29"/>
      <c r="K61" s="29" t="b">
        <v>0</v>
      </c>
      <c r="L61" s="29" t="b">
        <v>0</v>
      </c>
      <c r="M61" s="29"/>
      <c r="N61" s="214"/>
      <c r="O61" s="29"/>
      <c r="P61" s="215" t="str">
        <f t="shared" si="61"/>
        <v/>
      </c>
      <c r="Q61" s="29"/>
      <c r="R61" s="29"/>
      <c r="S61" s="29"/>
      <c r="T61" s="29"/>
      <c r="U61" s="29"/>
      <c r="V61" s="29"/>
      <c r="W61" s="29"/>
      <c r="X61" s="29"/>
      <c r="Y61" s="223"/>
      <c r="Z61" s="242">
        <f t="shared" si="62"/>
        <v>-25</v>
      </c>
      <c r="AA61" s="243"/>
      <c r="AB61" s="244"/>
      <c r="AC61" s="245">
        <f t="shared" si="63"/>
        <v>0</v>
      </c>
      <c r="AD61" s="246">
        <v>1</v>
      </c>
      <c r="AE61" s="247">
        <f t="shared" si="64"/>
        <v>0</v>
      </c>
      <c r="AF61" s="29"/>
      <c r="AG61" s="29"/>
      <c r="AH61" s="29"/>
      <c r="AI61" s="223"/>
      <c r="AJ61" s="260"/>
      <c r="AK61" s="245"/>
      <c r="AL61" s="245"/>
      <c r="AM61">
        <v>0</v>
      </c>
      <c r="AN61" s="261" t="e">
        <f t="shared" si="65"/>
        <v>#DIV/0!</v>
      </c>
      <c r="AO61" t="s">
        <v>2387</v>
      </c>
      <c r="AP61" t="s">
        <v>2387</v>
      </c>
      <c r="AQ61" s="267">
        <v>0</v>
      </c>
      <c r="AR61" s="252" t="e">
        <f t="shared" si="66"/>
        <v>#DIV/0!</v>
      </c>
      <c r="AS61" s="252" t="e">
        <f t="shared" si="67"/>
        <v>#DIV/0!</v>
      </c>
      <c r="AT61" s="252" t="e">
        <f t="shared" si="68"/>
        <v>#VALUE!</v>
      </c>
      <c r="AU61" s="252">
        <f t="shared" si="69"/>
        <v>0</v>
      </c>
      <c r="AV61" s="29"/>
      <c r="AW61" s="282" t="e">
        <f t="shared" si="70"/>
        <v>#DIV/0!</v>
      </c>
      <c r="AX61" s="283" t="e">
        <f t="shared" si="71"/>
        <v>#DIV/0!</v>
      </c>
      <c r="AY61" s="275" t="e">
        <f t="shared" si="72"/>
        <v>#VALUE!</v>
      </c>
      <c r="AZ61" s="207"/>
      <c r="BA61" s="29"/>
      <c r="BB61" s="252" t="e">
        <f t="shared" si="73"/>
        <v>#DIV/0!</v>
      </c>
      <c r="BC61" s="252" t="str">
        <f t="shared" si="74"/>
        <v>#DIV/0!</v>
      </c>
      <c r="BD61" t="s">
        <v>2387</v>
      </c>
      <c r="BE61" t="s">
        <v>2387</v>
      </c>
      <c r="BF61" s="285" t="e">
        <f t="shared" si="75"/>
        <v>#DIV/0!</v>
      </c>
      <c r="BG61" s="252">
        <f t="shared" si="76"/>
        <v>0</v>
      </c>
      <c r="BH61" s="252" t="str">
        <f t="shared" si="77"/>
        <v>#DIV/0!</v>
      </c>
      <c r="BI61" t="s">
        <v>2387</v>
      </c>
      <c r="BJ61" s="288" t="e">
        <f t="shared" si="78"/>
        <v>#VALUE!</v>
      </c>
      <c r="BK61" s="288" t="e">
        <f t="shared" si="79"/>
        <v>#DIV/0!</v>
      </c>
      <c r="BL61" s="286" t="e">
        <f t="shared" si="80"/>
        <v>#VALUE!</v>
      </c>
      <c r="BM61" s="283" t="e">
        <f t="shared" si="81"/>
        <v>#VALUE!</v>
      </c>
      <c r="BN61" s="283" t="e">
        <f t="shared" si="82"/>
        <v>#VALUE!</v>
      </c>
      <c r="BO61" s="275" t="e">
        <f t="shared" si="83"/>
        <v>#DIV/0!</v>
      </c>
    </row>
    <row r="62" customHeight="1" spans="1:67">
      <c r="A62" s="207" t="b">
        <v>0</v>
      </c>
      <c r="B62" s="29" t="b">
        <v>0</v>
      </c>
      <c r="C62" s="29" t="b">
        <v>0</v>
      </c>
      <c r="D62" s="29" t="b">
        <v>0</v>
      </c>
      <c r="E62" s="208" t="b">
        <v>0</v>
      </c>
      <c r="F62" s="29"/>
      <c r="G62" s="29" t="s">
        <v>2427</v>
      </c>
      <c r="H62" s="210"/>
      <c r="I62" s="29"/>
      <c r="J62" s="29"/>
      <c r="K62" s="29" t="b">
        <v>0</v>
      </c>
      <c r="L62" s="29" t="b">
        <v>0</v>
      </c>
      <c r="M62" s="29"/>
      <c r="N62" s="214"/>
      <c r="O62" s="29"/>
      <c r="P62" s="215" t="str">
        <f t="shared" si="61"/>
        <v/>
      </c>
      <c r="Q62" s="29"/>
      <c r="R62" s="29"/>
      <c r="S62" s="29"/>
      <c r="T62" s="29"/>
      <c r="U62" s="29"/>
      <c r="V62" s="29"/>
      <c r="W62" s="29"/>
      <c r="X62" s="29"/>
      <c r="Y62" s="223"/>
      <c r="Z62" s="242">
        <f t="shared" si="62"/>
        <v>-25</v>
      </c>
      <c r="AA62" s="243"/>
      <c r="AB62" s="244"/>
      <c r="AC62" s="245">
        <f t="shared" si="63"/>
        <v>0</v>
      </c>
      <c r="AD62" s="246">
        <v>1</v>
      </c>
      <c r="AE62" s="247">
        <f t="shared" si="64"/>
        <v>0</v>
      </c>
      <c r="AF62" s="29"/>
      <c r="AG62" s="29"/>
      <c r="AH62" s="29"/>
      <c r="AI62" s="223"/>
      <c r="AJ62" s="260"/>
      <c r="AK62" s="245"/>
      <c r="AL62" s="245"/>
      <c r="AM62">
        <v>0</v>
      </c>
      <c r="AN62" s="261" t="e">
        <f t="shared" si="65"/>
        <v>#DIV/0!</v>
      </c>
      <c r="AO62" t="s">
        <v>2387</v>
      </c>
      <c r="AP62" t="s">
        <v>2387</v>
      </c>
      <c r="AQ62" s="267">
        <v>0</v>
      </c>
      <c r="AR62" s="252" t="e">
        <f t="shared" si="66"/>
        <v>#DIV/0!</v>
      </c>
      <c r="AS62" s="252" t="e">
        <f t="shared" si="67"/>
        <v>#DIV/0!</v>
      </c>
      <c r="AT62" s="252" t="e">
        <f t="shared" si="68"/>
        <v>#VALUE!</v>
      </c>
      <c r="AU62" s="252">
        <f t="shared" si="69"/>
        <v>0</v>
      </c>
      <c r="AV62" s="29"/>
      <c r="AW62" s="282" t="e">
        <f t="shared" si="70"/>
        <v>#DIV/0!</v>
      </c>
      <c r="AX62" s="283" t="e">
        <f t="shared" si="71"/>
        <v>#DIV/0!</v>
      </c>
      <c r="AY62" s="275" t="e">
        <f t="shared" si="72"/>
        <v>#VALUE!</v>
      </c>
      <c r="AZ62" s="207"/>
      <c r="BA62" s="29"/>
      <c r="BB62" s="252" t="e">
        <f t="shared" si="73"/>
        <v>#DIV/0!</v>
      </c>
      <c r="BC62" s="252" t="str">
        <f t="shared" si="74"/>
        <v>#DIV/0!</v>
      </c>
      <c r="BD62" t="s">
        <v>2387</v>
      </c>
      <c r="BE62" t="s">
        <v>2387</v>
      </c>
      <c r="BF62" s="285" t="e">
        <f t="shared" si="75"/>
        <v>#DIV/0!</v>
      </c>
      <c r="BG62" s="252">
        <f t="shared" si="76"/>
        <v>0</v>
      </c>
      <c r="BH62" s="252" t="str">
        <f t="shared" si="77"/>
        <v>#DIV/0!</v>
      </c>
      <c r="BI62" t="s">
        <v>2387</v>
      </c>
      <c r="BJ62" s="288" t="e">
        <f t="shared" si="78"/>
        <v>#VALUE!</v>
      </c>
      <c r="BK62" s="288" t="e">
        <f t="shared" si="79"/>
        <v>#DIV/0!</v>
      </c>
      <c r="BL62" s="286" t="e">
        <f t="shared" si="80"/>
        <v>#VALUE!</v>
      </c>
      <c r="BM62" s="283" t="e">
        <f t="shared" si="81"/>
        <v>#VALUE!</v>
      </c>
      <c r="BN62" s="283" t="e">
        <f t="shared" si="82"/>
        <v>#VALUE!</v>
      </c>
      <c r="BO62" s="275" t="e">
        <f t="shared" si="83"/>
        <v>#DIV/0!</v>
      </c>
    </row>
    <row r="63" customHeight="1" spans="1:67">
      <c r="A63" s="207" t="b">
        <v>0</v>
      </c>
      <c r="B63" s="29" t="b">
        <v>0</v>
      </c>
      <c r="C63" s="29" t="b">
        <v>0</v>
      </c>
      <c r="D63" s="29" t="b">
        <v>0</v>
      </c>
      <c r="E63" s="208" t="b">
        <v>0</v>
      </c>
      <c r="F63" s="29"/>
      <c r="G63" s="29" t="s">
        <v>2428</v>
      </c>
      <c r="H63" s="210"/>
      <c r="I63" s="29"/>
      <c r="J63" s="29"/>
      <c r="K63" s="29" t="b">
        <v>0</v>
      </c>
      <c r="L63" s="29" t="b">
        <v>0</v>
      </c>
      <c r="M63" s="29"/>
      <c r="N63" s="214"/>
      <c r="O63" s="29"/>
      <c r="P63" s="215" t="str">
        <f t="shared" si="61"/>
        <v/>
      </c>
      <c r="Q63" s="29"/>
      <c r="R63" s="29"/>
      <c r="S63" s="29"/>
      <c r="T63" s="29"/>
      <c r="U63" s="29"/>
      <c r="V63" s="29"/>
      <c r="W63" s="29"/>
      <c r="X63" s="29"/>
      <c r="Y63" s="223"/>
      <c r="Z63" s="242">
        <f t="shared" si="62"/>
        <v>-25</v>
      </c>
      <c r="AA63" s="243"/>
      <c r="AB63" s="244"/>
      <c r="AC63" s="245">
        <f t="shared" si="63"/>
        <v>0</v>
      </c>
      <c r="AD63" s="246">
        <v>1</v>
      </c>
      <c r="AE63" s="247">
        <f t="shared" si="64"/>
        <v>0</v>
      </c>
      <c r="AF63" s="29"/>
      <c r="AG63" s="29"/>
      <c r="AH63" s="29"/>
      <c r="AI63" s="223"/>
      <c r="AJ63" s="260"/>
      <c r="AK63" s="245"/>
      <c r="AL63" s="245"/>
      <c r="AM63">
        <v>0</v>
      </c>
      <c r="AN63" s="261" t="e">
        <f t="shared" si="65"/>
        <v>#DIV/0!</v>
      </c>
      <c r="AO63" t="s">
        <v>2387</v>
      </c>
      <c r="AP63" t="s">
        <v>2387</v>
      </c>
      <c r="AQ63" s="267">
        <v>0</v>
      </c>
      <c r="AR63" s="252" t="e">
        <f t="shared" si="66"/>
        <v>#DIV/0!</v>
      </c>
      <c r="AS63" s="252" t="e">
        <f t="shared" si="67"/>
        <v>#DIV/0!</v>
      </c>
      <c r="AT63" s="252" t="e">
        <f t="shared" si="68"/>
        <v>#VALUE!</v>
      </c>
      <c r="AU63" s="252">
        <f t="shared" si="69"/>
        <v>0</v>
      </c>
      <c r="AV63" s="29"/>
      <c r="AW63" s="282" t="e">
        <f t="shared" si="70"/>
        <v>#DIV/0!</v>
      </c>
      <c r="AX63" s="283" t="e">
        <f t="shared" si="71"/>
        <v>#DIV/0!</v>
      </c>
      <c r="AY63" s="275" t="e">
        <f t="shared" si="72"/>
        <v>#VALUE!</v>
      </c>
      <c r="AZ63" s="207"/>
      <c r="BA63" s="29"/>
      <c r="BB63" s="252" t="e">
        <f t="shared" si="73"/>
        <v>#DIV/0!</v>
      </c>
      <c r="BC63" s="252" t="str">
        <f t="shared" si="74"/>
        <v>#DIV/0!</v>
      </c>
      <c r="BD63" t="s">
        <v>2387</v>
      </c>
      <c r="BE63" t="s">
        <v>2387</v>
      </c>
      <c r="BF63" s="285" t="e">
        <f t="shared" si="75"/>
        <v>#DIV/0!</v>
      </c>
      <c r="BG63" s="252">
        <f t="shared" si="76"/>
        <v>0</v>
      </c>
      <c r="BH63" s="252" t="str">
        <f t="shared" si="77"/>
        <v>#DIV/0!</v>
      </c>
      <c r="BI63" t="s">
        <v>2387</v>
      </c>
      <c r="BJ63" s="288" t="e">
        <f t="shared" si="78"/>
        <v>#VALUE!</v>
      </c>
      <c r="BK63" s="288" t="e">
        <f t="shared" si="79"/>
        <v>#DIV/0!</v>
      </c>
      <c r="BL63" s="286" t="e">
        <f t="shared" si="80"/>
        <v>#VALUE!</v>
      </c>
      <c r="BM63" s="283" t="e">
        <f t="shared" si="81"/>
        <v>#VALUE!</v>
      </c>
      <c r="BN63" s="283" t="e">
        <f t="shared" si="82"/>
        <v>#VALUE!</v>
      </c>
      <c r="BO63" s="275" t="e">
        <f t="shared" si="83"/>
        <v>#DIV/0!</v>
      </c>
    </row>
    <row r="64" customHeight="1" spans="1:67">
      <c r="A64" s="207" t="b">
        <v>0</v>
      </c>
      <c r="B64" s="29" t="b">
        <v>0</v>
      </c>
      <c r="C64" s="29" t="b">
        <v>0</v>
      </c>
      <c r="D64" s="29" t="b">
        <v>0</v>
      </c>
      <c r="E64" s="208" t="b">
        <v>0</v>
      </c>
      <c r="F64" s="29"/>
      <c r="G64" s="29" t="s">
        <v>2429</v>
      </c>
      <c r="H64" s="212"/>
      <c r="I64" s="29"/>
      <c r="J64" s="29"/>
      <c r="K64" s="29" t="b">
        <v>0</v>
      </c>
      <c r="L64" s="29" t="b">
        <v>0</v>
      </c>
      <c r="M64" s="29"/>
      <c r="N64" s="214"/>
      <c r="O64" s="29"/>
      <c r="P64" s="215" t="str">
        <f t="shared" si="61"/>
        <v/>
      </c>
      <c r="Q64" s="29"/>
      <c r="R64" s="29"/>
      <c r="S64" s="29"/>
      <c r="T64" s="29"/>
      <c r="U64" s="29"/>
      <c r="V64" s="29"/>
      <c r="W64" s="29"/>
      <c r="X64" s="29"/>
      <c r="Y64" s="223"/>
      <c r="Z64" s="242">
        <f t="shared" si="62"/>
        <v>-25</v>
      </c>
      <c r="AA64" s="243"/>
      <c r="AB64" s="244"/>
      <c r="AC64" s="245">
        <f t="shared" si="63"/>
        <v>0</v>
      </c>
      <c r="AD64" s="246">
        <v>1</v>
      </c>
      <c r="AE64" s="247">
        <f t="shared" si="64"/>
        <v>0</v>
      </c>
      <c r="AF64" s="29"/>
      <c r="AG64" s="29"/>
      <c r="AH64" s="29"/>
      <c r="AI64" s="223"/>
      <c r="AJ64" s="260"/>
      <c r="AK64" s="245"/>
      <c r="AL64" s="245"/>
      <c r="AM64">
        <v>0</v>
      </c>
      <c r="AN64" s="261" t="e">
        <f t="shared" si="65"/>
        <v>#DIV/0!</v>
      </c>
      <c r="AO64" t="s">
        <v>2387</v>
      </c>
      <c r="AP64" t="s">
        <v>2387</v>
      </c>
      <c r="AQ64" s="267">
        <v>0</v>
      </c>
      <c r="AR64" s="252" t="e">
        <f t="shared" si="66"/>
        <v>#DIV/0!</v>
      </c>
      <c r="AS64" s="252" t="e">
        <f t="shared" si="67"/>
        <v>#DIV/0!</v>
      </c>
      <c r="AT64" s="252" t="e">
        <f t="shared" si="68"/>
        <v>#VALUE!</v>
      </c>
      <c r="AU64" s="252">
        <f t="shared" si="69"/>
        <v>0</v>
      </c>
      <c r="AV64" s="29"/>
      <c r="AW64" s="282" t="e">
        <f t="shared" si="70"/>
        <v>#DIV/0!</v>
      </c>
      <c r="AX64" s="283" t="e">
        <f t="shared" si="71"/>
        <v>#DIV/0!</v>
      </c>
      <c r="AY64" s="275" t="e">
        <f t="shared" si="72"/>
        <v>#VALUE!</v>
      </c>
      <c r="AZ64" s="207"/>
      <c r="BA64" s="29"/>
      <c r="BB64" s="252" t="e">
        <f t="shared" si="73"/>
        <v>#DIV/0!</v>
      </c>
      <c r="BC64" s="252" t="str">
        <f t="shared" si="74"/>
        <v>#DIV/0!</v>
      </c>
      <c r="BD64" t="s">
        <v>2387</v>
      </c>
      <c r="BE64" t="s">
        <v>2387</v>
      </c>
      <c r="BF64" s="285" t="e">
        <f t="shared" si="75"/>
        <v>#DIV/0!</v>
      </c>
      <c r="BG64" s="252">
        <f t="shared" si="76"/>
        <v>0</v>
      </c>
      <c r="BH64" s="252" t="str">
        <f t="shared" si="77"/>
        <v>#DIV/0!</v>
      </c>
      <c r="BI64" t="s">
        <v>2387</v>
      </c>
      <c r="BJ64" s="288" t="e">
        <f t="shared" si="78"/>
        <v>#VALUE!</v>
      </c>
      <c r="BK64" s="288" t="e">
        <f t="shared" si="79"/>
        <v>#DIV/0!</v>
      </c>
      <c r="BL64" s="286" t="e">
        <f t="shared" si="80"/>
        <v>#VALUE!</v>
      </c>
      <c r="BM64" s="283" t="e">
        <f t="shared" si="81"/>
        <v>#VALUE!</v>
      </c>
      <c r="BN64" s="283" t="e">
        <f t="shared" si="82"/>
        <v>#VALUE!</v>
      </c>
      <c r="BO64" s="275" t="e">
        <f t="shared" si="83"/>
        <v>#DIV/0!</v>
      </c>
    </row>
    <row r="65" customHeight="1" spans="1:67">
      <c r="A65" s="207" t="b">
        <v>0</v>
      </c>
      <c r="B65" s="29" t="b">
        <v>0</v>
      </c>
      <c r="C65" s="29" t="b">
        <v>0</v>
      </c>
      <c r="D65" s="29" t="b">
        <v>0</v>
      </c>
      <c r="E65" s="208" t="b">
        <v>0</v>
      </c>
      <c r="F65" s="29"/>
      <c r="G65" s="29" t="s">
        <v>2430</v>
      </c>
      <c r="H65" s="210"/>
      <c r="I65" s="29"/>
      <c r="J65" s="29"/>
      <c r="K65" s="29" t="b">
        <v>0</v>
      </c>
      <c r="L65" s="29" t="b">
        <v>0</v>
      </c>
      <c r="M65" s="29"/>
      <c r="N65" s="214"/>
      <c r="O65" s="29"/>
      <c r="P65" s="215" t="str">
        <f t="shared" si="61"/>
        <v/>
      </c>
      <c r="Q65" s="29"/>
      <c r="R65" s="29"/>
      <c r="S65" s="29"/>
      <c r="T65" s="29"/>
      <c r="U65" s="29"/>
      <c r="V65" s="29"/>
      <c r="W65" s="29"/>
      <c r="X65" s="29"/>
      <c r="Y65" s="223"/>
      <c r="Z65" s="242">
        <f t="shared" si="62"/>
        <v>-25</v>
      </c>
      <c r="AA65" s="243"/>
      <c r="AB65" s="244"/>
      <c r="AC65" s="245">
        <f t="shared" si="63"/>
        <v>0</v>
      </c>
      <c r="AD65" s="246">
        <v>1</v>
      </c>
      <c r="AE65" s="247">
        <f t="shared" si="64"/>
        <v>0</v>
      </c>
      <c r="AF65" s="29"/>
      <c r="AG65" s="29"/>
      <c r="AH65" s="29"/>
      <c r="AI65" s="223"/>
      <c r="AJ65" s="260"/>
      <c r="AK65" s="245"/>
      <c r="AL65" s="245"/>
      <c r="AM65">
        <v>0</v>
      </c>
      <c r="AN65" s="261" t="e">
        <f t="shared" si="65"/>
        <v>#DIV/0!</v>
      </c>
      <c r="AO65" t="s">
        <v>2387</v>
      </c>
      <c r="AP65" t="s">
        <v>2387</v>
      </c>
      <c r="AQ65" s="267">
        <v>0</v>
      </c>
      <c r="AR65" s="252" t="e">
        <f t="shared" si="66"/>
        <v>#DIV/0!</v>
      </c>
      <c r="AS65" s="252" t="e">
        <f t="shared" si="67"/>
        <v>#DIV/0!</v>
      </c>
      <c r="AT65" s="252" t="e">
        <f t="shared" si="68"/>
        <v>#VALUE!</v>
      </c>
      <c r="AU65" s="252">
        <f t="shared" si="69"/>
        <v>0</v>
      </c>
      <c r="AV65" s="29"/>
      <c r="AW65" s="282" t="e">
        <f t="shared" si="70"/>
        <v>#DIV/0!</v>
      </c>
      <c r="AX65" s="283" t="e">
        <f t="shared" si="71"/>
        <v>#DIV/0!</v>
      </c>
      <c r="AY65" s="275" t="e">
        <f t="shared" si="72"/>
        <v>#VALUE!</v>
      </c>
      <c r="AZ65" s="207"/>
      <c r="BA65" s="29"/>
      <c r="BB65" s="252" t="e">
        <f t="shared" si="73"/>
        <v>#DIV/0!</v>
      </c>
      <c r="BC65" s="252" t="str">
        <f t="shared" si="74"/>
        <v>#DIV/0!</v>
      </c>
      <c r="BD65" t="s">
        <v>2387</v>
      </c>
      <c r="BE65" t="s">
        <v>2387</v>
      </c>
      <c r="BF65" s="285" t="e">
        <f t="shared" si="75"/>
        <v>#DIV/0!</v>
      </c>
      <c r="BG65" s="252">
        <f t="shared" si="76"/>
        <v>0</v>
      </c>
      <c r="BH65" s="252" t="str">
        <f t="shared" si="77"/>
        <v>#DIV/0!</v>
      </c>
      <c r="BI65" t="s">
        <v>2387</v>
      </c>
      <c r="BJ65" s="288" t="e">
        <f t="shared" si="78"/>
        <v>#VALUE!</v>
      </c>
      <c r="BK65" s="288" t="e">
        <f t="shared" si="79"/>
        <v>#DIV/0!</v>
      </c>
      <c r="BL65" s="286" t="e">
        <f t="shared" si="80"/>
        <v>#VALUE!</v>
      </c>
      <c r="BM65" s="283" t="e">
        <f t="shared" si="81"/>
        <v>#VALUE!</v>
      </c>
      <c r="BN65" s="283" t="e">
        <f t="shared" si="82"/>
        <v>#VALUE!</v>
      </c>
      <c r="BO65" s="275" t="e">
        <f t="shared" si="83"/>
        <v>#DIV/0!</v>
      </c>
    </row>
    <row r="66" customHeight="1" spans="1:67">
      <c r="A66" s="207" t="b">
        <v>0</v>
      </c>
      <c r="B66" s="29" t="b">
        <v>0</v>
      </c>
      <c r="C66" s="29" t="b">
        <v>0</v>
      </c>
      <c r="D66" s="29" t="b">
        <v>0</v>
      </c>
      <c r="E66" s="208" t="b">
        <v>0</v>
      </c>
      <c r="F66" s="29"/>
      <c r="G66" s="29" t="s">
        <v>2431</v>
      </c>
      <c r="H66" s="210"/>
      <c r="I66" s="29"/>
      <c r="J66" s="29"/>
      <c r="K66" s="29" t="b">
        <v>0</v>
      </c>
      <c r="L66" s="29" t="b">
        <v>0</v>
      </c>
      <c r="M66" s="29"/>
      <c r="N66" s="214"/>
      <c r="O66" s="29"/>
      <c r="P66" s="215" t="str">
        <f t="shared" si="61"/>
        <v/>
      </c>
      <c r="Q66" s="29"/>
      <c r="R66" s="29"/>
      <c r="S66" s="29"/>
      <c r="T66" s="29"/>
      <c r="U66" s="29"/>
      <c r="V66" s="29"/>
      <c r="W66" s="29"/>
      <c r="X66" s="29"/>
      <c r="Y66" s="223"/>
      <c r="Z66" s="242">
        <f t="shared" si="62"/>
        <v>-25</v>
      </c>
      <c r="AA66" s="243"/>
      <c r="AB66" s="244"/>
      <c r="AC66" s="245">
        <f t="shared" si="63"/>
        <v>0</v>
      </c>
      <c r="AD66" s="246">
        <v>1</v>
      </c>
      <c r="AE66" s="247">
        <f t="shared" si="64"/>
        <v>0</v>
      </c>
      <c r="AF66" s="29"/>
      <c r="AG66" s="29"/>
      <c r="AH66" s="29"/>
      <c r="AI66" s="223"/>
      <c r="AJ66" s="260"/>
      <c r="AK66" s="245"/>
      <c r="AL66" s="245"/>
      <c r="AM66">
        <v>0</v>
      </c>
      <c r="AN66" s="261" t="e">
        <f t="shared" si="65"/>
        <v>#DIV/0!</v>
      </c>
      <c r="AO66" t="s">
        <v>2387</v>
      </c>
      <c r="AP66" t="s">
        <v>2387</v>
      </c>
      <c r="AQ66" s="267">
        <v>0</v>
      </c>
      <c r="AR66" s="252" t="e">
        <f t="shared" si="66"/>
        <v>#DIV/0!</v>
      </c>
      <c r="AS66" s="252" t="e">
        <f t="shared" si="67"/>
        <v>#DIV/0!</v>
      </c>
      <c r="AT66" s="252" t="e">
        <f t="shared" si="68"/>
        <v>#VALUE!</v>
      </c>
      <c r="AU66" s="252">
        <f t="shared" si="69"/>
        <v>0</v>
      </c>
      <c r="AV66" s="29"/>
      <c r="AW66" s="282" t="e">
        <f t="shared" si="70"/>
        <v>#DIV/0!</v>
      </c>
      <c r="AX66" s="283" t="e">
        <f t="shared" si="71"/>
        <v>#DIV/0!</v>
      </c>
      <c r="AY66" s="275" t="e">
        <f t="shared" si="72"/>
        <v>#VALUE!</v>
      </c>
      <c r="AZ66" s="207"/>
      <c r="BA66" s="29"/>
      <c r="BB66" s="252" t="e">
        <f t="shared" si="73"/>
        <v>#DIV/0!</v>
      </c>
      <c r="BC66" s="252" t="str">
        <f t="shared" si="74"/>
        <v>#DIV/0!</v>
      </c>
      <c r="BD66" t="s">
        <v>2387</v>
      </c>
      <c r="BE66" t="s">
        <v>2387</v>
      </c>
      <c r="BF66" s="285" t="e">
        <f t="shared" si="75"/>
        <v>#DIV/0!</v>
      </c>
      <c r="BG66" s="252">
        <f t="shared" si="76"/>
        <v>0</v>
      </c>
      <c r="BH66" s="252" t="str">
        <f t="shared" si="77"/>
        <v>#DIV/0!</v>
      </c>
      <c r="BI66" t="s">
        <v>2387</v>
      </c>
      <c r="BJ66" s="288" t="e">
        <f t="shared" si="78"/>
        <v>#VALUE!</v>
      </c>
      <c r="BK66" s="288" t="e">
        <f t="shared" si="79"/>
        <v>#DIV/0!</v>
      </c>
      <c r="BL66" s="286" t="e">
        <f t="shared" si="80"/>
        <v>#VALUE!</v>
      </c>
      <c r="BM66" s="283" t="e">
        <f t="shared" si="81"/>
        <v>#VALUE!</v>
      </c>
      <c r="BN66" s="283" t="e">
        <f t="shared" si="82"/>
        <v>#VALUE!</v>
      </c>
      <c r="BO66" s="275" t="e">
        <f t="shared" si="83"/>
        <v>#DIV/0!</v>
      </c>
    </row>
    <row r="67" customHeight="1" spans="1:67">
      <c r="A67" s="207" t="b">
        <v>0</v>
      </c>
      <c r="B67" s="29" t="b">
        <v>0</v>
      </c>
      <c r="C67" s="29" t="b">
        <v>0</v>
      </c>
      <c r="D67" s="29" t="b">
        <v>0</v>
      </c>
      <c r="E67" s="208" t="b">
        <v>0</v>
      </c>
      <c r="F67" s="29"/>
      <c r="G67" s="29" t="s">
        <v>2432</v>
      </c>
      <c r="H67" s="210"/>
      <c r="I67" s="29"/>
      <c r="J67" s="29"/>
      <c r="K67" s="29" t="b">
        <v>0</v>
      </c>
      <c r="L67" s="29" t="b">
        <v>0</v>
      </c>
      <c r="M67" s="29"/>
      <c r="N67" s="214"/>
      <c r="O67" s="29"/>
      <c r="P67" s="215" t="str">
        <f t="shared" si="61"/>
        <v/>
      </c>
      <c r="Q67" s="29"/>
      <c r="R67" s="29"/>
      <c r="S67" s="29"/>
      <c r="T67" s="29"/>
      <c r="U67" s="29"/>
      <c r="V67" s="29"/>
      <c r="W67" s="29"/>
      <c r="X67" s="29"/>
      <c r="Y67" s="223"/>
      <c r="Z67" s="242">
        <f t="shared" si="62"/>
        <v>-25</v>
      </c>
      <c r="AA67" s="243"/>
      <c r="AB67" s="244"/>
      <c r="AC67" s="245">
        <f t="shared" si="63"/>
        <v>0</v>
      </c>
      <c r="AD67" s="246">
        <v>1</v>
      </c>
      <c r="AE67" s="247">
        <f t="shared" si="64"/>
        <v>0</v>
      </c>
      <c r="AF67" s="29"/>
      <c r="AG67" s="29"/>
      <c r="AH67" s="29"/>
      <c r="AI67" s="223"/>
      <c r="AJ67" s="260"/>
      <c r="AK67" s="245"/>
      <c r="AL67" s="245"/>
      <c r="AM67">
        <v>0</v>
      </c>
      <c r="AN67" s="261" t="e">
        <f t="shared" si="65"/>
        <v>#DIV/0!</v>
      </c>
      <c r="AO67" t="s">
        <v>2387</v>
      </c>
      <c r="AP67" t="s">
        <v>2387</v>
      </c>
      <c r="AQ67" s="267">
        <v>0</v>
      </c>
      <c r="AR67" s="252" t="e">
        <f t="shared" si="66"/>
        <v>#DIV/0!</v>
      </c>
      <c r="AS67" s="252" t="e">
        <f t="shared" si="67"/>
        <v>#DIV/0!</v>
      </c>
      <c r="AT67" s="252" t="e">
        <f t="shared" si="68"/>
        <v>#VALUE!</v>
      </c>
      <c r="AU67" s="252">
        <f t="shared" si="69"/>
        <v>0</v>
      </c>
      <c r="AV67" s="29"/>
      <c r="AW67" s="282" t="e">
        <f t="shared" si="70"/>
        <v>#DIV/0!</v>
      </c>
      <c r="AX67" s="283" t="e">
        <f t="shared" si="71"/>
        <v>#DIV/0!</v>
      </c>
      <c r="AY67" s="275" t="e">
        <f t="shared" si="72"/>
        <v>#VALUE!</v>
      </c>
      <c r="AZ67" s="207"/>
      <c r="BA67" s="29"/>
      <c r="BB67" s="252" t="e">
        <f t="shared" si="73"/>
        <v>#DIV/0!</v>
      </c>
      <c r="BC67" s="252" t="str">
        <f t="shared" si="74"/>
        <v>#DIV/0!</v>
      </c>
      <c r="BD67" t="s">
        <v>2387</v>
      </c>
      <c r="BE67" t="s">
        <v>2387</v>
      </c>
      <c r="BF67" s="285" t="e">
        <f t="shared" si="75"/>
        <v>#DIV/0!</v>
      </c>
      <c r="BG67" s="252">
        <f t="shared" si="76"/>
        <v>0</v>
      </c>
      <c r="BH67" s="252" t="str">
        <f t="shared" si="77"/>
        <v>#DIV/0!</v>
      </c>
      <c r="BI67" t="s">
        <v>2387</v>
      </c>
      <c r="BJ67" s="288" t="e">
        <f t="shared" si="78"/>
        <v>#VALUE!</v>
      </c>
      <c r="BK67" s="288" t="e">
        <f t="shared" si="79"/>
        <v>#DIV/0!</v>
      </c>
      <c r="BL67" s="286" t="e">
        <f t="shared" si="80"/>
        <v>#VALUE!</v>
      </c>
      <c r="BM67" s="283" t="e">
        <f t="shared" si="81"/>
        <v>#VALUE!</v>
      </c>
      <c r="BN67" s="283" t="e">
        <f t="shared" si="82"/>
        <v>#VALUE!</v>
      </c>
      <c r="BO67" s="275" t="e">
        <f t="shared" si="83"/>
        <v>#DIV/0!</v>
      </c>
    </row>
    <row r="68" customHeight="1" spans="1:67">
      <c r="A68" s="207" t="b">
        <v>0</v>
      </c>
      <c r="B68" s="29" t="b">
        <v>0</v>
      </c>
      <c r="C68" s="29" t="b">
        <v>0</v>
      </c>
      <c r="D68" s="29" t="b">
        <v>0</v>
      </c>
      <c r="E68" s="208" t="b">
        <v>0</v>
      </c>
      <c r="F68" s="29"/>
      <c r="G68" s="29" t="s">
        <v>2433</v>
      </c>
      <c r="H68" s="210"/>
      <c r="I68" s="29"/>
      <c r="J68" s="29"/>
      <c r="K68" s="29" t="b">
        <v>0</v>
      </c>
      <c r="L68" s="29" t="b">
        <v>0</v>
      </c>
      <c r="M68" s="29"/>
      <c r="N68" s="214"/>
      <c r="O68" s="29"/>
      <c r="P68" s="215" t="str">
        <f t="shared" si="61"/>
        <v/>
      </c>
      <c r="Q68" s="29"/>
      <c r="R68" s="29"/>
      <c r="S68" s="29"/>
      <c r="T68" s="29"/>
      <c r="U68" s="29"/>
      <c r="V68" s="29"/>
      <c r="W68" s="29"/>
      <c r="X68" s="29"/>
      <c r="Y68" s="223"/>
      <c r="Z68" s="242">
        <f t="shared" si="62"/>
        <v>-25</v>
      </c>
      <c r="AA68" s="243"/>
      <c r="AB68" s="244"/>
      <c r="AC68" s="245">
        <f t="shared" si="63"/>
        <v>0</v>
      </c>
      <c r="AD68" s="246">
        <v>1</v>
      </c>
      <c r="AE68" s="247">
        <f t="shared" si="64"/>
        <v>0</v>
      </c>
      <c r="AF68" s="29"/>
      <c r="AG68" s="29"/>
      <c r="AH68" s="29"/>
      <c r="AI68" s="223"/>
      <c r="AJ68" s="260"/>
      <c r="AK68" s="245"/>
      <c r="AL68" s="245"/>
      <c r="AM68">
        <v>0</v>
      </c>
      <c r="AN68" s="261" t="e">
        <f t="shared" si="65"/>
        <v>#DIV/0!</v>
      </c>
      <c r="AO68" t="s">
        <v>2387</v>
      </c>
      <c r="AP68" t="s">
        <v>2387</v>
      </c>
      <c r="AQ68" s="267">
        <v>0</v>
      </c>
      <c r="AR68" s="252" t="e">
        <f t="shared" si="66"/>
        <v>#DIV/0!</v>
      </c>
      <c r="AS68" s="252" t="e">
        <f t="shared" si="67"/>
        <v>#DIV/0!</v>
      </c>
      <c r="AT68" s="252" t="e">
        <f t="shared" si="68"/>
        <v>#VALUE!</v>
      </c>
      <c r="AU68" s="252">
        <f t="shared" si="69"/>
        <v>0</v>
      </c>
      <c r="AV68" s="29"/>
      <c r="AW68" s="282" t="e">
        <f t="shared" si="70"/>
        <v>#DIV/0!</v>
      </c>
      <c r="AX68" s="283" t="e">
        <f t="shared" si="71"/>
        <v>#DIV/0!</v>
      </c>
      <c r="AY68" s="275" t="e">
        <f t="shared" si="72"/>
        <v>#VALUE!</v>
      </c>
      <c r="AZ68" s="207"/>
      <c r="BA68" s="29"/>
      <c r="BB68" s="252" t="e">
        <f t="shared" si="73"/>
        <v>#DIV/0!</v>
      </c>
      <c r="BC68" s="252" t="str">
        <f t="shared" si="74"/>
        <v>#DIV/0!</v>
      </c>
      <c r="BD68" t="s">
        <v>2387</v>
      </c>
      <c r="BE68" t="s">
        <v>2387</v>
      </c>
      <c r="BF68" s="285" t="e">
        <f t="shared" si="75"/>
        <v>#DIV/0!</v>
      </c>
      <c r="BG68" s="252">
        <f t="shared" si="76"/>
        <v>0</v>
      </c>
      <c r="BH68" s="252" t="str">
        <f t="shared" si="77"/>
        <v>#DIV/0!</v>
      </c>
      <c r="BI68" t="s">
        <v>2387</v>
      </c>
      <c r="BJ68" s="288" t="e">
        <f t="shared" si="78"/>
        <v>#VALUE!</v>
      </c>
      <c r="BK68" s="288" t="e">
        <f t="shared" si="79"/>
        <v>#DIV/0!</v>
      </c>
      <c r="BL68" s="286" t="e">
        <f t="shared" si="80"/>
        <v>#VALUE!</v>
      </c>
      <c r="BM68" s="283" t="e">
        <f t="shared" si="81"/>
        <v>#VALUE!</v>
      </c>
      <c r="BN68" s="283" t="e">
        <f t="shared" si="82"/>
        <v>#VALUE!</v>
      </c>
      <c r="BO68" s="275" t="e">
        <f t="shared" si="83"/>
        <v>#DIV/0!</v>
      </c>
    </row>
    <row r="69" customHeight="1" spans="1:67">
      <c r="A69" s="207" t="b">
        <v>0</v>
      </c>
      <c r="B69" s="29" t="b">
        <v>0</v>
      </c>
      <c r="C69" s="29" t="b">
        <v>0</v>
      </c>
      <c r="D69" s="29" t="b">
        <v>0</v>
      </c>
      <c r="E69" s="208" t="b">
        <v>0</v>
      </c>
      <c r="F69" s="29"/>
      <c r="G69" s="29" t="s">
        <v>2434</v>
      </c>
      <c r="H69" s="210"/>
      <c r="I69" s="29"/>
      <c r="J69" s="29"/>
      <c r="K69" s="29" t="b">
        <v>0</v>
      </c>
      <c r="L69" s="29" t="b">
        <v>0</v>
      </c>
      <c r="M69" s="29"/>
      <c r="N69" s="214"/>
      <c r="O69" s="29"/>
      <c r="P69" s="215" t="str">
        <f t="shared" si="61"/>
        <v/>
      </c>
      <c r="Q69" s="29"/>
      <c r="R69" s="29"/>
      <c r="S69" s="29"/>
      <c r="T69" s="29"/>
      <c r="U69" s="29"/>
      <c r="V69" s="29"/>
      <c r="W69" s="29"/>
      <c r="X69" s="29"/>
      <c r="Y69" s="223"/>
      <c r="Z69" s="242">
        <f t="shared" si="62"/>
        <v>-25</v>
      </c>
      <c r="AA69" s="243"/>
      <c r="AB69" s="244"/>
      <c r="AC69" s="245">
        <f t="shared" si="63"/>
        <v>0</v>
      </c>
      <c r="AD69" s="246">
        <v>1</v>
      </c>
      <c r="AE69" s="247">
        <f t="shared" si="64"/>
        <v>0</v>
      </c>
      <c r="AF69" s="29"/>
      <c r="AG69" s="29"/>
      <c r="AH69" s="29"/>
      <c r="AI69" s="223"/>
      <c r="AJ69" s="260"/>
      <c r="AK69" s="245"/>
      <c r="AL69" s="245"/>
      <c r="AM69">
        <v>0</v>
      </c>
      <c r="AN69" s="261" t="e">
        <f t="shared" si="65"/>
        <v>#DIV/0!</v>
      </c>
      <c r="AO69" t="s">
        <v>2387</v>
      </c>
      <c r="AP69" t="s">
        <v>2387</v>
      </c>
      <c r="AQ69" s="267">
        <v>0</v>
      </c>
      <c r="AR69" s="252" t="e">
        <f t="shared" si="66"/>
        <v>#DIV/0!</v>
      </c>
      <c r="AS69" s="252" t="e">
        <f t="shared" si="67"/>
        <v>#DIV/0!</v>
      </c>
      <c r="AT69" s="252" t="e">
        <f t="shared" si="68"/>
        <v>#VALUE!</v>
      </c>
      <c r="AU69" s="252">
        <f t="shared" si="69"/>
        <v>0</v>
      </c>
      <c r="AV69" s="29"/>
      <c r="AW69" s="282" t="e">
        <f t="shared" si="70"/>
        <v>#DIV/0!</v>
      </c>
      <c r="AX69" s="283" t="e">
        <f t="shared" si="71"/>
        <v>#DIV/0!</v>
      </c>
      <c r="AY69" s="275" t="e">
        <f t="shared" si="72"/>
        <v>#VALUE!</v>
      </c>
      <c r="AZ69" s="207"/>
      <c r="BA69" s="29"/>
      <c r="BB69" s="252" t="e">
        <f t="shared" si="73"/>
        <v>#DIV/0!</v>
      </c>
      <c r="BC69" s="252" t="str">
        <f t="shared" si="74"/>
        <v>#DIV/0!</v>
      </c>
      <c r="BD69" t="s">
        <v>2387</v>
      </c>
      <c r="BE69" t="s">
        <v>2387</v>
      </c>
      <c r="BF69" s="285" t="e">
        <f t="shared" si="75"/>
        <v>#DIV/0!</v>
      </c>
      <c r="BG69" s="252">
        <f t="shared" si="76"/>
        <v>0</v>
      </c>
      <c r="BH69" s="252" t="str">
        <f t="shared" si="77"/>
        <v>#DIV/0!</v>
      </c>
      <c r="BI69" t="s">
        <v>2387</v>
      </c>
      <c r="BJ69" s="288" t="e">
        <f t="shared" si="78"/>
        <v>#VALUE!</v>
      </c>
      <c r="BK69" s="288" t="e">
        <f t="shared" si="79"/>
        <v>#DIV/0!</v>
      </c>
      <c r="BL69" s="286" t="e">
        <f t="shared" si="80"/>
        <v>#VALUE!</v>
      </c>
      <c r="BM69" s="283" t="e">
        <f t="shared" si="81"/>
        <v>#VALUE!</v>
      </c>
      <c r="BN69" s="283" t="e">
        <f t="shared" si="82"/>
        <v>#VALUE!</v>
      </c>
      <c r="BO69" s="275" t="e">
        <f t="shared" si="83"/>
        <v>#DIV/0!</v>
      </c>
    </row>
    <row r="70" customHeight="1" spans="1:67">
      <c r="A70" s="207" t="b">
        <v>0</v>
      </c>
      <c r="B70" s="29" t="b">
        <v>0</v>
      </c>
      <c r="C70" s="29" t="b">
        <v>0</v>
      </c>
      <c r="D70" s="29" t="b">
        <v>0</v>
      </c>
      <c r="E70" s="208" t="b">
        <v>0</v>
      </c>
      <c r="F70" s="29"/>
      <c r="G70" s="29" t="s">
        <v>2435</v>
      </c>
      <c r="H70" s="210"/>
      <c r="I70" s="29"/>
      <c r="J70" s="29"/>
      <c r="K70" s="29" t="b">
        <v>0</v>
      </c>
      <c r="L70" s="29" t="b">
        <v>0</v>
      </c>
      <c r="M70" s="29"/>
      <c r="N70" s="214"/>
      <c r="O70" s="29"/>
      <c r="P70" s="215" t="str">
        <f t="shared" si="61"/>
        <v/>
      </c>
      <c r="Q70" s="29"/>
      <c r="R70" s="29"/>
      <c r="S70" s="29"/>
      <c r="T70" s="29"/>
      <c r="U70" s="29"/>
      <c r="V70" s="29"/>
      <c r="W70" s="29"/>
      <c r="X70" s="29"/>
      <c r="Y70" s="223"/>
      <c r="Z70" s="242">
        <f t="shared" si="62"/>
        <v>-25</v>
      </c>
      <c r="AA70" s="243"/>
      <c r="AB70" s="244"/>
      <c r="AC70" s="245">
        <f t="shared" si="63"/>
        <v>0</v>
      </c>
      <c r="AD70" s="246">
        <v>1</v>
      </c>
      <c r="AE70" s="247">
        <f t="shared" si="64"/>
        <v>0</v>
      </c>
      <c r="AF70" s="29"/>
      <c r="AG70" s="29"/>
      <c r="AH70" s="29"/>
      <c r="AI70" s="223"/>
      <c r="AJ70" s="260"/>
      <c r="AK70" s="245"/>
      <c r="AL70" s="245"/>
      <c r="AM70">
        <v>0</v>
      </c>
      <c r="AN70" s="261" t="e">
        <f t="shared" si="65"/>
        <v>#DIV/0!</v>
      </c>
      <c r="AO70" t="s">
        <v>2387</v>
      </c>
      <c r="AP70" t="s">
        <v>2387</v>
      </c>
      <c r="AQ70" s="267">
        <v>0</v>
      </c>
      <c r="AR70" s="252" t="e">
        <f t="shared" si="66"/>
        <v>#DIV/0!</v>
      </c>
      <c r="AS70" s="252" t="e">
        <f t="shared" si="67"/>
        <v>#DIV/0!</v>
      </c>
      <c r="AT70" s="252" t="e">
        <f t="shared" si="68"/>
        <v>#VALUE!</v>
      </c>
      <c r="AU70" s="252">
        <f t="shared" si="69"/>
        <v>0</v>
      </c>
      <c r="AV70" s="29"/>
      <c r="AW70" s="282" t="e">
        <f t="shared" si="70"/>
        <v>#DIV/0!</v>
      </c>
      <c r="AX70" s="283" t="e">
        <f t="shared" si="71"/>
        <v>#DIV/0!</v>
      </c>
      <c r="AY70" s="275" t="e">
        <f t="shared" si="72"/>
        <v>#VALUE!</v>
      </c>
      <c r="AZ70" s="207"/>
      <c r="BA70" s="29"/>
      <c r="BB70" s="252" t="e">
        <f t="shared" si="73"/>
        <v>#DIV/0!</v>
      </c>
      <c r="BC70" s="252" t="str">
        <f t="shared" si="74"/>
        <v>#DIV/0!</v>
      </c>
      <c r="BD70" t="s">
        <v>2387</v>
      </c>
      <c r="BE70" t="s">
        <v>2387</v>
      </c>
      <c r="BF70" s="285" t="e">
        <f t="shared" si="75"/>
        <v>#DIV/0!</v>
      </c>
      <c r="BG70" s="252">
        <f t="shared" si="76"/>
        <v>0</v>
      </c>
      <c r="BH70" s="252" t="str">
        <f t="shared" si="77"/>
        <v>#DIV/0!</v>
      </c>
      <c r="BI70" t="s">
        <v>2387</v>
      </c>
      <c r="BJ70" s="288" t="e">
        <f t="shared" si="78"/>
        <v>#VALUE!</v>
      </c>
      <c r="BK70" s="288" t="e">
        <f t="shared" si="79"/>
        <v>#DIV/0!</v>
      </c>
      <c r="BL70" s="286" t="e">
        <f t="shared" si="80"/>
        <v>#VALUE!</v>
      </c>
      <c r="BM70" s="283" t="e">
        <f t="shared" si="81"/>
        <v>#VALUE!</v>
      </c>
      <c r="BN70" s="283" t="e">
        <f t="shared" si="82"/>
        <v>#VALUE!</v>
      </c>
      <c r="BO70" s="275" t="e">
        <f t="shared" si="83"/>
        <v>#DIV/0!</v>
      </c>
    </row>
    <row r="71" customHeight="1" spans="1:67">
      <c r="A71" s="289" t="b">
        <v>0</v>
      </c>
      <c r="B71" s="27" t="b">
        <v>0</v>
      </c>
      <c r="C71" s="27" t="b">
        <v>0</v>
      </c>
      <c r="D71" s="27" t="b">
        <v>0</v>
      </c>
      <c r="E71" s="290" t="b">
        <v>0</v>
      </c>
      <c r="F71" s="29"/>
      <c r="G71" s="29" t="s">
        <v>2436</v>
      </c>
      <c r="H71" s="210"/>
      <c r="I71" s="29"/>
      <c r="J71" s="29"/>
      <c r="K71" s="27" t="b">
        <v>0</v>
      </c>
      <c r="L71" s="27" t="b">
        <v>0</v>
      </c>
      <c r="M71" s="29"/>
      <c r="N71" s="214"/>
      <c r="O71" s="29"/>
      <c r="P71" s="215" t="str">
        <f t="shared" si="61"/>
        <v/>
      </c>
      <c r="Q71" s="29"/>
      <c r="R71" s="29"/>
      <c r="S71" s="29"/>
      <c r="T71" s="29"/>
      <c r="U71" s="29"/>
      <c r="V71" s="29"/>
      <c r="W71" s="29"/>
      <c r="X71" s="29"/>
      <c r="Y71" s="223"/>
      <c r="Z71" s="242">
        <f t="shared" si="62"/>
        <v>-25</v>
      </c>
      <c r="AA71" s="243"/>
      <c r="AB71" s="244"/>
      <c r="AC71" s="245">
        <f t="shared" si="63"/>
        <v>0</v>
      </c>
      <c r="AD71" s="246">
        <v>1</v>
      </c>
      <c r="AE71" s="247">
        <f t="shared" si="64"/>
        <v>0</v>
      </c>
      <c r="AF71" s="29"/>
      <c r="AG71" s="29"/>
      <c r="AH71" s="29"/>
      <c r="AI71" s="223"/>
      <c r="AJ71" s="260"/>
      <c r="AK71" s="245"/>
      <c r="AL71" s="245"/>
      <c r="AM71">
        <v>0</v>
      </c>
      <c r="AN71" s="261" t="e">
        <f t="shared" si="65"/>
        <v>#DIV/0!</v>
      </c>
      <c r="AO71" t="s">
        <v>2387</v>
      </c>
      <c r="AP71" t="s">
        <v>2387</v>
      </c>
      <c r="AQ71" s="267">
        <v>0</v>
      </c>
      <c r="AR71" s="252" t="e">
        <f t="shared" si="66"/>
        <v>#DIV/0!</v>
      </c>
      <c r="AS71" s="252" t="e">
        <f t="shared" si="67"/>
        <v>#DIV/0!</v>
      </c>
      <c r="AT71" s="252" t="e">
        <f t="shared" si="68"/>
        <v>#VALUE!</v>
      </c>
      <c r="AU71" s="252">
        <f t="shared" si="69"/>
        <v>0</v>
      </c>
      <c r="AV71" s="29"/>
      <c r="AW71" s="282" t="e">
        <f t="shared" si="70"/>
        <v>#DIV/0!</v>
      </c>
      <c r="AX71" s="283" t="e">
        <f t="shared" si="71"/>
        <v>#DIV/0!</v>
      </c>
      <c r="AY71" s="275" t="e">
        <f t="shared" si="72"/>
        <v>#VALUE!</v>
      </c>
      <c r="AZ71" s="207"/>
      <c r="BA71" s="29"/>
      <c r="BB71" s="252" t="e">
        <f t="shared" si="73"/>
        <v>#DIV/0!</v>
      </c>
      <c r="BC71" s="252" t="str">
        <f t="shared" si="74"/>
        <v>#DIV/0!</v>
      </c>
      <c r="BD71" t="s">
        <v>2387</v>
      </c>
      <c r="BE71" t="s">
        <v>2387</v>
      </c>
      <c r="BF71" s="285" t="e">
        <f t="shared" si="75"/>
        <v>#DIV/0!</v>
      </c>
      <c r="BG71" s="252">
        <f t="shared" si="76"/>
        <v>0</v>
      </c>
      <c r="BH71" s="252" t="str">
        <f t="shared" si="77"/>
        <v>#DIV/0!</v>
      </c>
      <c r="BI71" t="s">
        <v>2387</v>
      </c>
      <c r="BJ71" s="288" t="e">
        <f t="shared" si="78"/>
        <v>#VALUE!</v>
      </c>
      <c r="BK71" s="288" t="e">
        <f t="shared" si="79"/>
        <v>#DIV/0!</v>
      </c>
      <c r="BL71" s="286" t="e">
        <f t="shared" si="80"/>
        <v>#VALUE!</v>
      </c>
      <c r="BM71" s="283" t="e">
        <f t="shared" si="81"/>
        <v>#VALUE!</v>
      </c>
      <c r="BN71" s="283" t="e">
        <f t="shared" si="82"/>
        <v>#VALUE!</v>
      </c>
      <c r="BO71" s="275" t="e">
        <f t="shared" si="83"/>
        <v>#DIV/0!</v>
      </c>
    </row>
    <row r="72" customHeight="1" spans="1:67">
      <c r="A72" s="289" t="b">
        <v>0</v>
      </c>
      <c r="B72" s="27" t="b">
        <v>0</v>
      </c>
      <c r="C72" s="27" t="b">
        <v>0</v>
      </c>
      <c r="D72" s="27" t="b">
        <v>0</v>
      </c>
      <c r="E72" s="290" t="b">
        <v>0</v>
      </c>
      <c r="F72" s="29"/>
      <c r="G72" s="29" t="s">
        <v>2437</v>
      </c>
      <c r="H72" s="29"/>
      <c r="I72" s="29"/>
      <c r="J72" s="29"/>
      <c r="K72" s="27" t="b">
        <v>0</v>
      </c>
      <c r="L72" s="27" t="b">
        <v>0</v>
      </c>
      <c r="M72" s="29"/>
      <c r="N72" s="214"/>
      <c r="O72" s="29"/>
      <c r="P72" s="215" t="str">
        <f t="shared" si="61"/>
        <v/>
      </c>
      <c r="Q72" s="29"/>
      <c r="R72" s="29"/>
      <c r="S72" s="29"/>
      <c r="T72" s="29"/>
      <c r="U72" s="29"/>
      <c r="V72" s="29"/>
      <c r="W72" s="29"/>
      <c r="X72" s="29"/>
      <c r="Y72" s="223"/>
      <c r="Z72" s="242">
        <f t="shared" si="62"/>
        <v>-25</v>
      </c>
      <c r="AA72" s="243"/>
      <c r="AB72" s="244"/>
      <c r="AC72" s="245">
        <f t="shared" si="63"/>
        <v>0</v>
      </c>
      <c r="AD72" s="246">
        <v>1</v>
      </c>
      <c r="AE72" s="247"/>
      <c r="AF72" s="29"/>
      <c r="AG72" s="29"/>
      <c r="AH72" s="29"/>
      <c r="AI72" s="223"/>
      <c r="AJ72" s="260"/>
      <c r="AK72" s="245"/>
      <c r="AL72" s="245"/>
      <c r="AM72">
        <v>0</v>
      </c>
      <c r="AN72" s="261" t="e">
        <f t="shared" si="65"/>
        <v>#DIV/0!</v>
      </c>
      <c r="AO72" t="s">
        <v>2387</v>
      </c>
      <c r="AP72" t="s">
        <v>2387</v>
      </c>
      <c r="AQ72" s="267">
        <v>0</v>
      </c>
      <c r="AR72" s="252" t="e">
        <f t="shared" si="66"/>
        <v>#DIV/0!</v>
      </c>
      <c r="AS72" s="252" t="e">
        <f t="shared" si="67"/>
        <v>#DIV/0!</v>
      </c>
      <c r="AT72" s="252" t="e">
        <f t="shared" si="68"/>
        <v>#VALUE!</v>
      </c>
      <c r="AU72" s="252">
        <f t="shared" si="69"/>
        <v>0</v>
      </c>
      <c r="AV72" s="29"/>
      <c r="AW72" s="282" t="e">
        <f t="shared" si="70"/>
        <v>#DIV/0!</v>
      </c>
      <c r="AX72" s="283" t="e">
        <f t="shared" si="71"/>
        <v>#DIV/0!</v>
      </c>
      <c r="AY72" s="275" t="e">
        <f t="shared" si="72"/>
        <v>#VALUE!</v>
      </c>
      <c r="AZ72" s="207"/>
      <c r="BA72" s="29"/>
      <c r="BB72" s="252" t="e">
        <f t="shared" si="73"/>
        <v>#DIV/0!</v>
      </c>
      <c r="BC72" s="252" t="str">
        <f t="shared" si="74"/>
        <v>#DIV/0!</v>
      </c>
      <c r="BD72" t="s">
        <v>2387</v>
      </c>
      <c r="BE72" t="s">
        <v>2387</v>
      </c>
      <c r="BF72" s="285" t="e">
        <f t="shared" si="75"/>
        <v>#DIV/0!</v>
      </c>
      <c r="BG72" s="252">
        <f t="shared" si="76"/>
        <v>0</v>
      </c>
      <c r="BH72" s="252" t="str">
        <f t="shared" si="77"/>
        <v>#DIV/0!</v>
      </c>
      <c r="BI72" t="s">
        <v>2387</v>
      </c>
      <c r="BJ72" s="288" t="e">
        <f t="shared" si="78"/>
        <v>#VALUE!</v>
      </c>
      <c r="BK72" s="288" t="e">
        <f t="shared" si="79"/>
        <v>#DIV/0!</v>
      </c>
      <c r="BL72" s="286" t="e">
        <f t="shared" si="80"/>
        <v>#VALUE!</v>
      </c>
      <c r="BM72" s="283" t="e">
        <f t="shared" si="81"/>
        <v>#VALUE!</v>
      </c>
      <c r="BN72" s="283" t="e">
        <f t="shared" si="82"/>
        <v>#VALUE!</v>
      </c>
      <c r="BO72" s="275" t="e">
        <f t="shared" si="83"/>
        <v>#DIV/0!</v>
      </c>
    </row>
    <row r="73" customHeight="1" spans="1:67">
      <c r="A73" s="289" t="b">
        <v>0</v>
      </c>
      <c r="B73" s="27" t="b">
        <v>0</v>
      </c>
      <c r="C73" s="27" t="b">
        <v>0</v>
      </c>
      <c r="D73" s="27" t="b">
        <v>0</v>
      </c>
      <c r="E73" s="290" t="b">
        <v>0</v>
      </c>
      <c r="F73" s="29"/>
      <c r="G73" s="29" t="s">
        <v>2438</v>
      </c>
      <c r="H73" s="29"/>
      <c r="I73" s="29"/>
      <c r="J73" s="29"/>
      <c r="K73" s="27" t="b">
        <v>0</v>
      </c>
      <c r="L73" s="27" t="b">
        <v>0</v>
      </c>
      <c r="M73" s="29"/>
      <c r="N73" s="214"/>
      <c r="O73" s="29"/>
      <c r="P73" s="215" t="str">
        <f t="shared" si="61"/>
        <v/>
      </c>
      <c r="Q73" s="29"/>
      <c r="R73" s="29"/>
      <c r="S73" s="29"/>
      <c r="T73" s="29"/>
      <c r="U73" s="29"/>
      <c r="V73" s="29"/>
      <c r="W73" s="29"/>
      <c r="X73" s="29"/>
      <c r="Y73" s="223"/>
      <c r="Z73" s="242">
        <f t="shared" si="62"/>
        <v>-25</v>
      </c>
      <c r="AA73" s="243"/>
      <c r="AB73" s="244"/>
      <c r="AC73" s="245">
        <f t="shared" si="63"/>
        <v>0</v>
      </c>
      <c r="AD73" s="246">
        <v>1</v>
      </c>
      <c r="AE73" s="247"/>
      <c r="AF73" s="29"/>
      <c r="AG73" s="29"/>
      <c r="AH73" s="29"/>
      <c r="AI73" s="223"/>
      <c r="AJ73" s="260"/>
      <c r="AK73" s="245"/>
      <c r="AL73" s="245"/>
      <c r="AM73">
        <v>0</v>
      </c>
      <c r="AN73" s="261" t="e">
        <f t="shared" si="65"/>
        <v>#DIV/0!</v>
      </c>
      <c r="AO73" t="s">
        <v>2387</v>
      </c>
      <c r="AP73" t="s">
        <v>2387</v>
      </c>
      <c r="AQ73" s="267">
        <v>0</v>
      </c>
      <c r="AR73" s="252" t="e">
        <f t="shared" si="66"/>
        <v>#DIV/0!</v>
      </c>
      <c r="AS73" s="252" t="e">
        <f t="shared" si="67"/>
        <v>#DIV/0!</v>
      </c>
      <c r="AT73" s="252" t="e">
        <f t="shared" si="68"/>
        <v>#VALUE!</v>
      </c>
      <c r="AU73" s="252">
        <f t="shared" si="69"/>
        <v>0</v>
      </c>
      <c r="AV73" s="29"/>
      <c r="AW73" s="282" t="e">
        <f t="shared" si="70"/>
        <v>#DIV/0!</v>
      </c>
      <c r="AX73" s="283" t="e">
        <f t="shared" si="71"/>
        <v>#DIV/0!</v>
      </c>
      <c r="AY73" s="275" t="e">
        <f t="shared" si="72"/>
        <v>#VALUE!</v>
      </c>
      <c r="AZ73" s="207"/>
      <c r="BA73" s="29"/>
      <c r="BB73" s="252" t="e">
        <f t="shared" si="73"/>
        <v>#DIV/0!</v>
      </c>
      <c r="BC73" s="252" t="str">
        <f t="shared" si="74"/>
        <v>#DIV/0!</v>
      </c>
      <c r="BD73" t="s">
        <v>2387</v>
      </c>
      <c r="BE73" t="s">
        <v>2387</v>
      </c>
      <c r="BF73" s="285" t="e">
        <f t="shared" si="75"/>
        <v>#DIV/0!</v>
      </c>
      <c r="BG73" s="252">
        <f t="shared" si="76"/>
        <v>0</v>
      </c>
      <c r="BH73" s="252" t="str">
        <f t="shared" si="77"/>
        <v>#DIV/0!</v>
      </c>
      <c r="BI73" t="s">
        <v>2387</v>
      </c>
      <c r="BJ73" s="288" t="e">
        <f t="shared" si="78"/>
        <v>#VALUE!</v>
      </c>
      <c r="BK73" s="288" t="e">
        <f t="shared" si="79"/>
        <v>#DIV/0!</v>
      </c>
      <c r="BL73" s="286" t="e">
        <f t="shared" si="80"/>
        <v>#VALUE!</v>
      </c>
      <c r="BM73" s="283" t="e">
        <f t="shared" si="81"/>
        <v>#VALUE!</v>
      </c>
      <c r="BN73" s="283" t="e">
        <f t="shared" si="82"/>
        <v>#VALUE!</v>
      </c>
      <c r="BO73" s="275" t="e">
        <f t="shared" si="83"/>
        <v>#DIV/0!</v>
      </c>
    </row>
    <row r="74" customHeight="1" spans="1:67">
      <c r="A74" s="289" t="b">
        <v>0</v>
      </c>
      <c r="B74" s="27" t="b">
        <v>0</v>
      </c>
      <c r="C74" s="27" t="b">
        <v>0</v>
      </c>
      <c r="D74" s="27" t="b">
        <v>0</v>
      </c>
      <c r="E74" s="290" t="b">
        <v>0</v>
      </c>
      <c r="F74" s="29"/>
      <c r="G74" s="29" t="s">
        <v>2439</v>
      </c>
      <c r="H74" s="29"/>
      <c r="I74" s="29"/>
      <c r="J74" s="29"/>
      <c r="K74" s="27" t="b">
        <v>0</v>
      </c>
      <c r="L74" s="27" t="b">
        <v>0</v>
      </c>
      <c r="M74" s="29"/>
      <c r="N74" s="214"/>
      <c r="O74" s="29"/>
      <c r="P74" s="215" t="str">
        <f t="shared" si="61"/>
        <v/>
      </c>
      <c r="Q74" s="29"/>
      <c r="R74" s="29"/>
      <c r="S74" s="29"/>
      <c r="T74" s="29"/>
      <c r="U74" s="29"/>
      <c r="V74" s="29"/>
      <c r="W74" s="29"/>
      <c r="X74" s="29"/>
      <c r="Y74" s="223"/>
      <c r="Z74" s="242">
        <f t="shared" si="62"/>
        <v>-25</v>
      </c>
      <c r="AA74" s="243"/>
      <c r="AB74" s="244"/>
      <c r="AC74" s="245">
        <f t="shared" si="63"/>
        <v>0</v>
      </c>
      <c r="AD74" s="246">
        <v>1</v>
      </c>
      <c r="AE74" s="247"/>
      <c r="AF74" s="29"/>
      <c r="AG74" s="29"/>
      <c r="AH74" s="29"/>
      <c r="AI74" s="223"/>
      <c r="AJ74" s="260"/>
      <c r="AK74" s="245"/>
      <c r="AL74" s="245"/>
      <c r="AM74">
        <v>0</v>
      </c>
      <c r="AN74" s="261" t="e">
        <f t="shared" si="65"/>
        <v>#DIV/0!</v>
      </c>
      <c r="AO74" t="s">
        <v>2387</v>
      </c>
      <c r="AP74" t="s">
        <v>2387</v>
      </c>
      <c r="AQ74" s="267">
        <v>0</v>
      </c>
      <c r="AR74" s="252" t="e">
        <f t="shared" si="66"/>
        <v>#DIV/0!</v>
      </c>
      <c r="AS74" s="252" t="e">
        <f t="shared" si="67"/>
        <v>#DIV/0!</v>
      </c>
      <c r="AT74" s="252" t="e">
        <f t="shared" si="68"/>
        <v>#VALUE!</v>
      </c>
      <c r="AU74" s="252">
        <f t="shared" si="69"/>
        <v>0</v>
      </c>
      <c r="AV74" s="29"/>
      <c r="AW74" s="282" t="e">
        <f t="shared" si="70"/>
        <v>#DIV/0!</v>
      </c>
      <c r="AX74" s="283" t="e">
        <f t="shared" si="71"/>
        <v>#DIV/0!</v>
      </c>
      <c r="AY74" s="275" t="e">
        <f t="shared" si="72"/>
        <v>#VALUE!</v>
      </c>
      <c r="AZ74" s="207"/>
      <c r="BA74" s="29"/>
      <c r="BB74" s="252" t="e">
        <f t="shared" si="73"/>
        <v>#DIV/0!</v>
      </c>
      <c r="BC74" s="252" t="str">
        <f t="shared" si="74"/>
        <v>#DIV/0!</v>
      </c>
      <c r="BD74" t="s">
        <v>2387</v>
      </c>
      <c r="BE74" t="s">
        <v>2387</v>
      </c>
      <c r="BF74" s="285" t="e">
        <f t="shared" si="75"/>
        <v>#DIV/0!</v>
      </c>
      <c r="BG74" s="252">
        <f t="shared" si="76"/>
        <v>0</v>
      </c>
      <c r="BH74" s="252" t="str">
        <f t="shared" si="77"/>
        <v>#DIV/0!</v>
      </c>
      <c r="BI74" t="s">
        <v>2387</v>
      </c>
      <c r="BJ74" s="288" t="e">
        <f t="shared" si="78"/>
        <v>#VALUE!</v>
      </c>
      <c r="BK74" s="288" t="e">
        <f t="shared" si="79"/>
        <v>#DIV/0!</v>
      </c>
      <c r="BL74" s="286" t="e">
        <f t="shared" si="80"/>
        <v>#VALUE!</v>
      </c>
      <c r="BM74" s="283" t="e">
        <f t="shared" si="81"/>
        <v>#VALUE!</v>
      </c>
      <c r="BN74" s="283" t="e">
        <f t="shared" si="82"/>
        <v>#VALUE!</v>
      </c>
      <c r="BO74" s="275" t="e">
        <f t="shared" si="83"/>
        <v>#DIV/0!</v>
      </c>
    </row>
    <row r="75" customHeight="1" spans="1:67">
      <c r="A75" s="289" t="b">
        <v>0</v>
      </c>
      <c r="B75" s="27" t="b">
        <v>0</v>
      </c>
      <c r="C75" s="27" t="b">
        <v>0</v>
      </c>
      <c r="D75" s="27" t="b">
        <v>0</v>
      </c>
      <c r="E75" s="290" t="b">
        <v>0</v>
      </c>
      <c r="F75" s="29"/>
      <c r="G75" s="29" t="s">
        <v>2440</v>
      </c>
      <c r="H75" s="29"/>
      <c r="I75" s="29"/>
      <c r="J75" s="29"/>
      <c r="K75" s="27" t="b">
        <v>0</v>
      </c>
      <c r="L75" s="27" t="b">
        <v>0</v>
      </c>
      <c r="M75" s="29"/>
      <c r="N75" s="214"/>
      <c r="O75" s="29"/>
      <c r="P75" s="215" t="str">
        <f t="shared" si="61"/>
        <v/>
      </c>
      <c r="Q75" s="29"/>
      <c r="R75" s="29"/>
      <c r="S75" s="29"/>
      <c r="T75" s="29"/>
      <c r="U75" s="29"/>
      <c r="V75" s="29"/>
      <c r="W75" s="29"/>
      <c r="X75" s="29"/>
      <c r="Y75" s="223"/>
      <c r="Z75" s="242">
        <f t="shared" si="62"/>
        <v>-25</v>
      </c>
      <c r="AA75" s="243"/>
      <c r="AB75" s="244"/>
      <c r="AC75" s="245">
        <f t="shared" si="63"/>
        <v>0</v>
      </c>
      <c r="AD75" s="246">
        <v>1</v>
      </c>
      <c r="AE75" s="247"/>
      <c r="AF75" s="29"/>
      <c r="AG75" s="29"/>
      <c r="AH75" s="29"/>
      <c r="AI75" s="223"/>
      <c r="AJ75" s="260"/>
      <c r="AK75" s="245"/>
      <c r="AL75" s="245"/>
      <c r="AM75">
        <v>0</v>
      </c>
      <c r="AN75" s="261" t="e">
        <f t="shared" si="65"/>
        <v>#DIV/0!</v>
      </c>
      <c r="AO75" t="s">
        <v>2387</v>
      </c>
      <c r="AP75" t="s">
        <v>2387</v>
      </c>
      <c r="AQ75" s="267">
        <v>0</v>
      </c>
      <c r="AR75" s="252" t="e">
        <f t="shared" si="66"/>
        <v>#DIV/0!</v>
      </c>
      <c r="AS75" s="252" t="e">
        <f t="shared" si="67"/>
        <v>#DIV/0!</v>
      </c>
      <c r="AT75" s="252" t="e">
        <f t="shared" si="68"/>
        <v>#VALUE!</v>
      </c>
      <c r="AU75" s="252">
        <f t="shared" si="69"/>
        <v>0</v>
      </c>
      <c r="AV75" s="29"/>
      <c r="AW75" s="282" t="e">
        <f t="shared" si="70"/>
        <v>#DIV/0!</v>
      </c>
      <c r="AX75" s="283" t="e">
        <f t="shared" si="71"/>
        <v>#DIV/0!</v>
      </c>
      <c r="AY75" s="275" t="e">
        <f t="shared" si="72"/>
        <v>#VALUE!</v>
      </c>
      <c r="AZ75" s="207"/>
      <c r="BA75" s="29"/>
      <c r="BB75" s="252" t="e">
        <f t="shared" si="73"/>
        <v>#DIV/0!</v>
      </c>
      <c r="BC75" s="252" t="str">
        <f t="shared" si="74"/>
        <v>#DIV/0!</v>
      </c>
      <c r="BD75" t="s">
        <v>2387</v>
      </c>
      <c r="BE75" t="s">
        <v>2387</v>
      </c>
      <c r="BF75" s="285" t="e">
        <f t="shared" si="75"/>
        <v>#DIV/0!</v>
      </c>
      <c r="BG75" s="252">
        <f t="shared" si="76"/>
        <v>0</v>
      </c>
      <c r="BH75" s="252" t="str">
        <f t="shared" si="77"/>
        <v>#DIV/0!</v>
      </c>
      <c r="BI75" t="s">
        <v>2387</v>
      </c>
      <c r="BJ75" s="288" t="e">
        <f t="shared" si="78"/>
        <v>#VALUE!</v>
      </c>
      <c r="BK75" s="288" t="e">
        <f t="shared" si="79"/>
        <v>#DIV/0!</v>
      </c>
      <c r="BL75" s="286" t="e">
        <f t="shared" si="80"/>
        <v>#VALUE!</v>
      </c>
      <c r="BM75" s="283" t="e">
        <f t="shared" si="81"/>
        <v>#VALUE!</v>
      </c>
      <c r="BN75" s="283" t="e">
        <f t="shared" si="82"/>
        <v>#VALUE!</v>
      </c>
      <c r="BO75" s="275" t="e">
        <f t="shared" si="83"/>
        <v>#DIV/0!</v>
      </c>
    </row>
    <row r="76" customHeight="1" spans="1:67">
      <c r="A76" s="289" t="b">
        <v>0</v>
      </c>
      <c r="B76" s="27" t="b">
        <v>0</v>
      </c>
      <c r="C76" s="27" t="b">
        <v>0</v>
      </c>
      <c r="D76" s="27" t="b">
        <v>0</v>
      </c>
      <c r="E76" s="290" t="b">
        <v>0</v>
      </c>
      <c r="F76" s="29"/>
      <c r="G76" s="29" t="s">
        <v>2441</v>
      </c>
      <c r="H76" s="29"/>
      <c r="I76" s="29"/>
      <c r="J76" s="29"/>
      <c r="K76" s="27" t="b">
        <v>0</v>
      </c>
      <c r="L76" s="27" t="b">
        <v>0</v>
      </c>
      <c r="M76" s="29"/>
      <c r="N76" s="214"/>
      <c r="O76" s="29"/>
      <c r="P76" s="215" t="str">
        <f t="shared" si="61"/>
        <v/>
      </c>
      <c r="Q76" s="29"/>
      <c r="R76" s="29"/>
      <c r="S76" s="29"/>
      <c r="T76" s="29"/>
      <c r="U76" s="29"/>
      <c r="V76" s="29"/>
      <c r="W76" s="29"/>
      <c r="X76" s="29"/>
      <c r="Y76" s="223"/>
      <c r="Z76" s="242">
        <f t="shared" si="62"/>
        <v>-25</v>
      </c>
      <c r="AA76" s="243"/>
      <c r="AB76" s="244"/>
      <c r="AC76" s="245">
        <f t="shared" si="63"/>
        <v>0</v>
      </c>
      <c r="AD76" s="246">
        <v>1</v>
      </c>
      <c r="AE76" s="247"/>
      <c r="AF76" s="29"/>
      <c r="AG76" s="29"/>
      <c r="AH76" s="29"/>
      <c r="AI76" s="223"/>
      <c r="AJ76" s="260"/>
      <c r="AK76" s="245"/>
      <c r="AL76" s="245"/>
      <c r="AM76">
        <v>0</v>
      </c>
      <c r="AN76" s="261" t="e">
        <f t="shared" si="65"/>
        <v>#DIV/0!</v>
      </c>
      <c r="AO76" t="s">
        <v>2387</v>
      </c>
      <c r="AP76" t="s">
        <v>2387</v>
      </c>
      <c r="AQ76" s="267">
        <v>0</v>
      </c>
      <c r="AR76" s="252" t="e">
        <f t="shared" si="66"/>
        <v>#DIV/0!</v>
      </c>
      <c r="AS76" s="252" t="e">
        <f t="shared" si="67"/>
        <v>#DIV/0!</v>
      </c>
      <c r="AT76" s="252" t="e">
        <f t="shared" si="68"/>
        <v>#VALUE!</v>
      </c>
      <c r="AU76" s="252">
        <f t="shared" si="69"/>
        <v>0</v>
      </c>
      <c r="AV76" s="29"/>
      <c r="AW76" s="282" t="e">
        <f t="shared" si="70"/>
        <v>#DIV/0!</v>
      </c>
      <c r="AX76" s="283" t="e">
        <f t="shared" si="71"/>
        <v>#DIV/0!</v>
      </c>
      <c r="AY76" s="275" t="e">
        <f t="shared" si="72"/>
        <v>#VALUE!</v>
      </c>
      <c r="AZ76" s="207"/>
      <c r="BA76" s="29"/>
      <c r="BB76" s="252" t="e">
        <f t="shared" si="73"/>
        <v>#DIV/0!</v>
      </c>
      <c r="BC76" s="252" t="str">
        <f t="shared" si="74"/>
        <v>#DIV/0!</v>
      </c>
      <c r="BD76" t="s">
        <v>2387</v>
      </c>
      <c r="BE76" t="s">
        <v>2387</v>
      </c>
      <c r="BF76" s="285" t="e">
        <f t="shared" si="75"/>
        <v>#DIV/0!</v>
      </c>
      <c r="BG76" s="252">
        <f t="shared" si="76"/>
        <v>0</v>
      </c>
      <c r="BH76" s="252" t="str">
        <f t="shared" si="77"/>
        <v>#DIV/0!</v>
      </c>
      <c r="BI76" t="s">
        <v>2387</v>
      </c>
      <c r="BJ76" s="288" t="e">
        <f t="shared" si="78"/>
        <v>#VALUE!</v>
      </c>
      <c r="BK76" s="288" t="e">
        <f t="shared" si="79"/>
        <v>#DIV/0!</v>
      </c>
      <c r="BL76" s="286" t="e">
        <f t="shared" si="80"/>
        <v>#VALUE!</v>
      </c>
      <c r="BM76" s="283" t="e">
        <f t="shared" si="81"/>
        <v>#VALUE!</v>
      </c>
      <c r="BN76" s="283" t="e">
        <f t="shared" si="82"/>
        <v>#VALUE!</v>
      </c>
      <c r="BO76" s="275" t="e">
        <f t="shared" si="83"/>
        <v>#DIV/0!</v>
      </c>
    </row>
    <row r="77" customHeight="1" spans="1:67">
      <c r="A77" s="289" t="b">
        <v>0</v>
      </c>
      <c r="B77" s="27" t="b">
        <v>0</v>
      </c>
      <c r="C77" s="27" t="b">
        <v>0</v>
      </c>
      <c r="D77" s="27" t="b">
        <v>0</v>
      </c>
      <c r="E77" s="290" t="b">
        <v>0</v>
      </c>
      <c r="F77" s="29"/>
      <c r="G77" s="29" t="s">
        <v>2442</v>
      </c>
      <c r="H77" s="29"/>
      <c r="I77" s="29"/>
      <c r="J77" s="29"/>
      <c r="K77" s="27" t="b">
        <v>0</v>
      </c>
      <c r="L77" s="27" t="b">
        <v>0</v>
      </c>
      <c r="M77" s="29"/>
      <c r="N77" s="214"/>
      <c r="O77" s="29"/>
      <c r="P77" s="215" t="str">
        <f t="shared" si="61"/>
        <v/>
      </c>
      <c r="Q77" s="29"/>
      <c r="R77" s="29"/>
      <c r="S77" s="29"/>
      <c r="T77" s="29"/>
      <c r="U77" s="29"/>
      <c r="V77" s="29"/>
      <c r="W77" s="29"/>
      <c r="X77" s="29"/>
      <c r="Y77" s="223"/>
      <c r="Z77" s="242">
        <f t="shared" si="62"/>
        <v>-25</v>
      </c>
      <c r="AA77" s="243"/>
      <c r="AB77" s="244"/>
      <c r="AC77" s="245">
        <f t="shared" si="63"/>
        <v>0</v>
      </c>
      <c r="AD77" s="246">
        <v>1</v>
      </c>
      <c r="AE77" s="247"/>
      <c r="AF77" s="29"/>
      <c r="AG77" s="29"/>
      <c r="AH77" s="29"/>
      <c r="AI77" s="223"/>
      <c r="AJ77" s="260"/>
      <c r="AK77" s="245"/>
      <c r="AL77" s="245"/>
      <c r="AM77">
        <v>0</v>
      </c>
      <c r="AN77" s="261" t="e">
        <f t="shared" si="65"/>
        <v>#DIV/0!</v>
      </c>
      <c r="AO77" t="s">
        <v>2387</v>
      </c>
      <c r="AP77" t="s">
        <v>2387</v>
      </c>
      <c r="AQ77" s="267">
        <v>0</v>
      </c>
      <c r="AR77" s="252" t="e">
        <f t="shared" si="66"/>
        <v>#DIV/0!</v>
      </c>
      <c r="AS77" s="252" t="e">
        <f t="shared" si="67"/>
        <v>#DIV/0!</v>
      </c>
      <c r="AT77" s="252" t="e">
        <f t="shared" si="68"/>
        <v>#VALUE!</v>
      </c>
      <c r="AU77" s="252">
        <f t="shared" si="69"/>
        <v>0</v>
      </c>
      <c r="AV77" s="29"/>
      <c r="AW77" s="282" t="e">
        <f t="shared" si="70"/>
        <v>#DIV/0!</v>
      </c>
      <c r="AX77" s="283" t="e">
        <f t="shared" si="71"/>
        <v>#DIV/0!</v>
      </c>
      <c r="AY77" s="275" t="e">
        <f t="shared" si="72"/>
        <v>#VALUE!</v>
      </c>
      <c r="AZ77" s="207"/>
      <c r="BA77" s="29"/>
      <c r="BB77" s="252" t="e">
        <f t="shared" si="73"/>
        <v>#DIV/0!</v>
      </c>
      <c r="BC77" s="252" t="str">
        <f t="shared" si="74"/>
        <v>#DIV/0!</v>
      </c>
      <c r="BD77" t="s">
        <v>2387</v>
      </c>
      <c r="BE77" t="s">
        <v>2387</v>
      </c>
      <c r="BF77" s="285" t="e">
        <f t="shared" si="75"/>
        <v>#DIV/0!</v>
      </c>
      <c r="BG77" s="252">
        <f t="shared" si="76"/>
        <v>0</v>
      </c>
      <c r="BH77" s="252" t="str">
        <f t="shared" si="77"/>
        <v>#DIV/0!</v>
      </c>
      <c r="BI77" t="s">
        <v>2387</v>
      </c>
      <c r="BJ77" s="288" t="e">
        <f t="shared" si="78"/>
        <v>#VALUE!</v>
      </c>
      <c r="BK77" s="288" t="e">
        <f t="shared" si="79"/>
        <v>#DIV/0!</v>
      </c>
      <c r="BL77" s="286" t="e">
        <f t="shared" si="80"/>
        <v>#VALUE!</v>
      </c>
      <c r="BM77" s="283" t="e">
        <f t="shared" si="81"/>
        <v>#VALUE!</v>
      </c>
      <c r="BN77" s="283" t="e">
        <f t="shared" si="82"/>
        <v>#VALUE!</v>
      </c>
      <c r="BO77" s="275" t="e">
        <f t="shared" si="83"/>
        <v>#DIV/0!</v>
      </c>
    </row>
    <row r="78" customHeight="1" spans="1:67">
      <c r="A78" s="289" t="b">
        <v>0</v>
      </c>
      <c r="B78" s="27" t="b">
        <v>0</v>
      </c>
      <c r="C78" s="27" t="b">
        <v>0</v>
      </c>
      <c r="D78" s="27" t="b">
        <v>0</v>
      </c>
      <c r="E78" s="290" t="b">
        <v>0</v>
      </c>
      <c r="F78" s="29"/>
      <c r="G78" s="29" t="s">
        <v>2443</v>
      </c>
      <c r="H78" s="29"/>
      <c r="I78" s="29"/>
      <c r="J78" s="29"/>
      <c r="K78" s="27" t="b">
        <v>0</v>
      </c>
      <c r="L78" s="27" t="b">
        <v>0</v>
      </c>
      <c r="M78" s="29"/>
      <c r="N78" s="214"/>
      <c r="O78" s="29"/>
      <c r="P78" s="215" t="str">
        <f t="shared" si="61"/>
        <v/>
      </c>
      <c r="Q78" s="29"/>
      <c r="R78" s="29"/>
      <c r="S78" s="29"/>
      <c r="T78" s="29"/>
      <c r="U78" s="29"/>
      <c r="V78" s="29"/>
      <c r="W78" s="29"/>
      <c r="X78" s="29"/>
      <c r="Y78" s="223"/>
      <c r="Z78" s="242">
        <f t="shared" si="62"/>
        <v>-25</v>
      </c>
      <c r="AA78" s="243"/>
      <c r="AB78" s="244"/>
      <c r="AC78" s="245">
        <f t="shared" si="63"/>
        <v>0</v>
      </c>
      <c r="AD78" s="246">
        <v>1</v>
      </c>
      <c r="AE78" s="247"/>
      <c r="AF78" s="29"/>
      <c r="AG78" s="29"/>
      <c r="AH78" s="29"/>
      <c r="AI78" s="223"/>
      <c r="AJ78" s="260"/>
      <c r="AK78" s="245"/>
      <c r="AL78" s="245"/>
      <c r="AM78">
        <v>0</v>
      </c>
      <c r="AN78" s="261" t="e">
        <f t="shared" si="65"/>
        <v>#DIV/0!</v>
      </c>
      <c r="AO78" t="s">
        <v>2387</v>
      </c>
      <c r="AP78" t="s">
        <v>2387</v>
      </c>
      <c r="AQ78" s="267">
        <v>0</v>
      </c>
      <c r="AR78" s="252" t="e">
        <f t="shared" si="66"/>
        <v>#DIV/0!</v>
      </c>
      <c r="AS78" s="252" t="e">
        <f t="shared" si="67"/>
        <v>#DIV/0!</v>
      </c>
      <c r="AT78" s="252" t="e">
        <f t="shared" si="68"/>
        <v>#VALUE!</v>
      </c>
      <c r="AU78" s="252">
        <f t="shared" si="69"/>
        <v>0</v>
      </c>
      <c r="AV78" s="29"/>
      <c r="AW78" s="282" t="e">
        <f t="shared" si="70"/>
        <v>#DIV/0!</v>
      </c>
      <c r="AX78" s="283" t="e">
        <f t="shared" si="71"/>
        <v>#DIV/0!</v>
      </c>
      <c r="AY78" s="275" t="e">
        <f t="shared" si="72"/>
        <v>#VALUE!</v>
      </c>
      <c r="AZ78" s="207"/>
      <c r="BA78" s="29"/>
      <c r="BB78" s="252" t="e">
        <f t="shared" si="73"/>
        <v>#DIV/0!</v>
      </c>
      <c r="BC78" s="252" t="str">
        <f t="shared" si="74"/>
        <v>#DIV/0!</v>
      </c>
      <c r="BD78" t="s">
        <v>2387</v>
      </c>
      <c r="BE78" t="s">
        <v>2387</v>
      </c>
      <c r="BF78" s="285" t="e">
        <f t="shared" si="75"/>
        <v>#DIV/0!</v>
      </c>
      <c r="BG78" s="252">
        <f t="shared" si="76"/>
        <v>0</v>
      </c>
      <c r="BH78" s="252" t="str">
        <f t="shared" si="77"/>
        <v>#DIV/0!</v>
      </c>
      <c r="BI78" t="s">
        <v>2387</v>
      </c>
      <c r="BJ78" s="288" t="e">
        <f t="shared" si="78"/>
        <v>#VALUE!</v>
      </c>
      <c r="BK78" s="288" t="e">
        <f t="shared" si="79"/>
        <v>#DIV/0!</v>
      </c>
      <c r="BL78" s="286" t="e">
        <f t="shared" si="80"/>
        <v>#VALUE!</v>
      </c>
      <c r="BM78" s="283" t="e">
        <f t="shared" si="81"/>
        <v>#VALUE!</v>
      </c>
      <c r="BN78" s="283" t="e">
        <f t="shared" si="82"/>
        <v>#VALUE!</v>
      </c>
      <c r="BO78" s="275" t="e">
        <f t="shared" si="83"/>
        <v>#DIV/0!</v>
      </c>
    </row>
    <row r="79" customHeight="1" spans="1:67">
      <c r="A79" s="289" t="b">
        <v>0</v>
      </c>
      <c r="B79" s="27" t="b">
        <v>0</v>
      </c>
      <c r="C79" s="27" t="b">
        <v>0</v>
      </c>
      <c r="D79" s="27" t="b">
        <v>0</v>
      </c>
      <c r="E79" s="290" t="b">
        <v>0</v>
      </c>
      <c r="F79" s="29"/>
      <c r="G79" s="29" t="s">
        <v>2444</v>
      </c>
      <c r="H79" s="29"/>
      <c r="I79" s="29"/>
      <c r="J79" s="29"/>
      <c r="K79" s="27" t="b">
        <v>0</v>
      </c>
      <c r="L79" s="27" t="b">
        <v>0</v>
      </c>
      <c r="M79" s="29"/>
      <c r="N79" s="214"/>
      <c r="O79" s="29"/>
      <c r="P79" s="215" t="str">
        <f t="shared" si="61"/>
        <v/>
      </c>
      <c r="Q79" s="29"/>
      <c r="R79" s="29"/>
      <c r="S79" s="29"/>
      <c r="T79" s="29"/>
      <c r="U79" s="29"/>
      <c r="V79" s="29"/>
      <c r="W79" s="29"/>
      <c r="X79" s="29"/>
      <c r="Y79" s="223"/>
      <c r="Z79" s="242">
        <f t="shared" si="62"/>
        <v>-25</v>
      </c>
      <c r="AA79" s="243"/>
      <c r="AB79" s="244"/>
      <c r="AC79" s="245">
        <f t="shared" si="63"/>
        <v>0</v>
      </c>
      <c r="AD79" s="246">
        <v>1</v>
      </c>
      <c r="AE79" s="247"/>
      <c r="AF79" s="29"/>
      <c r="AG79" s="29"/>
      <c r="AH79" s="29"/>
      <c r="AI79" s="223"/>
      <c r="AJ79" s="260"/>
      <c r="AK79" s="245"/>
      <c r="AL79" s="245"/>
      <c r="AM79">
        <v>0</v>
      </c>
      <c r="AN79" s="261" t="e">
        <f t="shared" si="65"/>
        <v>#DIV/0!</v>
      </c>
      <c r="AO79" t="s">
        <v>2387</v>
      </c>
      <c r="AP79" t="s">
        <v>2387</v>
      </c>
      <c r="AQ79" s="267">
        <v>0</v>
      </c>
      <c r="AR79" s="252" t="e">
        <f t="shared" si="66"/>
        <v>#DIV/0!</v>
      </c>
      <c r="AS79" s="252" t="e">
        <f t="shared" si="67"/>
        <v>#DIV/0!</v>
      </c>
      <c r="AT79" s="252" t="e">
        <f t="shared" si="68"/>
        <v>#VALUE!</v>
      </c>
      <c r="AU79" s="252">
        <f t="shared" si="69"/>
        <v>0</v>
      </c>
      <c r="AV79" s="29"/>
      <c r="AW79" s="282" t="e">
        <f t="shared" si="70"/>
        <v>#DIV/0!</v>
      </c>
      <c r="AX79" s="283" t="e">
        <f t="shared" si="71"/>
        <v>#DIV/0!</v>
      </c>
      <c r="AY79" s="275" t="e">
        <f t="shared" si="72"/>
        <v>#VALUE!</v>
      </c>
      <c r="AZ79" s="207"/>
      <c r="BA79" s="29"/>
      <c r="BB79" s="252" t="e">
        <f t="shared" si="73"/>
        <v>#DIV/0!</v>
      </c>
      <c r="BC79" s="252" t="str">
        <f t="shared" si="74"/>
        <v>#DIV/0!</v>
      </c>
      <c r="BD79" t="s">
        <v>2387</v>
      </c>
      <c r="BE79" t="s">
        <v>2387</v>
      </c>
      <c r="BF79" s="285" t="e">
        <f t="shared" si="75"/>
        <v>#DIV/0!</v>
      </c>
      <c r="BG79" s="252">
        <f t="shared" si="76"/>
        <v>0</v>
      </c>
      <c r="BH79" s="252" t="str">
        <f t="shared" si="77"/>
        <v>#DIV/0!</v>
      </c>
      <c r="BI79" t="s">
        <v>2387</v>
      </c>
      <c r="BJ79" s="288" t="e">
        <f t="shared" si="78"/>
        <v>#VALUE!</v>
      </c>
      <c r="BK79" s="288" t="e">
        <f t="shared" si="79"/>
        <v>#DIV/0!</v>
      </c>
      <c r="BL79" s="286" t="e">
        <f t="shared" si="80"/>
        <v>#VALUE!</v>
      </c>
      <c r="BM79" s="283" t="e">
        <f t="shared" si="81"/>
        <v>#VALUE!</v>
      </c>
      <c r="BN79" s="283" t="e">
        <f t="shared" si="82"/>
        <v>#VALUE!</v>
      </c>
      <c r="BO79" s="275" t="e">
        <f t="shared" si="83"/>
        <v>#DIV/0!</v>
      </c>
    </row>
    <row r="80" customHeight="1" spans="1:67">
      <c r="A80" s="289" t="b">
        <v>0</v>
      </c>
      <c r="B80" s="27" t="b">
        <v>0</v>
      </c>
      <c r="C80" s="27" t="b">
        <v>0</v>
      </c>
      <c r="D80" s="27" t="b">
        <v>0</v>
      </c>
      <c r="E80" s="290" t="b">
        <v>0</v>
      </c>
      <c r="F80" s="29"/>
      <c r="G80" s="29" t="s">
        <v>2445</v>
      </c>
      <c r="H80" s="29"/>
      <c r="I80" s="29"/>
      <c r="J80" s="29"/>
      <c r="K80" s="27" t="b">
        <v>0</v>
      </c>
      <c r="L80" s="27" t="b">
        <v>0</v>
      </c>
      <c r="M80" s="29"/>
      <c r="N80" s="214"/>
      <c r="O80" s="29"/>
      <c r="P80" s="215" t="str">
        <f t="shared" si="61"/>
        <v/>
      </c>
      <c r="Q80" s="29"/>
      <c r="R80" s="29"/>
      <c r="S80" s="29"/>
      <c r="T80" s="29"/>
      <c r="U80" s="29"/>
      <c r="V80" s="29"/>
      <c r="W80" s="29"/>
      <c r="X80" s="29"/>
      <c r="Y80" s="223"/>
      <c r="Z80" s="242">
        <f t="shared" si="62"/>
        <v>-25</v>
      </c>
      <c r="AA80" s="243"/>
      <c r="AB80" s="244"/>
      <c r="AC80" s="245">
        <f t="shared" si="63"/>
        <v>0</v>
      </c>
      <c r="AD80" s="246">
        <v>1</v>
      </c>
      <c r="AE80" s="247"/>
      <c r="AF80" s="29"/>
      <c r="AG80" s="29"/>
      <c r="AH80" s="29"/>
      <c r="AI80" s="223"/>
      <c r="AJ80" s="260"/>
      <c r="AK80" s="245"/>
      <c r="AL80" s="245"/>
      <c r="AM80">
        <v>0</v>
      </c>
      <c r="AN80" s="261" t="e">
        <f t="shared" si="65"/>
        <v>#DIV/0!</v>
      </c>
      <c r="AO80" t="s">
        <v>2387</v>
      </c>
      <c r="AP80" t="s">
        <v>2387</v>
      </c>
      <c r="AQ80" s="267">
        <v>0</v>
      </c>
      <c r="AR80" s="252" t="e">
        <f t="shared" si="66"/>
        <v>#DIV/0!</v>
      </c>
      <c r="AS80" s="252" t="e">
        <f t="shared" si="67"/>
        <v>#DIV/0!</v>
      </c>
      <c r="AT80" s="252" t="e">
        <f t="shared" si="68"/>
        <v>#VALUE!</v>
      </c>
      <c r="AU80" s="252">
        <f t="shared" si="69"/>
        <v>0</v>
      </c>
      <c r="AV80" s="29"/>
      <c r="AW80" s="282" t="e">
        <f t="shared" si="70"/>
        <v>#DIV/0!</v>
      </c>
      <c r="AX80" s="283" t="e">
        <f t="shared" si="71"/>
        <v>#DIV/0!</v>
      </c>
      <c r="AY80" s="275" t="e">
        <f t="shared" si="72"/>
        <v>#VALUE!</v>
      </c>
      <c r="AZ80" s="207"/>
      <c r="BA80" s="29"/>
      <c r="BB80" s="252" t="e">
        <f t="shared" si="73"/>
        <v>#DIV/0!</v>
      </c>
      <c r="BC80" s="252" t="str">
        <f t="shared" si="74"/>
        <v>#DIV/0!</v>
      </c>
      <c r="BD80" t="s">
        <v>2387</v>
      </c>
      <c r="BE80" t="s">
        <v>2387</v>
      </c>
      <c r="BF80" s="285" t="e">
        <f t="shared" si="75"/>
        <v>#DIV/0!</v>
      </c>
      <c r="BG80" s="252">
        <f t="shared" si="76"/>
        <v>0</v>
      </c>
      <c r="BH80" s="252" t="str">
        <f t="shared" si="77"/>
        <v>#DIV/0!</v>
      </c>
      <c r="BI80" t="s">
        <v>2387</v>
      </c>
      <c r="BJ80" s="288" t="e">
        <f t="shared" si="78"/>
        <v>#VALUE!</v>
      </c>
      <c r="BK80" s="288" t="e">
        <f t="shared" si="79"/>
        <v>#DIV/0!</v>
      </c>
      <c r="BL80" s="286" t="e">
        <f t="shared" si="80"/>
        <v>#VALUE!</v>
      </c>
      <c r="BM80" s="283" t="e">
        <f t="shared" si="81"/>
        <v>#VALUE!</v>
      </c>
      <c r="BN80" s="283" t="e">
        <f t="shared" si="82"/>
        <v>#VALUE!</v>
      </c>
      <c r="BO80" s="275" t="e">
        <f t="shared" si="83"/>
        <v>#DIV/0!</v>
      </c>
    </row>
    <row r="81" customHeight="1" spans="1:67">
      <c r="A81" s="289" t="b">
        <v>0</v>
      </c>
      <c r="B81" s="27" t="b">
        <v>0</v>
      </c>
      <c r="C81" s="27" t="b">
        <v>0</v>
      </c>
      <c r="D81" s="27" t="b">
        <v>0</v>
      </c>
      <c r="E81" s="290" t="b">
        <v>0</v>
      </c>
      <c r="F81" s="29"/>
      <c r="G81" s="29" t="s">
        <v>2446</v>
      </c>
      <c r="H81" s="29"/>
      <c r="I81" s="29"/>
      <c r="J81" s="29"/>
      <c r="K81" s="27" t="b">
        <v>0</v>
      </c>
      <c r="L81" s="27" t="b">
        <v>0</v>
      </c>
      <c r="M81" s="29"/>
      <c r="N81" s="214"/>
      <c r="O81" s="29"/>
      <c r="P81" s="215" t="str">
        <f t="shared" si="61"/>
        <v/>
      </c>
      <c r="Q81" s="29"/>
      <c r="R81" s="29"/>
      <c r="S81" s="29"/>
      <c r="T81" s="29"/>
      <c r="U81" s="29"/>
      <c r="V81" s="29"/>
      <c r="W81" s="29"/>
      <c r="X81" s="29"/>
      <c r="Y81" s="223"/>
      <c r="Z81" s="242">
        <f t="shared" si="62"/>
        <v>-25</v>
      </c>
      <c r="AA81" s="243"/>
      <c r="AB81" s="244"/>
      <c r="AC81" s="245">
        <f t="shared" si="63"/>
        <v>0</v>
      </c>
      <c r="AD81" s="246">
        <v>1</v>
      </c>
      <c r="AE81" s="247"/>
      <c r="AF81" s="29"/>
      <c r="AG81" s="29"/>
      <c r="AH81" s="29"/>
      <c r="AI81" s="223"/>
      <c r="AJ81" s="260"/>
      <c r="AK81" s="245"/>
      <c r="AL81" s="245"/>
      <c r="AM81">
        <v>0</v>
      </c>
      <c r="AN81" s="261" t="e">
        <f t="shared" si="65"/>
        <v>#DIV/0!</v>
      </c>
      <c r="AO81" t="s">
        <v>2387</v>
      </c>
      <c r="AP81" t="s">
        <v>2387</v>
      </c>
      <c r="AQ81" s="267">
        <v>0</v>
      </c>
      <c r="AR81" s="252" t="e">
        <f t="shared" si="66"/>
        <v>#DIV/0!</v>
      </c>
      <c r="AS81" s="252" t="e">
        <f t="shared" si="67"/>
        <v>#DIV/0!</v>
      </c>
      <c r="AT81" s="252" t="e">
        <f t="shared" si="68"/>
        <v>#VALUE!</v>
      </c>
      <c r="AU81" s="252">
        <f t="shared" si="69"/>
        <v>0</v>
      </c>
      <c r="AV81" s="29"/>
      <c r="AW81" s="282" t="e">
        <f t="shared" si="70"/>
        <v>#DIV/0!</v>
      </c>
      <c r="AX81" s="283" t="e">
        <f t="shared" si="71"/>
        <v>#DIV/0!</v>
      </c>
      <c r="AY81" s="275" t="e">
        <f t="shared" si="72"/>
        <v>#VALUE!</v>
      </c>
      <c r="AZ81" s="207"/>
      <c r="BA81" s="29"/>
      <c r="BB81" s="252" t="e">
        <f t="shared" si="73"/>
        <v>#DIV/0!</v>
      </c>
      <c r="BC81" s="252" t="str">
        <f t="shared" si="74"/>
        <v>#DIV/0!</v>
      </c>
      <c r="BD81" t="s">
        <v>2387</v>
      </c>
      <c r="BE81" t="s">
        <v>2387</v>
      </c>
      <c r="BF81" s="285" t="e">
        <f t="shared" si="75"/>
        <v>#DIV/0!</v>
      </c>
      <c r="BG81" s="252">
        <f t="shared" si="76"/>
        <v>0</v>
      </c>
      <c r="BH81" s="252" t="str">
        <f t="shared" si="77"/>
        <v>#DIV/0!</v>
      </c>
      <c r="BI81" t="s">
        <v>2387</v>
      </c>
      <c r="BJ81" s="288" t="e">
        <f t="shared" si="78"/>
        <v>#VALUE!</v>
      </c>
      <c r="BK81" s="288" t="e">
        <f t="shared" si="79"/>
        <v>#DIV/0!</v>
      </c>
      <c r="BL81" s="286" t="e">
        <f t="shared" si="80"/>
        <v>#VALUE!</v>
      </c>
      <c r="BM81" s="283" t="e">
        <f t="shared" si="81"/>
        <v>#VALUE!</v>
      </c>
      <c r="BN81" s="283" t="e">
        <f t="shared" si="82"/>
        <v>#VALUE!</v>
      </c>
      <c r="BO81" s="275" t="e">
        <f t="shared" si="83"/>
        <v>#DIV/0!</v>
      </c>
    </row>
    <row r="82" customHeight="1" spans="1:67">
      <c r="A82" s="289" t="b">
        <v>0</v>
      </c>
      <c r="B82" s="27" t="b">
        <v>0</v>
      </c>
      <c r="C82" s="27" t="b">
        <v>0</v>
      </c>
      <c r="D82" s="27" t="b">
        <v>0</v>
      </c>
      <c r="E82" s="290" t="b">
        <v>0</v>
      </c>
      <c r="F82" s="29"/>
      <c r="G82" s="29" t="s">
        <v>2447</v>
      </c>
      <c r="H82" s="29"/>
      <c r="I82" s="29"/>
      <c r="J82" s="29"/>
      <c r="K82" s="27" t="b">
        <v>0</v>
      </c>
      <c r="L82" s="27" t="b">
        <v>0</v>
      </c>
      <c r="M82" s="29"/>
      <c r="N82" s="214"/>
      <c r="O82" s="29"/>
      <c r="P82" s="215" t="str">
        <f t="shared" si="61"/>
        <v/>
      </c>
      <c r="Q82" s="29"/>
      <c r="R82" s="29"/>
      <c r="S82" s="29"/>
      <c r="T82" s="29"/>
      <c r="U82" s="29"/>
      <c r="V82" s="29"/>
      <c r="W82" s="29"/>
      <c r="X82" s="29"/>
      <c r="Y82" s="223"/>
      <c r="Z82" s="242">
        <f t="shared" si="62"/>
        <v>-25</v>
      </c>
      <c r="AA82" s="243"/>
      <c r="AB82" s="244"/>
      <c r="AC82" s="245">
        <f t="shared" si="63"/>
        <v>0</v>
      </c>
      <c r="AD82" s="246">
        <v>1</v>
      </c>
      <c r="AE82" s="247"/>
      <c r="AF82" s="29"/>
      <c r="AG82" s="29"/>
      <c r="AH82" s="29"/>
      <c r="AI82" s="223"/>
      <c r="AJ82" s="260"/>
      <c r="AK82" s="245"/>
      <c r="AL82" s="245"/>
      <c r="AM82">
        <v>0</v>
      </c>
      <c r="AN82" s="261" t="e">
        <f t="shared" si="65"/>
        <v>#DIV/0!</v>
      </c>
      <c r="AO82" t="s">
        <v>2387</v>
      </c>
      <c r="AP82" t="s">
        <v>2387</v>
      </c>
      <c r="AQ82" s="267">
        <v>0</v>
      </c>
      <c r="AR82" s="252" t="e">
        <f t="shared" si="66"/>
        <v>#DIV/0!</v>
      </c>
      <c r="AS82" s="252" t="e">
        <f t="shared" si="67"/>
        <v>#DIV/0!</v>
      </c>
      <c r="AT82" s="252" t="e">
        <f t="shared" si="68"/>
        <v>#VALUE!</v>
      </c>
      <c r="AU82" s="252">
        <f t="shared" si="69"/>
        <v>0</v>
      </c>
      <c r="AV82" s="29"/>
      <c r="AW82" s="282" t="e">
        <f t="shared" si="70"/>
        <v>#DIV/0!</v>
      </c>
      <c r="AX82" s="283" t="e">
        <f t="shared" si="71"/>
        <v>#DIV/0!</v>
      </c>
      <c r="AY82" s="275" t="e">
        <f t="shared" si="72"/>
        <v>#VALUE!</v>
      </c>
      <c r="AZ82" s="207"/>
      <c r="BA82" s="29"/>
      <c r="BB82" s="252" t="e">
        <f t="shared" si="73"/>
        <v>#DIV/0!</v>
      </c>
      <c r="BC82" s="252" t="str">
        <f t="shared" si="74"/>
        <v>#DIV/0!</v>
      </c>
      <c r="BD82" t="s">
        <v>2387</v>
      </c>
      <c r="BE82" t="s">
        <v>2387</v>
      </c>
      <c r="BF82" s="285" t="e">
        <f t="shared" si="75"/>
        <v>#DIV/0!</v>
      </c>
      <c r="BG82" s="252">
        <f t="shared" si="76"/>
        <v>0</v>
      </c>
      <c r="BH82" s="252" t="str">
        <f t="shared" si="77"/>
        <v>#DIV/0!</v>
      </c>
      <c r="BI82" t="s">
        <v>2387</v>
      </c>
      <c r="BJ82" s="288" t="e">
        <f t="shared" si="78"/>
        <v>#VALUE!</v>
      </c>
      <c r="BK82" s="288" t="e">
        <f t="shared" si="79"/>
        <v>#DIV/0!</v>
      </c>
      <c r="BL82" s="286" t="e">
        <f t="shared" si="80"/>
        <v>#VALUE!</v>
      </c>
      <c r="BM82" s="283" t="e">
        <f t="shared" si="81"/>
        <v>#VALUE!</v>
      </c>
      <c r="BN82" s="283" t="e">
        <f t="shared" si="82"/>
        <v>#VALUE!</v>
      </c>
      <c r="BO82" s="275" t="e">
        <f t="shared" si="83"/>
        <v>#DIV/0!</v>
      </c>
    </row>
    <row r="83" customHeight="1" spans="1:67">
      <c r="A83" s="289" t="b">
        <v>0</v>
      </c>
      <c r="B83" s="27" t="b">
        <v>0</v>
      </c>
      <c r="C83" s="27" t="b">
        <v>0</v>
      </c>
      <c r="D83" s="27" t="b">
        <v>0</v>
      </c>
      <c r="E83" s="290" t="b">
        <v>0</v>
      </c>
      <c r="F83" s="29"/>
      <c r="G83" s="29" t="s">
        <v>2448</v>
      </c>
      <c r="H83" s="29"/>
      <c r="I83" s="29"/>
      <c r="J83" s="29"/>
      <c r="K83" s="27" t="b">
        <v>0</v>
      </c>
      <c r="L83" s="27" t="b">
        <v>0</v>
      </c>
      <c r="M83" s="29"/>
      <c r="N83" s="214"/>
      <c r="O83" s="29"/>
      <c r="P83" s="215" t="str">
        <f t="shared" si="61"/>
        <v/>
      </c>
      <c r="Q83" s="29"/>
      <c r="R83" s="29"/>
      <c r="S83" s="29"/>
      <c r="T83" s="29"/>
      <c r="U83" s="29"/>
      <c r="V83" s="29"/>
      <c r="W83" s="29"/>
      <c r="X83" s="29"/>
      <c r="Y83" s="223"/>
      <c r="Z83" s="242">
        <f t="shared" si="62"/>
        <v>-25</v>
      </c>
      <c r="AA83" s="243"/>
      <c r="AB83" s="244"/>
      <c r="AC83" s="245">
        <f t="shared" si="63"/>
        <v>0</v>
      </c>
      <c r="AD83" s="246">
        <v>1</v>
      </c>
      <c r="AE83" s="247"/>
      <c r="AF83" s="29"/>
      <c r="AG83" s="29"/>
      <c r="AH83" s="29"/>
      <c r="AI83" s="223"/>
      <c r="AJ83" s="260"/>
      <c r="AK83" s="245"/>
      <c r="AL83" s="245"/>
      <c r="AM83">
        <v>0</v>
      </c>
      <c r="AN83" s="261" t="e">
        <f t="shared" si="65"/>
        <v>#DIV/0!</v>
      </c>
      <c r="AO83" t="s">
        <v>2387</v>
      </c>
      <c r="AP83" t="s">
        <v>2387</v>
      </c>
      <c r="AQ83" s="267">
        <v>0</v>
      </c>
      <c r="AR83" s="252" t="e">
        <f t="shared" si="66"/>
        <v>#DIV/0!</v>
      </c>
      <c r="AS83" s="252" t="e">
        <f t="shared" si="67"/>
        <v>#DIV/0!</v>
      </c>
      <c r="AT83" s="252" t="e">
        <f t="shared" si="68"/>
        <v>#VALUE!</v>
      </c>
      <c r="AU83" s="252">
        <f t="shared" si="69"/>
        <v>0</v>
      </c>
      <c r="AV83" s="29"/>
      <c r="AW83" s="282" t="e">
        <f t="shared" si="70"/>
        <v>#DIV/0!</v>
      </c>
      <c r="AX83" s="283" t="e">
        <f t="shared" si="71"/>
        <v>#DIV/0!</v>
      </c>
      <c r="AY83" s="275" t="e">
        <f t="shared" si="72"/>
        <v>#VALUE!</v>
      </c>
      <c r="AZ83" s="207"/>
      <c r="BA83" s="29"/>
      <c r="BB83" s="252" t="e">
        <f t="shared" si="73"/>
        <v>#DIV/0!</v>
      </c>
      <c r="BC83" s="252" t="str">
        <f t="shared" si="74"/>
        <v>#DIV/0!</v>
      </c>
      <c r="BD83" t="s">
        <v>2387</v>
      </c>
      <c r="BE83" t="s">
        <v>2387</v>
      </c>
      <c r="BF83" s="285" t="e">
        <f t="shared" si="75"/>
        <v>#DIV/0!</v>
      </c>
      <c r="BG83" s="252">
        <f t="shared" si="76"/>
        <v>0</v>
      </c>
      <c r="BH83" s="252" t="str">
        <f t="shared" si="77"/>
        <v>#DIV/0!</v>
      </c>
      <c r="BI83" t="s">
        <v>2387</v>
      </c>
      <c r="BJ83" s="288" t="e">
        <f t="shared" si="78"/>
        <v>#VALUE!</v>
      </c>
      <c r="BK83" s="288" t="e">
        <f t="shared" si="79"/>
        <v>#DIV/0!</v>
      </c>
      <c r="BL83" s="286" t="e">
        <f t="shared" si="80"/>
        <v>#VALUE!</v>
      </c>
      <c r="BM83" s="283" t="e">
        <f t="shared" si="81"/>
        <v>#VALUE!</v>
      </c>
      <c r="BN83" s="283" t="e">
        <f t="shared" si="82"/>
        <v>#VALUE!</v>
      </c>
      <c r="BO83" s="275" t="e">
        <f t="shared" si="83"/>
        <v>#DIV/0!</v>
      </c>
    </row>
    <row r="84" customHeight="1" spans="1:67">
      <c r="A84" s="289" t="b">
        <v>0</v>
      </c>
      <c r="B84" s="27" t="b">
        <v>0</v>
      </c>
      <c r="C84" s="27" t="b">
        <v>0</v>
      </c>
      <c r="D84" s="27" t="b">
        <v>0</v>
      </c>
      <c r="E84" s="290" t="b">
        <v>0</v>
      </c>
      <c r="F84" s="29"/>
      <c r="G84" s="29" t="s">
        <v>2449</v>
      </c>
      <c r="H84" s="29"/>
      <c r="I84" s="29"/>
      <c r="J84" s="29"/>
      <c r="K84" s="27" t="b">
        <v>0</v>
      </c>
      <c r="L84" s="27" t="b">
        <v>0</v>
      </c>
      <c r="M84" s="29"/>
      <c r="N84" s="214"/>
      <c r="O84" s="29"/>
      <c r="P84" s="215" t="str">
        <f t="shared" si="61"/>
        <v/>
      </c>
      <c r="Q84" s="29"/>
      <c r="R84" s="29"/>
      <c r="S84" s="29"/>
      <c r="T84" s="29"/>
      <c r="U84" s="29"/>
      <c r="V84" s="29"/>
      <c r="W84" s="29"/>
      <c r="X84" s="29"/>
      <c r="Y84" s="223"/>
      <c r="Z84" s="242">
        <f t="shared" si="62"/>
        <v>-25</v>
      </c>
      <c r="AA84" s="243"/>
      <c r="AB84" s="244"/>
      <c r="AC84" s="245">
        <f t="shared" si="63"/>
        <v>0</v>
      </c>
      <c r="AD84" s="246">
        <v>1</v>
      </c>
      <c r="AE84" s="247"/>
      <c r="AF84" s="29"/>
      <c r="AG84" s="29"/>
      <c r="AH84" s="29"/>
      <c r="AI84" s="223"/>
      <c r="AJ84" s="260"/>
      <c r="AK84" s="245"/>
      <c r="AL84" s="245"/>
      <c r="AM84">
        <v>0</v>
      </c>
      <c r="AN84" s="261" t="e">
        <f t="shared" si="65"/>
        <v>#DIV/0!</v>
      </c>
      <c r="AO84" t="s">
        <v>2387</v>
      </c>
      <c r="AP84" t="s">
        <v>2387</v>
      </c>
      <c r="AQ84" s="267">
        <v>0</v>
      </c>
      <c r="AR84" s="252" t="e">
        <f t="shared" si="66"/>
        <v>#DIV/0!</v>
      </c>
      <c r="AS84" s="252" t="e">
        <f t="shared" si="67"/>
        <v>#DIV/0!</v>
      </c>
      <c r="AT84" s="252" t="e">
        <f t="shared" si="68"/>
        <v>#VALUE!</v>
      </c>
      <c r="AU84" s="252">
        <f t="shared" si="69"/>
        <v>0</v>
      </c>
      <c r="AV84" s="29"/>
      <c r="AW84" s="282" t="e">
        <f t="shared" si="70"/>
        <v>#DIV/0!</v>
      </c>
      <c r="AX84" s="283" t="e">
        <f t="shared" si="71"/>
        <v>#DIV/0!</v>
      </c>
      <c r="AY84" s="275" t="e">
        <f t="shared" si="72"/>
        <v>#VALUE!</v>
      </c>
      <c r="AZ84" s="207"/>
      <c r="BA84" s="29"/>
      <c r="BB84" s="252" t="e">
        <f t="shared" si="73"/>
        <v>#DIV/0!</v>
      </c>
      <c r="BC84" s="252" t="str">
        <f t="shared" si="74"/>
        <v>#DIV/0!</v>
      </c>
      <c r="BD84" t="s">
        <v>2387</v>
      </c>
      <c r="BE84" t="s">
        <v>2387</v>
      </c>
      <c r="BF84" s="285" t="e">
        <f t="shared" si="75"/>
        <v>#DIV/0!</v>
      </c>
      <c r="BG84" s="252">
        <f t="shared" si="76"/>
        <v>0</v>
      </c>
      <c r="BH84" s="252" t="str">
        <f t="shared" si="77"/>
        <v>#DIV/0!</v>
      </c>
      <c r="BI84" t="s">
        <v>2387</v>
      </c>
      <c r="BJ84" s="288" t="e">
        <f t="shared" si="78"/>
        <v>#VALUE!</v>
      </c>
      <c r="BK84" s="288" t="e">
        <f t="shared" si="79"/>
        <v>#DIV/0!</v>
      </c>
      <c r="BL84" s="286" t="e">
        <f t="shared" si="80"/>
        <v>#VALUE!</v>
      </c>
      <c r="BM84" s="283" t="e">
        <f t="shared" si="81"/>
        <v>#VALUE!</v>
      </c>
      <c r="BN84" s="283" t="e">
        <f t="shared" si="82"/>
        <v>#VALUE!</v>
      </c>
      <c r="BO84" s="275" t="e">
        <f t="shared" si="83"/>
        <v>#DIV/0!</v>
      </c>
    </row>
    <row r="85" customHeight="1" spans="1:67">
      <c r="A85" s="289" t="b">
        <v>0</v>
      </c>
      <c r="B85" s="27" t="b">
        <v>0</v>
      </c>
      <c r="C85" s="27" t="b">
        <v>0</v>
      </c>
      <c r="D85" s="27" t="b">
        <v>0</v>
      </c>
      <c r="E85" s="290" t="b">
        <v>0</v>
      </c>
      <c r="F85" s="29"/>
      <c r="G85" s="29" t="s">
        <v>2450</v>
      </c>
      <c r="H85" s="29"/>
      <c r="I85" s="29"/>
      <c r="J85" s="29"/>
      <c r="K85" s="27" t="b">
        <v>0</v>
      </c>
      <c r="L85" s="27" t="b">
        <v>0</v>
      </c>
      <c r="M85" s="29"/>
      <c r="N85" s="214"/>
      <c r="O85" s="29"/>
      <c r="P85" s="215" t="str">
        <f t="shared" si="61"/>
        <v/>
      </c>
      <c r="Q85" s="29"/>
      <c r="R85" s="29"/>
      <c r="S85" s="29"/>
      <c r="T85" s="29"/>
      <c r="U85" s="29"/>
      <c r="V85" s="29"/>
      <c r="W85" s="29"/>
      <c r="X85" s="29"/>
      <c r="Y85" s="223"/>
      <c r="Z85" s="242">
        <f t="shared" si="62"/>
        <v>-25</v>
      </c>
      <c r="AA85" s="243"/>
      <c r="AB85" s="244"/>
      <c r="AC85" s="245">
        <f t="shared" si="63"/>
        <v>0</v>
      </c>
      <c r="AD85" s="246">
        <v>1</v>
      </c>
      <c r="AE85" s="247"/>
      <c r="AF85" s="29"/>
      <c r="AG85" s="29"/>
      <c r="AH85" s="29"/>
      <c r="AI85" s="223"/>
      <c r="AJ85" s="260"/>
      <c r="AK85" s="245"/>
      <c r="AL85" s="245"/>
      <c r="AM85">
        <v>0</v>
      </c>
      <c r="AN85" s="261" t="e">
        <f t="shared" si="65"/>
        <v>#DIV/0!</v>
      </c>
      <c r="AO85" t="s">
        <v>2387</v>
      </c>
      <c r="AP85" t="s">
        <v>2387</v>
      </c>
      <c r="AQ85" s="267">
        <v>0</v>
      </c>
      <c r="AR85" s="252" t="e">
        <f t="shared" si="66"/>
        <v>#DIV/0!</v>
      </c>
      <c r="AS85" s="252" t="e">
        <f t="shared" si="67"/>
        <v>#DIV/0!</v>
      </c>
      <c r="AT85" s="252" t="e">
        <f t="shared" si="68"/>
        <v>#VALUE!</v>
      </c>
      <c r="AU85" s="252">
        <f t="shared" si="69"/>
        <v>0</v>
      </c>
      <c r="AV85" s="29"/>
      <c r="AW85" s="282" t="e">
        <f t="shared" si="70"/>
        <v>#DIV/0!</v>
      </c>
      <c r="AX85" s="283" t="e">
        <f t="shared" si="71"/>
        <v>#DIV/0!</v>
      </c>
      <c r="AY85" s="275" t="e">
        <f t="shared" si="72"/>
        <v>#VALUE!</v>
      </c>
      <c r="AZ85" s="207"/>
      <c r="BA85" s="29"/>
      <c r="BB85" s="252" t="e">
        <f t="shared" si="73"/>
        <v>#DIV/0!</v>
      </c>
      <c r="BC85" s="252" t="str">
        <f t="shared" si="74"/>
        <v>#DIV/0!</v>
      </c>
      <c r="BD85" t="s">
        <v>2387</v>
      </c>
      <c r="BE85" t="s">
        <v>2387</v>
      </c>
      <c r="BF85" s="285" t="e">
        <f t="shared" si="75"/>
        <v>#DIV/0!</v>
      </c>
      <c r="BG85" s="252">
        <f t="shared" si="76"/>
        <v>0</v>
      </c>
      <c r="BH85" s="252" t="str">
        <f t="shared" si="77"/>
        <v>#DIV/0!</v>
      </c>
      <c r="BI85" t="s">
        <v>2387</v>
      </c>
      <c r="BJ85" s="288" t="e">
        <f t="shared" si="78"/>
        <v>#VALUE!</v>
      </c>
      <c r="BK85" s="288" t="e">
        <f t="shared" si="79"/>
        <v>#DIV/0!</v>
      </c>
      <c r="BL85" s="286" t="e">
        <f t="shared" si="80"/>
        <v>#VALUE!</v>
      </c>
      <c r="BM85" s="283" t="e">
        <f t="shared" si="81"/>
        <v>#VALUE!</v>
      </c>
      <c r="BN85" s="283" t="e">
        <f t="shared" si="82"/>
        <v>#VALUE!</v>
      </c>
      <c r="BO85" s="275" t="e">
        <f t="shared" si="83"/>
        <v>#DIV/0!</v>
      </c>
    </row>
    <row r="86" customHeight="1" spans="1:67">
      <c r="A86" s="289" t="b">
        <v>0</v>
      </c>
      <c r="B86" s="27" t="b">
        <v>0</v>
      </c>
      <c r="C86" s="27" t="b">
        <v>0</v>
      </c>
      <c r="D86" s="27" t="b">
        <v>0</v>
      </c>
      <c r="E86" s="290" t="b">
        <v>0</v>
      </c>
      <c r="F86" s="29"/>
      <c r="G86" s="29" t="s">
        <v>2451</v>
      </c>
      <c r="H86" s="29"/>
      <c r="I86" s="29"/>
      <c r="J86" s="29"/>
      <c r="K86" s="27" t="b">
        <v>0</v>
      </c>
      <c r="L86" s="27" t="b">
        <v>0</v>
      </c>
      <c r="M86" s="29"/>
      <c r="N86" s="214"/>
      <c r="O86" s="29"/>
      <c r="P86" s="215" t="str">
        <f t="shared" si="61"/>
        <v/>
      </c>
      <c r="Q86" s="29"/>
      <c r="R86" s="29"/>
      <c r="S86" s="29"/>
      <c r="T86" s="29"/>
      <c r="U86" s="29"/>
      <c r="V86" s="29"/>
      <c r="W86" s="29"/>
      <c r="X86" s="29"/>
      <c r="Y86" s="223"/>
      <c r="Z86" s="242">
        <f t="shared" si="62"/>
        <v>-25</v>
      </c>
      <c r="AA86" s="243"/>
      <c r="AB86" s="244"/>
      <c r="AC86" s="245">
        <f t="shared" si="63"/>
        <v>0</v>
      </c>
      <c r="AD86" s="246">
        <v>1</v>
      </c>
      <c r="AE86" s="247"/>
      <c r="AF86" s="29"/>
      <c r="AG86" s="29"/>
      <c r="AH86" s="29"/>
      <c r="AI86" s="223"/>
      <c r="AJ86" s="260"/>
      <c r="AK86" s="245"/>
      <c r="AL86" s="245"/>
      <c r="AM86">
        <v>0</v>
      </c>
      <c r="AN86" s="261" t="e">
        <f t="shared" si="65"/>
        <v>#DIV/0!</v>
      </c>
      <c r="AO86" t="s">
        <v>2387</v>
      </c>
      <c r="AP86" t="s">
        <v>2387</v>
      </c>
      <c r="AQ86" s="267">
        <v>0</v>
      </c>
      <c r="AR86" s="252" t="e">
        <f t="shared" si="66"/>
        <v>#DIV/0!</v>
      </c>
      <c r="AS86" s="252" t="e">
        <f t="shared" si="67"/>
        <v>#DIV/0!</v>
      </c>
      <c r="AT86" s="252" t="e">
        <f t="shared" si="68"/>
        <v>#VALUE!</v>
      </c>
      <c r="AU86" s="252">
        <f t="shared" si="69"/>
        <v>0</v>
      </c>
      <c r="AV86" s="29"/>
      <c r="AW86" s="282" t="e">
        <f t="shared" si="70"/>
        <v>#DIV/0!</v>
      </c>
      <c r="AX86" s="283" t="e">
        <f t="shared" si="71"/>
        <v>#DIV/0!</v>
      </c>
      <c r="AY86" s="275" t="e">
        <f t="shared" si="72"/>
        <v>#VALUE!</v>
      </c>
      <c r="AZ86" s="207"/>
      <c r="BA86" s="29"/>
      <c r="BB86" s="252" t="e">
        <f t="shared" si="73"/>
        <v>#DIV/0!</v>
      </c>
      <c r="BC86" s="252" t="str">
        <f t="shared" si="74"/>
        <v>#DIV/0!</v>
      </c>
      <c r="BD86" t="s">
        <v>2387</v>
      </c>
      <c r="BE86" t="s">
        <v>2387</v>
      </c>
      <c r="BF86" s="285" t="e">
        <f t="shared" si="75"/>
        <v>#DIV/0!</v>
      </c>
      <c r="BG86" s="252">
        <f t="shared" si="76"/>
        <v>0</v>
      </c>
      <c r="BH86" s="252" t="str">
        <f t="shared" si="77"/>
        <v>#DIV/0!</v>
      </c>
      <c r="BI86" t="s">
        <v>2387</v>
      </c>
      <c r="BJ86" s="288" t="e">
        <f t="shared" si="78"/>
        <v>#VALUE!</v>
      </c>
      <c r="BK86" s="288" t="e">
        <f t="shared" si="79"/>
        <v>#DIV/0!</v>
      </c>
      <c r="BL86" s="286" t="e">
        <f t="shared" si="80"/>
        <v>#VALUE!</v>
      </c>
      <c r="BM86" s="283" t="e">
        <f t="shared" si="81"/>
        <v>#VALUE!</v>
      </c>
      <c r="BN86" s="283" t="e">
        <f t="shared" si="82"/>
        <v>#VALUE!</v>
      </c>
      <c r="BO86" s="275" t="e">
        <f t="shared" si="83"/>
        <v>#DIV/0!</v>
      </c>
    </row>
    <row r="87" customHeight="1" spans="1:67">
      <c r="A87" s="289" t="b">
        <v>0</v>
      </c>
      <c r="B87" s="27" t="b">
        <v>0</v>
      </c>
      <c r="C87" s="27" t="b">
        <v>0</v>
      </c>
      <c r="D87" s="27" t="b">
        <v>0</v>
      </c>
      <c r="E87" s="290" t="b">
        <v>0</v>
      </c>
      <c r="F87" s="29"/>
      <c r="G87" s="29" t="s">
        <v>2452</v>
      </c>
      <c r="H87" s="29"/>
      <c r="I87" s="29"/>
      <c r="J87" s="29"/>
      <c r="K87" s="27" t="b">
        <v>0</v>
      </c>
      <c r="L87" s="27" t="b">
        <v>0</v>
      </c>
      <c r="M87" s="29"/>
      <c r="N87" s="214"/>
      <c r="O87" s="29"/>
      <c r="P87" s="215" t="str">
        <f t="shared" si="61"/>
        <v/>
      </c>
      <c r="Q87" s="29"/>
      <c r="R87" s="29"/>
      <c r="S87" s="29"/>
      <c r="T87" s="29"/>
      <c r="U87" s="29"/>
      <c r="V87" s="29"/>
      <c r="W87" s="29"/>
      <c r="X87" s="29"/>
      <c r="Y87" s="223"/>
      <c r="Z87" s="242">
        <f t="shared" si="62"/>
        <v>-25</v>
      </c>
      <c r="AA87" s="243"/>
      <c r="AB87" s="244"/>
      <c r="AC87" s="245">
        <f t="shared" si="63"/>
        <v>0</v>
      </c>
      <c r="AD87" s="246">
        <v>1</v>
      </c>
      <c r="AE87" s="247"/>
      <c r="AF87" s="29"/>
      <c r="AG87" s="29"/>
      <c r="AH87" s="29"/>
      <c r="AI87" s="223"/>
      <c r="AJ87" s="260"/>
      <c r="AK87" s="245"/>
      <c r="AL87" s="245"/>
      <c r="AM87">
        <v>0</v>
      </c>
      <c r="AN87" s="261" t="e">
        <f t="shared" si="65"/>
        <v>#DIV/0!</v>
      </c>
      <c r="AO87" t="s">
        <v>2387</v>
      </c>
      <c r="AP87" t="s">
        <v>2387</v>
      </c>
      <c r="AQ87" s="267">
        <v>0</v>
      </c>
      <c r="AR87" s="252" t="e">
        <f t="shared" si="66"/>
        <v>#DIV/0!</v>
      </c>
      <c r="AS87" s="252" t="e">
        <f t="shared" si="67"/>
        <v>#DIV/0!</v>
      </c>
      <c r="AT87" s="252" t="e">
        <f t="shared" si="68"/>
        <v>#VALUE!</v>
      </c>
      <c r="AU87" s="252">
        <f t="shared" si="69"/>
        <v>0</v>
      </c>
      <c r="AV87" s="29"/>
      <c r="AW87" s="282" t="e">
        <f t="shared" si="70"/>
        <v>#DIV/0!</v>
      </c>
      <c r="AX87" s="283" t="e">
        <f t="shared" si="71"/>
        <v>#DIV/0!</v>
      </c>
      <c r="AY87" s="275" t="e">
        <f t="shared" si="72"/>
        <v>#VALUE!</v>
      </c>
      <c r="AZ87" s="207"/>
      <c r="BA87" s="29"/>
      <c r="BB87" s="252" t="e">
        <f t="shared" si="73"/>
        <v>#DIV/0!</v>
      </c>
      <c r="BC87" s="252" t="str">
        <f t="shared" si="74"/>
        <v>#DIV/0!</v>
      </c>
      <c r="BD87" t="s">
        <v>2387</v>
      </c>
      <c r="BE87" t="s">
        <v>2387</v>
      </c>
      <c r="BF87" s="285" t="e">
        <f t="shared" si="75"/>
        <v>#DIV/0!</v>
      </c>
      <c r="BG87" s="252">
        <f t="shared" si="76"/>
        <v>0</v>
      </c>
      <c r="BH87" s="252" t="str">
        <f t="shared" si="77"/>
        <v>#DIV/0!</v>
      </c>
      <c r="BI87" t="s">
        <v>2387</v>
      </c>
      <c r="BJ87" s="288" t="e">
        <f t="shared" si="78"/>
        <v>#VALUE!</v>
      </c>
      <c r="BK87" s="288" t="e">
        <f t="shared" si="79"/>
        <v>#DIV/0!</v>
      </c>
      <c r="BL87" s="286" t="e">
        <f t="shared" si="80"/>
        <v>#VALUE!</v>
      </c>
      <c r="BM87" s="283" t="e">
        <f t="shared" si="81"/>
        <v>#VALUE!</v>
      </c>
      <c r="BN87" s="283" t="e">
        <f t="shared" si="82"/>
        <v>#VALUE!</v>
      </c>
      <c r="BO87" s="275" t="e">
        <f t="shared" si="83"/>
        <v>#DIV/0!</v>
      </c>
    </row>
    <row r="88" customHeight="1" spans="1:67">
      <c r="A88" s="289" t="b">
        <v>0</v>
      </c>
      <c r="B88" s="27" t="b">
        <v>0</v>
      </c>
      <c r="C88" s="27" t="b">
        <v>0</v>
      </c>
      <c r="D88" s="27" t="b">
        <v>0</v>
      </c>
      <c r="E88" s="290" t="b">
        <v>0</v>
      </c>
      <c r="F88" s="29"/>
      <c r="G88" s="29" t="s">
        <v>2453</v>
      </c>
      <c r="H88" s="29"/>
      <c r="I88" s="29"/>
      <c r="J88" s="29"/>
      <c r="K88" s="27" t="b">
        <v>0</v>
      </c>
      <c r="L88" s="27" t="b">
        <v>0</v>
      </c>
      <c r="M88" s="29"/>
      <c r="N88" s="214"/>
      <c r="O88" s="29"/>
      <c r="P88" s="215" t="str">
        <f t="shared" si="61"/>
        <v/>
      </c>
      <c r="Q88" s="29"/>
      <c r="R88" s="29"/>
      <c r="S88" s="29"/>
      <c r="T88" s="29"/>
      <c r="U88" s="29"/>
      <c r="V88" s="29"/>
      <c r="W88" s="29"/>
      <c r="X88" s="29"/>
      <c r="Y88" s="223"/>
      <c r="Z88" s="242">
        <f t="shared" si="62"/>
        <v>-25</v>
      </c>
      <c r="AA88" s="243"/>
      <c r="AB88" s="244"/>
      <c r="AC88" s="245">
        <f t="shared" si="63"/>
        <v>0</v>
      </c>
      <c r="AD88" s="246">
        <v>1</v>
      </c>
      <c r="AE88" s="247"/>
      <c r="AF88" s="29"/>
      <c r="AG88" s="29"/>
      <c r="AH88" s="29"/>
      <c r="AI88" s="223"/>
      <c r="AJ88" s="260"/>
      <c r="AK88" s="245"/>
      <c r="AL88" s="245"/>
      <c r="AM88">
        <v>0</v>
      </c>
      <c r="AN88" s="261" t="e">
        <f t="shared" si="65"/>
        <v>#DIV/0!</v>
      </c>
      <c r="AO88" t="s">
        <v>2387</v>
      </c>
      <c r="AP88" t="s">
        <v>2387</v>
      </c>
      <c r="AQ88" s="267">
        <v>0</v>
      </c>
      <c r="AR88" s="252" t="e">
        <f t="shared" si="66"/>
        <v>#DIV/0!</v>
      </c>
      <c r="AS88" s="252" t="e">
        <f t="shared" si="67"/>
        <v>#DIV/0!</v>
      </c>
      <c r="AT88" s="252" t="e">
        <f t="shared" si="68"/>
        <v>#VALUE!</v>
      </c>
      <c r="AU88" s="252">
        <f t="shared" si="69"/>
        <v>0</v>
      </c>
      <c r="AV88" s="29"/>
      <c r="AW88" s="282" t="e">
        <f t="shared" si="70"/>
        <v>#DIV/0!</v>
      </c>
      <c r="AX88" s="283" t="e">
        <f t="shared" si="71"/>
        <v>#DIV/0!</v>
      </c>
      <c r="AY88" s="275" t="e">
        <f t="shared" si="72"/>
        <v>#VALUE!</v>
      </c>
      <c r="AZ88" s="207"/>
      <c r="BA88" s="29"/>
      <c r="BB88" s="252" t="e">
        <f t="shared" si="73"/>
        <v>#DIV/0!</v>
      </c>
      <c r="BC88" s="252" t="str">
        <f t="shared" si="74"/>
        <v>#DIV/0!</v>
      </c>
      <c r="BD88" t="s">
        <v>2387</v>
      </c>
      <c r="BE88" t="s">
        <v>2387</v>
      </c>
      <c r="BF88" s="285" t="e">
        <f t="shared" si="75"/>
        <v>#DIV/0!</v>
      </c>
      <c r="BG88" s="252">
        <f t="shared" si="76"/>
        <v>0</v>
      </c>
      <c r="BH88" s="252" t="str">
        <f t="shared" si="77"/>
        <v>#DIV/0!</v>
      </c>
      <c r="BI88" t="s">
        <v>2387</v>
      </c>
      <c r="BJ88" s="288" t="e">
        <f t="shared" si="78"/>
        <v>#VALUE!</v>
      </c>
      <c r="BK88" s="288" t="e">
        <f t="shared" si="79"/>
        <v>#DIV/0!</v>
      </c>
      <c r="BL88" s="286" t="e">
        <f t="shared" si="80"/>
        <v>#VALUE!</v>
      </c>
      <c r="BM88" s="283" t="e">
        <f t="shared" si="81"/>
        <v>#VALUE!</v>
      </c>
      <c r="BN88" s="283" t="e">
        <f t="shared" si="82"/>
        <v>#VALUE!</v>
      </c>
      <c r="BO88" s="275" t="e">
        <f t="shared" si="83"/>
        <v>#DIV/0!</v>
      </c>
    </row>
    <row r="89" customHeight="1" spans="1:67">
      <c r="A89" s="289" t="b">
        <v>0</v>
      </c>
      <c r="B89" s="27" t="b">
        <v>0</v>
      </c>
      <c r="C89" s="27" t="b">
        <v>0</v>
      </c>
      <c r="D89" s="27" t="b">
        <v>0</v>
      </c>
      <c r="E89" s="290" t="b">
        <v>0</v>
      </c>
      <c r="F89" s="29"/>
      <c r="G89" s="29" t="s">
        <v>2454</v>
      </c>
      <c r="H89" s="29"/>
      <c r="I89" s="29"/>
      <c r="J89" s="29"/>
      <c r="K89" s="27" t="b">
        <v>0</v>
      </c>
      <c r="L89" s="27" t="b">
        <v>0</v>
      </c>
      <c r="M89" s="29"/>
      <c r="N89" s="214"/>
      <c r="O89" s="29"/>
      <c r="P89" s="215" t="str">
        <f t="shared" si="61"/>
        <v/>
      </c>
      <c r="Q89" s="29"/>
      <c r="R89" s="29"/>
      <c r="S89" s="29"/>
      <c r="T89" s="29"/>
      <c r="U89" s="29"/>
      <c r="V89" s="29"/>
      <c r="W89" s="29"/>
      <c r="X89" s="29"/>
      <c r="Y89" s="223"/>
      <c r="Z89" s="242">
        <f t="shared" si="62"/>
        <v>-25</v>
      </c>
      <c r="AA89" s="243"/>
      <c r="AB89" s="244"/>
      <c r="AC89" s="245">
        <f t="shared" si="63"/>
        <v>0</v>
      </c>
      <c r="AD89" s="246">
        <v>1</v>
      </c>
      <c r="AE89" s="247"/>
      <c r="AF89" s="29"/>
      <c r="AG89" s="29"/>
      <c r="AH89" s="29"/>
      <c r="AI89" s="223"/>
      <c r="AJ89" s="260"/>
      <c r="AK89" s="245"/>
      <c r="AL89" s="245"/>
      <c r="AM89">
        <v>0</v>
      </c>
      <c r="AN89" s="261" t="e">
        <f t="shared" si="65"/>
        <v>#DIV/0!</v>
      </c>
      <c r="AO89" t="s">
        <v>2387</v>
      </c>
      <c r="AP89" t="s">
        <v>2387</v>
      </c>
      <c r="AQ89" s="267">
        <v>0</v>
      </c>
      <c r="AR89" s="252" t="e">
        <f t="shared" si="66"/>
        <v>#DIV/0!</v>
      </c>
      <c r="AS89" s="252" t="e">
        <f t="shared" si="67"/>
        <v>#DIV/0!</v>
      </c>
      <c r="AT89" s="252" t="e">
        <f t="shared" si="68"/>
        <v>#VALUE!</v>
      </c>
      <c r="AU89" s="252">
        <f t="shared" si="69"/>
        <v>0</v>
      </c>
      <c r="AV89" s="29"/>
      <c r="AW89" s="282" t="e">
        <f t="shared" si="70"/>
        <v>#DIV/0!</v>
      </c>
      <c r="AX89" s="283" t="e">
        <f t="shared" si="71"/>
        <v>#DIV/0!</v>
      </c>
      <c r="AY89" s="275" t="e">
        <f t="shared" si="72"/>
        <v>#VALUE!</v>
      </c>
      <c r="AZ89" s="207"/>
      <c r="BA89" s="29"/>
      <c r="BB89" s="252" t="e">
        <f t="shared" si="73"/>
        <v>#DIV/0!</v>
      </c>
      <c r="BC89" s="252" t="str">
        <f t="shared" si="74"/>
        <v>#DIV/0!</v>
      </c>
      <c r="BD89" t="s">
        <v>2387</v>
      </c>
      <c r="BE89" t="s">
        <v>2387</v>
      </c>
      <c r="BF89" s="285" t="e">
        <f t="shared" si="75"/>
        <v>#DIV/0!</v>
      </c>
      <c r="BG89" s="252">
        <f t="shared" si="76"/>
        <v>0</v>
      </c>
      <c r="BH89" s="252" t="str">
        <f t="shared" si="77"/>
        <v>#DIV/0!</v>
      </c>
      <c r="BI89" t="s">
        <v>2387</v>
      </c>
      <c r="BJ89" s="288" t="e">
        <f t="shared" si="78"/>
        <v>#VALUE!</v>
      </c>
      <c r="BK89" s="288" t="e">
        <f t="shared" si="79"/>
        <v>#DIV/0!</v>
      </c>
      <c r="BL89" s="286" t="e">
        <f t="shared" si="80"/>
        <v>#VALUE!</v>
      </c>
      <c r="BM89" s="283" t="e">
        <f t="shared" si="81"/>
        <v>#VALUE!</v>
      </c>
      <c r="BN89" s="283" t="e">
        <f t="shared" si="82"/>
        <v>#VALUE!</v>
      </c>
      <c r="BO89" s="275" t="e">
        <f t="shared" si="83"/>
        <v>#DIV/0!</v>
      </c>
    </row>
    <row r="90" customHeight="1" spans="1:67">
      <c r="A90" s="289" t="b">
        <v>0</v>
      </c>
      <c r="B90" s="27" t="b">
        <v>0</v>
      </c>
      <c r="C90" s="27" t="b">
        <v>0</v>
      </c>
      <c r="D90" s="27" t="b">
        <v>0</v>
      </c>
      <c r="E90" s="290" t="b">
        <v>0</v>
      </c>
      <c r="F90" s="29"/>
      <c r="G90" s="29" t="s">
        <v>2455</v>
      </c>
      <c r="H90" s="29"/>
      <c r="I90" s="29"/>
      <c r="J90" s="29"/>
      <c r="K90" s="27" t="b">
        <v>0</v>
      </c>
      <c r="L90" s="27" t="b">
        <v>0</v>
      </c>
      <c r="M90" s="29"/>
      <c r="N90" s="214"/>
      <c r="O90" s="29"/>
      <c r="P90" s="215" t="str">
        <f t="shared" si="61"/>
        <v/>
      </c>
      <c r="Q90" s="29"/>
      <c r="R90" s="29"/>
      <c r="S90" s="29"/>
      <c r="T90" s="29"/>
      <c r="U90" s="29"/>
      <c r="V90" s="29"/>
      <c r="W90" s="29"/>
      <c r="X90" s="29"/>
      <c r="Y90" s="223"/>
      <c r="Z90" s="242">
        <f t="shared" si="62"/>
        <v>-25</v>
      </c>
      <c r="AA90" s="243"/>
      <c r="AB90" s="244"/>
      <c r="AC90" s="245">
        <f t="shared" si="63"/>
        <v>0</v>
      </c>
      <c r="AD90" s="246">
        <v>1</v>
      </c>
      <c r="AE90" s="247"/>
      <c r="AF90" s="29"/>
      <c r="AG90" s="29"/>
      <c r="AH90" s="29"/>
      <c r="AI90" s="223"/>
      <c r="AJ90" s="260"/>
      <c r="AK90" s="245"/>
      <c r="AL90" s="245"/>
      <c r="AM90">
        <v>0</v>
      </c>
      <c r="AN90" s="261" t="e">
        <f t="shared" si="65"/>
        <v>#DIV/0!</v>
      </c>
      <c r="AO90" t="s">
        <v>2387</v>
      </c>
      <c r="AP90" t="s">
        <v>2387</v>
      </c>
      <c r="AQ90" s="267">
        <v>0</v>
      </c>
      <c r="AR90" s="252" t="e">
        <f t="shared" si="66"/>
        <v>#DIV/0!</v>
      </c>
      <c r="AS90" s="252" t="e">
        <f t="shared" si="67"/>
        <v>#DIV/0!</v>
      </c>
      <c r="AT90" s="252" t="e">
        <f t="shared" si="68"/>
        <v>#VALUE!</v>
      </c>
      <c r="AU90" s="252">
        <f t="shared" si="69"/>
        <v>0</v>
      </c>
      <c r="AV90" s="29"/>
      <c r="AW90" s="282" t="e">
        <f t="shared" si="70"/>
        <v>#DIV/0!</v>
      </c>
      <c r="AX90" s="283" t="e">
        <f t="shared" si="71"/>
        <v>#DIV/0!</v>
      </c>
      <c r="AY90" s="275" t="e">
        <f t="shared" si="72"/>
        <v>#VALUE!</v>
      </c>
      <c r="AZ90" s="207"/>
      <c r="BA90" s="29"/>
      <c r="BB90" s="252" t="e">
        <f t="shared" si="73"/>
        <v>#DIV/0!</v>
      </c>
      <c r="BC90" s="252" t="str">
        <f t="shared" si="74"/>
        <v>#DIV/0!</v>
      </c>
      <c r="BD90" t="s">
        <v>2387</v>
      </c>
      <c r="BE90" t="s">
        <v>2387</v>
      </c>
      <c r="BF90" s="285" t="e">
        <f t="shared" si="75"/>
        <v>#DIV/0!</v>
      </c>
      <c r="BG90" s="252">
        <f t="shared" si="76"/>
        <v>0</v>
      </c>
      <c r="BH90" s="252" t="str">
        <f t="shared" si="77"/>
        <v>#DIV/0!</v>
      </c>
      <c r="BI90" t="s">
        <v>2387</v>
      </c>
      <c r="BJ90" s="288" t="e">
        <f t="shared" si="78"/>
        <v>#VALUE!</v>
      </c>
      <c r="BK90" s="288" t="e">
        <f t="shared" si="79"/>
        <v>#DIV/0!</v>
      </c>
      <c r="BL90" s="286" t="e">
        <f t="shared" si="80"/>
        <v>#VALUE!</v>
      </c>
      <c r="BM90" s="283" t="e">
        <f t="shared" si="81"/>
        <v>#VALUE!</v>
      </c>
      <c r="BN90" s="283" t="e">
        <f t="shared" si="82"/>
        <v>#VALUE!</v>
      </c>
      <c r="BO90" s="275" t="e">
        <f t="shared" si="83"/>
        <v>#DIV/0!</v>
      </c>
    </row>
    <row r="91" customHeight="1" spans="1:67">
      <c r="A91" s="289" t="b">
        <v>0</v>
      </c>
      <c r="B91" s="27" t="b">
        <v>0</v>
      </c>
      <c r="C91" s="27" t="b">
        <v>0</v>
      </c>
      <c r="D91" s="27" t="b">
        <v>0</v>
      </c>
      <c r="E91" s="290" t="b">
        <v>0</v>
      </c>
      <c r="F91" s="29"/>
      <c r="G91" s="29" t="s">
        <v>2456</v>
      </c>
      <c r="H91" s="29"/>
      <c r="I91" s="29"/>
      <c r="J91" s="29"/>
      <c r="K91" s="27" t="b">
        <v>0</v>
      </c>
      <c r="L91" s="27" t="b">
        <v>0</v>
      </c>
      <c r="M91" s="29"/>
      <c r="N91" s="214"/>
      <c r="O91" s="29"/>
      <c r="P91" s="215" t="str">
        <f t="shared" si="61"/>
        <v/>
      </c>
      <c r="Q91" s="29"/>
      <c r="R91" s="29"/>
      <c r="S91" s="29"/>
      <c r="T91" s="29"/>
      <c r="U91" s="29"/>
      <c r="V91" s="29"/>
      <c r="W91" s="29"/>
      <c r="X91" s="29"/>
      <c r="Y91" s="223"/>
      <c r="Z91" s="242">
        <f t="shared" si="62"/>
        <v>-25</v>
      </c>
      <c r="AA91" s="243"/>
      <c r="AB91" s="244"/>
      <c r="AC91" s="245">
        <f t="shared" si="63"/>
        <v>0</v>
      </c>
      <c r="AD91" s="246">
        <v>1</v>
      </c>
      <c r="AE91" s="247"/>
      <c r="AF91" s="29"/>
      <c r="AG91" s="29"/>
      <c r="AH91" s="29"/>
      <c r="AI91" s="223"/>
      <c r="AJ91" s="260"/>
      <c r="AK91" s="245"/>
      <c r="AL91" s="245"/>
      <c r="AM91">
        <v>0</v>
      </c>
      <c r="AN91" s="261" t="e">
        <f t="shared" si="65"/>
        <v>#DIV/0!</v>
      </c>
      <c r="AO91" t="s">
        <v>2387</v>
      </c>
      <c r="AP91" t="s">
        <v>2387</v>
      </c>
      <c r="AQ91" s="267">
        <v>0</v>
      </c>
      <c r="AR91" s="252" t="e">
        <f t="shared" si="66"/>
        <v>#DIV/0!</v>
      </c>
      <c r="AS91" s="252" t="e">
        <f t="shared" si="67"/>
        <v>#DIV/0!</v>
      </c>
      <c r="AT91" s="252" t="e">
        <f t="shared" si="68"/>
        <v>#VALUE!</v>
      </c>
      <c r="AU91" s="252">
        <f t="shared" si="69"/>
        <v>0</v>
      </c>
      <c r="AV91" s="29"/>
      <c r="AW91" s="282" t="e">
        <f t="shared" si="70"/>
        <v>#DIV/0!</v>
      </c>
      <c r="AX91" s="283" t="e">
        <f t="shared" si="71"/>
        <v>#DIV/0!</v>
      </c>
      <c r="AY91" s="275" t="e">
        <f t="shared" si="72"/>
        <v>#VALUE!</v>
      </c>
      <c r="AZ91" s="207"/>
      <c r="BA91" s="29"/>
      <c r="BB91" s="252" t="e">
        <f t="shared" si="73"/>
        <v>#DIV/0!</v>
      </c>
      <c r="BC91" s="252" t="str">
        <f t="shared" si="74"/>
        <v>#DIV/0!</v>
      </c>
      <c r="BD91" t="s">
        <v>2387</v>
      </c>
      <c r="BE91" t="s">
        <v>2387</v>
      </c>
      <c r="BF91" s="285" t="e">
        <f t="shared" si="75"/>
        <v>#DIV/0!</v>
      </c>
      <c r="BG91" s="252">
        <f t="shared" si="76"/>
        <v>0</v>
      </c>
      <c r="BH91" s="252" t="str">
        <f t="shared" si="77"/>
        <v>#DIV/0!</v>
      </c>
      <c r="BI91" t="s">
        <v>2387</v>
      </c>
      <c r="BJ91" s="288" t="e">
        <f t="shared" si="78"/>
        <v>#VALUE!</v>
      </c>
      <c r="BK91" s="288" t="e">
        <f t="shared" si="79"/>
        <v>#DIV/0!</v>
      </c>
      <c r="BL91" s="286" t="e">
        <f t="shared" si="80"/>
        <v>#VALUE!</v>
      </c>
      <c r="BM91" s="283" t="e">
        <f t="shared" si="81"/>
        <v>#VALUE!</v>
      </c>
      <c r="BN91" s="283" t="e">
        <f t="shared" si="82"/>
        <v>#VALUE!</v>
      </c>
      <c r="BO91" s="275" t="e">
        <f t="shared" si="83"/>
        <v>#DIV/0!</v>
      </c>
    </row>
    <row r="92" customHeight="1" spans="1:67">
      <c r="A92" s="289" t="b">
        <v>0</v>
      </c>
      <c r="B92" s="27" t="b">
        <v>0</v>
      </c>
      <c r="C92" s="27" t="b">
        <v>0</v>
      </c>
      <c r="D92" s="27" t="b">
        <v>0</v>
      </c>
      <c r="E92" s="290" t="b">
        <v>0</v>
      </c>
      <c r="F92" s="29"/>
      <c r="G92" s="29" t="s">
        <v>2457</v>
      </c>
      <c r="H92" s="29"/>
      <c r="I92" s="29"/>
      <c r="J92" s="29"/>
      <c r="K92" s="27" t="b">
        <v>0</v>
      </c>
      <c r="L92" s="27" t="b">
        <v>0</v>
      </c>
      <c r="M92" s="29"/>
      <c r="N92" s="214"/>
      <c r="O92" s="29"/>
      <c r="P92" s="215" t="str">
        <f t="shared" si="61"/>
        <v/>
      </c>
      <c r="Q92" s="29"/>
      <c r="R92" s="29"/>
      <c r="S92" s="29"/>
      <c r="T92" s="29"/>
      <c r="U92" s="29"/>
      <c r="V92" s="29"/>
      <c r="W92" s="29"/>
      <c r="X92" s="29"/>
      <c r="Y92" s="223"/>
      <c r="Z92" s="242">
        <f t="shared" si="62"/>
        <v>-25</v>
      </c>
      <c r="AA92" s="243"/>
      <c r="AB92" s="244"/>
      <c r="AC92" s="245">
        <f t="shared" si="63"/>
        <v>0</v>
      </c>
      <c r="AD92" s="246">
        <v>1</v>
      </c>
      <c r="AE92" s="247"/>
      <c r="AF92" s="29"/>
      <c r="AG92" s="29"/>
      <c r="AH92" s="29"/>
      <c r="AI92" s="223"/>
      <c r="AJ92" s="260"/>
      <c r="AK92" s="245"/>
      <c r="AL92" s="245"/>
      <c r="AM92">
        <v>0</v>
      </c>
      <c r="AN92" s="261" t="e">
        <f t="shared" si="65"/>
        <v>#DIV/0!</v>
      </c>
      <c r="AO92" t="s">
        <v>2387</v>
      </c>
      <c r="AP92" t="s">
        <v>2387</v>
      </c>
      <c r="AQ92" s="267">
        <v>0</v>
      </c>
      <c r="AR92" s="252" t="e">
        <f t="shared" si="66"/>
        <v>#DIV/0!</v>
      </c>
      <c r="AS92" s="252" t="e">
        <f t="shared" si="67"/>
        <v>#DIV/0!</v>
      </c>
      <c r="AT92" s="252" t="e">
        <f t="shared" si="68"/>
        <v>#VALUE!</v>
      </c>
      <c r="AU92" s="252">
        <f t="shared" si="69"/>
        <v>0</v>
      </c>
      <c r="AV92" s="29"/>
      <c r="AW92" s="282" t="e">
        <f t="shared" si="70"/>
        <v>#DIV/0!</v>
      </c>
      <c r="AX92" s="283" t="e">
        <f t="shared" si="71"/>
        <v>#DIV/0!</v>
      </c>
      <c r="AY92" s="275" t="e">
        <f t="shared" si="72"/>
        <v>#VALUE!</v>
      </c>
      <c r="AZ92" s="207"/>
      <c r="BA92" s="29"/>
      <c r="BB92" s="252" t="e">
        <f t="shared" si="73"/>
        <v>#DIV/0!</v>
      </c>
      <c r="BC92" s="252" t="str">
        <f t="shared" si="74"/>
        <v>#DIV/0!</v>
      </c>
      <c r="BD92" t="s">
        <v>2387</v>
      </c>
      <c r="BE92" t="s">
        <v>2387</v>
      </c>
      <c r="BF92" s="285" t="e">
        <f t="shared" si="75"/>
        <v>#DIV/0!</v>
      </c>
      <c r="BG92" s="252">
        <f t="shared" si="76"/>
        <v>0</v>
      </c>
      <c r="BH92" s="252" t="str">
        <f t="shared" si="77"/>
        <v>#DIV/0!</v>
      </c>
      <c r="BI92" t="s">
        <v>2387</v>
      </c>
      <c r="BJ92" s="288" t="e">
        <f t="shared" si="78"/>
        <v>#VALUE!</v>
      </c>
      <c r="BK92" s="288" t="e">
        <f t="shared" si="79"/>
        <v>#DIV/0!</v>
      </c>
      <c r="BL92" s="286" t="e">
        <f t="shared" si="80"/>
        <v>#VALUE!</v>
      </c>
      <c r="BM92" s="283" t="e">
        <f t="shared" si="81"/>
        <v>#VALUE!</v>
      </c>
      <c r="BN92" s="283" t="e">
        <f t="shared" si="82"/>
        <v>#VALUE!</v>
      </c>
      <c r="BO92" s="275" t="e">
        <f t="shared" si="83"/>
        <v>#DIV/0!</v>
      </c>
    </row>
    <row r="93" customHeight="1" spans="1:67">
      <c r="A93" s="289" t="b">
        <v>0</v>
      </c>
      <c r="B93" s="27" t="b">
        <v>0</v>
      </c>
      <c r="C93" s="27" t="b">
        <v>0</v>
      </c>
      <c r="D93" s="27" t="b">
        <v>0</v>
      </c>
      <c r="E93" s="290" t="b">
        <v>0</v>
      </c>
      <c r="F93" s="29"/>
      <c r="G93" s="29" t="s">
        <v>2458</v>
      </c>
      <c r="H93" s="29"/>
      <c r="I93" s="29"/>
      <c r="J93" s="29"/>
      <c r="K93" s="27" t="b">
        <v>0</v>
      </c>
      <c r="L93" s="27" t="b">
        <v>0</v>
      </c>
      <c r="M93" s="29"/>
      <c r="N93" s="214"/>
      <c r="O93" s="29"/>
      <c r="P93" s="215" t="str">
        <f t="shared" si="61"/>
        <v/>
      </c>
      <c r="Q93" s="29"/>
      <c r="R93" s="29"/>
      <c r="S93" s="29"/>
      <c r="T93" s="29"/>
      <c r="U93" s="29"/>
      <c r="V93" s="29"/>
      <c r="W93" s="29"/>
      <c r="X93" s="29"/>
      <c r="Y93" s="223"/>
      <c r="Z93" s="242">
        <f t="shared" si="62"/>
        <v>-25</v>
      </c>
      <c r="AA93" s="243"/>
      <c r="AB93" s="244"/>
      <c r="AC93" s="245">
        <f t="shared" si="63"/>
        <v>0</v>
      </c>
      <c r="AD93" s="246">
        <v>1</v>
      </c>
      <c r="AE93" s="247"/>
      <c r="AF93" s="29"/>
      <c r="AG93" s="29"/>
      <c r="AH93" s="29"/>
      <c r="AI93" s="223"/>
      <c r="AJ93" s="260"/>
      <c r="AK93" s="245"/>
      <c r="AL93" s="245"/>
      <c r="AM93">
        <v>0</v>
      </c>
      <c r="AN93" s="261" t="e">
        <f t="shared" si="65"/>
        <v>#DIV/0!</v>
      </c>
      <c r="AO93" t="s">
        <v>2387</v>
      </c>
      <c r="AP93" t="s">
        <v>2387</v>
      </c>
      <c r="AQ93" s="267">
        <v>0</v>
      </c>
      <c r="AR93" s="252" t="e">
        <f t="shared" si="66"/>
        <v>#DIV/0!</v>
      </c>
      <c r="AS93" s="252" t="e">
        <f t="shared" si="67"/>
        <v>#DIV/0!</v>
      </c>
      <c r="AT93" s="252" t="e">
        <f t="shared" si="68"/>
        <v>#VALUE!</v>
      </c>
      <c r="AU93" s="252">
        <f t="shared" si="69"/>
        <v>0</v>
      </c>
      <c r="AV93" s="29"/>
      <c r="AW93" s="282" t="e">
        <f t="shared" si="70"/>
        <v>#DIV/0!</v>
      </c>
      <c r="AX93" s="283" t="e">
        <f t="shared" si="71"/>
        <v>#DIV/0!</v>
      </c>
      <c r="AY93" s="275" t="e">
        <f t="shared" si="72"/>
        <v>#VALUE!</v>
      </c>
      <c r="AZ93" s="207"/>
      <c r="BA93" s="29"/>
      <c r="BB93" s="252" t="e">
        <f t="shared" si="73"/>
        <v>#DIV/0!</v>
      </c>
      <c r="BC93" s="252" t="str">
        <f t="shared" si="74"/>
        <v>#DIV/0!</v>
      </c>
      <c r="BD93" t="s">
        <v>2387</v>
      </c>
      <c r="BE93" t="s">
        <v>2387</v>
      </c>
      <c r="BF93" s="285" t="e">
        <f t="shared" si="75"/>
        <v>#DIV/0!</v>
      </c>
      <c r="BG93" s="252">
        <f t="shared" si="76"/>
        <v>0</v>
      </c>
      <c r="BH93" s="252" t="str">
        <f t="shared" si="77"/>
        <v>#DIV/0!</v>
      </c>
      <c r="BI93" t="s">
        <v>2387</v>
      </c>
      <c r="BJ93" s="288" t="e">
        <f t="shared" si="78"/>
        <v>#VALUE!</v>
      </c>
      <c r="BK93" s="288" t="e">
        <f t="shared" si="79"/>
        <v>#DIV/0!</v>
      </c>
      <c r="BL93" s="286" t="e">
        <f t="shared" si="80"/>
        <v>#VALUE!</v>
      </c>
      <c r="BM93" s="283" t="e">
        <f t="shared" si="81"/>
        <v>#VALUE!</v>
      </c>
      <c r="BN93" s="283" t="e">
        <f t="shared" si="82"/>
        <v>#VALUE!</v>
      </c>
      <c r="BO93" s="275" t="e">
        <f t="shared" si="83"/>
        <v>#DIV/0!</v>
      </c>
    </row>
    <row r="94" customHeight="1" spans="1:67">
      <c r="A94" s="289" t="b">
        <v>0</v>
      </c>
      <c r="B94" s="27" t="b">
        <v>0</v>
      </c>
      <c r="C94" s="27" t="b">
        <v>0</v>
      </c>
      <c r="D94" s="27" t="b">
        <v>0</v>
      </c>
      <c r="E94" s="290" t="b">
        <v>0</v>
      </c>
      <c r="F94" s="29"/>
      <c r="G94" s="29" t="s">
        <v>2459</v>
      </c>
      <c r="H94" s="29"/>
      <c r="I94" s="29"/>
      <c r="J94" s="29"/>
      <c r="K94" s="27" t="b">
        <v>0</v>
      </c>
      <c r="L94" s="27" t="b">
        <v>0</v>
      </c>
      <c r="M94" s="29"/>
      <c r="N94" s="214"/>
      <c r="O94" s="29"/>
      <c r="P94" s="215" t="str">
        <f t="shared" si="61"/>
        <v/>
      </c>
      <c r="Q94" s="29"/>
      <c r="R94" s="29"/>
      <c r="S94" s="29"/>
      <c r="T94" s="29"/>
      <c r="U94" s="29"/>
      <c r="V94" s="29"/>
      <c r="W94" s="29"/>
      <c r="X94" s="29"/>
      <c r="Y94" s="223"/>
      <c r="Z94" s="242">
        <f t="shared" si="62"/>
        <v>-25</v>
      </c>
      <c r="AA94" s="243"/>
      <c r="AB94" s="244"/>
      <c r="AC94" s="245">
        <f t="shared" si="63"/>
        <v>0</v>
      </c>
      <c r="AD94" s="246">
        <v>1</v>
      </c>
      <c r="AE94" s="247"/>
      <c r="AF94" s="29"/>
      <c r="AG94" s="29"/>
      <c r="AH94" s="29"/>
      <c r="AI94" s="223"/>
      <c r="AJ94" s="260"/>
      <c r="AK94" s="245"/>
      <c r="AL94" s="245"/>
      <c r="AM94">
        <v>0</v>
      </c>
      <c r="AN94" s="261" t="e">
        <f t="shared" si="65"/>
        <v>#DIV/0!</v>
      </c>
      <c r="AO94" t="s">
        <v>2387</v>
      </c>
      <c r="AP94" t="s">
        <v>2387</v>
      </c>
      <c r="AQ94" s="267">
        <v>0</v>
      </c>
      <c r="AR94" s="252" t="e">
        <f t="shared" si="66"/>
        <v>#DIV/0!</v>
      </c>
      <c r="AS94" s="252" t="e">
        <f t="shared" si="67"/>
        <v>#DIV/0!</v>
      </c>
      <c r="AT94" s="252" t="e">
        <f t="shared" si="68"/>
        <v>#VALUE!</v>
      </c>
      <c r="AU94" s="252">
        <f t="shared" si="69"/>
        <v>0</v>
      </c>
      <c r="AV94" s="29"/>
      <c r="AW94" s="282" t="e">
        <f t="shared" si="70"/>
        <v>#DIV/0!</v>
      </c>
      <c r="AX94" s="283" t="e">
        <f t="shared" si="71"/>
        <v>#DIV/0!</v>
      </c>
      <c r="AY94" s="275" t="e">
        <f t="shared" si="72"/>
        <v>#VALUE!</v>
      </c>
      <c r="AZ94" s="207"/>
      <c r="BA94" s="29"/>
      <c r="BB94" s="252" t="e">
        <f t="shared" si="73"/>
        <v>#DIV/0!</v>
      </c>
      <c r="BC94" s="252" t="str">
        <f t="shared" si="74"/>
        <v>#DIV/0!</v>
      </c>
      <c r="BD94" t="s">
        <v>2387</v>
      </c>
      <c r="BE94" t="s">
        <v>2387</v>
      </c>
      <c r="BF94" s="285" t="e">
        <f t="shared" si="75"/>
        <v>#DIV/0!</v>
      </c>
      <c r="BG94" s="252">
        <f t="shared" si="76"/>
        <v>0</v>
      </c>
      <c r="BH94" s="252" t="str">
        <f t="shared" si="77"/>
        <v>#DIV/0!</v>
      </c>
      <c r="BI94" t="s">
        <v>2387</v>
      </c>
      <c r="BJ94" s="288" t="e">
        <f t="shared" si="78"/>
        <v>#VALUE!</v>
      </c>
      <c r="BK94" s="288" t="e">
        <f t="shared" si="79"/>
        <v>#DIV/0!</v>
      </c>
      <c r="BL94" s="286" t="e">
        <f t="shared" si="80"/>
        <v>#VALUE!</v>
      </c>
      <c r="BM94" s="283" t="e">
        <f t="shared" si="81"/>
        <v>#VALUE!</v>
      </c>
      <c r="BN94" s="283" t="e">
        <f t="shared" si="82"/>
        <v>#VALUE!</v>
      </c>
      <c r="BO94" s="275" t="e">
        <f t="shared" si="83"/>
        <v>#DIV/0!</v>
      </c>
    </row>
    <row r="95" customHeight="1" spans="1:67">
      <c r="A95" s="289" t="b">
        <v>0</v>
      </c>
      <c r="B95" s="27" t="b">
        <v>0</v>
      </c>
      <c r="C95" s="27" t="b">
        <v>0</v>
      </c>
      <c r="D95" s="27" t="b">
        <v>0</v>
      </c>
      <c r="E95" s="290" t="b">
        <v>0</v>
      </c>
      <c r="F95" s="29"/>
      <c r="G95" s="29" t="s">
        <v>2460</v>
      </c>
      <c r="H95" s="29"/>
      <c r="I95" s="29"/>
      <c r="J95" s="29"/>
      <c r="K95" s="27" t="b">
        <v>0</v>
      </c>
      <c r="L95" s="27" t="b">
        <v>0</v>
      </c>
      <c r="M95" s="29"/>
      <c r="N95" s="214"/>
      <c r="O95" s="29"/>
      <c r="P95" s="215" t="str">
        <f t="shared" si="61"/>
        <v/>
      </c>
      <c r="Q95" s="29"/>
      <c r="R95" s="29"/>
      <c r="S95" s="29"/>
      <c r="T95" s="29"/>
      <c r="U95" s="29"/>
      <c r="V95" s="29"/>
      <c r="W95" s="29"/>
      <c r="X95" s="29"/>
      <c r="Y95" s="223"/>
      <c r="Z95" s="242">
        <f t="shared" si="62"/>
        <v>-25</v>
      </c>
      <c r="AA95" s="243"/>
      <c r="AB95" s="244"/>
      <c r="AC95" s="245">
        <f t="shared" si="63"/>
        <v>0</v>
      </c>
      <c r="AD95" s="246">
        <v>1</v>
      </c>
      <c r="AE95" s="247"/>
      <c r="AF95" s="29"/>
      <c r="AG95" s="29"/>
      <c r="AH95" s="29"/>
      <c r="AI95" s="223"/>
      <c r="AJ95" s="260"/>
      <c r="AK95" s="245"/>
      <c r="AL95" s="245"/>
      <c r="AM95">
        <v>0</v>
      </c>
      <c r="AN95" s="261" t="e">
        <f t="shared" si="65"/>
        <v>#DIV/0!</v>
      </c>
      <c r="AO95" t="s">
        <v>2387</v>
      </c>
      <c r="AP95" t="s">
        <v>2387</v>
      </c>
      <c r="AQ95" s="267">
        <v>0</v>
      </c>
      <c r="AR95" s="252" t="e">
        <f t="shared" si="66"/>
        <v>#DIV/0!</v>
      </c>
      <c r="AS95" s="252" t="e">
        <f t="shared" si="67"/>
        <v>#DIV/0!</v>
      </c>
      <c r="AT95" s="252" t="e">
        <f t="shared" si="68"/>
        <v>#VALUE!</v>
      </c>
      <c r="AU95" s="252">
        <f t="shared" si="69"/>
        <v>0</v>
      </c>
      <c r="AV95" s="29"/>
      <c r="AW95" s="282" t="e">
        <f t="shared" si="70"/>
        <v>#DIV/0!</v>
      </c>
      <c r="AX95" s="283" t="e">
        <f t="shared" si="71"/>
        <v>#DIV/0!</v>
      </c>
      <c r="AY95" s="275" t="e">
        <f t="shared" si="72"/>
        <v>#VALUE!</v>
      </c>
      <c r="AZ95" s="207"/>
      <c r="BA95" s="29"/>
      <c r="BB95" s="252" t="e">
        <f t="shared" si="73"/>
        <v>#DIV/0!</v>
      </c>
      <c r="BC95" s="252" t="str">
        <f t="shared" si="74"/>
        <v>#DIV/0!</v>
      </c>
      <c r="BD95" t="s">
        <v>2387</v>
      </c>
      <c r="BE95" t="s">
        <v>2387</v>
      </c>
      <c r="BF95" s="285" t="e">
        <f t="shared" si="75"/>
        <v>#DIV/0!</v>
      </c>
      <c r="BG95" s="252">
        <f t="shared" si="76"/>
        <v>0</v>
      </c>
      <c r="BH95" s="252" t="str">
        <f t="shared" si="77"/>
        <v>#DIV/0!</v>
      </c>
      <c r="BI95" t="s">
        <v>2387</v>
      </c>
      <c r="BJ95" s="288" t="e">
        <f t="shared" si="78"/>
        <v>#VALUE!</v>
      </c>
      <c r="BK95" s="288" t="e">
        <f t="shared" si="79"/>
        <v>#DIV/0!</v>
      </c>
      <c r="BL95" s="286" t="e">
        <f t="shared" si="80"/>
        <v>#VALUE!</v>
      </c>
      <c r="BM95" s="283" t="e">
        <f t="shared" si="81"/>
        <v>#VALUE!</v>
      </c>
      <c r="BN95" s="283" t="e">
        <f t="shared" si="82"/>
        <v>#VALUE!</v>
      </c>
      <c r="BO95" s="275" t="e">
        <f t="shared" si="83"/>
        <v>#DIV/0!</v>
      </c>
    </row>
    <row r="96" customHeight="1" spans="1:67">
      <c r="A96" s="289" t="b">
        <v>0</v>
      </c>
      <c r="B96" s="27" t="b">
        <v>0</v>
      </c>
      <c r="C96" s="27" t="b">
        <v>0</v>
      </c>
      <c r="D96" s="27" t="b">
        <v>0</v>
      </c>
      <c r="E96" s="290" t="b">
        <v>0</v>
      </c>
      <c r="F96" s="29"/>
      <c r="G96" s="29" t="s">
        <v>2461</v>
      </c>
      <c r="H96" s="29"/>
      <c r="I96" s="29"/>
      <c r="J96" s="29"/>
      <c r="K96" s="27" t="b">
        <v>0</v>
      </c>
      <c r="L96" s="27" t="b">
        <v>0</v>
      </c>
      <c r="M96" s="29"/>
      <c r="N96" s="214"/>
      <c r="O96" s="29"/>
      <c r="P96" s="215" t="str">
        <f t="shared" si="61"/>
        <v/>
      </c>
      <c r="Q96" s="29"/>
      <c r="R96" s="29"/>
      <c r="S96" s="29"/>
      <c r="T96" s="29"/>
      <c r="U96" s="29"/>
      <c r="V96" s="29"/>
      <c r="W96" s="29"/>
      <c r="X96" s="29"/>
      <c r="Y96" s="223"/>
      <c r="Z96" s="242">
        <f t="shared" si="62"/>
        <v>-25</v>
      </c>
      <c r="AA96" s="243"/>
      <c r="AB96" s="244"/>
      <c r="AC96" s="245">
        <f t="shared" si="63"/>
        <v>0</v>
      </c>
      <c r="AD96" s="246">
        <v>1</v>
      </c>
      <c r="AE96" s="247"/>
      <c r="AF96" s="29"/>
      <c r="AG96" s="29"/>
      <c r="AH96" s="29"/>
      <c r="AI96" s="223"/>
      <c r="AJ96" s="260"/>
      <c r="AK96" s="245"/>
      <c r="AL96" s="245"/>
      <c r="AM96">
        <v>0</v>
      </c>
      <c r="AN96" s="261" t="e">
        <f t="shared" si="65"/>
        <v>#DIV/0!</v>
      </c>
      <c r="AO96" t="s">
        <v>2387</v>
      </c>
      <c r="AP96" t="s">
        <v>2387</v>
      </c>
      <c r="AQ96" s="267">
        <v>0</v>
      </c>
      <c r="AR96" s="252" t="e">
        <f t="shared" si="66"/>
        <v>#DIV/0!</v>
      </c>
      <c r="AS96" s="252" t="e">
        <f t="shared" si="67"/>
        <v>#DIV/0!</v>
      </c>
      <c r="AT96" s="252" t="e">
        <f t="shared" si="68"/>
        <v>#VALUE!</v>
      </c>
      <c r="AU96" s="252">
        <f t="shared" si="69"/>
        <v>0</v>
      </c>
      <c r="AV96" s="29"/>
      <c r="AW96" s="282" t="e">
        <f t="shared" si="70"/>
        <v>#DIV/0!</v>
      </c>
      <c r="AX96" s="283" t="e">
        <f t="shared" si="71"/>
        <v>#DIV/0!</v>
      </c>
      <c r="AY96" s="275" t="e">
        <f t="shared" si="72"/>
        <v>#VALUE!</v>
      </c>
      <c r="AZ96" s="207"/>
      <c r="BA96" s="29"/>
      <c r="BB96" s="252" t="e">
        <f t="shared" si="73"/>
        <v>#DIV/0!</v>
      </c>
      <c r="BC96" s="252" t="str">
        <f t="shared" si="74"/>
        <v>#DIV/0!</v>
      </c>
      <c r="BD96" t="s">
        <v>2387</v>
      </c>
      <c r="BE96" t="s">
        <v>2387</v>
      </c>
      <c r="BF96" s="285" t="e">
        <f t="shared" si="75"/>
        <v>#DIV/0!</v>
      </c>
      <c r="BG96" s="252">
        <f t="shared" si="76"/>
        <v>0</v>
      </c>
      <c r="BH96" s="252" t="str">
        <f t="shared" si="77"/>
        <v>#DIV/0!</v>
      </c>
      <c r="BI96" t="s">
        <v>2387</v>
      </c>
      <c r="BJ96" s="288" t="e">
        <f t="shared" si="78"/>
        <v>#VALUE!</v>
      </c>
      <c r="BK96" s="288" t="e">
        <f t="shared" si="79"/>
        <v>#DIV/0!</v>
      </c>
      <c r="BL96" s="286" t="e">
        <f t="shared" si="80"/>
        <v>#VALUE!</v>
      </c>
      <c r="BM96" s="283" t="e">
        <f t="shared" si="81"/>
        <v>#VALUE!</v>
      </c>
      <c r="BN96" s="283" t="e">
        <f t="shared" si="82"/>
        <v>#VALUE!</v>
      </c>
      <c r="BO96" s="275" t="e">
        <f t="shared" si="83"/>
        <v>#DIV/0!</v>
      </c>
    </row>
    <row r="97" customHeight="1" spans="1:67">
      <c r="A97" s="289" t="b">
        <v>0</v>
      </c>
      <c r="B97" s="27" t="b">
        <v>0</v>
      </c>
      <c r="C97" s="27" t="b">
        <v>0</v>
      </c>
      <c r="D97" s="27" t="b">
        <v>0</v>
      </c>
      <c r="E97" s="290" t="b">
        <v>0</v>
      </c>
      <c r="F97" s="29"/>
      <c r="G97" s="29" t="s">
        <v>2462</v>
      </c>
      <c r="H97" s="29"/>
      <c r="I97" s="29"/>
      <c r="J97" s="29"/>
      <c r="K97" s="27" t="b">
        <v>0</v>
      </c>
      <c r="L97" s="27" t="b">
        <v>0</v>
      </c>
      <c r="M97" s="29"/>
      <c r="N97" s="214"/>
      <c r="O97" s="29"/>
      <c r="P97" s="215" t="str">
        <f t="shared" si="61"/>
        <v/>
      </c>
      <c r="Q97" s="29"/>
      <c r="R97" s="29"/>
      <c r="S97" s="29"/>
      <c r="T97" s="29"/>
      <c r="U97" s="29"/>
      <c r="V97" s="29"/>
      <c r="W97" s="29"/>
      <c r="X97" s="29"/>
      <c r="Y97" s="223"/>
      <c r="Z97" s="242">
        <f t="shared" si="62"/>
        <v>-25</v>
      </c>
      <c r="AA97" s="243"/>
      <c r="AB97" s="244"/>
      <c r="AC97" s="245">
        <f t="shared" si="63"/>
        <v>0</v>
      </c>
      <c r="AD97" s="246">
        <v>1</v>
      </c>
      <c r="AE97" s="247"/>
      <c r="AF97" s="29"/>
      <c r="AG97" s="29"/>
      <c r="AH97" s="29"/>
      <c r="AI97" s="223"/>
      <c r="AJ97" s="260"/>
      <c r="AK97" s="245"/>
      <c r="AL97" s="245"/>
      <c r="AM97">
        <v>0</v>
      </c>
      <c r="AN97" s="261" t="e">
        <f t="shared" si="65"/>
        <v>#DIV/0!</v>
      </c>
      <c r="AO97" t="s">
        <v>2387</v>
      </c>
      <c r="AP97" t="s">
        <v>2387</v>
      </c>
      <c r="AQ97" s="267">
        <v>0</v>
      </c>
      <c r="AR97" s="252" t="e">
        <f t="shared" si="66"/>
        <v>#DIV/0!</v>
      </c>
      <c r="AS97" s="252" t="e">
        <f t="shared" si="67"/>
        <v>#DIV/0!</v>
      </c>
      <c r="AT97" s="252" t="e">
        <f t="shared" si="68"/>
        <v>#VALUE!</v>
      </c>
      <c r="AU97" s="252">
        <f t="shared" si="69"/>
        <v>0</v>
      </c>
      <c r="AV97" s="29"/>
      <c r="AW97" s="282" t="e">
        <f t="shared" si="70"/>
        <v>#DIV/0!</v>
      </c>
      <c r="AX97" s="283" t="e">
        <f t="shared" si="71"/>
        <v>#DIV/0!</v>
      </c>
      <c r="AY97" s="275" t="e">
        <f t="shared" si="72"/>
        <v>#VALUE!</v>
      </c>
      <c r="AZ97" s="207"/>
      <c r="BA97" s="29"/>
      <c r="BB97" s="252" t="e">
        <f t="shared" si="73"/>
        <v>#DIV/0!</v>
      </c>
      <c r="BC97" s="252" t="str">
        <f t="shared" si="74"/>
        <v>#DIV/0!</v>
      </c>
      <c r="BD97" t="s">
        <v>2387</v>
      </c>
      <c r="BE97" t="s">
        <v>2387</v>
      </c>
      <c r="BF97" s="285" t="e">
        <f t="shared" si="75"/>
        <v>#DIV/0!</v>
      </c>
      <c r="BG97" s="252">
        <f t="shared" si="76"/>
        <v>0</v>
      </c>
      <c r="BH97" s="252" t="str">
        <f t="shared" si="77"/>
        <v>#DIV/0!</v>
      </c>
      <c r="BI97" t="s">
        <v>2387</v>
      </c>
      <c r="BJ97" s="288" t="e">
        <f t="shared" si="78"/>
        <v>#VALUE!</v>
      </c>
      <c r="BK97" s="288" t="e">
        <f t="shared" si="79"/>
        <v>#DIV/0!</v>
      </c>
      <c r="BL97" s="286" t="e">
        <f t="shared" si="80"/>
        <v>#VALUE!</v>
      </c>
      <c r="BM97" s="283" t="e">
        <f t="shared" si="81"/>
        <v>#VALUE!</v>
      </c>
      <c r="BN97" s="283" t="e">
        <f t="shared" si="82"/>
        <v>#VALUE!</v>
      </c>
      <c r="BO97" s="275" t="e">
        <f t="shared" si="83"/>
        <v>#DIV/0!</v>
      </c>
    </row>
    <row r="98" customHeight="1" spans="1:67">
      <c r="A98" s="289" t="b">
        <v>0</v>
      </c>
      <c r="B98" s="27" t="b">
        <v>0</v>
      </c>
      <c r="C98" s="27" t="b">
        <v>0</v>
      </c>
      <c r="D98" s="27" t="b">
        <v>0</v>
      </c>
      <c r="E98" s="290" t="b">
        <v>0</v>
      </c>
      <c r="F98" s="29"/>
      <c r="G98" s="29" t="s">
        <v>2463</v>
      </c>
      <c r="H98" s="29"/>
      <c r="I98" s="29"/>
      <c r="J98" s="29"/>
      <c r="K98" s="27" t="b">
        <v>0</v>
      </c>
      <c r="L98" s="27" t="b">
        <v>0</v>
      </c>
      <c r="M98" s="29"/>
      <c r="N98" s="214"/>
      <c r="O98" s="29"/>
      <c r="P98" s="215" t="str">
        <f t="shared" si="61"/>
        <v/>
      </c>
      <c r="Q98" s="29"/>
      <c r="R98" s="29"/>
      <c r="S98" s="29"/>
      <c r="T98" s="29"/>
      <c r="U98" s="29"/>
      <c r="V98" s="29"/>
      <c r="W98" s="29"/>
      <c r="X98" s="29"/>
      <c r="Y98" s="223"/>
      <c r="Z98" s="242">
        <f t="shared" si="62"/>
        <v>-25</v>
      </c>
      <c r="AA98" s="243"/>
      <c r="AB98" s="244"/>
      <c r="AC98" s="245">
        <f t="shared" si="63"/>
        <v>0</v>
      </c>
      <c r="AD98" s="246">
        <v>1</v>
      </c>
      <c r="AE98" s="247"/>
      <c r="AF98" s="29"/>
      <c r="AG98" s="29"/>
      <c r="AH98" s="29"/>
      <c r="AI98" s="223"/>
      <c r="AJ98" s="260"/>
      <c r="AK98" s="245"/>
      <c r="AL98" s="245"/>
      <c r="AM98">
        <v>0</v>
      </c>
      <c r="AN98" s="261" t="e">
        <f t="shared" si="65"/>
        <v>#DIV/0!</v>
      </c>
      <c r="AO98" t="s">
        <v>2387</v>
      </c>
      <c r="AP98" t="s">
        <v>2387</v>
      </c>
      <c r="AQ98" s="267">
        <v>0</v>
      </c>
      <c r="AR98" s="252" t="e">
        <f t="shared" si="66"/>
        <v>#DIV/0!</v>
      </c>
      <c r="AS98" s="252" t="e">
        <f t="shared" si="67"/>
        <v>#DIV/0!</v>
      </c>
      <c r="AT98" s="252" t="e">
        <f t="shared" si="68"/>
        <v>#VALUE!</v>
      </c>
      <c r="AU98" s="252">
        <f t="shared" si="69"/>
        <v>0</v>
      </c>
      <c r="AV98" s="29"/>
      <c r="AW98" s="282" t="e">
        <f t="shared" si="70"/>
        <v>#DIV/0!</v>
      </c>
      <c r="AX98" s="283" t="e">
        <f t="shared" si="71"/>
        <v>#DIV/0!</v>
      </c>
      <c r="AY98" s="275" t="e">
        <f t="shared" si="72"/>
        <v>#VALUE!</v>
      </c>
      <c r="AZ98" s="207"/>
      <c r="BA98" s="29"/>
      <c r="BB98" s="252" t="e">
        <f t="shared" si="73"/>
        <v>#DIV/0!</v>
      </c>
      <c r="BC98" s="252" t="str">
        <f t="shared" si="74"/>
        <v>#DIV/0!</v>
      </c>
      <c r="BD98" t="s">
        <v>2387</v>
      </c>
      <c r="BE98" t="s">
        <v>2387</v>
      </c>
      <c r="BF98" s="285" t="e">
        <f t="shared" si="75"/>
        <v>#DIV/0!</v>
      </c>
      <c r="BG98" s="252">
        <f t="shared" si="76"/>
        <v>0</v>
      </c>
      <c r="BH98" s="252" t="str">
        <f t="shared" si="77"/>
        <v>#DIV/0!</v>
      </c>
      <c r="BI98" t="s">
        <v>2387</v>
      </c>
      <c r="BJ98" s="288" t="e">
        <f t="shared" si="78"/>
        <v>#VALUE!</v>
      </c>
      <c r="BK98" s="288" t="e">
        <f t="shared" si="79"/>
        <v>#DIV/0!</v>
      </c>
      <c r="BL98" s="286" t="e">
        <f t="shared" si="80"/>
        <v>#VALUE!</v>
      </c>
      <c r="BM98" s="283" t="e">
        <f t="shared" si="81"/>
        <v>#VALUE!</v>
      </c>
      <c r="BN98" s="283" t="e">
        <f t="shared" si="82"/>
        <v>#VALUE!</v>
      </c>
      <c r="BO98" s="275" t="e">
        <f t="shared" si="83"/>
        <v>#DIV/0!</v>
      </c>
    </row>
    <row r="99" customHeight="1" spans="1:67">
      <c r="A99" s="289" t="b">
        <v>0</v>
      </c>
      <c r="B99" s="27" t="b">
        <v>0</v>
      </c>
      <c r="C99" s="27" t="b">
        <v>0</v>
      </c>
      <c r="D99" s="27" t="b">
        <v>0</v>
      </c>
      <c r="E99" s="290" t="b">
        <v>0</v>
      </c>
      <c r="F99" s="29"/>
      <c r="G99" s="29" t="s">
        <v>2464</v>
      </c>
      <c r="H99" s="29"/>
      <c r="I99" s="29"/>
      <c r="J99" s="29"/>
      <c r="K99" s="27" t="b">
        <v>0</v>
      </c>
      <c r="L99" s="27" t="b">
        <v>0</v>
      </c>
      <c r="M99" s="29"/>
      <c r="N99" s="214"/>
      <c r="O99" s="29"/>
      <c r="P99" s="215" t="str">
        <f t="shared" si="61"/>
        <v/>
      </c>
      <c r="Q99" s="29"/>
      <c r="R99" s="29"/>
      <c r="S99" s="29"/>
      <c r="T99" s="29"/>
      <c r="U99" s="29"/>
      <c r="V99" s="29"/>
      <c r="W99" s="29"/>
      <c r="X99" s="29"/>
      <c r="Y99" s="223"/>
      <c r="Z99" s="242">
        <f t="shared" si="62"/>
        <v>-25</v>
      </c>
      <c r="AA99" s="243"/>
      <c r="AB99" s="244"/>
      <c r="AC99" s="245">
        <f t="shared" si="63"/>
        <v>0</v>
      </c>
      <c r="AD99" s="246">
        <v>1</v>
      </c>
      <c r="AE99" s="247"/>
      <c r="AF99" s="29"/>
      <c r="AG99" s="29"/>
      <c r="AH99" s="29"/>
      <c r="AI99" s="223"/>
      <c r="AJ99" s="260"/>
      <c r="AK99" s="245"/>
      <c r="AL99" s="245"/>
      <c r="AM99">
        <v>0</v>
      </c>
      <c r="AN99" s="261" t="e">
        <f t="shared" si="65"/>
        <v>#DIV/0!</v>
      </c>
      <c r="AO99" t="s">
        <v>2387</v>
      </c>
      <c r="AP99" t="s">
        <v>2387</v>
      </c>
      <c r="AQ99" s="267">
        <v>0</v>
      </c>
      <c r="AR99" s="252" t="e">
        <f t="shared" si="66"/>
        <v>#DIV/0!</v>
      </c>
      <c r="AS99" s="252" t="e">
        <f t="shared" si="67"/>
        <v>#DIV/0!</v>
      </c>
      <c r="AT99" s="252" t="e">
        <f t="shared" si="68"/>
        <v>#VALUE!</v>
      </c>
      <c r="AU99" s="252">
        <f t="shared" si="69"/>
        <v>0</v>
      </c>
      <c r="AV99" s="29"/>
      <c r="AW99" s="282" t="e">
        <f t="shared" si="70"/>
        <v>#DIV/0!</v>
      </c>
      <c r="AX99" s="283" t="e">
        <f t="shared" si="71"/>
        <v>#DIV/0!</v>
      </c>
      <c r="AY99" s="275" t="e">
        <f t="shared" si="72"/>
        <v>#VALUE!</v>
      </c>
      <c r="AZ99" s="207"/>
      <c r="BA99" s="29"/>
      <c r="BB99" s="252" t="e">
        <f t="shared" si="73"/>
        <v>#DIV/0!</v>
      </c>
      <c r="BC99" s="252" t="str">
        <f t="shared" si="74"/>
        <v>#DIV/0!</v>
      </c>
      <c r="BD99" t="s">
        <v>2387</v>
      </c>
      <c r="BE99" t="s">
        <v>2387</v>
      </c>
      <c r="BF99" s="285" t="e">
        <f t="shared" si="75"/>
        <v>#DIV/0!</v>
      </c>
      <c r="BG99" s="252">
        <f t="shared" si="76"/>
        <v>0</v>
      </c>
      <c r="BH99" s="252" t="str">
        <f t="shared" si="77"/>
        <v>#DIV/0!</v>
      </c>
      <c r="BI99" t="s">
        <v>2387</v>
      </c>
      <c r="BJ99" s="288" t="e">
        <f t="shared" si="78"/>
        <v>#VALUE!</v>
      </c>
      <c r="BK99" s="288" t="e">
        <f t="shared" si="79"/>
        <v>#DIV/0!</v>
      </c>
      <c r="BL99" s="286" t="e">
        <f t="shared" si="80"/>
        <v>#VALUE!</v>
      </c>
      <c r="BM99" s="283" t="e">
        <f t="shared" si="81"/>
        <v>#VALUE!</v>
      </c>
      <c r="BN99" s="283" t="e">
        <f t="shared" si="82"/>
        <v>#VALUE!</v>
      </c>
      <c r="BO99" s="275" t="e">
        <f t="shared" si="83"/>
        <v>#DIV/0!</v>
      </c>
    </row>
    <row r="100" customHeight="1" spans="1:67">
      <c r="A100" s="289" t="b">
        <v>0</v>
      </c>
      <c r="B100" s="27" t="b">
        <v>0</v>
      </c>
      <c r="C100" s="27" t="b">
        <v>0</v>
      </c>
      <c r="D100" s="27" t="b">
        <v>0</v>
      </c>
      <c r="E100" s="290" t="b">
        <v>0</v>
      </c>
      <c r="F100" s="29"/>
      <c r="G100" s="29" t="s">
        <v>2465</v>
      </c>
      <c r="H100" s="29"/>
      <c r="I100" s="29"/>
      <c r="J100" s="29"/>
      <c r="K100" s="27" t="b">
        <v>0</v>
      </c>
      <c r="L100" s="27" t="b">
        <v>0</v>
      </c>
      <c r="M100" s="29"/>
      <c r="N100" s="214"/>
      <c r="O100" s="29"/>
      <c r="P100" s="215" t="str">
        <f t="shared" si="61"/>
        <v/>
      </c>
      <c r="Q100" s="29"/>
      <c r="R100" s="29"/>
      <c r="S100" s="29"/>
      <c r="T100" s="29"/>
      <c r="U100" s="29"/>
      <c r="V100" s="29"/>
      <c r="W100" s="29"/>
      <c r="X100" s="29"/>
      <c r="Y100" s="223"/>
      <c r="Z100" s="242">
        <f t="shared" si="62"/>
        <v>-25</v>
      </c>
      <c r="AA100" s="243"/>
      <c r="AB100" s="244"/>
      <c r="AC100" s="245">
        <f t="shared" si="63"/>
        <v>0</v>
      </c>
      <c r="AD100" s="246">
        <v>1</v>
      </c>
      <c r="AE100" s="247"/>
      <c r="AF100" s="29"/>
      <c r="AG100" s="29"/>
      <c r="AH100" s="29"/>
      <c r="AI100" s="223"/>
      <c r="AJ100" s="260"/>
      <c r="AK100" s="245"/>
      <c r="AL100" s="245"/>
      <c r="AM100">
        <v>0</v>
      </c>
      <c r="AN100" s="261" t="e">
        <f t="shared" si="65"/>
        <v>#DIV/0!</v>
      </c>
      <c r="AO100" t="s">
        <v>2387</v>
      </c>
      <c r="AP100" t="s">
        <v>2387</v>
      </c>
      <c r="AQ100" s="267">
        <v>0</v>
      </c>
      <c r="AR100" s="252" t="e">
        <f t="shared" si="66"/>
        <v>#DIV/0!</v>
      </c>
      <c r="AS100" s="252" t="e">
        <f t="shared" si="67"/>
        <v>#DIV/0!</v>
      </c>
      <c r="AT100" s="252" t="e">
        <f t="shared" si="68"/>
        <v>#VALUE!</v>
      </c>
      <c r="AU100" s="252">
        <f t="shared" si="69"/>
        <v>0</v>
      </c>
      <c r="AV100" s="29"/>
      <c r="AW100" s="282" t="e">
        <f t="shared" si="70"/>
        <v>#DIV/0!</v>
      </c>
      <c r="AX100" s="283" t="e">
        <f t="shared" si="71"/>
        <v>#DIV/0!</v>
      </c>
      <c r="AY100" s="275" t="e">
        <f t="shared" si="72"/>
        <v>#VALUE!</v>
      </c>
      <c r="AZ100" s="207"/>
      <c r="BA100" s="29"/>
      <c r="BB100" s="252" t="e">
        <f t="shared" si="73"/>
        <v>#DIV/0!</v>
      </c>
      <c r="BC100" s="252" t="str">
        <f t="shared" si="74"/>
        <v>#DIV/0!</v>
      </c>
      <c r="BD100" t="s">
        <v>2387</v>
      </c>
      <c r="BE100" t="s">
        <v>2387</v>
      </c>
      <c r="BF100" s="285" t="e">
        <f t="shared" si="75"/>
        <v>#DIV/0!</v>
      </c>
      <c r="BG100" s="252">
        <f t="shared" si="76"/>
        <v>0</v>
      </c>
      <c r="BH100" s="252" t="str">
        <f t="shared" si="77"/>
        <v>#DIV/0!</v>
      </c>
      <c r="BI100" t="s">
        <v>2387</v>
      </c>
      <c r="BJ100" s="288" t="e">
        <f t="shared" si="78"/>
        <v>#VALUE!</v>
      </c>
      <c r="BK100" s="288" t="e">
        <f t="shared" si="79"/>
        <v>#DIV/0!</v>
      </c>
      <c r="BL100" s="286" t="e">
        <f t="shared" si="80"/>
        <v>#VALUE!</v>
      </c>
      <c r="BM100" s="283" t="e">
        <f t="shared" si="81"/>
        <v>#VALUE!</v>
      </c>
      <c r="BN100" s="283" t="e">
        <f t="shared" si="82"/>
        <v>#VALUE!</v>
      </c>
      <c r="BO100" s="275" t="e">
        <f t="shared" si="83"/>
        <v>#DIV/0!</v>
      </c>
    </row>
    <row r="101" customHeight="1" spans="1:67">
      <c r="A101" s="289" t="b">
        <v>0</v>
      </c>
      <c r="B101" s="27" t="b">
        <v>0</v>
      </c>
      <c r="C101" s="27" t="b">
        <v>0</v>
      </c>
      <c r="D101" s="27" t="b">
        <v>0</v>
      </c>
      <c r="E101" s="290" t="b">
        <v>0</v>
      </c>
      <c r="F101" s="29"/>
      <c r="G101" s="29" t="s">
        <v>2466</v>
      </c>
      <c r="H101" s="29"/>
      <c r="I101" s="29"/>
      <c r="J101" s="29"/>
      <c r="K101" s="27" t="b">
        <v>0</v>
      </c>
      <c r="L101" s="27" t="b">
        <v>0</v>
      </c>
      <c r="M101" s="29"/>
      <c r="N101" s="214"/>
      <c r="O101" s="29"/>
      <c r="P101" s="215" t="str">
        <f t="shared" si="61"/>
        <v/>
      </c>
      <c r="Q101" s="29"/>
      <c r="R101" s="29"/>
      <c r="S101" s="29"/>
      <c r="T101" s="29"/>
      <c r="U101" s="29"/>
      <c r="V101" s="29"/>
      <c r="W101" s="29"/>
      <c r="X101" s="29"/>
      <c r="Y101" s="223"/>
      <c r="Z101" s="242">
        <f t="shared" si="62"/>
        <v>-25</v>
      </c>
      <c r="AA101" s="243"/>
      <c r="AB101" s="244"/>
      <c r="AC101" s="245">
        <f t="shared" si="63"/>
        <v>0</v>
      </c>
      <c r="AD101" s="246">
        <v>1</v>
      </c>
      <c r="AE101" s="247"/>
      <c r="AF101" s="29"/>
      <c r="AG101" s="29"/>
      <c r="AH101" s="29"/>
      <c r="AI101" s="223"/>
      <c r="AJ101" s="260"/>
      <c r="AK101" s="245"/>
      <c r="AL101" s="245"/>
      <c r="AM101">
        <v>0</v>
      </c>
      <c r="AN101" s="261" t="e">
        <f t="shared" si="65"/>
        <v>#DIV/0!</v>
      </c>
      <c r="AO101" t="s">
        <v>2387</v>
      </c>
      <c r="AP101" t="s">
        <v>2387</v>
      </c>
      <c r="AQ101" s="267">
        <v>0</v>
      </c>
      <c r="AR101" s="252" t="e">
        <f t="shared" si="66"/>
        <v>#DIV/0!</v>
      </c>
      <c r="AS101" s="252" t="e">
        <f t="shared" si="67"/>
        <v>#DIV/0!</v>
      </c>
      <c r="AT101" s="252" t="e">
        <f t="shared" si="68"/>
        <v>#VALUE!</v>
      </c>
      <c r="AU101" s="252">
        <f t="shared" si="69"/>
        <v>0</v>
      </c>
      <c r="AV101" s="29"/>
      <c r="AW101" s="282" t="e">
        <f t="shared" si="70"/>
        <v>#DIV/0!</v>
      </c>
      <c r="AX101" s="283" t="e">
        <f t="shared" si="71"/>
        <v>#DIV/0!</v>
      </c>
      <c r="AY101" s="275" t="e">
        <f t="shared" si="72"/>
        <v>#VALUE!</v>
      </c>
      <c r="AZ101" s="207"/>
      <c r="BA101" s="29"/>
      <c r="BB101" s="252" t="e">
        <f t="shared" si="73"/>
        <v>#DIV/0!</v>
      </c>
      <c r="BC101" s="252" t="str">
        <f t="shared" si="74"/>
        <v>#DIV/0!</v>
      </c>
      <c r="BD101" t="s">
        <v>2387</v>
      </c>
      <c r="BE101" t="s">
        <v>2387</v>
      </c>
      <c r="BF101" s="285" t="e">
        <f t="shared" si="75"/>
        <v>#DIV/0!</v>
      </c>
      <c r="BG101" s="252">
        <f t="shared" si="76"/>
        <v>0</v>
      </c>
      <c r="BH101" s="252" t="str">
        <f t="shared" si="77"/>
        <v>#DIV/0!</v>
      </c>
      <c r="BI101" t="s">
        <v>2387</v>
      </c>
      <c r="BJ101" s="288" t="e">
        <f t="shared" si="78"/>
        <v>#VALUE!</v>
      </c>
      <c r="BK101" s="288" t="e">
        <f t="shared" si="79"/>
        <v>#DIV/0!</v>
      </c>
      <c r="BL101" s="286" t="e">
        <f t="shared" si="80"/>
        <v>#VALUE!</v>
      </c>
      <c r="BM101" s="283" t="e">
        <f t="shared" si="81"/>
        <v>#VALUE!</v>
      </c>
      <c r="BN101" s="283" t="e">
        <f t="shared" si="82"/>
        <v>#VALUE!</v>
      </c>
      <c r="BO101" s="275" t="e">
        <f t="shared" si="83"/>
        <v>#DIV/0!</v>
      </c>
    </row>
    <row r="102" customHeight="1" spans="1:67">
      <c r="A102" s="289" t="b">
        <v>0</v>
      </c>
      <c r="B102" s="27" t="b">
        <v>0</v>
      </c>
      <c r="C102" s="27" t="b">
        <v>0</v>
      </c>
      <c r="D102" s="27" t="b">
        <v>0</v>
      </c>
      <c r="E102" s="290" t="b">
        <v>0</v>
      </c>
      <c r="F102" s="29"/>
      <c r="G102" s="29" t="s">
        <v>2467</v>
      </c>
      <c r="H102" s="29"/>
      <c r="I102" s="29"/>
      <c r="J102" s="29"/>
      <c r="K102" s="27" t="b">
        <v>0</v>
      </c>
      <c r="L102" s="27" t="b">
        <v>0</v>
      </c>
      <c r="M102" s="29"/>
      <c r="N102" s="214"/>
      <c r="O102" s="29"/>
      <c r="P102" s="215" t="str">
        <f t="shared" si="61"/>
        <v/>
      </c>
      <c r="Q102" s="29"/>
      <c r="R102" s="29"/>
      <c r="S102" s="29"/>
      <c r="T102" s="29"/>
      <c r="U102" s="29"/>
      <c r="V102" s="29"/>
      <c r="W102" s="29"/>
      <c r="X102" s="29"/>
      <c r="Y102" s="223"/>
      <c r="Z102" s="242">
        <f t="shared" si="62"/>
        <v>-25</v>
      </c>
      <c r="AA102" s="243"/>
      <c r="AB102" s="244"/>
      <c r="AC102" s="245">
        <f t="shared" si="63"/>
        <v>0</v>
      </c>
      <c r="AD102" s="246">
        <v>1</v>
      </c>
      <c r="AE102" s="247"/>
      <c r="AF102" s="29"/>
      <c r="AG102" s="29"/>
      <c r="AH102" s="29"/>
      <c r="AI102" s="223"/>
      <c r="AJ102" s="260"/>
      <c r="AK102" s="245"/>
      <c r="AL102" s="245"/>
      <c r="AM102">
        <v>0</v>
      </c>
      <c r="AN102" s="261" t="e">
        <f t="shared" si="65"/>
        <v>#DIV/0!</v>
      </c>
      <c r="AO102" t="s">
        <v>2387</v>
      </c>
      <c r="AP102" t="s">
        <v>2387</v>
      </c>
      <c r="AQ102" s="267">
        <v>0</v>
      </c>
      <c r="AR102" s="252" t="e">
        <f t="shared" si="66"/>
        <v>#DIV/0!</v>
      </c>
      <c r="AS102" s="252" t="e">
        <f t="shared" si="67"/>
        <v>#DIV/0!</v>
      </c>
      <c r="AT102" s="252" t="e">
        <f t="shared" si="68"/>
        <v>#VALUE!</v>
      </c>
      <c r="AU102" s="252">
        <f t="shared" si="69"/>
        <v>0</v>
      </c>
      <c r="AV102" s="29"/>
      <c r="AW102" s="282" t="e">
        <f t="shared" si="70"/>
        <v>#DIV/0!</v>
      </c>
      <c r="AX102" s="283" t="e">
        <f t="shared" si="71"/>
        <v>#DIV/0!</v>
      </c>
      <c r="AY102" s="275" t="e">
        <f t="shared" si="72"/>
        <v>#VALUE!</v>
      </c>
      <c r="AZ102" s="207"/>
      <c r="BA102" s="29"/>
      <c r="BB102" s="252" t="e">
        <f t="shared" si="73"/>
        <v>#DIV/0!</v>
      </c>
      <c r="BC102" s="252" t="str">
        <f t="shared" si="74"/>
        <v>#DIV/0!</v>
      </c>
      <c r="BD102" t="s">
        <v>2387</v>
      </c>
      <c r="BE102" t="s">
        <v>2387</v>
      </c>
      <c r="BF102" s="285" t="e">
        <f t="shared" si="75"/>
        <v>#DIV/0!</v>
      </c>
      <c r="BG102" s="252">
        <f t="shared" si="76"/>
        <v>0</v>
      </c>
      <c r="BH102" s="252" t="str">
        <f t="shared" si="77"/>
        <v>#DIV/0!</v>
      </c>
      <c r="BI102" t="s">
        <v>2387</v>
      </c>
      <c r="BJ102" s="288" t="e">
        <f t="shared" si="78"/>
        <v>#VALUE!</v>
      </c>
      <c r="BK102" s="288" t="e">
        <f t="shared" si="79"/>
        <v>#DIV/0!</v>
      </c>
      <c r="BL102" s="286" t="e">
        <f t="shared" si="80"/>
        <v>#VALUE!</v>
      </c>
      <c r="BM102" s="283" t="e">
        <f t="shared" si="81"/>
        <v>#VALUE!</v>
      </c>
      <c r="BN102" s="283" t="e">
        <f t="shared" si="82"/>
        <v>#VALUE!</v>
      </c>
      <c r="BO102" s="275" t="e">
        <f t="shared" si="83"/>
        <v>#DIV/0!</v>
      </c>
    </row>
    <row r="103" customHeight="1" spans="1:67">
      <c r="A103" s="289" t="b">
        <v>0</v>
      </c>
      <c r="B103" s="27" t="b">
        <v>0</v>
      </c>
      <c r="C103" s="27" t="b">
        <v>0</v>
      </c>
      <c r="D103" s="27" t="b">
        <v>0</v>
      </c>
      <c r="E103" s="290" t="b">
        <v>0</v>
      </c>
      <c r="F103" s="260"/>
      <c r="G103" s="260" t="s">
        <v>2468</v>
      </c>
      <c r="H103" s="29"/>
      <c r="I103" s="29"/>
      <c r="J103" s="29"/>
      <c r="K103" s="27" t="b">
        <v>0</v>
      </c>
      <c r="L103" s="27" t="b">
        <v>0</v>
      </c>
      <c r="M103" s="29"/>
      <c r="N103" s="214"/>
      <c r="O103" s="29"/>
      <c r="P103" s="215" t="str">
        <f t="shared" si="61"/>
        <v/>
      </c>
      <c r="Q103" s="29"/>
      <c r="R103" s="29"/>
      <c r="S103" s="29"/>
      <c r="T103" s="29"/>
      <c r="U103" s="29"/>
      <c r="V103" s="29"/>
      <c r="W103" s="29"/>
      <c r="X103" s="29"/>
      <c r="Y103" s="223"/>
      <c r="Z103" s="242">
        <f t="shared" si="62"/>
        <v>-25</v>
      </c>
      <c r="AA103" s="243"/>
      <c r="AB103" s="244"/>
      <c r="AC103" s="245">
        <f t="shared" si="63"/>
        <v>0</v>
      </c>
      <c r="AD103" s="246">
        <v>1</v>
      </c>
      <c r="AE103" s="247"/>
      <c r="AF103" s="29"/>
      <c r="AG103" s="29"/>
      <c r="AH103" s="29"/>
      <c r="AI103" s="223"/>
      <c r="AJ103" s="260"/>
      <c r="AK103" s="245"/>
      <c r="AL103" s="245"/>
      <c r="AM103">
        <v>0</v>
      </c>
      <c r="AN103" s="261" t="e">
        <f t="shared" si="65"/>
        <v>#DIV/0!</v>
      </c>
      <c r="AO103" t="s">
        <v>2387</v>
      </c>
      <c r="AP103" t="s">
        <v>2387</v>
      </c>
      <c r="AQ103" s="267">
        <v>0</v>
      </c>
      <c r="AR103" s="252" t="e">
        <f t="shared" si="66"/>
        <v>#DIV/0!</v>
      </c>
      <c r="AS103" s="252" t="e">
        <f t="shared" si="67"/>
        <v>#DIV/0!</v>
      </c>
      <c r="AT103" s="252" t="e">
        <f t="shared" si="68"/>
        <v>#VALUE!</v>
      </c>
      <c r="AU103" s="252">
        <f t="shared" si="69"/>
        <v>0</v>
      </c>
      <c r="AV103" s="29"/>
      <c r="AW103" s="282" t="e">
        <f t="shared" si="70"/>
        <v>#DIV/0!</v>
      </c>
      <c r="AX103" s="283" t="e">
        <f t="shared" si="71"/>
        <v>#DIV/0!</v>
      </c>
      <c r="AY103" s="275" t="e">
        <f t="shared" si="72"/>
        <v>#VALUE!</v>
      </c>
      <c r="AZ103" s="207"/>
      <c r="BA103" s="29"/>
      <c r="BB103" s="252" t="e">
        <f t="shared" si="73"/>
        <v>#DIV/0!</v>
      </c>
      <c r="BC103" s="252" t="str">
        <f t="shared" si="74"/>
        <v>#DIV/0!</v>
      </c>
      <c r="BD103" t="s">
        <v>2387</v>
      </c>
      <c r="BE103" t="s">
        <v>2387</v>
      </c>
      <c r="BF103" s="285" t="e">
        <f t="shared" si="75"/>
        <v>#DIV/0!</v>
      </c>
      <c r="BG103" s="252">
        <f t="shared" si="76"/>
        <v>0</v>
      </c>
      <c r="BH103" s="252" t="str">
        <f t="shared" si="77"/>
        <v>#DIV/0!</v>
      </c>
      <c r="BI103" t="s">
        <v>2387</v>
      </c>
      <c r="BJ103" s="288" t="e">
        <f t="shared" si="78"/>
        <v>#VALUE!</v>
      </c>
      <c r="BK103" s="288" t="e">
        <f t="shared" si="79"/>
        <v>#DIV/0!</v>
      </c>
      <c r="BL103" s="286" t="e">
        <f t="shared" si="80"/>
        <v>#VALUE!</v>
      </c>
      <c r="BM103" s="283" t="e">
        <f t="shared" si="81"/>
        <v>#VALUE!</v>
      </c>
      <c r="BN103" s="283" t="e">
        <f t="shared" si="82"/>
        <v>#VALUE!</v>
      </c>
      <c r="BO103" s="275" t="e">
        <f t="shared" si="83"/>
        <v>#DIV/0!</v>
      </c>
    </row>
    <row r="104" customHeight="1" spans="1:67">
      <c r="A104" s="289" t="b">
        <v>0</v>
      </c>
      <c r="B104" s="27" t="b">
        <v>0</v>
      </c>
      <c r="C104" s="27" t="b">
        <v>0</v>
      </c>
      <c r="D104" s="27" t="b">
        <v>0</v>
      </c>
      <c r="E104" s="290" t="b">
        <v>0</v>
      </c>
      <c r="F104" s="29"/>
      <c r="G104" s="29" t="s">
        <v>2469</v>
      </c>
      <c r="H104" s="29"/>
      <c r="I104" s="29"/>
      <c r="J104" s="29"/>
      <c r="K104" s="27" t="b">
        <v>0</v>
      </c>
      <c r="L104" s="27" t="b">
        <v>0</v>
      </c>
      <c r="M104" s="29"/>
      <c r="N104" s="214"/>
      <c r="O104" s="29"/>
      <c r="P104" s="215" t="str">
        <f t="shared" si="61"/>
        <v/>
      </c>
      <c r="Q104" s="29"/>
      <c r="R104" s="29"/>
      <c r="S104" s="29"/>
      <c r="T104" s="29"/>
      <c r="U104" s="29"/>
      <c r="V104" s="29"/>
      <c r="W104" s="29"/>
      <c r="X104" s="29"/>
      <c r="Y104" s="223"/>
      <c r="Z104" s="242">
        <f t="shared" si="62"/>
        <v>-25</v>
      </c>
      <c r="AA104" s="243"/>
      <c r="AB104" s="244"/>
      <c r="AC104" s="245">
        <f t="shared" si="63"/>
        <v>0</v>
      </c>
      <c r="AD104" s="246">
        <v>1</v>
      </c>
      <c r="AE104" s="247"/>
      <c r="AF104" s="29"/>
      <c r="AG104" s="29"/>
      <c r="AH104" s="29"/>
      <c r="AI104" s="223"/>
      <c r="AJ104" s="260"/>
      <c r="AK104" s="245"/>
      <c r="AL104" s="245"/>
      <c r="AM104">
        <v>0</v>
      </c>
      <c r="AN104" s="261" t="e">
        <f t="shared" si="65"/>
        <v>#DIV/0!</v>
      </c>
      <c r="AO104" t="s">
        <v>2387</v>
      </c>
      <c r="AP104" t="s">
        <v>2387</v>
      </c>
      <c r="AQ104" s="267">
        <v>0</v>
      </c>
      <c r="AR104" s="252" t="e">
        <f t="shared" si="66"/>
        <v>#DIV/0!</v>
      </c>
      <c r="AS104" s="252" t="e">
        <f t="shared" si="67"/>
        <v>#DIV/0!</v>
      </c>
      <c r="AT104" s="252" t="e">
        <f t="shared" si="68"/>
        <v>#VALUE!</v>
      </c>
      <c r="AU104" s="252">
        <f t="shared" si="69"/>
        <v>0</v>
      </c>
      <c r="AV104" s="29"/>
      <c r="AW104" s="282" t="e">
        <f t="shared" si="70"/>
        <v>#DIV/0!</v>
      </c>
      <c r="AX104" s="283" t="e">
        <f t="shared" si="71"/>
        <v>#DIV/0!</v>
      </c>
      <c r="AY104" s="275" t="e">
        <f t="shared" si="72"/>
        <v>#VALUE!</v>
      </c>
      <c r="AZ104" s="207"/>
      <c r="BA104" s="29"/>
      <c r="BB104" s="252" t="e">
        <f t="shared" si="73"/>
        <v>#DIV/0!</v>
      </c>
      <c r="BC104" s="252" t="str">
        <f t="shared" si="74"/>
        <v>#DIV/0!</v>
      </c>
      <c r="BD104" t="s">
        <v>2387</v>
      </c>
      <c r="BE104" t="s">
        <v>2387</v>
      </c>
      <c r="BF104" s="285" t="e">
        <f t="shared" si="75"/>
        <v>#DIV/0!</v>
      </c>
      <c r="BG104" s="252">
        <f t="shared" si="76"/>
        <v>0</v>
      </c>
      <c r="BH104" s="252" t="str">
        <f t="shared" si="77"/>
        <v>#DIV/0!</v>
      </c>
      <c r="BI104" t="s">
        <v>2387</v>
      </c>
      <c r="BJ104" s="288" t="e">
        <f t="shared" si="78"/>
        <v>#VALUE!</v>
      </c>
      <c r="BK104" s="288" t="e">
        <f t="shared" si="79"/>
        <v>#DIV/0!</v>
      </c>
      <c r="BL104" s="286" t="e">
        <f t="shared" si="80"/>
        <v>#VALUE!</v>
      </c>
      <c r="BM104" s="283" t="e">
        <f t="shared" si="81"/>
        <v>#VALUE!</v>
      </c>
      <c r="BN104" s="283" t="e">
        <f t="shared" si="82"/>
        <v>#VALUE!</v>
      </c>
      <c r="BO104" s="275" t="e">
        <f t="shared" si="83"/>
        <v>#DIV/0!</v>
      </c>
    </row>
    <row r="105" customHeight="1" spans="1:67">
      <c r="A105" s="289" t="b">
        <v>0</v>
      </c>
      <c r="B105" s="27" t="b">
        <v>0</v>
      </c>
      <c r="C105" s="27" t="b">
        <v>0</v>
      </c>
      <c r="D105" s="27" t="b">
        <v>0</v>
      </c>
      <c r="E105" s="290" t="b">
        <v>0</v>
      </c>
      <c r="F105" s="29"/>
      <c r="G105" s="29" t="s">
        <v>2470</v>
      </c>
      <c r="H105" s="29"/>
      <c r="I105" s="29"/>
      <c r="J105" s="29"/>
      <c r="K105" s="27" t="b">
        <v>0</v>
      </c>
      <c r="L105" s="27" t="b">
        <v>0</v>
      </c>
      <c r="M105" s="29"/>
      <c r="N105" s="214"/>
      <c r="O105" s="29"/>
      <c r="P105" s="215" t="str">
        <f t="shared" si="61"/>
        <v/>
      </c>
      <c r="Q105" s="29"/>
      <c r="R105" s="29"/>
      <c r="S105" s="29"/>
      <c r="T105" s="29"/>
      <c r="U105" s="29"/>
      <c r="V105" s="29"/>
      <c r="W105" s="29"/>
      <c r="X105" s="29"/>
      <c r="Y105" s="223"/>
      <c r="Z105" s="242">
        <f t="shared" si="62"/>
        <v>-25</v>
      </c>
      <c r="AA105" s="243"/>
      <c r="AB105" s="244"/>
      <c r="AC105" s="245">
        <f t="shared" si="63"/>
        <v>0</v>
      </c>
      <c r="AD105" s="246">
        <v>1</v>
      </c>
      <c r="AE105" s="247"/>
      <c r="AF105" s="29"/>
      <c r="AG105" s="29"/>
      <c r="AH105" s="29"/>
      <c r="AI105" s="223"/>
      <c r="AJ105" s="260"/>
      <c r="AK105" s="245"/>
      <c r="AL105" s="245"/>
      <c r="AM105">
        <v>0</v>
      </c>
      <c r="AN105" s="261" t="e">
        <f t="shared" si="65"/>
        <v>#DIV/0!</v>
      </c>
      <c r="AO105" t="s">
        <v>2387</v>
      </c>
      <c r="AP105" t="s">
        <v>2387</v>
      </c>
      <c r="AQ105" s="267">
        <v>0</v>
      </c>
      <c r="AR105" s="252" t="e">
        <f t="shared" si="66"/>
        <v>#DIV/0!</v>
      </c>
      <c r="AS105" s="252" t="e">
        <f t="shared" si="67"/>
        <v>#DIV/0!</v>
      </c>
      <c r="AT105" s="252" t="e">
        <f t="shared" si="68"/>
        <v>#VALUE!</v>
      </c>
      <c r="AU105" s="252">
        <f t="shared" si="69"/>
        <v>0</v>
      </c>
      <c r="AV105" s="29"/>
      <c r="AW105" s="282" t="e">
        <f t="shared" si="70"/>
        <v>#DIV/0!</v>
      </c>
      <c r="AX105" s="283" t="e">
        <f t="shared" si="71"/>
        <v>#DIV/0!</v>
      </c>
      <c r="AY105" s="275" t="e">
        <f t="shared" si="72"/>
        <v>#VALUE!</v>
      </c>
      <c r="AZ105" s="207"/>
      <c r="BA105" s="29"/>
      <c r="BB105" s="252" t="e">
        <f t="shared" si="73"/>
        <v>#DIV/0!</v>
      </c>
      <c r="BC105" s="252" t="str">
        <f t="shared" si="74"/>
        <v>#DIV/0!</v>
      </c>
      <c r="BD105" t="s">
        <v>2387</v>
      </c>
      <c r="BE105" t="s">
        <v>2387</v>
      </c>
      <c r="BF105" s="285" t="e">
        <f t="shared" si="75"/>
        <v>#DIV/0!</v>
      </c>
      <c r="BG105" s="252">
        <f t="shared" si="76"/>
        <v>0</v>
      </c>
      <c r="BH105" s="252" t="str">
        <f t="shared" si="77"/>
        <v>#DIV/0!</v>
      </c>
      <c r="BI105" t="s">
        <v>2387</v>
      </c>
      <c r="BJ105" s="288" t="e">
        <f t="shared" si="78"/>
        <v>#VALUE!</v>
      </c>
      <c r="BK105" s="288" t="e">
        <f t="shared" si="79"/>
        <v>#DIV/0!</v>
      </c>
      <c r="BL105" s="286" t="e">
        <f t="shared" si="80"/>
        <v>#VALUE!</v>
      </c>
      <c r="BM105" s="283" t="e">
        <f t="shared" si="81"/>
        <v>#VALUE!</v>
      </c>
      <c r="BN105" s="283" t="e">
        <f t="shared" si="82"/>
        <v>#VALUE!</v>
      </c>
      <c r="BO105" s="275" t="e">
        <f t="shared" si="83"/>
        <v>#DIV/0!</v>
      </c>
    </row>
    <row r="106" customHeight="1" spans="1:67">
      <c r="A106" s="289" t="b">
        <v>0</v>
      </c>
      <c r="B106" s="27" t="b">
        <v>0</v>
      </c>
      <c r="C106" s="27" t="b">
        <v>0</v>
      </c>
      <c r="D106" s="27" t="b">
        <v>0</v>
      </c>
      <c r="E106" s="290" t="b">
        <v>0</v>
      </c>
      <c r="F106" s="29"/>
      <c r="G106" s="29" t="s">
        <v>2471</v>
      </c>
      <c r="H106" s="29"/>
      <c r="I106" s="29"/>
      <c r="J106" s="29"/>
      <c r="K106" s="27" t="b">
        <v>0</v>
      </c>
      <c r="L106" s="27" t="b">
        <v>0</v>
      </c>
      <c r="M106" s="29"/>
      <c r="N106" s="214"/>
      <c r="O106" s="29"/>
      <c r="P106" s="215" t="str">
        <f t="shared" si="61"/>
        <v/>
      </c>
      <c r="Q106" s="29"/>
      <c r="R106" s="29"/>
      <c r="S106" s="29"/>
      <c r="T106" s="29"/>
      <c r="U106" s="29"/>
      <c r="V106" s="29"/>
      <c r="W106" s="29"/>
      <c r="X106" s="29"/>
      <c r="Y106" s="223"/>
      <c r="Z106" s="242">
        <f t="shared" si="62"/>
        <v>-25</v>
      </c>
      <c r="AA106" s="243"/>
      <c r="AB106" s="244"/>
      <c r="AC106" s="245">
        <f t="shared" si="63"/>
        <v>0</v>
      </c>
      <c r="AD106" s="246">
        <v>1</v>
      </c>
      <c r="AE106" s="247"/>
      <c r="AF106" s="29"/>
      <c r="AG106" s="29"/>
      <c r="AH106" s="29"/>
      <c r="AI106" s="223"/>
      <c r="AJ106" s="260"/>
      <c r="AK106" s="245"/>
      <c r="AL106" s="245"/>
      <c r="AM106">
        <v>0</v>
      </c>
      <c r="AN106" s="261" t="e">
        <f t="shared" si="65"/>
        <v>#DIV/0!</v>
      </c>
      <c r="AO106" t="s">
        <v>2387</v>
      </c>
      <c r="AP106" t="s">
        <v>2387</v>
      </c>
      <c r="AQ106" s="267">
        <v>0</v>
      </c>
      <c r="AR106" s="252" t="e">
        <f t="shared" si="66"/>
        <v>#DIV/0!</v>
      </c>
      <c r="AS106" s="252" t="e">
        <f t="shared" si="67"/>
        <v>#DIV/0!</v>
      </c>
      <c r="AT106" s="252" t="e">
        <f t="shared" si="68"/>
        <v>#VALUE!</v>
      </c>
      <c r="AU106" s="252">
        <f t="shared" si="69"/>
        <v>0</v>
      </c>
      <c r="AV106" s="29"/>
      <c r="AW106" s="282" t="e">
        <f t="shared" si="70"/>
        <v>#DIV/0!</v>
      </c>
      <c r="AX106" s="283" t="e">
        <f t="shared" si="71"/>
        <v>#DIV/0!</v>
      </c>
      <c r="AY106" s="275" t="e">
        <f t="shared" si="72"/>
        <v>#VALUE!</v>
      </c>
      <c r="AZ106" s="207"/>
      <c r="BA106" s="29"/>
      <c r="BB106" s="252" t="e">
        <f t="shared" si="73"/>
        <v>#DIV/0!</v>
      </c>
      <c r="BC106" s="252" t="str">
        <f t="shared" si="74"/>
        <v>#DIV/0!</v>
      </c>
      <c r="BD106" t="s">
        <v>2387</v>
      </c>
      <c r="BE106" t="s">
        <v>2387</v>
      </c>
      <c r="BF106" s="285" t="e">
        <f t="shared" si="75"/>
        <v>#DIV/0!</v>
      </c>
      <c r="BG106" s="252">
        <f t="shared" si="76"/>
        <v>0</v>
      </c>
      <c r="BH106" s="252" t="str">
        <f t="shared" si="77"/>
        <v>#DIV/0!</v>
      </c>
      <c r="BI106" t="s">
        <v>2387</v>
      </c>
      <c r="BJ106" s="288" t="e">
        <f t="shared" si="78"/>
        <v>#VALUE!</v>
      </c>
      <c r="BK106" s="288" t="e">
        <f t="shared" si="79"/>
        <v>#DIV/0!</v>
      </c>
      <c r="BL106" s="286" t="e">
        <f t="shared" si="80"/>
        <v>#VALUE!</v>
      </c>
      <c r="BM106" s="283" t="e">
        <f t="shared" si="81"/>
        <v>#VALUE!</v>
      </c>
      <c r="BN106" s="283" t="e">
        <f t="shared" si="82"/>
        <v>#VALUE!</v>
      </c>
      <c r="BO106" s="275" t="e">
        <f t="shared" si="83"/>
        <v>#DIV/0!</v>
      </c>
    </row>
    <row r="107" customHeight="1" spans="1:67">
      <c r="A107" s="289" t="b">
        <v>0</v>
      </c>
      <c r="B107" s="27" t="b">
        <v>0</v>
      </c>
      <c r="C107" s="27" t="b">
        <v>0</v>
      </c>
      <c r="D107" s="27" t="b">
        <v>0</v>
      </c>
      <c r="E107" s="290" t="b">
        <v>0</v>
      </c>
      <c r="F107" s="29"/>
      <c r="G107" s="29" t="s">
        <v>2472</v>
      </c>
      <c r="H107" s="29"/>
      <c r="I107" s="29"/>
      <c r="J107" s="29"/>
      <c r="K107" s="27" t="b">
        <v>0</v>
      </c>
      <c r="L107" s="27" t="b">
        <v>0</v>
      </c>
      <c r="M107" s="29"/>
      <c r="N107" s="214"/>
      <c r="O107" s="29"/>
      <c r="P107" s="215" t="str">
        <f t="shared" si="61"/>
        <v/>
      </c>
      <c r="Q107" s="29"/>
      <c r="R107" s="29"/>
      <c r="S107" s="29"/>
      <c r="T107" s="29"/>
      <c r="U107" s="29"/>
      <c r="V107" s="29"/>
      <c r="W107" s="29"/>
      <c r="X107" s="29"/>
      <c r="Y107" s="223"/>
      <c r="Z107" s="242">
        <f t="shared" si="62"/>
        <v>-25</v>
      </c>
      <c r="AA107" s="243"/>
      <c r="AB107" s="244"/>
      <c r="AC107" s="245">
        <f t="shared" si="63"/>
        <v>0</v>
      </c>
      <c r="AD107" s="246">
        <v>1</v>
      </c>
      <c r="AE107" s="247"/>
      <c r="AF107" s="29"/>
      <c r="AG107" s="29"/>
      <c r="AH107" s="29"/>
      <c r="AI107" s="223"/>
      <c r="AJ107" s="260"/>
      <c r="AK107" s="245"/>
      <c r="AL107" s="245"/>
      <c r="AM107">
        <v>0</v>
      </c>
      <c r="AN107" s="261" t="e">
        <f t="shared" si="65"/>
        <v>#DIV/0!</v>
      </c>
      <c r="AO107" t="s">
        <v>2387</v>
      </c>
      <c r="AP107" t="s">
        <v>2387</v>
      </c>
      <c r="AQ107" s="267">
        <v>0</v>
      </c>
      <c r="AR107" s="252" t="e">
        <f t="shared" si="66"/>
        <v>#DIV/0!</v>
      </c>
      <c r="AS107" s="252" t="e">
        <f t="shared" si="67"/>
        <v>#DIV/0!</v>
      </c>
      <c r="AT107" s="252" t="e">
        <f t="shared" si="68"/>
        <v>#VALUE!</v>
      </c>
      <c r="AU107" s="252">
        <f t="shared" si="69"/>
        <v>0</v>
      </c>
      <c r="AV107" s="29"/>
      <c r="AW107" s="282" t="e">
        <f t="shared" si="70"/>
        <v>#DIV/0!</v>
      </c>
      <c r="AX107" s="283" t="e">
        <f t="shared" si="71"/>
        <v>#DIV/0!</v>
      </c>
      <c r="AY107" s="275" t="e">
        <f t="shared" si="72"/>
        <v>#VALUE!</v>
      </c>
      <c r="AZ107" s="207"/>
      <c r="BA107" s="29"/>
      <c r="BB107" s="252" t="e">
        <f t="shared" si="73"/>
        <v>#DIV/0!</v>
      </c>
      <c r="BC107" s="252" t="str">
        <f t="shared" si="74"/>
        <v>#DIV/0!</v>
      </c>
      <c r="BD107" t="s">
        <v>2387</v>
      </c>
      <c r="BE107" t="s">
        <v>2387</v>
      </c>
      <c r="BF107" s="285" t="e">
        <f t="shared" si="75"/>
        <v>#DIV/0!</v>
      </c>
      <c r="BG107" s="252">
        <f t="shared" si="76"/>
        <v>0</v>
      </c>
      <c r="BH107" s="252" t="str">
        <f t="shared" si="77"/>
        <v>#DIV/0!</v>
      </c>
      <c r="BI107" t="s">
        <v>2387</v>
      </c>
      <c r="BJ107" s="288" t="e">
        <f t="shared" si="78"/>
        <v>#VALUE!</v>
      </c>
      <c r="BK107" s="288" t="e">
        <f t="shared" si="79"/>
        <v>#DIV/0!</v>
      </c>
      <c r="BL107" s="286" t="e">
        <f t="shared" si="80"/>
        <v>#VALUE!</v>
      </c>
      <c r="BM107" s="283" t="e">
        <f t="shared" si="81"/>
        <v>#VALUE!</v>
      </c>
      <c r="BN107" s="283" t="e">
        <f t="shared" si="82"/>
        <v>#VALUE!</v>
      </c>
      <c r="BO107" s="275" t="e">
        <f t="shared" si="83"/>
        <v>#DIV/0!</v>
      </c>
    </row>
    <row r="108" customHeight="1" spans="1:67">
      <c r="A108" s="289" t="b">
        <v>0</v>
      </c>
      <c r="B108" s="27" t="b">
        <v>0</v>
      </c>
      <c r="C108" s="27" t="b">
        <v>0</v>
      </c>
      <c r="D108" s="27" t="b">
        <v>0</v>
      </c>
      <c r="E108" s="290" t="b">
        <v>0</v>
      </c>
      <c r="F108" s="29"/>
      <c r="G108" s="29" t="s">
        <v>2473</v>
      </c>
      <c r="H108" s="29"/>
      <c r="I108" s="29"/>
      <c r="J108" s="29"/>
      <c r="K108" s="27" t="b">
        <v>0</v>
      </c>
      <c r="L108" s="27" t="b">
        <v>0</v>
      </c>
      <c r="M108" s="29"/>
      <c r="N108" s="214"/>
      <c r="O108" s="29"/>
      <c r="P108" s="215" t="str">
        <f t="shared" si="61"/>
        <v/>
      </c>
      <c r="Q108" s="29"/>
      <c r="R108" s="29"/>
      <c r="S108" s="29"/>
      <c r="T108" s="29"/>
      <c r="U108" s="29"/>
      <c r="V108" s="29"/>
      <c r="W108" s="29"/>
      <c r="X108" s="29"/>
      <c r="Y108" s="223"/>
      <c r="Z108" s="242">
        <f t="shared" si="62"/>
        <v>-25</v>
      </c>
      <c r="AA108" s="243"/>
      <c r="AB108" s="244"/>
      <c r="AC108" s="245">
        <f t="shared" si="63"/>
        <v>0</v>
      </c>
      <c r="AD108" s="246">
        <v>1</v>
      </c>
      <c r="AE108" s="247"/>
      <c r="AF108" s="29"/>
      <c r="AG108" s="29"/>
      <c r="AH108" s="29"/>
      <c r="AI108" s="223"/>
      <c r="AJ108" s="260"/>
      <c r="AK108" s="245"/>
      <c r="AL108" s="245"/>
      <c r="AM108">
        <v>0</v>
      </c>
      <c r="AN108" s="261" t="e">
        <f t="shared" si="65"/>
        <v>#DIV/0!</v>
      </c>
      <c r="AO108" t="s">
        <v>2387</v>
      </c>
      <c r="AP108" t="s">
        <v>2387</v>
      </c>
      <c r="AQ108" s="267">
        <v>0</v>
      </c>
      <c r="AR108" s="252" t="e">
        <f t="shared" si="66"/>
        <v>#DIV/0!</v>
      </c>
      <c r="AS108" s="252" t="e">
        <f t="shared" si="67"/>
        <v>#DIV/0!</v>
      </c>
      <c r="AT108" s="252" t="e">
        <f t="shared" si="68"/>
        <v>#VALUE!</v>
      </c>
      <c r="AU108" s="252">
        <f t="shared" si="69"/>
        <v>0</v>
      </c>
      <c r="AV108" s="29"/>
      <c r="AW108" s="282" t="e">
        <f t="shared" si="70"/>
        <v>#DIV/0!</v>
      </c>
      <c r="AX108" s="283" t="e">
        <f t="shared" si="71"/>
        <v>#DIV/0!</v>
      </c>
      <c r="AY108" s="275" t="e">
        <f t="shared" si="72"/>
        <v>#VALUE!</v>
      </c>
      <c r="AZ108" s="207"/>
      <c r="BA108" s="29"/>
      <c r="BB108" s="252" t="e">
        <f t="shared" si="73"/>
        <v>#DIV/0!</v>
      </c>
      <c r="BC108" s="252" t="str">
        <f t="shared" si="74"/>
        <v>#DIV/0!</v>
      </c>
      <c r="BD108" t="s">
        <v>2387</v>
      </c>
      <c r="BE108" t="s">
        <v>2387</v>
      </c>
      <c r="BF108" s="285" t="e">
        <f t="shared" si="75"/>
        <v>#DIV/0!</v>
      </c>
      <c r="BG108" s="252">
        <f t="shared" si="76"/>
        <v>0</v>
      </c>
      <c r="BH108" s="252" t="str">
        <f t="shared" si="77"/>
        <v>#DIV/0!</v>
      </c>
      <c r="BI108" t="s">
        <v>2387</v>
      </c>
      <c r="BJ108" s="288" t="e">
        <f t="shared" si="78"/>
        <v>#VALUE!</v>
      </c>
      <c r="BK108" s="288" t="e">
        <f t="shared" si="79"/>
        <v>#DIV/0!</v>
      </c>
      <c r="BL108" s="286" t="e">
        <f t="shared" si="80"/>
        <v>#VALUE!</v>
      </c>
      <c r="BM108" s="283" t="e">
        <f t="shared" si="81"/>
        <v>#VALUE!</v>
      </c>
      <c r="BN108" s="283" t="e">
        <f t="shared" si="82"/>
        <v>#VALUE!</v>
      </c>
      <c r="BO108" s="275" t="e">
        <f t="shared" si="83"/>
        <v>#DIV/0!</v>
      </c>
    </row>
    <row r="109" customHeight="1" spans="1:67">
      <c r="A109" s="289" t="b">
        <v>0</v>
      </c>
      <c r="B109" s="27" t="b">
        <v>0</v>
      </c>
      <c r="C109" s="27" t="b">
        <v>0</v>
      </c>
      <c r="D109" s="27" t="b">
        <v>0</v>
      </c>
      <c r="E109" s="290" t="b">
        <v>0</v>
      </c>
      <c r="F109" s="29"/>
      <c r="G109" s="29" t="s">
        <v>2474</v>
      </c>
      <c r="H109" s="29"/>
      <c r="I109" s="29"/>
      <c r="J109" s="29"/>
      <c r="K109" s="27" t="b">
        <v>0</v>
      </c>
      <c r="L109" s="27" t="b">
        <v>0</v>
      </c>
      <c r="M109" s="29"/>
      <c r="N109" s="214"/>
      <c r="O109" s="29"/>
      <c r="P109" s="215" t="str">
        <f t="shared" si="61"/>
        <v/>
      </c>
      <c r="Q109" s="29"/>
      <c r="R109" s="29"/>
      <c r="S109" s="29"/>
      <c r="T109" s="29"/>
      <c r="U109" s="29"/>
      <c r="V109" s="29"/>
      <c r="W109" s="29"/>
      <c r="X109" s="29"/>
      <c r="Y109" s="223"/>
      <c r="Z109" s="242">
        <f t="shared" si="62"/>
        <v>-25</v>
      </c>
      <c r="AA109" s="243"/>
      <c r="AB109" s="244"/>
      <c r="AC109" s="245">
        <f t="shared" si="63"/>
        <v>0</v>
      </c>
      <c r="AD109" s="246">
        <v>1</v>
      </c>
      <c r="AE109" s="247"/>
      <c r="AF109" s="29"/>
      <c r="AG109" s="29"/>
      <c r="AH109" s="29"/>
      <c r="AI109" s="223"/>
      <c r="AJ109" s="260"/>
      <c r="AK109" s="245"/>
      <c r="AL109" s="245"/>
      <c r="AM109">
        <v>0</v>
      </c>
      <c r="AN109" s="261" t="e">
        <f t="shared" si="65"/>
        <v>#DIV/0!</v>
      </c>
      <c r="AO109" t="s">
        <v>2387</v>
      </c>
      <c r="AP109" t="s">
        <v>2387</v>
      </c>
      <c r="AQ109" s="267">
        <v>0</v>
      </c>
      <c r="AR109" s="252" t="e">
        <f t="shared" si="66"/>
        <v>#DIV/0!</v>
      </c>
      <c r="AS109" s="252" t="e">
        <f t="shared" si="67"/>
        <v>#DIV/0!</v>
      </c>
      <c r="AT109" s="252" t="e">
        <f t="shared" si="68"/>
        <v>#VALUE!</v>
      </c>
      <c r="AU109" s="252">
        <f t="shared" si="69"/>
        <v>0</v>
      </c>
      <c r="AV109" s="29"/>
      <c r="AW109" s="282" t="e">
        <f t="shared" si="70"/>
        <v>#DIV/0!</v>
      </c>
      <c r="AX109" s="283" t="e">
        <f t="shared" si="71"/>
        <v>#DIV/0!</v>
      </c>
      <c r="AY109" s="275" t="e">
        <f t="shared" si="72"/>
        <v>#VALUE!</v>
      </c>
      <c r="AZ109" s="207"/>
      <c r="BA109" s="29"/>
      <c r="BB109" s="252" t="e">
        <f t="shared" si="73"/>
        <v>#DIV/0!</v>
      </c>
      <c r="BC109" s="252" t="str">
        <f t="shared" si="74"/>
        <v>#DIV/0!</v>
      </c>
      <c r="BD109" t="s">
        <v>2387</v>
      </c>
      <c r="BE109" t="s">
        <v>2387</v>
      </c>
      <c r="BF109" s="285" t="e">
        <f t="shared" si="75"/>
        <v>#DIV/0!</v>
      </c>
      <c r="BG109" s="252">
        <f t="shared" si="76"/>
        <v>0</v>
      </c>
      <c r="BH109" s="252" t="str">
        <f t="shared" si="77"/>
        <v>#DIV/0!</v>
      </c>
      <c r="BI109" t="s">
        <v>2387</v>
      </c>
      <c r="BJ109" s="288" t="e">
        <f t="shared" si="78"/>
        <v>#VALUE!</v>
      </c>
      <c r="BK109" s="288" t="e">
        <f t="shared" si="79"/>
        <v>#DIV/0!</v>
      </c>
      <c r="BL109" s="286" t="e">
        <f t="shared" si="80"/>
        <v>#VALUE!</v>
      </c>
      <c r="BM109" s="283" t="e">
        <f t="shared" si="81"/>
        <v>#VALUE!</v>
      </c>
      <c r="BN109" s="283" t="e">
        <f t="shared" si="82"/>
        <v>#VALUE!</v>
      </c>
      <c r="BO109" s="275" t="e">
        <f t="shared" si="83"/>
        <v>#DIV/0!</v>
      </c>
    </row>
    <row r="110" customHeight="1" spans="1:67">
      <c r="A110" s="289" t="b">
        <v>0</v>
      </c>
      <c r="B110" s="27" t="b">
        <v>0</v>
      </c>
      <c r="C110" s="27" t="b">
        <v>0</v>
      </c>
      <c r="D110" s="27" t="b">
        <v>0</v>
      </c>
      <c r="E110" s="290" t="b">
        <v>0</v>
      </c>
      <c r="F110" s="29"/>
      <c r="G110" s="29" t="s">
        <v>2475</v>
      </c>
      <c r="H110" s="29"/>
      <c r="I110" s="29"/>
      <c r="J110" s="29"/>
      <c r="K110" s="27" t="b">
        <v>0</v>
      </c>
      <c r="L110" s="27" t="b">
        <v>0</v>
      </c>
      <c r="M110" s="29"/>
      <c r="N110" s="214"/>
      <c r="O110" s="29"/>
      <c r="P110" s="215" t="str">
        <f t="shared" si="61"/>
        <v/>
      </c>
      <c r="Q110" s="29"/>
      <c r="R110" s="29"/>
      <c r="S110" s="29"/>
      <c r="T110" s="29"/>
      <c r="U110" s="29"/>
      <c r="V110" s="29"/>
      <c r="W110" s="29"/>
      <c r="X110" s="29"/>
      <c r="Y110" s="223"/>
      <c r="Z110" s="242">
        <f t="shared" si="62"/>
        <v>-25</v>
      </c>
      <c r="AA110" s="243"/>
      <c r="AB110" s="244"/>
      <c r="AC110" s="245">
        <f t="shared" si="63"/>
        <v>0</v>
      </c>
      <c r="AD110" s="246">
        <v>1</v>
      </c>
      <c r="AE110" s="247"/>
      <c r="AF110" s="29"/>
      <c r="AG110" s="29"/>
      <c r="AH110" s="29"/>
      <c r="AI110" s="223"/>
      <c r="AJ110" s="260"/>
      <c r="AK110" s="245"/>
      <c r="AL110" s="245"/>
      <c r="AM110">
        <v>0</v>
      </c>
      <c r="AN110" s="261" t="e">
        <f t="shared" si="65"/>
        <v>#DIV/0!</v>
      </c>
      <c r="AO110" t="s">
        <v>2387</v>
      </c>
      <c r="AP110" t="s">
        <v>2387</v>
      </c>
      <c r="AQ110" s="267">
        <v>0</v>
      </c>
      <c r="AR110" s="252" t="e">
        <f t="shared" si="66"/>
        <v>#DIV/0!</v>
      </c>
      <c r="AS110" s="252" t="e">
        <f t="shared" si="67"/>
        <v>#DIV/0!</v>
      </c>
      <c r="AT110" s="252" t="e">
        <f t="shared" si="68"/>
        <v>#VALUE!</v>
      </c>
      <c r="AU110" s="252">
        <f t="shared" si="69"/>
        <v>0</v>
      </c>
      <c r="AV110" s="29"/>
      <c r="AW110" s="282" t="e">
        <f t="shared" si="70"/>
        <v>#DIV/0!</v>
      </c>
      <c r="AX110" s="283" t="e">
        <f t="shared" si="71"/>
        <v>#DIV/0!</v>
      </c>
      <c r="AY110" s="275" t="e">
        <f t="shared" si="72"/>
        <v>#VALUE!</v>
      </c>
      <c r="AZ110" s="207"/>
      <c r="BA110" s="29"/>
      <c r="BB110" s="252" t="e">
        <f t="shared" si="73"/>
        <v>#DIV/0!</v>
      </c>
      <c r="BC110" s="252" t="str">
        <f t="shared" si="74"/>
        <v>#DIV/0!</v>
      </c>
      <c r="BD110" t="s">
        <v>2387</v>
      </c>
      <c r="BE110" t="s">
        <v>2387</v>
      </c>
      <c r="BF110" s="285" t="e">
        <f t="shared" si="75"/>
        <v>#DIV/0!</v>
      </c>
      <c r="BG110" s="252">
        <f t="shared" si="76"/>
        <v>0</v>
      </c>
      <c r="BH110" s="252" t="str">
        <f t="shared" si="77"/>
        <v>#DIV/0!</v>
      </c>
      <c r="BI110" t="s">
        <v>2387</v>
      </c>
      <c r="BJ110" s="288" t="e">
        <f t="shared" si="78"/>
        <v>#VALUE!</v>
      </c>
      <c r="BK110" s="288" t="e">
        <f t="shared" si="79"/>
        <v>#DIV/0!</v>
      </c>
      <c r="BL110" s="286" t="e">
        <f t="shared" si="80"/>
        <v>#VALUE!</v>
      </c>
      <c r="BM110" s="283" t="e">
        <f t="shared" si="81"/>
        <v>#VALUE!</v>
      </c>
      <c r="BN110" s="283" t="e">
        <f t="shared" si="82"/>
        <v>#VALUE!</v>
      </c>
      <c r="BO110" s="275" t="e">
        <f t="shared" si="83"/>
        <v>#DIV/0!</v>
      </c>
    </row>
  </sheetData>
  <autoFilter xmlns:etc="http://www.wps.cn/officeDocument/2017/etCustomData" ref="G1:G110" etc:filterBottomFollowUsedRange="0">
    <extLst/>
  </autoFilter>
  <mergeCells count="7">
    <mergeCell ref="A1:E1"/>
    <mergeCell ref="N1:AE1"/>
    <mergeCell ref="AF1:AV1"/>
    <mergeCell ref="AW1:AY1"/>
    <mergeCell ref="AZ1:BO1"/>
    <mergeCell ref="F3:F4"/>
    <mergeCell ref="F5:F6"/>
  </mergeCells>
  <pageMargins left="0.75" right="0.75" top="1" bottom="1" header="0.5" footer="0.5"/>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254"/>
  <sheetViews>
    <sheetView workbookViewId="0">
      <selection activeCell="A1" sqref="A1"/>
    </sheetView>
  </sheetViews>
  <sheetFormatPr defaultColWidth="12.6285714285714" defaultRowHeight="15.75" customHeight="1"/>
  <cols>
    <col min="1" max="4" width="12.6285714285714" customWidth="1"/>
    <col min="5" max="5" width="18.1333333333333" customWidth="1"/>
    <col min="6" max="6" width="12.6285714285714" customWidth="1"/>
  </cols>
  <sheetData>
    <row r="1" customHeight="1" spans="4:6">
      <c r="D1" s="165"/>
      <c r="E1" s="165"/>
      <c r="F1" s="165" t="s">
        <v>2476</v>
      </c>
    </row>
    <row r="2" customHeight="1" spans="1:12">
      <c r="A2" s="166" t="s">
        <v>2477</v>
      </c>
      <c r="B2" s="117"/>
      <c r="D2" s="165"/>
      <c r="E2" s="165"/>
      <c r="F2" s="165" t="s">
        <v>2478</v>
      </c>
      <c r="L2" s="1" t="s">
        <v>2479</v>
      </c>
    </row>
    <row r="3" customHeight="1" spans="1:10">
      <c r="A3" s="1"/>
      <c r="B3" s="1"/>
      <c r="C3" s="167" t="s">
        <v>2480</v>
      </c>
      <c r="D3" s="168" t="s">
        <v>1004</v>
      </c>
      <c r="E3" s="168" t="s">
        <v>2481</v>
      </c>
      <c r="F3" s="168" t="s">
        <v>1005</v>
      </c>
      <c r="G3" s="167" t="s">
        <v>2482</v>
      </c>
      <c r="H3" s="167" t="s">
        <v>2483</v>
      </c>
      <c r="I3" s="167" t="s">
        <v>1008</v>
      </c>
      <c r="J3" s="1" t="s">
        <v>1007</v>
      </c>
    </row>
    <row r="4" customHeight="1" spans="1:10">
      <c r="A4" s="169" t="s">
        <v>1185</v>
      </c>
      <c r="B4" s="117"/>
      <c r="C4" s="170"/>
      <c r="D4" s="171"/>
      <c r="E4" s="171"/>
      <c r="F4" s="171"/>
      <c r="G4" s="172"/>
      <c r="H4" s="172"/>
      <c r="I4" s="181"/>
      <c r="J4" s="182"/>
    </row>
    <row r="5" customHeight="1" spans="3:9">
      <c r="C5" s="173"/>
      <c r="D5" s="165"/>
      <c r="E5" s="165"/>
      <c r="F5" s="174"/>
      <c r="I5" s="6"/>
    </row>
    <row r="6" customHeight="1" spans="1:10">
      <c r="A6" s="1" t="s">
        <v>2484</v>
      </c>
      <c r="B6" s="1"/>
      <c r="C6" s="173"/>
      <c r="D6" s="165">
        <v>450</v>
      </c>
      <c r="E6" s="165" t="s">
        <v>2485</v>
      </c>
      <c r="F6" s="174" t="s">
        <v>2486</v>
      </c>
      <c r="I6" s="6"/>
      <c r="J6" s="1" t="s">
        <v>2487</v>
      </c>
    </row>
    <row r="7" customHeight="1" spans="1:10">
      <c r="A7" s="1" t="s">
        <v>2488</v>
      </c>
      <c r="C7" s="173"/>
      <c r="D7" s="165">
        <v>210</v>
      </c>
      <c r="E7" s="165" t="s">
        <v>2485</v>
      </c>
      <c r="F7" s="174">
        <v>200</v>
      </c>
      <c r="I7" s="6"/>
      <c r="J7" s="1">
        <v>175</v>
      </c>
    </row>
    <row r="8" customHeight="1" spans="1:10">
      <c r="A8" s="1" t="s">
        <v>2489</v>
      </c>
      <c r="C8" s="173"/>
      <c r="D8" s="165">
        <v>128</v>
      </c>
      <c r="E8" s="165" t="s">
        <v>2485</v>
      </c>
      <c r="F8" s="174">
        <v>250</v>
      </c>
      <c r="I8" s="6"/>
      <c r="J8" s="1">
        <v>200</v>
      </c>
    </row>
    <row r="9" customHeight="1" spans="1:10">
      <c r="A9" s="1" t="s">
        <v>2490</v>
      </c>
      <c r="C9" s="173"/>
      <c r="D9" s="165">
        <v>143</v>
      </c>
      <c r="E9" s="165" t="s">
        <v>2485</v>
      </c>
      <c r="F9" s="174">
        <v>250</v>
      </c>
      <c r="I9" s="6"/>
      <c r="J9" s="1">
        <v>250</v>
      </c>
    </row>
    <row r="10" customHeight="1" spans="1:10">
      <c r="A10" s="1" t="s">
        <v>2491</v>
      </c>
      <c r="C10" s="173"/>
      <c r="D10" s="165" t="s">
        <v>2492</v>
      </c>
      <c r="E10" s="165" t="s">
        <v>2485</v>
      </c>
      <c r="F10" s="174">
        <f>3*7*2/0.75</f>
        <v>56</v>
      </c>
      <c r="I10" s="6"/>
      <c r="J10" s="1" t="s">
        <v>2493</v>
      </c>
    </row>
    <row r="11" customHeight="1" spans="1:10">
      <c r="A11" s="1" t="s">
        <v>2494</v>
      </c>
      <c r="C11" s="173"/>
      <c r="D11" s="165" t="s">
        <v>2495</v>
      </c>
      <c r="E11" s="165" t="s">
        <v>2485</v>
      </c>
      <c r="F11" s="174" t="s">
        <v>2496</v>
      </c>
      <c r="I11" s="6"/>
      <c r="J11" s="1" t="s">
        <v>2497</v>
      </c>
    </row>
    <row r="12" customHeight="1" spans="1:10">
      <c r="A12" s="1" t="s">
        <v>2498</v>
      </c>
      <c r="C12" s="173"/>
      <c r="D12" s="165" t="s">
        <v>2499</v>
      </c>
      <c r="E12" s="165" t="s">
        <v>2485</v>
      </c>
      <c r="F12" s="174" t="s">
        <v>2500</v>
      </c>
      <c r="I12" s="6"/>
      <c r="J12" s="1" t="s">
        <v>2501</v>
      </c>
    </row>
    <row r="13" customHeight="1" spans="1:10">
      <c r="A13" s="1" t="s">
        <v>973</v>
      </c>
      <c r="C13" s="175"/>
      <c r="D13" s="176" t="s">
        <v>2502</v>
      </c>
      <c r="E13" s="176" t="s">
        <v>2485</v>
      </c>
      <c r="F13" s="177" t="s">
        <v>2503</v>
      </c>
      <c r="G13" s="8"/>
      <c r="H13" s="8"/>
      <c r="I13" s="9"/>
      <c r="J13" s="1" t="s">
        <v>2504</v>
      </c>
    </row>
    <row r="14" customHeight="1" spans="1:10">
      <c r="A14" s="1" t="s">
        <v>2505</v>
      </c>
      <c r="D14" s="165"/>
      <c r="E14" s="165"/>
      <c r="F14" s="165"/>
      <c r="J14" s="1">
        <v>125</v>
      </c>
    </row>
    <row r="15" customHeight="1" spans="1:10">
      <c r="A15" s="1" t="s">
        <v>2506</v>
      </c>
      <c r="D15" s="165"/>
      <c r="E15" s="165"/>
      <c r="F15" s="165"/>
      <c r="J15" s="1">
        <v>125</v>
      </c>
    </row>
    <row r="16" customHeight="1" spans="1:10">
      <c r="A16" s="1" t="s">
        <v>2507</v>
      </c>
      <c r="D16" s="165"/>
      <c r="E16" s="165"/>
      <c r="F16" s="165"/>
      <c r="J16" s="1">
        <v>150</v>
      </c>
    </row>
    <row r="17" customHeight="1" spans="4:6">
      <c r="D17" s="165"/>
      <c r="E17" s="165"/>
      <c r="F17" s="165"/>
    </row>
    <row r="18" customHeight="1" spans="1:6">
      <c r="A18" s="166" t="s">
        <v>2508</v>
      </c>
      <c r="B18" s="117"/>
      <c r="D18" s="165"/>
      <c r="E18" s="165"/>
      <c r="F18" s="165"/>
    </row>
    <row r="19" customHeight="1" spans="1:10">
      <c r="A19" s="1"/>
      <c r="B19" s="1"/>
      <c r="C19" s="167" t="s">
        <v>2480</v>
      </c>
      <c r="D19" s="168" t="s">
        <v>1004</v>
      </c>
      <c r="E19" s="168" t="s">
        <v>2481</v>
      </c>
      <c r="F19" s="168" t="s">
        <v>1005</v>
      </c>
      <c r="G19" s="167" t="s">
        <v>2482</v>
      </c>
      <c r="H19" s="167" t="s">
        <v>2483</v>
      </c>
      <c r="I19" s="167"/>
      <c r="J19" s="1" t="s">
        <v>1007</v>
      </c>
    </row>
    <row r="20" customHeight="1" spans="1:10">
      <c r="A20" s="169" t="s">
        <v>1185</v>
      </c>
      <c r="B20" s="117"/>
      <c r="C20" s="170"/>
      <c r="D20" s="171"/>
      <c r="E20" s="171" t="s">
        <v>2485</v>
      </c>
      <c r="F20" s="171" t="s">
        <v>2485</v>
      </c>
      <c r="G20" s="172"/>
      <c r="H20" s="172"/>
      <c r="I20" s="181"/>
      <c r="J20" s="182"/>
    </row>
    <row r="21" customHeight="1" spans="1:10">
      <c r="A21" s="1" t="s">
        <v>2509</v>
      </c>
      <c r="C21" s="173"/>
      <c r="D21" s="165"/>
      <c r="E21" s="165" t="s">
        <v>2485</v>
      </c>
      <c r="F21" s="174">
        <v>150</v>
      </c>
      <c r="I21" s="6"/>
      <c r="J21" s="1" t="s">
        <v>2510</v>
      </c>
    </row>
    <row r="22" customHeight="1" spans="1:10">
      <c r="A22" s="1" t="s">
        <v>2488</v>
      </c>
      <c r="C22" s="173"/>
      <c r="D22" s="178"/>
      <c r="E22" s="178" t="s">
        <v>2485</v>
      </c>
      <c r="F22" s="178">
        <v>175</v>
      </c>
      <c r="I22" s="6"/>
      <c r="J22" s="1" t="s">
        <v>2511</v>
      </c>
    </row>
    <row r="23" customHeight="1" spans="1:10">
      <c r="A23" s="1" t="s">
        <v>2489</v>
      </c>
      <c r="C23" s="173"/>
      <c r="D23" s="178"/>
      <c r="E23" s="178" t="s">
        <v>2485</v>
      </c>
      <c r="F23" s="178">
        <v>225</v>
      </c>
      <c r="I23" s="6"/>
      <c r="J23" s="1">
        <v>200</v>
      </c>
    </row>
    <row r="24" customHeight="1" spans="1:10">
      <c r="A24" s="1" t="s">
        <v>2490</v>
      </c>
      <c r="C24" s="173"/>
      <c r="D24" s="178">
        <v>200</v>
      </c>
      <c r="E24" s="178" t="s">
        <v>2485</v>
      </c>
      <c r="F24" s="178">
        <v>225</v>
      </c>
      <c r="I24" s="6"/>
      <c r="J24" s="1">
        <v>250</v>
      </c>
    </row>
    <row r="25" customHeight="1" spans="1:10">
      <c r="A25" s="1" t="s">
        <v>2491</v>
      </c>
      <c r="C25" s="173"/>
      <c r="D25" s="165" t="s">
        <v>2492</v>
      </c>
      <c r="E25" s="165" t="s">
        <v>2485</v>
      </c>
      <c r="F25" s="174">
        <f>3*7*2/1</f>
        <v>42</v>
      </c>
      <c r="I25" s="6"/>
      <c r="J25" s="1" t="s">
        <v>2493</v>
      </c>
    </row>
    <row r="26" customHeight="1" spans="1:10">
      <c r="A26" s="1" t="s">
        <v>2494</v>
      </c>
      <c r="C26" s="173"/>
      <c r="D26" s="165" t="s">
        <v>2495</v>
      </c>
      <c r="E26" s="165" t="s">
        <v>2485</v>
      </c>
      <c r="F26" s="174" t="s">
        <v>2499</v>
      </c>
      <c r="I26" s="6"/>
      <c r="J26" s="1" t="s">
        <v>2497</v>
      </c>
    </row>
    <row r="27" customHeight="1" spans="1:10">
      <c r="A27" s="1" t="s">
        <v>2512</v>
      </c>
      <c r="C27" s="173"/>
      <c r="D27" s="165">
        <v>29</v>
      </c>
      <c r="E27" s="165" t="s">
        <v>2485</v>
      </c>
      <c r="F27" s="174" t="s">
        <v>2513</v>
      </c>
      <c r="I27" s="6"/>
      <c r="J27" s="1" t="s">
        <v>2501</v>
      </c>
    </row>
    <row r="28" customHeight="1" spans="3:9">
      <c r="C28" s="175"/>
      <c r="D28" s="176"/>
      <c r="E28" s="176"/>
      <c r="F28" s="177"/>
      <c r="G28" s="8"/>
      <c r="H28" s="8"/>
      <c r="I28" s="9"/>
    </row>
    <row r="29" customHeight="1" spans="1:10">
      <c r="A29" s="1" t="s">
        <v>2505</v>
      </c>
      <c r="D29" s="165"/>
      <c r="E29" s="165"/>
      <c r="F29" s="165"/>
      <c r="J29" s="1">
        <v>100</v>
      </c>
    </row>
    <row r="30" customHeight="1" spans="1:10">
      <c r="A30" s="1" t="s">
        <v>2506</v>
      </c>
      <c r="D30" s="165"/>
      <c r="E30" s="165"/>
      <c r="F30" s="165"/>
      <c r="J30" s="1">
        <v>100</v>
      </c>
    </row>
    <row r="31" customHeight="1" spans="1:10">
      <c r="A31" s="1" t="s">
        <v>2507</v>
      </c>
      <c r="D31" s="165"/>
      <c r="E31" s="165"/>
      <c r="F31" s="165"/>
      <c r="J31" s="1">
        <v>125</v>
      </c>
    </row>
    <row r="32" customHeight="1" spans="4:6">
      <c r="D32" s="165"/>
      <c r="E32" s="165"/>
      <c r="F32" s="165"/>
    </row>
    <row r="33" customHeight="1" spans="1:6">
      <c r="A33" s="166" t="s">
        <v>2514</v>
      </c>
      <c r="B33" s="117"/>
      <c r="D33" s="165"/>
      <c r="E33" s="165"/>
      <c r="F33" s="165"/>
    </row>
    <row r="34" customHeight="1" spans="1:10">
      <c r="A34" s="1"/>
      <c r="B34" s="1"/>
      <c r="C34" s="167" t="s">
        <v>2480</v>
      </c>
      <c r="D34" s="168" t="s">
        <v>1004</v>
      </c>
      <c r="E34" s="168" t="s">
        <v>2515</v>
      </c>
      <c r="F34" s="168" t="s">
        <v>2516</v>
      </c>
      <c r="G34" s="167" t="s">
        <v>2482</v>
      </c>
      <c r="H34" s="167" t="s">
        <v>2483</v>
      </c>
      <c r="I34" s="167"/>
      <c r="J34" s="1" t="s">
        <v>1007</v>
      </c>
    </row>
    <row r="35" customHeight="1" spans="1:10">
      <c r="A35" s="169" t="s">
        <v>1185</v>
      </c>
      <c r="B35" s="117"/>
      <c r="C35" s="170"/>
      <c r="D35" s="171"/>
      <c r="E35" s="171"/>
      <c r="F35" s="171"/>
      <c r="G35" s="172"/>
      <c r="H35" s="172"/>
      <c r="I35" s="181"/>
      <c r="J35" s="182"/>
    </row>
    <row r="36" customHeight="1" spans="1:9">
      <c r="A36" s="1" t="s">
        <v>2509</v>
      </c>
      <c r="C36" s="173"/>
      <c r="D36" s="165"/>
      <c r="E36" s="165">
        <v>65</v>
      </c>
      <c r="F36" s="174"/>
      <c r="I36" s="6"/>
    </row>
    <row r="37" customHeight="1" spans="1:9">
      <c r="A37" s="1" t="s">
        <v>2488</v>
      </c>
      <c r="C37" s="173"/>
      <c r="D37" s="165"/>
      <c r="E37" s="165">
        <v>65</v>
      </c>
      <c r="F37" s="174"/>
      <c r="I37" s="6"/>
    </row>
    <row r="38" customHeight="1" spans="1:9">
      <c r="A38" s="1" t="s">
        <v>973</v>
      </c>
      <c r="C38" s="173"/>
      <c r="D38" s="165"/>
      <c r="E38" s="165">
        <v>65</v>
      </c>
      <c r="F38" s="174"/>
      <c r="I38" s="6"/>
    </row>
    <row r="39" customHeight="1" spans="1:9">
      <c r="A39" s="1" t="s">
        <v>2490</v>
      </c>
      <c r="C39" s="173"/>
      <c r="D39" s="165"/>
      <c r="E39" s="165">
        <v>65</v>
      </c>
      <c r="F39" s="174"/>
      <c r="I39" s="6"/>
    </row>
    <row r="40" customHeight="1" spans="1:9">
      <c r="A40" s="1" t="s">
        <v>2491</v>
      </c>
      <c r="C40" s="173"/>
      <c r="D40" s="165"/>
      <c r="E40" s="165">
        <v>65</v>
      </c>
      <c r="F40" s="174"/>
      <c r="I40" s="6"/>
    </row>
    <row r="41" customHeight="1" spans="1:9">
      <c r="A41" s="1" t="s">
        <v>2494</v>
      </c>
      <c r="C41" s="173"/>
      <c r="D41" s="165"/>
      <c r="E41" s="165">
        <v>65</v>
      </c>
      <c r="F41" s="174"/>
      <c r="I41" s="6"/>
    </row>
    <row r="42" customHeight="1" spans="1:9">
      <c r="A42" s="1" t="s">
        <v>2192</v>
      </c>
      <c r="C42" s="173"/>
      <c r="D42" s="165"/>
      <c r="E42" s="165">
        <v>65</v>
      </c>
      <c r="F42" s="174" t="s">
        <v>2517</v>
      </c>
      <c r="I42" s="6"/>
    </row>
    <row r="43" customHeight="1" spans="3:9">
      <c r="C43" s="175"/>
      <c r="D43" s="176"/>
      <c r="E43" s="176"/>
      <c r="F43" s="177"/>
      <c r="G43" s="8"/>
      <c r="H43" s="8"/>
      <c r="I43" s="9"/>
    </row>
    <row r="44" customHeight="1" spans="4:6">
      <c r="D44" s="165"/>
      <c r="E44" s="165"/>
      <c r="F44" s="165"/>
    </row>
    <row r="45" customHeight="1" spans="4:6">
      <c r="D45" s="165"/>
      <c r="E45" s="165"/>
      <c r="F45" s="165"/>
    </row>
    <row r="46" customHeight="1" spans="1:6">
      <c r="A46" s="166" t="s">
        <v>2518</v>
      </c>
      <c r="B46" s="117"/>
      <c r="D46" s="165"/>
      <c r="E46" s="165"/>
      <c r="F46" s="165"/>
    </row>
    <row r="47" customHeight="1" spans="1:9">
      <c r="A47" s="1"/>
      <c r="B47" s="1"/>
      <c r="C47" s="167" t="s">
        <v>2480</v>
      </c>
      <c r="D47" s="168" t="s">
        <v>1004</v>
      </c>
      <c r="E47" s="168" t="s">
        <v>2519</v>
      </c>
      <c r="F47" s="179" t="s">
        <v>2516</v>
      </c>
      <c r="G47" s="167" t="s">
        <v>2482</v>
      </c>
      <c r="H47" s="167" t="s">
        <v>2483</v>
      </c>
      <c r="I47" s="167"/>
    </row>
    <row r="48" customHeight="1" spans="1:10">
      <c r="A48" s="169" t="s">
        <v>1185</v>
      </c>
      <c r="B48" s="117"/>
      <c r="C48" s="170"/>
      <c r="D48" s="171"/>
      <c r="E48" s="171"/>
      <c r="F48" s="180"/>
      <c r="G48" s="172"/>
      <c r="H48" s="172"/>
      <c r="I48" s="181"/>
      <c r="J48" s="182"/>
    </row>
    <row r="49" customHeight="1" spans="1:9">
      <c r="A49" s="1" t="s">
        <v>2488</v>
      </c>
      <c r="C49" s="173"/>
      <c r="D49" s="165">
        <v>86</v>
      </c>
      <c r="E49" s="165">
        <v>65</v>
      </c>
      <c r="F49" s="174"/>
      <c r="I49" s="6"/>
    </row>
    <row r="50" customHeight="1" spans="1:10">
      <c r="A50" s="1" t="s">
        <v>2490</v>
      </c>
      <c r="C50" s="173"/>
      <c r="D50" s="165">
        <v>107</v>
      </c>
      <c r="E50" s="165">
        <v>65</v>
      </c>
      <c r="F50" s="174"/>
      <c r="I50" s="6">
        <v>100</v>
      </c>
      <c r="J50" s="1"/>
    </row>
    <row r="51" customHeight="1" spans="1:9">
      <c r="A51" s="1" t="s">
        <v>2512</v>
      </c>
      <c r="C51" s="173"/>
      <c r="D51" s="165">
        <v>12</v>
      </c>
      <c r="E51" s="165">
        <v>65</v>
      </c>
      <c r="F51" s="174"/>
      <c r="I51" s="6"/>
    </row>
    <row r="52" customHeight="1" spans="1:9">
      <c r="A52" s="1" t="s">
        <v>2520</v>
      </c>
      <c r="C52" s="173"/>
      <c r="D52" s="165">
        <f>(33+43+25)/3</f>
        <v>33.6666666666667</v>
      </c>
      <c r="E52" s="165">
        <v>65</v>
      </c>
      <c r="F52" s="174"/>
      <c r="I52" s="6"/>
    </row>
    <row r="53" customHeight="1" spans="1:9">
      <c r="A53" s="1" t="s">
        <v>2491</v>
      </c>
      <c r="C53" s="173"/>
      <c r="D53" s="165">
        <v>84</v>
      </c>
      <c r="E53" s="165">
        <v>65</v>
      </c>
      <c r="F53" s="174"/>
      <c r="I53" s="6"/>
    </row>
    <row r="54" customHeight="1" spans="1:9">
      <c r="A54" s="1" t="s">
        <v>2494</v>
      </c>
      <c r="C54" s="173"/>
      <c r="D54" s="165">
        <v>68</v>
      </c>
      <c r="E54" s="165">
        <v>65</v>
      </c>
      <c r="F54" s="174"/>
      <c r="I54" s="6"/>
    </row>
    <row r="55" customHeight="1" spans="3:9">
      <c r="C55" s="173"/>
      <c r="D55" s="165"/>
      <c r="E55" s="165"/>
      <c r="F55" s="174"/>
      <c r="I55" s="6"/>
    </row>
    <row r="56" customHeight="1" spans="3:9">
      <c r="C56" s="175"/>
      <c r="D56" s="176"/>
      <c r="E56" s="176"/>
      <c r="F56" s="177"/>
      <c r="G56" s="8"/>
      <c r="H56" s="8"/>
      <c r="I56" s="9"/>
    </row>
    <row r="57" customHeight="1" spans="4:6">
      <c r="D57" s="165"/>
      <c r="E57" s="165"/>
      <c r="F57" s="165"/>
    </row>
    <row r="58" customHeight="1" spans="4:6">
      <c r="D58" s="165"/>
      <c r="E58" s="165"/>
      <c r="F58" s="165"/>
    </row>
    <row r="59" customHeight="1" spans="4:6">
      <c r="D59" s="165"/>
      <c r="E59" s="165"/>
      <c r="F59" s="165"/>
    </row>
    <row r="60" customHeight="1" spans="4:6">
      <c r="D60" s="165"/>
      <c r="E60" s="165"/>
      <c r="F60" s="165"/>
    </row>
    <row r="61" customHeight="1" spans="4:6">
      <c r="D61" s="165"/>
      <c r="E61" s="165"/>
      <c r="F61" s="165"/>
    </row>
    <row r="62" customHeight="1" spans="4:6">
      <c r="D62" s="165"/>
      <c r="E62" s="165"/>
      <c r="F62" s="165"/>
    </row>
    <row r="63" customHeight="1" spans="4:6">
      <c r="D63" s="165"/>
      <c r="E63" s="165"/>
      <c r="F63" s="165"/>
    </row>
    <row r="64" customHeight="1" spans="4:6">
      <c r="D64" s="165"/>
      <c r="E64" s="165"/>
      <c r="F64" s="165"/>
    </row>
    <row r="65" customHeight="1" spans="4:6">
      <c r="D65" s="165"/>
      <c r="E65" s="165"/>
      <c r="F65" s="165"/>
    </row>
    <row r="66" customHeight="1" spans="4:6">
      <c r="D66" s="165"/>
      <c r="E66" s="165"/>
      <c r="F66" s="165"/>
    </row>
    <row r="67" customHeight="1" spans="4:6">
      <c r="D67" s="165"/>
      <c r="E67" s="165"/>
      <c r="F67" s="165"/>
    </row>
    <row r="68" customHeight="1" spans="4:6">
      <c r="D68" s="165"/>
      <c r="E68" s="165"/>
      <c r="F68" s="165"/>
    </row>
    <row r="69" customHeight="1" spans="4:6">
      <c r="D69" s="165"/>
      <c r="E69" s="165"/>
      <c r="F69" s="165"/>
    </row>
    <row r="70" customHeight="1" spans="4:6">
      <c r="D70" s="165"/>
      <c r="E70" s="165"/>
      <c r="F70" s="165"/>
    </row>
    <row r="71" customHeight="1" spans="4:6">
      <c r="D71" s="165"/>
      <c r="E71" s="165"/>
      <c r="F71" s="165"/>
    </row>
    <row r="72" customHeight="1" spans="4:6">
      <c r="D72" s="165"/>
      <c r="E72" s="165"/>
      <c r="F72" s="165"/>
    </row>
    <row r="73" customHeight="1" spans="4:6">
      <c r="D73" s="165"/>
      <c r="E73" s="165"/>
      <c r="F73" s="165"/>
    </row>
    <row r="74" customHeight="1" spans="4:6">
      <c r="D74" s="165"/>
      <c r="E74" s="165"/>
      <c r="F74" s="165"/>
    </row>
    <row r="75" customHeight="1" spans="4:6">
      <c r="D75" s="165"/>
      <c r="E75" s="165"/>
      <c r="F75" s="165"/>
    </row>
    <row r="76" customHeight="1" spans="4:6">
      <c r="D76" s="165"/>
      <c r="E76" s="165"/>
      <c r="F76" s="165"/>
    </row>
    <row r="77" customHeight="1" spans="4:6">
      <c r="D77" s="165"/>
      <c r="E77" s="165"/>
      <c r="F77" s="165"/>
    </row>
    <row r="78" customHeight="1" spans="4:6">
      <c r="D78" s="165"/>
      <c r="E78" s="165"/>
      <c r="F78" s="165"/>
    </row>
    <row r="79" customHeight="1" spans="4:6">
      <c r="D79" s="165"/>
      <c r="E79" s="165"/>
      <c r="F79" s="165"/>
    </row>
    <row r="80" customHeight="1" spans="4:6">
      <c r="D80" s="165"/>
      <c r="E80" s="165"/>
      <c r="F80" s="165"/>
    </row>
    <row r="81" customHeight="1" spans="4:6">
      <c r="D81" s="165"/>
      <c r="E81" s="165"/>
      <c r="F81" s="165"/>
    </row>
    <row r="82" customHeight="1" spans="4:6">
      <c r="D82" s="165"/>
      <c r="E82" s="165"/>
      <c r="F82" s="165"/>
    </row>
    <row r="83" customHeight="1" spans="4:6">
      <c r="D83" s="165"/>
      <c r="E83" s="165"/>
      <c r="F83" s="165"/>
    </row>
    <row r="84" customHeight="1" spans="4:6">
      <c r="D84" s="165"/>
      <c r="E84" s="165"/>
      <c r="F84" s="165"/>
    </row>
    <row r="85" customHeight="1" spans="4:6">
      <c r="D85" s="165"/>
      <c r="E85" s="165"/>
      <c r="F85" s="165"/>
    </row>
    <row r="86" customHeight="1" spans="4:6">
      <c r="D86" s="165"/>
      <c r="E86" s="165"/>
      <c r="F86" s="165"/>
    </row>
    <row r="87" customHeight="1" spans="4:6">
      <c r="D87" s="165"/>
      <c r="E87" s="165"/>
      <c r="F87" s="165"/>
    </row>
    <row r="88" customHeight="1" spans="4:6">
      <c r="D88" s="165"/>
      <c r="E88" s="165"/>
      <c r="F88" s="165"/>
    </row>
    <row r="89" customHeight="1" spans="4:6">
      <c r="D89" s="165"/>
      <c r="E89" s="165"/>
      <c r="F89" s="165"/>
    </row>
    <row r="90" customHeight="1" spans="4:6">
      <c r="D90" s="165"/>
      <c r="E90" s="165"/>
      <c r="F90" s="165"/>
    </row>
    <row r="91" customHeight="1" spans="4:6">
      <c r="D91" s="165"/>
      <c r="E91" s="165"/>
      <c r="F91" s="165"/>
    </row>
    <row r="92" customHeight="1" spans="4:6">
      <c r="D92" s="165"/>
      <c r="E92" s="165"/>
      <c r="F92" s="165"/>
    </row>
    <row r="93" customHeight="1" spans="4:6">
      <c r="D93" s="165"/>
      <c r="E93" s="165"/>
      <c r="F93" s="165"/>
    </row>
    <row r="94" customHeight="1" spans="4:6">
      <c r="D94" s="165"/>
      <c r="E94" s="165"/>
      <c r="F94" s="165"/>
    </row>
    <row r="95" customHeight="1" spans="4:6">
      <c r="D95" s="165"/>
      <c r="E95" s="165"/>
      <c r="F95" s="165"/>
    </row>
    <row r="96" customHeight="1" spans="4:6">
      <c r="D96" s="165"/>
      <c r="E96" s="165"/>
      <c r="F96" s="165"/>
    </row>
    <row r="97" customHeight="1" spans="4:6">
      <c r="D97" s="165"/>
      <c r="E97" s="165"/>
      <c r="F97" s="165"/>
    </row>
    <row r="98" customHeight="1" spans="4:6">
      <c r="D98" s="165"/>
      <c r="E98" s="165"/>
      <c r="F98" s="165"/>
    </row>
    <row r="99" customHeight="1" spans="4:6">
      <c r="D99" s="165"/>
      <c r="E99" s="165"/>
      <c r="F99" s="165"/>
    </row>
    <row r="100" customHeight="1" spans="4:6">
      <c r="D100" s="165"/>
      <c r="E100" s="165"/>
      <c r="F100" s="165"/>
    </row>
    <row r="101" customHeight="1" spans="4:6">
      <c r="D101" s="165"/>
      <c r="E101" s="165"/>
      <c r="F101" s="165"/>
    </row>
    <row r="102" customHeight="1" spans="4:6">
      <c r="D102" s="165"/>
      <c r="E102" s="165"/>
      <c r="F102" s="165"/>
    </row>
    <row r="103" customHeight="1" spans="4:6">
      <c r="D103" s="165"/>
      <c r="E103" s="165"/>
      <c r="F103" s="165"/>
    </row>
    <row r="104" customHeight="1" spans="4:6">
      <c r="D104" s="165"/>
      <c r="E104" s="165"/>
      <c r="F104" s="165"/>
    </row>
    <row r="105" customHeight="1" spans="4:6">
      <c r="D105" s="165"/>
      <c r="E105" s="165"/>
      <c r="F105" s="165"/>
    </row>
    <row r="106" customHeight="1" spans="4:6">
      <c r="D106" s="165"/>
      <c r="E106" s="165"/>
      <c r="F106" s="165"/>
    </row>
    <row r="107" customHeight="1" spans="4:6">
      <c r="D107" s="165"/>
      <c r="E107" s="165"/>
      <c r="F107" s="165"/>
    </row>
    <row r="108" customHeight="1" spans="4:6">
      <c r="D108" s="165"/>
      <c r="E108" s="165"/>
      <c r="F108" s="165"/>
    </row>
    <row r="109" customHeight="1" spans="4:6">
      <c r="D109" s="165"/>
      <c r="E109" s="165"/>
      <c r="F109" s="165"/>
    </row>
    <row r="110" customHeight="1" spans="4:6">
      <c r="D110" s="165"/>
      <c r="E110" s="165"/>
      <c r="F110" s="165"/>
    </row>
    <row r="111" customHeight="1" spans="4:6">
      <c r="D111" s="165"/>
      <c r="E111" s="165"/>
      <c r="F111" s="165"/>
    </row>
    <row r="112" customHeight="1" spans="4:6">
      <c r="D112" s="165"/>
      <c r="E112" s="165"/>
      <c r="F112" s="165"/>
    </row>
    <row r="113" customHeight="1" spans="4:6">
      <c r="D113" s="165"/>
      <c r="E113" s="165"/>
      <c r="F113" s="165"/>
    </row>
    <row r="114" customHeight="1" spans="4:6">
      <c r="D114" s="165"/>
      <c r="E114" s="165"/>
      <c r="F114" s="165"/>
    </row>
    <row r="115" customHeight="1" spans="4:6">
      <c r="D115" s="165"/>
      <c r="E115" s="165"/>
      <c r="F115" s="165"/>
    </row>
    <row r="116" customHeight="1" spans="4:6">
      <c r="D116" s="165"/>
      <c r="E116" s="165"/>
      <c r="F116" s="165"/>
    </row>
    <row r="117" customHeight="1" spans="4:6">
      <c r="D117" s="165"/>
      <c r="E117" s="165"/>
      <c r="F117" s="165"/>
    </row>
    <row r="118" customHeight="1" spans="4:6">
      <c r="D118" s="165"/>
      <c r="E118" s="165"/>
      <c r="F118" s="165"/>
    </row>
    <row r="119" customHeight="1" spans="4:6">
      <c r="D119" s="165"/>
      <c r="E119" s="165"/>
      <c r="F119" s="165"/>
    </row>
    <row r="120" customHeight="1" spans="4:6">
      <c r="D120" s="165"/>
      <c r="E120" s="165"/>
      <c r="F120" s="165"/>
    </row>
    <row r="121" customHeight="1" spans="4:6">
      <c r="D121" s="165"/>
      <c r="E121" s="165"/>
      <c r="F121" s="165"/>
    </row>
    <row r="122" customHeight="1" spans="4:6">
      <c r="D122" s="165"/>
      <c r="E122" s="165"/>
      <c r="F122" s="165"/>
    </row>
    <row r="123" customHeight="1" spans="4:6">
      <c r="D123" s="165"/>
      <c r="E123" s="165"/>
      <c r="F123" s="165"/>
    </row>
    <row r="124" customHeight="1" spans="4:6">
      <c r="D124" s="165"/>
      <c r="E124" s="165"/>
      <c r="F124" s="165"/>
    </row>
    <row r="125" customHeight="1" spans="4:6">
      <c r="D125" s="165"/>
      <c r="E125" s="165"/>
      <c r="F125" s="165"/>
    </row>
    <row r="126" customHeight="1" spans="4:6">
      <c r="D126" s="165"/>
      <c r="E126" s="165"/>
      <c r="F126" s="165"/>
    </row>
    <row r="127" customHeight="1" spans="4:6">
      <c r="D127" s="165"/>
      <c r="E127" s="165"/>
      <c r="F127" s="165"/>
    </row>
    <row r="128" customHeight="1" spans="4:6">
      <c r="D128" s="165"/>
      <c r="E128" s="165"/>
      <c r="F128" s="165"/>
    </row>
    <row r="129" customHeight="1" spans="4:6">
      <c r="D129" s="165"/>
      <c r="E129" s="165"/>
      <c r="F129" s="165"/>
    </row>
    <row r="130" customHeight="1" spans="4:6">
      <c r="D130" s="165"/>
      <c r="E130" s="165"/>
      <c r="F130" s="165"/>
    </row>
    <row r="131" customHeight="1" spans="4:6">
      <c r="D131" s="165"/>
      <c r="E131" s="165"/>
      <c r="F131" s="165"/>
    </row>
    <row r="132" customHeight="1" spans="4:6">
      <c r="D132" s="165"/>
      <c r="E132" s="165"/>
      <c r="F132" s="165"/>
    </row>
    <row r="133" customHeight="1" spans="4:6">
      <c r="D133" s="165"/>
      <c r="E133" s="165"/>
      <c r="F133" s="165"/>
    </row>
    <row r="134" customHeight="1" spans="4:6">
      <c r="D134" s="165"/>
      <c r="E134" s="165"/>
      <c r="F134" s="165"/>
    </row>
    <row r="135" customHeight="1" spans="4:6">
      <c r="D135" s="165"/>
      <c r="E135" s="165"/>
      <c r="F135" s="165"/>
    </row>
    <row r="136" customHeight="1" spans="4:6">
      <c r="D136" s="165"/>
      <c r="E136" s="165"/>
      <c r="F136" s="165"/>
    </row>
    <row r="137" customHeight="1" spans="4:6">
      <c r="D137" s="165"/>
      <c r="E137" s="165"/>
      <c r="F137" s="165"/>
    </row>
    <row r="138" customHeight="1" spans="4:6">
      <c r="D138" s="165"/>
      <c r="E138" s="165"/>
      <c r="F138" s="165"/>
    </row>
    <row r="139" customHeight="1" spans="4:6">
      <c r="D139" s="165"/>
      <c r="E139" s="165"/>
      <c r="F139" s="165"/>
    </row>
    <row r="140" customHeight="1" spans="4:6">
      <c r="D140" s="165"/>
      <c r="E140" s="165"/>
      <c r="F140" s="165"/>
    </row>
    <row r="141" customHeight="1" spans="4:6">
      <c r="D141" s="165"/>
      <c r="E141" s="165"/>
      <c r="F141" s="165"/>
    </row>
    <row r="142" customHeight="1" spans="4:6">
      <c r="D142" s="165"/>
      <c r="E142" s="165"/>
      <c r="F142" s="165"/>
    </row>
    <row r="143" customHeight="1" spans="4:6">
      <c r="D143" s="165"/>
      <c r="E143" s="165"/>
      <c r="F143" s="165"/>
    </row>
    <row r="144" customHeight="1" spans="4:6">
      <c r="D144" s="165"/>
      <c r="E144" s="165"/>
      <c r="F144" s="165"/>
    </row>
    <row r="145" customHeight="1" spans="4:6">
      <c r="D145" s="165"/>
      <c r="E145" s="165"/>
      <c r="F145" s="165"/>
    </row>
    <row r="146" customHeight="1" spans="4:6">
      <c r="D146" s="165"/>
      <c r="E146" s="165"/>
      <c r="F146" s="165"/>
    </row>
    <row r="147" customHeight="1" spans="4:6">
      <c r="D147" s="165"/>
      <c r="E147" s="165"/>
      <c r="F147" s="165"/>
    </row>
    <row r="148" customHeight="1" spans="4:6">
      <c r="D148" s="165"/>
      <c r="E148" s="165"/>
      <c r="F148" s="165"/>
    </row>
    <row r="149" customHeight="1" spans="4:6">
      <c r="D149" s="165"/>
      <c r="E149" s="165"/>
      <c r="F149" s="165"/>
    </row>
    <row r="150" customHeight="1" spans="4:6">
      <c r="D150" s="165"/>
      <c r="E150" s="165"/>
      <c r="F150" s="165"/>
    </row>
    <row r="151" customHeight="1" spans="4:6">
      <c r="D151" s="165"/>
      <c r="E151" s="165"/>
      <c r="F151" s="165"/>
    </row>
    <row r="152" customHeight="1" spans="4:6">
      <c r="D152" s="165"/>
      <c r="E152" s="165"/>
      <c r="F152" s="165"/>
    </row>
    <row r="153" customHeight="1" spans="4:6">
      <c r="D153" s="165"/>
      <c r="E153" s="165"/>
      <c r="F153" s="165"/>
    </row>
    <row r="154" customHeight="1" spans="4:6">
      <c r="D154" s="165"/>
      <c r="E154" s="165"/>
      <c r="F154" s="165"/>
    </row>
    <row r="155" customHeight="1" spans="4:6">
      <c r="D155" s="165"/>
      <c r="E155" s="165"/>
      <c r="F155" s="165"/>
    </row>
    <row r="156" customHeight="1" spans="4:6">
      <c r="D156" s="165"/>
      <c r="E156" s="165"/>
      <c r="F156" s="165"/>
    </row>
    <row r="157" customHeight="1" spans="4:6">
      <c r="D157" s="165"/>
      <c r="E157" s="165"/>
      <c r="F157" s="165"/>
    </row>
    <row r="158" customHeight="1" spans="4:6">
      <c r="D158" s="165"/>
      <c r="E158" s="165"/>
      <c r="F158" s="165"/>
    </row>
    <row r="159" customHeight="1" spans="4:6">
      <c r="D159" s="165"/>
      <c r="E159" s="165"/>
      <c r="F159" s="165"/>
    </row>
    <row r="160" customHeight="1" spans="4:6">
      <c r="D160" s="165"/>
      <c r="E160" s="165"/>
      <c r="F160" s="165"/>
    </row>
    <row r="161" customHeight="1" spans="4:6">
      <c r="D161" s="165"/>
      <c r="E161" s="165"/>
      <c r="F161" s="165"/>
    </row>
    <row r="162" customHeight="1" spans="4:6">
      <c r="D162" s="165"/>
      <c r="E162" s="165"/>
      <c r="F162" s="165"/>
    </row>
    <row r="163" customHeight="1" spans="4:6">
      <c r="D163" s="165"/>
      <c r="E163" s="165"/>
      <c r="F163" s="165"/>
    </row>
    <row r="164" customHeight="1" spans="4:6">
      <c r="D164" s="165"/>
      <c r="E164" s="165"/>
      <c r="F164" s="165"/>
    </row>
    <row r="165" customHeight="1" spans="4:6">
      <c r="D165" s="165"/>
      <c r="E165" s="165"/>
      <c r="F165" s="165"/>
    </row>
    <row r="166" customHeight="1" spans="4:6">
      <c r="D166" s="165"/>
      <c r="E166" s="165"/>
      <c r="F166" s="165"/>
    </row>
    <row r="167" customHeight="1" spans="4:6">
      <c r="D167" s="165"/>
      <c r="E167" s="165"/>
      <c r="F167" s="165"/>
    </row>
    <row r="168" customHeight="1" spans="4:6">
      <c r="D168" s="165"/>
      <c r="E168" s="165"/>
      <c r="F168" s="165"/>
    </row>
    <row r="169" customHeight="1" spans="4:6">
      <c r="D169" s="165"/>
      <c r="E169" s="165"/>
      <c r="F169" s="165"/>
    </row>
    <row r="170" customHeight="1" spans="4:6">
      <c r="D170" s="165"/>
      <c r="E170" s="165"/>
      <c r="F170" s="165"/>
    </row>
    <row r="171" customHeight="1" spans="4:6">
      <c r="D171" s="165"/>
      <c r="E171" s="165"/>
      <c r="F171" s="165"/>
    </row>
    <row r="172" customHeight="1" spans="4:6">
      <c r="D172" s="165"/>
      <c r="E172" s="165"/>
      <c r="F172" s="165"/>
    </row>
    <row r="173" customHeight="1" spans="4:6">
      <c r="D173" s="165"/>
      <c r="E173" s="165"/>
      <c r="F173" s="165"/>
    </row>
    <row r="174" customHeight="1" spans="4:6">
      <c r="D174" s="165"/>
      <c r="E174" s="165"/>
      <c r="F174" s="165"/>
    </row>
    <row r="175" customHeight="1" spans="4:6">
      <c r="D175" s="165"/>
      <c r="E175" s="165"/>
      <c r="F175" s="165"/>
    </row>
    <row r="176" customHeight="1" spans="4:6">
      <c r="D176" s="165"/>
      <c r="E176" s="165"/>
      <c r="F176" s="165"/>
    </row>
    <row r="177" customHeight="1" spans="4:6">
      <c r="D177" s="165"/>
      <c r="E177" s="165"/>
      <c r="F177" s="165"/>
    </row>
    <row r="178" customHeight="1" spans="4:6">
      <c r="D178" s="165"/>
      <c r="E178" s="165"/>
      <c r="F178" s="165"/>
    </row>
    <row r="179" customHeight="1" spans="4:6">
      <c r="D179" s="165"/>
      <c r="E179" s="165"/>
      <c r="F179" s="165"/>
    </row>
    <row r="180" customHeight="1" spans="4:6">
      <c r="D180" s="165"/>
      <c r="E180" s="165"/>
      <c r="F180" s="165"/>
    </row>
    <row r="181" customHeight="1" spans="4:6">
      <c r="D181" s="165"/>
      <c r="E181" s="165"/>
      <c r="F181" s="165"/>
    </row>
    <row r="182" customHeight="1" spans="4:6">
      <c r="D182" s="165"/>
      <c r="E182" s="165"/>
      <c r="F182" s="165"/>
    </row>
    <row r="183" customHeight="1" spans="4:6">
      <c r="D183" s="165"/>
      <c r="E183" s="165"/>
      <c r="F183" s="165"/>
    </row>
    <row r="184" customHeight="1" spans="4:6">
      <c r="D184" s="165"/>
      <c r="E184" s="165"/>
      <c r="F184" s="165"/>
    </row>
    <row r="185" customHeight="1" spans="4:6">
      <c r="D185" s="165"/>
      <c r="E185" s="165"/>
      <c r="F185" s="165"/>
    </row>
    <row r="186" customHeight="1" spans="4:6">
      <c r="D186" s="165"/>
      <c r="E186" s="165"/>
      <c r="F186" s="165"/>
    </row>
    <row r="187" customHeight="1" spans="4:6">
      <c r="D187" s="165"/>
      <c r="E187" s="165"/>
      <c r="F187" s="165"/>
    </row>
    <row r="188" customHeight="1" spans="4:6">
      <c r="D188" s="165"/>
      <c r="E188" s="165"/>
      <c r="F188" s="165"/>
    </row>
    <row r="189" customHeight="1" spans="4:6">
      <c r="D189" s="165"/>
      <c r="E189" s="165"/>
      <c r="F189" s="165"/>
    </row>
    <row r="190" customHeight="1" spans="4:6">
      <c r="D190" s="165"/>
      <c r="E190" s="165"/>
      <c r="F190" s="165"/>
    </row>
    <row r="191" customHeight="1" spans="4:6">
      <c r="D191" s="165"/>
      <c r="E191" s="165"/>
      <c r="F191" s="165"/>
    </row>
    <row r="192" customHeight="1" spans="4:6">
      <c r="D192" s="165"/>
      <c r="E192" s="165"/>
      <c r="F192" s="165"/>
    </row>
    <row r="193" customHeight="1" spans="4:6">
      <c r="D193" s="165"/>
      <c r="E193" s="165"/>
      <c r="F193" s="165"/>
    </row>
    <row r="194" customHeight="1" spans="4:6">
      <c r="D194" s="165"/>
      <c r="E194" s="165"/>
      <c r="F194" s="165"/>
    </row>
    <row r="195" customHeight="1" spans="4:6">
      <c r="D195" s="165"/>
      <c r="E195" s="165"/>
      <c r="F195" s="165"/>
    </row>
    <row r="196" customHeight="1" spans="4:6">
      <c r="D196" s="165"/>
      <c r="E196" s="165"/>
      <c r="F196" s="165"/>
    </row>
    <row r="197" customHeight="1" spans="4:6">
      <c r="D197" s="165"/>
      <c r="E197" s="165"/>
      <c r="F197" s="165"/>
    </row>
    <row r="198" customHeight="1" spans="4:6">
      <c r="D198" s="165"/>
      <c r="E198" s="165"/>
      <c r="F198" s="165"/>
    </row>
    <row r="199" customHeight="1" spans="4:6">
      <c r="D199" s="165"/>
      <c r="E199" s="165"/>
      <c r="F199" s="165"/>
    </row>
    <row r="200" customHeight="1" spans="4:6">
      <c r="D200" s="165"/>
      <c r="E200" s="165"/>
      <c r="F200" s="165"/>
    </row>
    <row r="201" customHeight="1" spans="4:6">
      <c r="D201" s="165"/>
      <c r="E201" s="165"/>
      <c r="F201" s="165"/>
    </row>
    <row r="202" customHeight="1" spans="4:6">
      <c r="D202" s="165"/>
      <c r="E202" s="165"/>
      <c r="F202" s="165"/>
    </row>
    <row r="203" customHeight="1" spans="4:6">
      <c r="D203" s="165"/>
      <c r="E203" s="165"/>
      <c r="F203" s="165"/>
    </row>
    <row r="204" customHeight="1" spans="4:6">
      <c r="D204" s="165"/>
      <c r="E204" s="165"/>
      <c r="F204" s="165"/>
    </row>
    <row r="205" customHeight="1" spans="4:6">
      <c r="D205" s="165"/>
      <c r="E205" s="165"/>
      <c r="F205" s="165"/>
    </row>
    <row r="206" customHeight="1" spans="4:6">
      <c r="D206" s="165"/>
      <c r="E206" s="165"/>
      <c r="F206" s="165"/>
    </row>
    <row r="207" customHeight="1" spans="4:6">
      <c r="D207" s="165"/>
      <c r="E207" s="165"/>
      <c r="F207" s="165"/>
    </row>
    <row r="208" customHeight="1" spans="4:6">
      <c r="D208" s="165"/>
      <c r="E208" s="165"/>
      <c r="F208" s="165"/>
    </row>
    <row r="209" customHeight="1" spans="4:6">
      <c r="D209" s="165"/>
      <c r="E209" s="165"/>
      <c r="F209" s="165"/>
    </row>
    <row r="210" customHeight="1" spans="4:6">
      <c r="D210" s="165"/>
      <c r="E210" s="165"/>
      <c r="F210" s="165"/>
    </row>
    <row r="211" customHeight="1" spans="4:6">
      <c r="D211" s="165"/>
      <c r="E211" s="165"/>
      <c r="F211" s="165"/>
    </row>
    <row r="212" customHeight="1" spans="4:6">
      <c r="D212" s="165"/>
      <c r="E212" s="165"/>
      <c r="F212" s="165"/>
    </row>
    <row r="213" customHeight="1" spans="4:6">
      <c r="D213" s="165"/>
      <c r="E213" s="165"/>
      <c r="F213" s="165"/>
    </row>
    <row r="214" customHeight="1" spans="4:6">
      <c r="D214" s="165"/>
      <c r="E214" s="165"/>
      <c r="F214" s="165"/>
    </row>
    <row r="215" customHeight="1" spans="4:6">
      <c r="D215" s="165"/>
      <c r="E215" s="165"/>
      <c r="F215" s="165"/>
    </row>
    <row r="216" customHeight="1" spans="4:6">
      <c r="D216" s="165"/>
      <c r="E216" s="165"/>
      <c r="F216" s="165"/>
    </row>
    <row r="217" customHeight="1" spans="4:6">
      <c r="D217" s="165"/>
      <c r="E217" s="165"/>
      <c r="F217" s="165"/>
    </row>
    <row r="218" customHeight="1" spans="4:6">
      <c r="D218" s="165"/>
      <c r="E218" s="165"/>
      <c r="F218" s="165"/>
    </row>
    <row r="219" customHeight="1" spans="4:6">
      <c r="D219" s="165"/>
      <c r="E219" s="165"/>
      <c r="F219" s="165"/>
    </row>
    <row r="220" customHeight="1" spans="4:6">
      <c r="D220" s="165"/>
      <c r="E220" s="165"/>
      <c r="F220" s="165"/>
    </row>
    <row r="221" customHeight="1" spans="4:6">
      <c r="D221" s="165"/>
      <c r="E221" s="165"/>
      <c r="F221" s="165"/>
    </row>
    <row r="222" customHeight="1" spans="4:6">
      <c r="D222" s="165"/>
      <c r="E222" s="165"/>
      <c r="F222" s="165"/>
    </row>
    <row r="223" customHeight="1" spans="4:6">
      <c r="D223" s="165"/>
      <c r="E223" s="165"/>
      <c r="F223" s="165"/>
    </row>
    <row r="224" customHeight="1" spans="4:6">
      <c r="D224" s="165"/>
      <c r="E224" s="165"/>
      <c r="F224" s="165"/>
    </row>
    <row r="225" customHeight="1" spans="4:6">
      <c r="D225" s="165"/>
      <c r="E225" s="165"/>
      <c r="F225" s="165"/>
    </row>
    <row r="226" customHeight="1" spans="4:6">
      <c r="D226" s="165"/>
      <c r="E226" s="165"/>
      <c r="F226" s="165"/>
    </row>
    <row r="227" customHeight="1" spans="4:6">
      <c r="D227" s="165"/>
      <c r="E227" s="165"/>
      <c r="F227" s="165"/>
    </row>
    <row r="228" customHeight="1" spans="4:6">
      <c r="D228" s="165"/>
      <c r="E228" s="165"/>
      <c r="F228" s="165"/>
    </row>
    <row r="229" customHeight="1" spans="4:6">
      <c r="D229" s="165"/>
      <c r="E229" s="165"/>
      <c r="F229" s="165"/>
    </row>
    <row r="230" customHeight="1" spans="4:6">
      <c r="D230" s="165"/>
      <c r="E230" s="165"/>
      <c r="F230" s="165"/>
    </row>
    <row r="231" customHeight="1" spans="4:6">
      <c r="D231" s="165"/>
      <c r="E231" s="165"/>
      <c r="F231" s="165"/>
    </row>
    <row r="232" customHeight="1" spans="4:6">
      <c r="D232" s="165"/>
      <c r="E232" s="165"/>
      <c r="F232" s="165"/>
    </row>
    <row r="233" customHeight="1" spans="4:6">
      <c r="D233" s="165"/>
      <c r="E233" s="165"/>
      <c r="F233" s="165"/>
    </row>
    <row r="234" customHeight="1" spans="4:6">
      <c r="D234" s="165"/>
      <c r="E234" s="165"/>
      <c r="F234" s="165"/>
    </row>
    <row r="235" customHeight="1" spans="4:6">
      <c r="D235" s="165"/>
      <c r="E235" s="165"/>
      <c r="F235" s="165"/>
    </row>
    <row r="236" customHeight="1" spans="4:6">
      <c r="D236" s="165"/>
      <c r="E236" s="165"/>
      <c r="F236" s="165"/>
    </row>
    <row r="237" customHeight="1" spans="4:6">
      <c r="D237" s="165"/>
      <c r="E237" s="165"/>
      <c r="F237" s="165"/>
    </row>
    <row r="238" customHeight="1" spans="4:6">
      <c r="D238" s="165"/>
      <c r="E238" s="165"/>
      <c r="F238" s="165"/>
    </row>
    <row r="239" customHeight="1" spans="4:6">
      <c r="D239" s="165"/>
      <c r="E239" s="165"/>
      <c r="F239" s="165"/>
    </row>
    <row r="240" customHeight="1" spans="4:6">
      <c r="D240" s="165"/>
      <c r="E240" s="165"/>
      <c r="F240" s="165"/>
    </row>
    <row r="241" customHeight="1" spans="4:6">
      <c r="D241" s="165"/>
      <c r="E241" s="165"/>
      <c r="F241" s="165"/>
    </row>
    <row r="242" customHeight="1" spans="4:6">
      <c r="D242" s="165"/>
      <c r="E242" s="165"/>
      <c r="F242" s="165"/>
    </row>
    <row r="243" customHeight="1" spans="4:6">
      <c r="D243" s="165"/>
      <c r="E243" s="165"/>
      <c r="F243" s="165"/>
    </row>
    <row r="244" customHeight="1" spans="4:6">
      <c r="D244" s="165"/>
      <c r="E244" s="165"/>
      <c r="F244" s="165"/>
    </row>
    <row r="245" customHeight="1" spans="4:6">
      <c r="D245" s="165"/>
      <c r="E245" s="165"/>
      <c r="F245" s="165"/>
    </row>
    <row r="246" customHeight="1" spans="4:6">
      <c r="D246" s="165"/>
      <c r="E246" s="165"/>
      <c r="F246" s="165"/>
    </row>
    <row r="247" customHeight="1" spans="4:6">
      <c r="D247" s="165"/>
      <c r="E247" s="165"/>
      <c r="F247" s="165"/>
    </row>
    <row r="248" customHeight="1" spans="4:6">
      <c r="D248" s="165"/>
      <c r="E248" s="165"/>
      <c r="F248" s="165"/>
    </row>
    <row r="249" customHeight="1" spans="4:6">
      <c r="D249" s="165"/>
      <c r="E249" s="165"/>
      <c r="F249" s="165"/>
    </row>
    <row r="250" customHeight="1" spans="4:6">
      <c r="D250" s="165"/>
      <c r="E250" s="165"/>
      <c r="F250" s="165"/>
    </row>
    <row r="251" customHeight="1" spans="4:6">
      <c r="D251" s="165"/>
      <c r="E251" s="165"/>
      <c r="F251" s="165"/>
    </row>
    <row r="252" customHeight="1" spans="4:6">
      <c r="D252" s="165"/>
      <c r="E252" s="165"/>
      <c r="F252" s="165"/>
    </row>
    <row r="253" customHeight="1" spans="4:6">
      <c r="D253" s="165"/>
      <c r="E253" s="165"/>
      <c r="F253" s="165"/>
    </row>
    <row r="254" customHeight="1" spans="4:6">
      <c r="D254" s="165"/>
      <c r="E254" s="165"/>
      <c r="F254" s="165"/>
    </row>
  </sheetData>
  <mergeCells count="44">
    <mergeCell ref="A2:B2"/>
    <mergeCell ref="A4:B4"/>
    <mergeCell ref="A5:B5"/>
    <mergeCell ref="A7:B7"/>
    <mergeCell ref="A8:B8"/>
    <mergeCell ref="A9:B9"/>
    <mergeCell ref="A10:B10"/>
    <mergeCell ref="A11:B11"/>
    <mergeCell ref="A14:B14"/>
    <mergeCell ref="A15:B15"/>
    <mergeCell ref="A16:B16"/>
    <mergeCell ref="A18:B18"/>
    <mergeCell ref="A20:B20"/>
    <mergeCell ref="A21:B21"/>
    <mergeCell ref="A22:B22"/>
    <mergeCell ref="A23:B23"/>
    <mergeCell ref="A24:B24"/>
    <mergeCell ref="A25:B25"/>
    <mergeCell ref="A26:B26"/>
    <mergeCell ref="A27:B27"/>
    <mergeCell ref="A28:B28"/>
    <mergeCell ref="A29:B29"/>
    <mergeCell ref="A30:B30"/>
    <mergeCell ref="A31:B31"/>
    <mergeCell ref="A33:B33"/>
    <mergeCell ref="A35:B35"/>
    <mergeCell ref="A36:B36"/>
    <mergeCell ref="A37:B37"/>
    <mergeCell ref="A38:B38"/>
    <mergeCell ref="A39:B39"/>
    <mergeCell ref="A40:B40"/>
    <mergeCell ref="A41:B41"/>
    <mergeCell ref="A42:B42"/>
    <mergeCell ref="A43:B43"/>
    <mergeCell ref="A46:B46"/>
    <mergeCell ref="A48:B48"/>
    <mergeCell ref="A49:B49"/>
    <mergeCell ref="A50:B50"/>
    <mergeCell ref="A51:B51"/>
    <mergeCell ref="A52:B52"/>
    <mergeCell ref="A53:B53"/>
    <mergeCell ref="A54:B54"/>
    <mergeCell ref="A55:B55"/>
    <mergeCell ref="A56:B56"/>
  </mergeCells>
  <pageMargins left="0.75" right="0.75" top="1" bottom="1" header="0.5" footer="0.5"/>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2:I41"/>
  <sheetViews>
    <sheetView workbookViewId="0">
      <selection activeCell="A1" sqref="A1"/>
    </sheetView>
  </sheetViews>
  <sheetFormatPr defaultColWidth="12.6285714285714" defaultRowHeight="15.75" customHeight="1"/>
  <sheetData>
    <row r="2" customHeight="1" spans="2:9">
      <c r="B2" s="29" t="s">
        <v>2521</v>
      </c>
      <c r="I2" s="164" t="s">
        <v>2522</v>
      </c>
    </row>
    <row r="3" customHeight="1" spans="2:2">
      <c r="B3" s="29" t="s">
        <v>2523</v>
      </c>
    </row>
    <row r="4" customHeight="1" spans="2:2">
      <c r="B4" s="29" t="s">
        <v>2524</v>
      </c>
    </row>
    <row r="5" customHeight="1" spans="2:2">
      <c r="B5" s="29" t="s">
        <v>2525</v>
      </c>
    </row>
    <row r="6" customHeight="1" spans="2:2">
      <c r="B6" s="29" t="s">
        <v>2526</v>
      </c>
    </row>
    <row r="7" customHeight="1" spans="2:2">
      <c r="B7" s="29" t="s">
        <v>2527</v>
      </c>
    </row>
    <row r="8" customHeight="1" spans="2:2">
      <c r="B8" s="29" t="s">
        <v>2528</v>
      </c>
    </row>
    <row r="9" customHeight="1" spans="2:2">
      <c r="B9" s="29" t="s">
        <v>2529</v>
      </c>
    </row>
    <row r="10" customHeight="1" spans="2:2">
      <c r="B10" s="29" t="s">
        <v>2530</v>
      </c>
    </row>
    <row r="11" customHeight="1" spans="2:2">
      <c r="B11" s="29" t="s">
        <v>2523</v>
      </c>
    </row>
    <row r="12" customHeight="1" spans="2:2">
      <c r="B12" s="29" t="s">
        <v>2531</v>
      </c>
    </row>
    <row r="13" customHeight="1" spans="2:2">
      <c r="B13" s="29" t="s">
        <v>2532</v>
      </c>
    </row>
    <row r="14" customHeight="1" spans="2:2">
      <c r="B14" s="29" t="s">
        <v>2533</v>
      </c>
    </row>
    <row r="15" customHeight="1" spans="2:2">
      <c r="B15" s="29" t="s">
        <v>2534</v>
      </c>
    </row>
    <row r="16" customHeight="1" spans="2:2">
      <c r="B16" s="29" t="s">
        <v>2535</v>
      </c>
    </row>
    <row r="17" customHeight="1" spans="2:2">
      <c r="B17" s="29" t="s">
        <v>2523</v>
      </c>
    </row>
    <row r="18" customHeight="1" spans="2:2">
      <c r="B18" s="29" t="s">
        <v>2536</v>
      </c>
    </row>
    <row r="19" customHeight="1" spans="2:2">
      <c r="B19" s="29" t="s">
        <v>2537</v>
      </c>
    </row>
    <row r="20" customHeight="1" spans="2:2">
      <c r="B20" s="29" t="s">
        <v>2538</v>
      </c>
    </row>
    <row r="21" customHeight="1" spans="2:2">
      <c r="B21" s="29" t="s">
        <v>2539</v>
      </c>
    </row>
    <row r="22" customHeight="1" spans="2:2">
      <c r="B22" s="29" t="s">
        <v>2540</v>
      </c>
    </row>
    <row r="23" customHeight="1" spans="2:2">
      <c r="B23" s="29" t="s">
        <v>2523</v>
      </c>
    </row>
    <row r="24" customHeight="1" spans="2:2">
      <c r="B24" s="29" t="s">
        <v>2541</v>
      </c>
    </row>
    <row r="25" customHeight="1" spans="2:2">
      <c r="B25" s="29" t="s">
        <v>2526</v>
      </c>
    </row>
    <row r="26" customHeight="1" spans="2:2">
      <c r="B26" s="29" t="s">
        <v>2542</v>
      </c>
    </row>
    <row r="27" customHeight="1" spans="2:2">
      <c r="B27" s="29" t="s">
        <v>2543</v>
      </c>
    </row>
    <row r="28" customHeight="1" spans="2:2">
      <c r="B28" s="29" t="s">
        <v>2544</v>
      </c>
    </row>
    <row r="29" customHeight="1" spans="2:2">
      <c r="B29" s="29" t="s">
        <v>2545</v>
      </c>
    </row>
    <row r="30" customHeight="1" spans="2:2">
      <c r="B30" s="29" t="s">
        <v>2523</v>
      </c>
    </row>
    <row r="31" customHeight="1" spans="2:2">
      <c r="B31" s="29" t="s">
        <v>2531</v>
      </c>
    </row>
    <row r="32" customHeight="1" spans="2:2">
      <c r="B32" s="29" t="s">
        <v>2546</v>
      </c>
    </row>
    <row r="33" customHeight="1" spans="2:2">
      <c r="B33" s="29" t="s">
        <v>2547</v>
      </c>
    </row>
    <row r="34" customHeight="1" spans="2:2">
      <c r="B34" s="29" t="s">
        <v>2548</v>
      </c>
    </row>
    <row r="35" customHeight="1" spans="2:2">
      <c r="B35" s="29" t="s">
        <v>2549</v>
      </c>
    </row>
    <row r="36" customHeight="1" spans="2:2">
      <c r="B36" s="29" t="s">
        <v>2523</v>
      </c>
    </row>
    <row r="37" customHeight="1" spans="2:2">
      <c r="B37" s="29" t="s">
        <v>2536</v>
      </c>
    </row>
    <row r="38" customHeight="1" spans="2:2">
      <c r="B38" s="29" t="s">
        <v>2550</v>
      </c>
    </row>
    <row r="39" customHeight="1" spans="2:2">
      <c r="B39" s="29" t="s">
        <v>2551</v>
      </c>
    </row>
    <row r="40" customHeight="1" spans="2:2">
      <c r="B40" s="29" t="s">
        <v>2552</v>
      </c>
    </row>
    <row r="41" customHeight="1" spans="2:2">
      <c r="B41" s="29" t="s">
        <v>2553</v>
      </c>
    </row>
  </sheetData>
  <hyperlinks>
    <hyperlink ref="I2" r:id="rId1" display="From: https://www.painttalk.com/threads/production-rates-for-rough-stucco.13163/"/>
  </hyperlinks>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2.6285714285714" defaultRowHeight="15.75" customHeight="1"/>
  <cols>
    <col min="1" max="1" width="12.752380952381" customWidth="1"/>
    <col min="2" max="5" width="3.13333333333333" customWidth="1"/>
    <col min="6" max="6" width="4" customWidth="1"/>
    <col min="7" max="7" width="2.75238095238095" customWidth="1"/>
    <col min="8" max="8" width="3.62857142857143" customWidth="1"/>
    <col min="9" max="9" width="3.13333333333333" customWidth="1"/>
    <col min="10" max="10" width="5.13333333333333" customWidth="1"/>
    <col min="11" max="11" width="1.13333333333333" customWidth="1"/>
    <col min="12" max="12" width="12.752380952381" customWidth="1"/>
    <col min="13" max="16" width="3.13333333333333" customWidth="1"/>
    <col min="17" max="17" width="4" customWidth="1"/>
    <col min="18" max="18" width="2.75238095238095" customWidth="1"/>
    <col min="19" max="19" width="3.62857142857143" customWidth="1"/>
    <col min="20" max="20" width="3.13333333333333" customWidth="1"/>
    <col min="21" max="21" width="6.24761904761905" customWidth="1"/>
    <col min="22" max="26" width="7.62857142857143" customWidth="1"/>
  </cols>
  <sheetData>
    <row r="1" ht="12" customHeight="1" spans="1:26">
      <c r="A1" s="124" t="s">
        <v>2554</v>
      </c>
      <c r="B1" s="125"/>
      <c r="C1" s="126"/>
      <c r="D1" s="126"/>
      <c r="E1" s="126"/>
      <c r="F1" s="126"/>
      <c r="G1" s="127" t="s">
        <v>2555</v>
      </c>
      <c r="H1" s="96"/>
      <c r="I1" s="96"/>
      <c r="J1" s="96"/>
      <c r="K1" s="96"/>
      <c r="L1" s="96"/>
      <c r="M1" s="96"/>
      <c r="N1" s="96"/>
      <c r="O1" s="96"/>
      <c r="P1" s="96"/>
      <c r="Q1" s="117"/>
      <c r="R1" s="126"/>
      <c r="S1" s="156" t="s">
        <v>2556</v>
      </c>
      <c r="T1" s="157"/>
      <c r="U1" s="126"/>
      <c r="V1" s="126"/>
      <c r="W1" s="126"/>
      <c r="X1" s="126"/>
      <c r="Y1" s="126"/>
      <c r="Z1" s="126"/>
    </row>
    <row r="2" ht="9.75" customHeight="1" spans="1:26">
      <c r="A2" s="121"/>
      <c r="B2" s="121"/>
      <c r="C2" s="121"/>
      <c r="D2" s="121"/>
      <c r="E2" s="121"/>
      <c r="F2" s="121"/>
      <c r="G2" s="121"/>
      <c r="H2" s="121"/>
      <c r="I2" s="121"/>
      <c r="J2" s="121"/>
      <c r="K2" s="121"/>
      <c r="L2" s="121"/>
      <c r="M2" s="121"/>
      <c r="N2" s="121"/>
      <c r="O2" s="121"/>
      <c r="P2" s="121"/>
      <c r="Q2" s="126"/>
      <c r="R2" s="126"/>
      <c r="S2" s="126"/>
      <c r="T2" s="126"/>
      <c r="U2" s="126"/>
      <c r="V2" s="126"/>
      <c r="W2" s="126"/>
      <c r="X2" s="126"/>
      <c r="Y2" s="126"/>
      <c r="Z2" s="126"/>
    </row>
    <row r="3" ht="9.75" customHeight="1" spans="1:26">
      <c r="A3" s="128" t="s">
        <v>2557</v>
      </c>
      <c r="B3" s="129" t="s">
        <v>1718</v>
      </c>
      <c r="C3" s="129" t="s">
        <v>1721</v>
      </c>
      <c r="D3" s="129" t="s">
        <v>1720</v>
      </c>
      <c r="E3" s="129" t="s">
        <v>2558</v>
      </c>
      <c r="F3" s="129" t="s">
        <v>2559</v>
      </c>
      <c r="G3" s="129" t="s">
        <v>2560</v>
      </c>
      <c r="H3" s="129" t="s">
        <v>2561</v>
      </c>
      <c r="I3" s="129" t="s">
        <v>1064</v>
      </c>
      <c r="J3" s="121"/>
      <c r="K3" s="121"/>
      <c r="L3" s="116" t="s">
        <v>2562</v>
      </c>
      <c r="M3" s="148" t="s">
        <v>1718</v>
      </c>
      <c r="N3" s="148" t="s">
        <v>1721</v>
      </c>
      <c r="O3" s="148" t="s">
        <v>1720</v>
      </c>
      <c r="P3" s="148" t="s">
        <v>1719</v>
      </c>
      <c r="Q3" s="148" t="s">
        <v>2559</v>
      </c>
      <c r="R3" s="148" t="s">
        <v>2560</v>
      </c>
      <c r="S3" s="148" t="s">
        <v>2561</v>
      </c>
      <c r="T3" s="148" t="s">
        <v>2563</v>
      </c>
      <c r="U3" s="126"/>
      <c r="V3" s="126"/>
      <c r="W3" s="126"/>
      <c r="X3" s="126"/>
      <c r="Y3" s="126"/>
      <c r="Z3" s="126"/>
    </row>
    <row r="4" ht="9.75" customHeight="1" spans="1:26">
      <c r="A4" s="101" t="s">
        <v>2564</v>
      </c>
      <c r="B4" s="102"/>
      <c r="C4" s="102"/>
      <c r="D4" s="102"/>
      <c r="E4" s="102"/>
      <c r="F4" s="103">
        <f t="shared" ref="F4:F7" si="0">SUM(B4:E4)</f>
        <v>0</v>
      </c>
      <c r="G4" s="104">
        <v>250</v>
      </c>
      <c r="H4" s="101" t="s">
        <v>2565</v>
      </c>
      <c r="I4" s="105">
        <f t="shared" ref="I4:I6" si="1">F4/G4</f>
        <v>0</v>
      </c>
      <c r="J4" s="121"/>
      <c r="K4" s="121"/>
      <c r="L4" s="101" t="s">
        <v>2392</v>
      </c>
      <c r="M4" s="102"/>
      <c r="N4" s="102"/>
      <c r="O4" s="102"/>
      <c r="P4" s="102"/>
      <c r="Q4" s="103">
        <f t="shared" ref="Q4:Q17" si="2">SUM(M4:P4)</f>
        <v>0</v>
      </c>
      <c r="R4" s="104">
        <v>40</v>
      </c>
      <c r="S4" s="101" t="s">
        <v>2566</v>
      </c>
      <c r="T4" s="105">
        <f t="shared" ref="T4:T6" si="3">Q4/R4</f>
        <v>0</v>
      </c>
      <c r="U4" s="158"/>
      <c r="V4" s="126"/>
      <c r="W4" s="126"/>
      <c r="X4" s="126"/>
      <c r="Y4" s="126"/>
      <c r="Z4" s="126"/>
    </row>
    <row r="5" ht="9.75" customHeight="1" spans="1:26">
      <c r="A5" s="101" t="s">
        <v>2567</v>
      </c>
      <c r="B5" s="102"/>
      <c r="C5" s="102"/>
      <c r="D5" s="102"/>
      <c r="E5" s="102"/>
      <c r="F5" s="103">
        <f t="shared" si="0"/>
        <v>0</v>
      </c>
      <c r="G5" s="104">
        <v>500</v>
      </c>
      <c r="H5" s="101" t="s">
        <v>2568</v>
      </c>
      <c r="I5" s="105">
        <f t="shared" si="1"/>
        <v>0</v>
      </c>
      <c r="J5" s="121"/>
      <c r="K5" s="121"/>
      <c r="L5" s="101" t="s">
        <v>2569</v>
      </c>
      <c r="M5" s="102"/>
      <c r="N5" s="102"/>
      <c r="O5" s="102"/>
      <c r="P5" s="102"/>
      <c r="Q5" s="103">
        <f t="shared" si="2"/>
        <v>0</v>
      </c>
      <c r="R5" s="104">
        <v>60</v>
      </c>
      <c r="S5" s="101" t="s">
        <v>2566</v>
      </c>
      <c r="T5" s="105">
        <f t="shared" si="3"/>
        <v>0</v>
      </c>
      <c r="U5" s="126"/>
      <c r="V5" s="126"/>
      <c r="W5" s="126"/>
      <c r="X5" s="126"/>
      <c r="Y5" s="126"/>
      <c r="Z5" s="126"/>
    </row>
    <row r="6" ht="9.75" customHeight="1" spans="1:26">
      <c r="A6" s="101" t="s">
        <v>2570</v>
      </c>
      <c r="B6" s="102"/>
      <c r="C6" s="102"/>
      <c r="D6" s="102"/>
      <c r="E6" s="102"/>
      <c r="F6" s="103">
        <f t="shared" si="0"/>
        <v>0</v>
      </c>
      <c r="G6" s="104">
        <v>100</v>
      </c>
      <c r="H6" s="101" t="s">
        <v>2566</v>
      </c>
      <c r="I6" s="105">
        <f t="shared" si="1"/>
        <v>0</v>
      </c>
      <c r="J6" s="121"/>
      <c r="K6" s="121"/>
      <c r="L6" s="101" t="s">
        <v>2571</v>
      </c>
      <c r="M6" s="102"/>
      <c r="N6" s="102"/>
      <c r="O6" s="102"/>
      <c r="P6" s="102"/>
      <c r="Q6" s="103">
        <f t="shared" si="2"/>
        <v>0</v>
      </c>
      <c r="R6" s="104">
        <v>30</v>
      </c>
      <c r="S6" s="101" t="s">
        <v>2566</v>
      </c>
      <c r="T6" s="105">
        <f t="shared" si="3"/>
        <v>0</v>
      </c>
      <c r="U6" s="126"/>
      <c r="V6" s="126"/>
      <c r="W6" s="126"/>
      <c r="X6" s="126"/>
      <c r="Y6" s="126"/>
      <c r="Z6" s="126"/>
    </row>
    <row r="7" ht="9.75" customHeight="1" spans="1:26">
      <c r="A7" s="101" t="s">
        <v>2572</v>
      </c>
      <c r="B7" s="102"/>
      <c r="C7" s="102"/>
      <c r="D7" s="102"/>
      <c r="E7" s="102"/>
      <c r="F7" s="103">
        <f t="shared" si="0"/>
        <v>0</v>
      </c>
      <c r="G7" s="104">
        <v>10</v>
      </c>
      <c r="H7" s="101" t="s">
        <v>2573</v>
      </c>
      <c r="I7" s="105">
        <f>F7/6</f>
        <v>0</v>
      </c>
      <c r="J7" s="121"/>
      <c r="K7" s="121"/>
      <c r="L7" s="101" t="s">
        <v>2574</v>
      </c>
      <c r="M7" s="102"/>
      <c r="N7" s="102"/>
      <c r="O7" s="102"/>
      <c r="P7" s="102"/>
      <c r="Q7" s="103">
        <f t="shared" si="2"/>
        <v>0</v>
      </c>
      <c r="R7" s="104">
        <v>15</v>
      </c>
      <c r="S7" s="101" t="s">
        <v>2575</v>
      </c>
      <c r="T7" s="105">
        <f>Q7*0.25</f>
        <v>0</v>
      </c>
      <c r="U7" s="126"/>
      <c r="V7" s="126"/>
      <c r="W7" s="126"/>
      <c r="X7" s="126"/>
      <c r="Y7" s="126"/>
      <c r="Z7" s="126"/>
    </row>
    <row r="8" ht="9.75" customHeight="1" spans="1:26">
      <c r="A8" s="130" t="s">
        <v>2576</v>
      </c>
      <c r="B8" s="96"/>
      <c r="C8" s="96"/>
      <c r="D8" s="96"/>
      <c r="E8" s="96"/>
      <c r="F8" s="96"/>
      <c r="G8" s="96"/>
      <c r="H8" s="117"/>
      <c r="I8" s="149">
        <f>SUM(I4:I7)</f>
        <v>0</v>
      </c>
      <c r="J8" s="150"/>
      <c r="K8" s="150"/>
      <c r="L8" s="101" t="s">
        <v>2577</v>
      </c>
      <c r="M8" s="102"/>
      <c r="N8" s="102"/>
      <c r="O8" s="102"/>
      <c r="P8" s="102"/>
      <c r="Q8" s="103">
        <f t="shared" si="2"/>
        <v>0</v>
      </c>
      <c r="R8" s="104">
        <v>20</v>
      </c>
      <c r="S8" s="101" t="s">
        <v>2575</v>
      </c>
      <c r="T8" s="105">
        <f>Q8*0.333</f>
        <v>0</v>
      </c>
      <c r="U8" s="126"/>
      <c r="V8" s="126"/>
      <c r="W8" s="126"/>
      <c r="X8" s="126"/>
      <c r="Y8" s="126"/>
      <c r="Z8" s="126"/>
    </row>
    <row r="9" ht="9.75" customHeight="1" spans="1:26">
      <c r="A9" s="106" t="s">
        <v>2578</v>
      </c>
      <c r="B9" s="131" t="s">
        <v>1718</v>
      </c>
      <c r="C9" s="131" t="s">
        <v>1721</v>
      </c>
      <c r="D9" s="131" t="s">
        <v>1720</v>
      </c>
      <c r="E9" s="131" t="s">
        <v>1719</v>
      </c>
      <c r="F9" s="131" t="s">
        <v>2559</v>
      </c>
      <c r="G9" s="131" t="s">
        <v>2560</v>
      </c>
      <c r="H9" s="131" t="s">
        <v>2561</v>
      </c>
      <c r="I9" s="131" t="s">
        <v>1064</v>
      </c>
      <c r="J9" s="121"/>
      <c r="K9" s="121"/>
      <c r="L9" s="101" t="s">
        <v>2579</v>
      </c>
      <c r="M9" s="102"/>
      <c r="N9" s="102"/>
      <c r="O9" s="102"/>
      <c r="P9" s="102"/>
      <c r="Q9" s="103">
        <f t="shared" si="2"/>
        <v>0</v>
      </c>
      <c r="R9" s="104">
        <v>30</v>
      </c>
      <c r="S9" s="101" t="s">
        <v>2575</v>
      </c>
      <c r="T9" s="105">
        <f>Q9*0.5</f>
        <v>0</v>
      </c>
      <c r="U9" s="126"/>
      <c r="V9" s="126"/>
      <c r="W9" s="126"/>
      <c r="X9" s="126"/>
      <c r="Y9" s="126"/>
      <c r="Z9" s="126"/>
    </row>
    <row r="10" ht="9.75" customHeight="1" spans="1:26">
      <c r="A10" s="101" t="s">
        <v>505</v>
      </c>
      <c r="B10" s="102"/>
      <c r="C10" s="102"/>
      <c r="D10" s="102"/>
      <c r="E10" s="102"/>
      <c r="F10" s="103">
        <f t="shared" ref="F10:F23" si="4">SUM(B10:E10)</f>
        <v>0</v>
      </c>
      <c r="G10" s="104">
        <v>10</v>
      </c>
      <c r="H10" s="101" t="s">
        <v>2573</v>
      </c>
      <c r="I10" s="105">
        <f>F10/6</f>
        <v>0</v>
      </c>
      <c r="J10" s="121"/>
      <c r="K10" s="121"/>
      <c r="L10" s="101" t="s">
        <v>2580</v>
      </c>
      <c r="M10" s="102"/>
      <c r="N10" s="102"/>
      <c r="O10" s="102"/>
      <c r="P10" s="102"/>
      <c r="Q10" s="103">
        <f t="shared" si="2"/>
        <v>0</v>
      </c>
      <c r="R10" s="104">
        <v>4</v>
      </c>
      <c r="S10" s="101" t="s">
        <v>2581</v>
      </c>
      <c r="T10" s="105">
        <f>Q10*4</f>
        <v>0</v>
      </c>
      <c r="U10" s="126"/>
      <c r="V10" s="126"/>
      <c r="W10" s="126"/>
      <c r="X10" s="126"/>
      <c r="Y10" s="126"/>
      <c r="Z10" s="126"/>
    </row>
    <row r="11" ht="9.75" customHeight="1" spans="1:26">
      <c r="A11" s="101" t="s">
        <v>506</v>
      </c>
      <c r="B11" s="102"/>
      <c r="C11" s="102"/>
      <c r="D11" s="102"/>
      <c r="E11" s="102"/>
      <c r="F11" s="103">
        <f t="shared" si="4"/>
        <v>0</v>
      </c>
      <c r="G11" s="104">
        <v>20</v>
      </c>
      <c r="H11" s="101" t="s">
        <v>2573</v>
      </c>
      <c r="I11" s="105">
        <f>F11/3</f>
        <v>0</v>
      </c>
      <c r="J11" s="121"/>
      <c r="K11" s="121"/>
      <c r="L11" s="101" t="s">
        <v>2582</v>
      </c>
      <c r="M11" s="102"/>
      <c r="N11" s="102"/>
      <c r="O11" s="102"/>
      <c r="P11" s="102"/>
      <c r="Q11" s="103">
        <f t="shared" si="2"/>
        <v>0</v>
      </c>
      <c r="R11" s="104">
        <v>25</v>
      </c>
      <c r="S11" s="101" t="s">
        <v>2566</v>
      </c>
      <c r="T11" s="105">
        <f t="shared" ref="T11:T13" si="5">Q11/R11</f>
        <v>0</v>
      </c>
      <c r="U11" s="126"/>
      <c r="V11" s="126"/>
      <c r="W11" s="126"/>
      <c r="X11" s="126"/>
      <c r="Y11" s="126"/>
      <c r="Z11" s="126"/>
    </row>
    <row r="12" ht="9.75" customHeight="1" spans="1:26">
      <c r="A12" s="101" t="s">
        <v>507</v>
      </c>
      <c r="B12" s="102"/>
      <c r="C12" s="102"/>
      <c r="D12" s="102"/>
      <c r="E12" s="102"/>
      <c r="F12" s="103">
        <f t="shared" si="4"/>
        <v>0</v>
      </c>
      <c r="G12" s="104">
        <v>15</v>
      </c>
      <c r="H12" s="101" t="s">
        <v>2566</v>
      </c>
      <c r="I12" s="105">
        <f t="shared" ref="I12:I17" si="6">F12/G12</f>
        <v>0</v>
      </c>
      <c r="J12" s="121"/>
      <c r="K12" s="121"/>
      <c r="L12" s="101" t="s">
        <v>2583</v>
      </c>
      <c r="M12" s="102"/>
      <c r="N12" s="102"/>
      <c r="O12" s="102"/>
      <c r="P12" s="102"/>
      <c r="Q12" s="103">
        <f t="shared" si="2"/>
        <v>0</v>
      </c>
      <c r="R12" s="104">
        <v>10</v>
      </c>
      <c r="S12" s="101" t="s">
        <v>2566</v>
      </c>
      <c r="T12" s="105">
        <f t="shared" si="5"/>
        <v>0</v>
      </c>
      <c r="U12" s="126"/>
      <c r="V12" s="126"/>
      <c r="W12" s="126"/>
      <c r="X12" s="126"/>
      <c r="Y12" s="126"/>
      <c r="Z12" s="126"/>
    </row>
    <row r="13" ht="9.75" customHeight="1" spans="1:26">
      <c r="A13" s="101" t="s">
        <v>508</v>
      </c>
      <c r="B13" s="102"/>
      <c r="C13" s="102"/>
      <c r="D13" s="102"/>
      <c r="E13" s="102"/>
      <c r="F13" s="103">
        <f t="shared" si="4"/>
        <v>0</v>
      </c>
      <c r="G13" s="104">
        <v>9</v>
      </c>
      <c r="H13" s="101" t="s">
        <v>2566</v>
      </c>
      <c r="I13" s="105">
        <f t="shared" si="6"/>
        <v>0</v>
      </c>
      <c r="J13" s="121"/>
      <c r="K13" s="121"/>
      <c r="L13" s="101" t="s">
        <v>2584</v>
      </c>
      <c r="M13" s="102"/>
      <c r="N13" s="102"/>
      <c r="O13" s="102"/>
      <c r="P13" s="102"/>
      <c r="Q13" s="103">
        <f t="shared" si="2"/>
        <v>0</v>
      </c>
      <c r="R13" s="104">
        <v>50</v>
      </c>
      <c r="S13" s="101" t="s">
        <v>2568</v>
      </c>
      <c r="T13" s="105">
        <f t="shared" si="5"/>
        <v>0</v>
      </c>
      <c r="U13" s="126"/>
      <c r="V13" s="126"/>
      <c r="W13" s="126"/>
      <c r="X13" s="126"/>
      <c r="Y13" s="126"/>
      <c r="Z13" s="126"/>
    </row>
    <row r="14" ht="9.75" customHeight="1" spans="1:26">
      <c r="A14" s="101" t="s">
        <v>509</v>
      </c>
      <c r="B14" s="102"/>
      <c r="C14" s="102"/>
      <c r="D14" s="102"/>
      <c r="E14" s="102"/>
      <c r="F14" s="103">
        <f t="shared" si="4"/>
        <v>0</v>
      </c>
      <c r="G14" s="104">
        <v>70</v>
      </c>
      <c r="H14" s="101" t="s">
        <v>2568</v>
      </c>
      <c r="I14" s="105">
        <f t="shared" si="6"/>
        <v>0</v>
      </c>
      <c r="J14" s="121"/>
      <c r="K14" s="121"/>
      <c r="L14" s="101" t="s">
        <v>2585</v>
      </c>
      <c r="M14" s="102"/>
      <c r="N14" s="102"/>
      <c r="O14" s="102"/>
      <c r="P14" s="102"/>
      <c r="Q14" s="103">
        <f t="shared" si="2"/>
        <v>0</v>
      </c>
      <c r="R14" s="104">
        <v>30</v>
      </c>
      <c r="S14" s="101" t="s">
        <v>2575</v>
      </c>
      <c r="T14" s="105">
        <f>Q14*0.5</f>
        <v>0</v>
      </c>
      <c r="U14" s="126"/>
      <c r="V14" s="126"/>
      <c r="W14" s="126"/>
      <c r="X14" s="126"/>
      <c r="Y14" s="126"/>
      <c r="Z14" s="126"/>
    </row>
    <row r="15" ht="9.75" customHeight="1" spans="1:26">
      <c r="A15" s="101" t="s">
        <v>510</v>
      </c>
      <c r="B15" s="102"/>
      <c r="C15" s="102"/>
      <c r="D15" s="102"/>
      <c r="E15" s="102"/>
      <c r="F15" s="103">
        <f t="shared" si="4"/>
        <v>0</v>
      </c>
      <c r="G15" s="104">
        <v>50</v>
      </c>
      <c r="H15" s="101" t="s">
        <v>2568</v>
      </c>
      <c r="I15" s="105">
        <f t="shared" si="6"/>
        <v>0</v>
      </c>
      <c r="J15" s="121"/>
      <c r="K15" s="121"/>
      <c r="L15" s="101" t="s">
        <v>2586</v>
      </c>
      <c r="M15" s="102"/>
      <c r="N15" s="102"/>
      <c r="O15" s="102"/>
      <c r="P15" s="102"/>
      <c r="Q15" s="103">
        <f t="shared" si="2"/>
        <v>0</v>
      </c>
      <c r="R15" s="104">
        <v>40</v>
      </c>
      <c r="S15" s="101" t="s">
        <v>2566</v>
      </c>
      <c r="T15" s="105">
        <f t="shared" ref="T15:T17" si="7">Q15/R15</f>
        <v>0</v>
      </c>
      <c r="U15" s="126"/>
      <c r="V15" s="126"/>
      <c r="W15" s="126"/>
      <c r="X15" s="126"/>
      <c r="Y15" s="126"/>
      <c r="Z15" s="126"/>
    </row>
    <row r="16" ht="9.75" customHeight="1" spans="1:26">
      <c r="A16" s="101" t="s">
        <v>511</v>
      </c>
      <c r="B16" s="102"/>
      <c r="C16" s="102"/>
      <c r="D16" s="102"/>
      <c r="E16" s="102"/>
      <c r="F16" s="103">
        <f t="shared" si="4"/>
        <v>0</v>
      </c>
      <c r="G16" s="104">
        <v>35</v>
      </c>
      <c r="H16" s="101" t="s">
        <v>2568</v>
      </c>
      <c r="I16" s="105">
        <f t="shared" si="6"/>
        <v>0</v>
      </c>
      <c r="J16" s="121"/>
      <c r="K16" s="121"/>
      <c r="L16" s="101" t="s">
        <v>2587</v>
      </c>
      <c r="M16" s="102"/>
      <c r="N16" s="102"/>
      <c r="O16" s="102"/>
      <c r="P16" s="102"/>
      <c r="Q16" s="103">
        <f t="shared" si="2"/>
        <v>0</v>
      </c>
      <c r="R16" s="104">
        <v>8</v>
      </c>
      <c r="S16" s="101" t="s">
        <v>2566</v>
      </c>
      <c r="T16" s="105">
        <f t="shared" si="7"/>
        <v>0</v>
      </c>
      <c r="U16" s="126"/>
      <c r="V16" s="126"/>
      <c r="W16" s="126"/>
      <c r="X16" s="126"/>
      <c r="Y16" s="126"/>
      <c r="Z16" s="126"/>
    </row>
    <row r="17" ht="9.75" customHeight="1" spans="1:26">
      <c r="A17" s="101" t="s">
        <v>512</v>
      </c>
      <c r="B17" s="102"/>
      <c r="C17" s="102"/>
      <c r="D17" s="102"/>
      <c r="E17" s="102"/>
      <c r="F17" s="103">
        <f t="shared" si="4"/>
        <v>0</v>
      </c>
      <c r="G17" s="104">
        <v>60</v>
      </c>
      <c r="H17" s="101" t="s">
        <v>2568</v>
      </c>
      <c r="I17" s="105">
        <f t="shared" si="6"/>
        <v>0</v>
      </c>
      <c r="J17" s="121"/>
      <c r="K17" s="121"/>
      <c r="L17" s="101" t="s">
        <v>2588</v>
      </c>
      <c r="M17" s="102"/>
      <c r="N17" s="102"/>
      <c r="O17" s="102"/>
      <c r="P17" s="102"/>
      <c r="Q17" s="103">
        <f t="shared" si="2"/>
        <v>0</v>
      </c>
      <c r="R17" s="104">
        <v>8</v>
      </c>
      <c r="S17" s="101" t="s">
        <v>2566</v>
      </c>
      <c r="T17" s="105">
        <f t="shared" si="7"/>
        <v>0</v>
      </c>
      <c r="U17" s="126"/>
      <c r="V17" s="126"/>
      <c r="W17" s="126"/>
      <c r="X17" s="126"/>
      <c r="Y17" s="126"/>
      <c r="Z17" s="126"/>
    </row>
    <row r="18" ht="9.75" customHeight="1" spans="1:26">
      <c r="A18" s="101" t="s">
        <v>513</v>
      </c>
      <c r="B18" s="102"/>
      <c r="C18" s="102"/>
      <c r="D18" s="102"/>
      <c r="E18" s="102"/>
      <c r="F18" s="103">
        <f t="shared" si="4"/>
        <v>0</v>
      </c>
      <c r="G18" s="104">
        <v>20</v>
      </c>
      <c r="H18" s="101" t="s">
        <v>2573</v>
      </c>
      <c r="I18" s="105">
        <f>F18/3</f>
        <v>0</v>
      </c>
      <c r="J18" s="121"/>
      <c r="K18" s="121"/>
      <c r="L18" s="101"/>
      <c r="M18" s="102"/>
      <c r="N18" s="102"/>
      <c r="O18" s="102"/>
      <c r="P18" s="102"/>
      <c r="Q18" s="103"/>
      <c r="R18" s="104"/>
      <c r="S18" s="101"/>
      <c r="T18" s="105"/>
      <c r="U18" s="126"/>
      <c r="V18" s="126"/>
      <c r="W18" s="126"/>
      <c r="X18" s="126"/>
      <c r="Y18" s="126"/>
      <c r="Z18" s="126"/>
    </row>
    <row r="19" ht="9.75" customHeight="1" spans="1:26">
      <c r="A19" s="101" t="s">
        <v>514</v>
      </c>
      <c r="B19" s="102"/>
      <c r="C19" s="102"/>
      <c r="D19" s="102"/>
      <c r="E19" s="102"/>
      <c r="F19" s="103">
        <f t="shared" si="4"/>
        <v>0</v>
      </c>
      <c r="G19" s="104">
        <v>10</v>
      </c>
      <c r="H19" s="101" t="s">
        <v>2566</v>
      </c>
      <c r="I19" s="105">
        <f t="shared" ref="I19:I20" si="8">F19/G19</f>
        <v>0</v>
      </c>
      <c r="J19" s="121"/>
      <c r="K19" s="121"/>
      <c r="L19" s="101"/>
      <c r="M19" s="102"/>
      <c r="N19" s="102"/>
      <c r="O19" s="102"/>
      <c r="P19" s="102"/>
      <c r="Q19" s="103"/>
      <c r="R19" s="104"/>
      <c r="S19" s="101"/>
      <c r="T19" s="105"/>
      <c r="U19" s="126"/>
      <c r="V19" s="126"/>
      <c r="W19" s="126"/>
      <c r="X19" s="126"/>
      <c r="Y19" s="126"/>
      <c r="Z19" s="126"/>
    </row>
    <row r="20" ht="9.75" customHeight="1" spans="1:26">
      <c r="A20" s="101" t="s">
        <v>515</v>
      </c>
      <c r="B20" s="102"/>
      <c r="C20" s="102"/>
      <c r="D20" s="102"/>
      <c r="E20" s="102"/>
      <c r="F20" s="103">
        <f t="shared" si="4"/>
        <v>0</v>
      </c>
      <c r="G20" s="104">
        <v>60</v>
      </c>
      <c r="H20" s="101" t="s">
        <v>2566</v>
      </c>
      <c r="I20" s="105">
        <f t="shared" si="8"/>
        <v>0</v>
      </c>
      <c r="J20" s="122"/>
      <c r="K20" s="122"/>
      <c r="L20" s="151" t="s">
        <v>2589</v>
      </c>
      <c r="M20" s="96"/>
      <c r="N20" s="96"/>
      <c r="O20" s="96"/>
      <c r="P20" s="96"/>
      <c r="Q20" s="96"/>
      <c r="R20" s="96"/>
      <c r="S20" s="117"/>
      <c r="T20" s="149">
        <f>SUM(T4:T19)</f>
        <v>0</v>
      </c>
      <c r="U20" s="126"/>
      <c r="V20" s="126"/>
      <c r="W20" s="126"/>
      <c r="X20" s="126"/>
      <c r="Y20" s="126"/>
      <c r="Z20" s="126"/>
    </row>
    <row r="21" ht="9.75" customHeight="1" spans="1:26">
      <c r="A21" s="101" t="s">
        <v>516</v>
      </c>
      <c r="B21" s="102"/>
      <c r="C21" s="102"/>
      <c r="D21" s="102"/>
      <c r="E21" s="102"/>
      <c r="F21" s="103">
        <f t="shared" si="4"/>
        <v>0</v>
      </c>
      <c r="G21" s="104">
        <v>15</v>
      </c>
      <c r="H21" s="101" t="s">
        <v>2575</v>
      </c>
      <c r="I21" s="105">
        <f t="shared" ref="I21:I24" si="9">F21/4</f>
        <v>0</v>
      </c>
      <c r="J21" s="121"/>
      <c r="K21" s="121"/>
      <c r="L21" s="126"/>
      <c r="M21" s="126"/>
      <c r="N21" s="126"/>
      <c r="O21" s="126"/>
      <c r="P21" s="126"/>
      <c r="Q21" s="126"/>
      <c r="R21" s="126"/>
      <c r="S21" s="126"/>
      <c r="T21" s="126"/>
      <c r="U21" s="126"/>
      <c r="V21" s="126"/>
      <c r="W21" s="126"/>
      <c r="X21" s="126"/>
      <c r="Y21" s="126"/>
      <c r="Z21" s="126"/>
    </row>
    <row r="22" ht="9.75" customHeight="1" spans="1:26">
      <c r="A22" s="101" t="s">
        <v>251</v>
      </c>
      <c r="B22" s="102"/>
      <c r="C22" s="102"/>
      <c r="D22" s="102"/>
      <c r="E22" s="102"/>
      <c r="F22" s="103">
        <f t="shared" si="4"/>
        <v>0</v>
      </c>
      <c r="G22" s="104">
        <v>15</v>
      </c>
      <c r="H22" s="101" t="s">
        <v>2575</v>
      </c>
      <c r="I22" s="105">
        <f t="shared" si="9"/>
        <v>0</v>
      </c>
      <c r="J22" s="121"/>
      <c r="K22" s="121"/>
      <c r="L22" s="126"/>
      <c r="M22" s="126"/>
      <c r="N22" s="126"/>
      <c r="O22" s="126"/>
      <c r="P22" s="126"/>
      <c r="Q22" s="126"/>
      <c r="R22" s="126"/>
      <c r="S22" s="126"/>
      <c r="T22" s="126"/>
      <c r="U22" s="126"/>
      <c r="V22" s="126"/>
      <c r="W22" s="126"/>
      <c r="X22" s="126"/>
      <c r="Y22" s="126"/>
      <c r="Z22" s="126"/>
    </row>
    <row r="23" ht="9.75" customHeight="1" spans="1:26">
      <c r="A23" s="101" t="s">
        <v>252</v>
      </c>
      <c r="B23" s="102"/>
      <c r="C23" s="102"/>
      <c r="D23" s="102"/>
      <c r="E23" s="102"/>
      <c r="F23" s="103">
        <f t="shared" si="4"/>
        <v>0</v>
      </c>
      <c r="G23" s="104">
        <v>15</v>
      </c>
      <c r="H23" s="101" t="s">
        <v>2575</v>
      </c>
      <c r="I23" s="105">
        <f t="shared" si="9"/>
        <v>0</v>
      </c>
      <c r="J23" s="121"/>
      <c r="K23" s="121"/>
      <c r="L23" s="126"/>
      <c r="M23" s="126"/>
      <c r="N23" s="126"/>
      <c r="O23" s="126"/>
      <c r="P23" s="126"/>
      <c r="Q23" s="126"/>
      <c r="R23" s="126"/>
      <c r="S23" s="126"/>
      <c r="T23" s="126"/>
      <c r="U23" s="126"/>
      <c r="V23" s="126"/>
      <c r="W23" s="126"/>
      <c r="X23" s="126"/>
      <c r="Y23" s="126"/>
      <c r="Z23" s="126"/>
    </row>
    <row r="24" ht="9.75" customHeight="1" spans="1:26">
      <c r="A24" s="101" t="s">
        <v>253</v>
      </c>
      <c r="B24" s="102"/>
      <c r="C24" s="102"/>
      <c r="D24" s="102"/>
      <c r="E24" s="102"/>
      <c r="F24" s="103">
        <v>0</v>
      </c>
      <c r="G24" s="104">
        <v>15</v>
      </c>
      <c r="H24" s="101" t="s">
        <v>2575</v>
      </c>
      <c r="I24" s="105">
        <f t="shared" si="9"/>
        <v>0</v>
      </c>
      <c r="J24" s="121"/>
      <c r="K24" s="121"/>
      <c r="L24" s="126"/>
      <c r="M24" s="126"/>
      <c r="N24" s="126"/>
      <c r="O24" s="126"/>
      <c r="P24" s="126"/>
      <c r="Q24" s="126"/>
      <c r="R24" s="126"/>
      <c r="S24" s="126"/>
      <c r="T24" s="126"/>
      <c r="U24" s="126"/>
      <c r="V24" s="126"/>
      <c r="W24" s="126"/>
      <c r="X24" s="126"/>
      <c r="Y24" s="126"/>
      <c r="Z24" s="126"/>
    </row>
    <row r="25" ht="9.75" customHeight="1" spans="1:26">
      <c r="A25" s="101"/>
      <c r="B25" s="102"/>
      <c r="C25" s="102"/>
      <c r="D25" s="102"/>
      <c r="E25" s="102"/>
      <c r="F25" s="103"/>
      <c r="G25" s="104"/>
      <c r="H25" s="101"/>
      <c r="I25" s="105"/>
      <c r="J25" s="121"/>
      <c r="K25" s="121"/>
      <c r="L25" s="126"/>
      <c r="M25" s="126"/>
      <c r="N25" s="126"/>
      <c r="O25" s="126"/>
      <c r="P25" s="126"/>
      <c r="Q25" s="126"/>
      <c r="R25" s="126"/>
      <c r="S25" s="126"/>
      <c r="T25" s="126"/>
      <c r="U25" s="126"/>
      <c r="V25" s="126"/>
      <c r="W25" s="126"/>
      <c r="X25" s="126"/>
      <c r="Y25" s="126"/>
      <c r="Z25" s="126"/>
    </row>
    <row r="26" ht="9.75" customHeight="1" spans="1:26">
      <c r="A26" s="132" t="s">
        <v>2590</v>
      </c>
      <c r="B26" s="96"/>
      <c r="C26" s="96"/>
      <c r="D26" s="96"/>
      <c r="E26" s="96"/>
      <c r="F26" s="96"/>
      <c r="G26" s="96"/>
      <c r="H26" s="117"/>
      <c r="I26" s="149">
        <f>SUM(I10:I25)</f>
        <v>0</v>
      </c>
      <c r="J26" s="150"/>
      <c r="K26" s="150"/>
      <c r="L26" s="126"/>
      <c r="M26" s="126"/>
      <c r="N26" s="126"/>
      <c r="O26" s="126"/>
      <c r="P26" s="126"/>
      <c r="Q26" s="126"/>
      <c r="R26" s="126"/>
      <c r="S26" s="126"/>
      <c r="T26" s="126"/>
      <c r="U26" s="126"/>
      <c r="V26" s="126"/>
      <c r="W26" s="126"/>
      <c r="X26" s="126"/>
      <c r="Y26" s="126"/>
      <c r="Z26" s="126"/>
    </row>
    <row r="27" ht="9.75" customHeight="1" spans="1:26">
      <c r="A27" s="107" t="s">
        <v>2591</v>
      </c>
      <c r="B27" s="133" t="s">
        <v>1718</v>
      </c>
      <c r="C27" s="133" t="s">
        <v>1721</v>
      </c>
      <c r="D27" s="133" t="s">
        <v>1720</v>
      </c>
      <c r="E27" s="133" t="s">
        <v>1719</v>
      </c>
      <c r="F27" s="133" t="s">
        <v>2559</v>
      </c>
      <c r="G27" s="133" t="s">
        <v>2560</v>
      </c>
      <c r="H27" s="133" t="s">
        <v>2561</v>
      </c>
      <c r="I27" s="133" t="s">
        <v>1064</v>
      </c>
      <c r="J27" s="121"/>
      <c r="K27" s="121"/>
      <c r="L27" s="126"/>
      <c r="M27" s="126"/>
      <c r="N27" s="126"/>
      <c r="O27" s="126"/>
      <c r="P27" s="126"/>
      <c r="Q27" s="126"/>
      <c r="R27" s="126"/>
      <c r="S27" s="126"/>
      <c r="T27" s="126"/>
      <c r="U27" s="126"/>
      <c r="V27" s="126"/>
      <c r="W27" s="126"/>
      <c r="X27" s="126"/>
      <c r="Y27" s="126"/>
      <c r="Z27" s="126"/>
    </row>
    <row r="28" ht="9.75" customHeight="1" spans="1:26">
      <c r="A28" s="101" t="s">
        <v>2592</v>
      </c>
      <c r="B28" s="102"/>
      <c r="C28" s="102"/>
      <c r="D28" s="102"/>
      <c r="E28" s="102"/>
      <c r="F28" s="103">
        <f t="shared" ref="F28:F29" si="10">SUM(B28:E28)</f>
        <v>0</v>
      </c>
      <c r="G28" s="104">
        <v>15</v>
      </c>
      <c r="H28" s="101" t="s">
        <v>2575</v>
      </c>
      <c r="I28" s="105">
        <f>F28/4</f>
        <v>0</v>
      </c>
      <c r="J28" s="152"/>
      <c r="K28" s="121"/>
      <c r="L28" s="126"/>
      <c r="M28" s="126"/>
      <c r="N28" s="126"/>
      <c r="O28" s="126"/>
      <c r="P28" s="126"/>
      <c r="Q28" s="126"/>
      <c r="R28" s="126"/>
      <c r="S28" s="126"/>
      <c r="T28" s="126"/>
      <c r="U28" s="126"/>
      <c r="V28" s="126"/>
      <c r="W28" s="126"/>
      <c r="X28" s="126"/>
      <c r="Y28" s="126"/>
      <c r="Z28" s="126"/>
    </row>
    <row r="29" ht="9.75" customHeight="1" spans="1:26">
      <c r="A29" s="101" t="s">
        <v>2593</v>
      </c>
      <c r="B29" s="102"/>
      <c r="C29" s="102"/>
      <c r="D29" s="102"/>
      <c r="E29" s="102"/>
      <c r="F29" s="103">
        <f t="shared" si="10"/>
        <v>0</v>
      </c>
      <c r="G29" s="104">
        <v>150</v>
      </c>
      <c r="H29" s="101" t="s">
        <v>2566</v>
      </c>
      <c r="I29" s="105">
        <f>F29/G29</f>
        <v>0</v>
      </c>
      <c r="J29" s="152"/>
      <c r="K29" s="121"/>
      <c r="L29" s="126"/>
      <c r="M29" s="126"/>
      <c r="N29" s="126"/>
      <c r="O29" s="126"/>
      <c r="P29" s="126"/>
      <c r="Q29" s="126"/>
      <c r="R29" s="126"/>
      <c r="S29" s="126"/>
      <c r="T29" s="126"/>
      <c r="U29" s="126"/>
      <c r="V29" s="126"/>
      <c r="W29" s="126"/>
      <c r="X29" s="126"/>
      <c r="Y29" s="126"/>
      <c r="Z29" s="126"/>
    </row>
    <row r="30" ht="9.75" customHeight="1" spans="1:26">
      <c r="A30" s="134"/>
      <c r="B30" s="135"/>
      <c r="C30" s="135"/>
      <c r="D30" s="135"/>
      <c r="E30" s="135"/>
      <c r="F30" s="135"/>
      <c r="G30" s="136" t="s">
        <v>2594</v>
      </c>
      <c r="H30" s="137"/>
      <c r="I30" s="149">
        <f>SUM(I28:I29)</f>
        <v>0</v>
      </c>
      <c r="J30" s="121"/>
      <c r="K30" s="121"/>
      <c r="L30" s="126"/>
      <c r="M30" s="126"/>
      <c r="N30" s="126"/>
      <c r="O30" s="126"/>
      <c r="P30" s="126"/>
      <c r="Q30" s="126"/>
      <c r="R30" s="126"/>
      <c r="S30" s="126"/>
      <c r="T30" s="126"/>
      <c r="U30" s="126"/>
      <c r="V30" s="126"/>
      <c r="W30" s="126"/>
      <c r="X30" s="126"/>
      <c r="Y30" s="126"/>
      <c r="Z30" s="126"/>
    </row>
    <row r="31" ht="9.75" customHeight="1" spans="1:26">
      <c r="A31" s="108" t="s">
        <v>2595</v>
      </c>
      <c r="B31" s="138" t="s">
        <v>1718</v>
      </c>
      <c r="C31" s="138" t="s">
        <v>1721</v>
      </c>
      <c r="D31" s="138" t="s">
        <v>1720</v>
      </c>
      <c r="E31" s="138" t="s">
        <v>1719</v>
      </c>
      <c r="F31" s="138" t="s">
        <v>2559</v>
      </c>
      <c r="G31" s="138" t="s">
        <v>2560</v>
      </c>
      <c r="H31" s="138" t="s">
        <v>2561</v>
      </c>
      <c r="I31" s="138" t="s">
        <v>1064</v>
      </c>
      <c r="J31" s="153"/>
      <c r="K31" s="153"/>
      <c r="L31" s="126"/>
      <c r="M31" s="126"/>
      <c r="N31" s="126"/>
      <c r="O31" s="126"/>
      <c r="P31" s="126"/>
      <c r="Q31" s="126"/>
      <c r="R31" s="126"/>
      <c r="S31" s="126"/>
      <c r="T31" s="126"/>
      <c r="U31" s="126"/>
      <c r="V31" s="126"/>
      <c r="W31" s="126"/>
      <c r="X31" s="126"/>
      <c r="Y31" s="126"/>
      <c r="Z31" s="126"/>
    </row>
    <row r="32" ht="9.75" customHeight="1" spans="1:26">
      <c r="A32" s="109" t="s">
        <v>517</v>
      </c>
      <c r="B32" s="111"/>
      <c r="C32" s="111"/>
      <c r="D32" s="111"/>
      <c r="E32" s="111"/>
      <c r="F32" s="139">
        <f t="shared" ref="F32:F37" si="11">SUM(B32:E32)</f>
        <v>0</v>
      </c>
      <c r="G32" s="110">
        <v>15</v>
      </c>
      <c r="H32" s="111" t="s">
        <v>2575</v>
      </c>
      <c r="I32" s="154">
        <f>F32/4</f>
        <v>0</v>
      </c>
      <c r="J32" s="121"/>
      <c r="K32" s="121"/>
      <c r="L32" s="126"/>
      <c r="M32" s="126"/>
      <c r="N32" s="126"/>
      <c r="O32" s="126"/>
      <c r="P32" s="126"/>
      <c r="Q32" s="126"/>
      <c r="R32" s="126"/>
      <c r="S32" s="126"/>
      <c r="T32" s="126"/>
      <c r="U32" s="126"/>
      <c r="V32" s="126"/>
      <c r="W32" s="126"/>
      <c r="X32" s="126"/>
      <c r="Y32" s="126"/>
      <c r="Z32" s="126"/>
    </row>
    <row r="33" ht="9.75" customHeight="1" spans="1:26">
      <c r="A33" s="101" t="s">
        <v>518</v>
      </c>
      <c r="B33" s="102"/>
      <c r="C33" s="102"/>
      <c r="D33" s="102"/>
      <c r="E33" s="102"/>
      <c r="F33" s="103">
        <f t="shared" si="11"/>
        <v>0</v>
      </c>
      <c r="G33" s="104">
        <v>150</v>
      </c>
      <c r="H33" s="101" t="s">
        <v>2568</v>
      </c>
      <c r="I33" s="105">
        <f t="shared" ref="I33:I39" si="12">F33/G33</f>
        <v>0</v>
      </c>
      <c r="J33" s="121"/>
      <c r="K33" s="121"/>
      <c r="L33" s="155"/>
      <c r="M33" s="121"/>
      <c r="N33" s="121"/>
      <c r="O33" s="121"/>
      <c r="P33" s="121"/>
      <c r="Q33" s="121"/>
      <c r="R33" s="121"/>
      <c r="S33" s="121"/>
      <c r="T33" s="121"/>
      <c r="U33" s="126"/>
      <c r="V33" s="126"/>
      <c r="W33" s="126"/>
      <c r="X33" s="126"/>
      <c r="Y33" s="126"/>
      <c r="Z33" s="126"/>
    </row>
    <row r="34" ht="9.75" customHeight="1" spans="1:26">
      <c r="A34" s="101" t="s">
        <v>519</v>
      </c>
      <c r="B34" s="102"/>
      <c r="C34" s="102"/>
      <c r="D34" s="102"/>
      <c r="E34" s="102"/>
      <c r="F34" s="103">
        <f t="shared" si="11"/>
        <v>0</v>
      </c>
      <c r="G34" s="104">
        <v>100</v>
      </c>
      <c r="H34" s="101" t="s">
        <v>2568</v>
      </c>
      <c r="I34" s="105">
        <f t="shared" si="12"/>
        <v>0</v>
      </c>
      <c r="J34" s="121"/>
      <c r="K34" s="121"/>
      <c r="L34" s="121"/>
      <c r="M34" s="121"/>
      <c r="N34" s="121"/>
      <c r="O34" s="121"/>
      <c r="P34" s="121"/>
      <c r="Q34" s="121"/>
      <c r="R34" s="121"/>
      <c r="S34" s="121"/>
      <c r="T34" s="121"/>
      <c r="U34" s="126"/>
      <c r="V34" s="126"/>
      <c r="W34" s="126"/>
      <c r="X34" s="126"/>
      <c r="Y34" s="126"/>
      <c r="Z34" s="126"/>
    </row>
    <row r="35" ht="9.75" customHeight="1" spans="1:26">
      <c r="A35" s="101" t="s">
        <v>520</v>
      </c>
      <c r="B35" s="102"/>
      <c r="C35" s="102"/>
      <c r="D35" s="102"/>
      <c r="E35" s="102"/>
      <c r="F35" s="103">
        <f t="shared" si="11"/>
        <v>0</v>
      </c>
      <c r="G35" s="104">
        <v>70</v>
      </c>
      <c r="H35" s="101" t="s">
        <v>2568</v>
      </c>
      <c r="I35" s="105">
        <f t="shared" si="12"/>
        <v>0</v>
      </c>
      <c r="J35" s="121"/>
      <c r="K35" s="121"/>
      <c r="L35" s="121"/>
      <c r="M35" s="121"/>
      <c r="N35" s="121"/>
      <c r="O35" s="121"/>
      <c r="P35" s="121"/>
      <c r="Q35" s="121"/>
      <c r="R35" s="121"/>
      <c r="S35" s="121"/>
      <c r="T35" s="121"/>
      <c r="U35" s="126"/>
      <c r="V35" s="126"/>
      <c r="W35" s="126"/>
      <c r="X35" s="126"/>
      <c r="Y35" s="126"/>
      <c r="Z35" s="126"/>
    </row>
    <row r="36" ht="9.75" customHeight="1" spans="1:26">
      <c r="A36" s="101" t="s">
        <v>254</v>
      </c>
      <c r="B36" s="102"/>
      <c r="C36" s="102"/>
      <c r="D36" s="102"/>
      <c r="E36" s="102"/>
      <c r="F36" s="103">
        <f t="shared" si="11"/>
        <v>0</v>
      </c>
      <c r="G36" s="104">
        <v>50</v>
      </c>
      <c r="H36" s="101" t="s">
        <v>2568</v>
      </c>
      <c r="I36" s="105">
        <f t="shared" si="12"/>
        <v>0</v>
      </c>
      <c r="J36" s="121"/>
      <c r="K36" s="121"/>
      <c r="L36" s="121"/>
      <c r="M36" s="121"/>
      <c r="N36" s="121"/>
      <c r="O36" s="121"/>
      <c r="P36" s="121"/>
      <c r="Q36" s="121"/>
      <c r="R36" s="121"/>
      <c r="S36" s="121"/>
      <c r="T36" s="121"/>
      <c r="U36" s="126"/>
      <c r="V36" s="126"/>
      <c r="W36" s="126"/>
      <c r="X36" s="126"/>
      <c r="Y36" s="126"/>
      <c r="Z36" s="126"/>
    </row>
    <row r="37" ht="9.75" customHeight="1" spans="1:26">
      <c r="A37" s="101" t="s">
        <v>2596</v>
      </c>
      <c r="B37" s="102"/>
      <c r="C37" s="102"/>
      <c r="D37" s="102"/>
      <c r="E37" s="102"/>
      <c r="F37" s="103">
        <f t="shared" si="11"/>
        <v>0</v>
      </c>
      <c r="G37" s="104">
        <v>200</v>
      </c>
      <c r="H37" s="101" t="s">
        <v>2568</v>
      </c>
      <c r="I37" s="105">
        <f t="shared" si="12"/>
        <v>0</v>
      </c>
      <c r="J37" s="121"/>
      <c r="K37" s="121"/>
      <c r="L37" s="121"/>
      <c r="M37" s="121"/>
      <c r="N37" s="121"/>
      <c r="O37" s="121"/>
      <c r="P37" s="121"/>
      <c r="Q37" s="121"/>
      <c r="R37" s="121"/>
      <c r="S37" s="121"/>
      <c r="T37" s="121"/>
      <c r="U37" s="126"/>
      <c r="V37" s="126"/>
      <c r="W37" s="126"/>
      <c r="X37" s="126"/>
      <c r="Y37" s="126"/>
      <c r="Z37" s="126"/>
    </row>
    <row r="38" ht="9.75" customHeight="1" spans="1:26">
      <c r="A38" s="101" t="s">
        <v>2597</v>
      </c>
      <c r="B38" s="102"/>
      <c r="C38" s="102"/>
      <c r="D38" s="102"/>
      <c r="E38" s="102"/>
      <c r="F38" s="103"/>
      <c r="G38" s="104">
        <v>300</v>
      </c>
      <c r="H38" s="101" t="s">
        <v>2568</v>
      </c>
      <c r="I38" s="105">
        <f t="shared" si="12"/>
        <v>0</v>
      </c>
      <c r="J38" s="121"/>
      <c r="K38" s="121"/>
      <c r="L38" s="121"/>
      <c r="M38" s="121"/>
      <c r="N38" s="121"/>
      <c r="O38" s="121"/>
      <c r="P38" s="121"/>
      <c r="Q38" s="121"/>
      <c r="R38" s="121"/>
      <c r="S38" s="121"/>
      <c r="T38" s="121"/>
      <c r="U38" s="126"/>
      <c r="V38" s="126"/>
      <c r="W38" s="126"/>
      <c r="X38" s="126"/>
      <c r="Y38" s="126"/>
      <c r="Z38" s="126"/>
    </row>
    <row r="39" ht="9.75" customHeight="1" spans="1:26">
      <c r="A39" s="101" t="s">
        <v>2598</v>
      </c>
      <c r="B39" s="102"/>
      <c r="C39" s="102"/>
      <c r="D39" s="102"/>
      <c r="E39" s="102"/>
      <c r="F39" s="103"/>
      <c r="G39" s="104">
        <v>150</v>
      </c>
      <c r="H39" s="101" t="s">
        <v>2568</v>
      </c>
      <c r="I39" s="105">
        <f t="shared" si="12"/>
        <v>0</v>
      </c>
      <c r="J39" s="121"/>
      <c r="K39" s="121"/>
      <c r="L39" s="121"/>
      <c r="M39" s="121"/>
      <c r="N39" s="121"/>
      <c r="O39" s="121"/>
      <c r="P39" s="121"/>
      <c r="Q39" s="121"/>
      <c r="R39" s="121"/>
      <c r="S39" s="121"/>
      <c r="T39" s="121"/>
      <c r="U39" s="126"/>
      <c r="V39" s="126"/>
      <c r="W39" s="126"/>
      <c r="X39" s="126"/>
      <c r="Y39" s="126"/>
      <c r="Z39" s="126"/>
    </row>
    <row r="40" ht="9.75" customHeight="1" spans="1:26">
      <c r="A40" s="101"/>
      <c r="B40" s="101"/>
      <c r="C40" s="101"/>
      <c r="D40" s="101"/>
      <c r="E40" s="101"/>
      <c r="F40" s="140"/>
      <c r="G40" s="101"/>
      <c r="H40" s="101"/>
      <c r="I40" s="101"/>
      <c r="J40" s="121"/>
      <c r="K40" s="121"/>
      <c r="L40" s="121"/>
      <c r="M40" s="121"/>
      <c r="N40" s="121"/>
      <c r="O40" s="121"/>
      <c r="P40" s="121"/>
      <c r="Q40" s="121"/>
      <c r="R40" s="121"/>
      <c r="S40" s="121"/>
      <c r="T40" s="121"/>
      <c r="U40" s="126"/>
      <c r="V40" s="126"/>
      <c r="W40" s="126"/>
      <c r="X40" s="126"/>
      <c r="Y40" s="126"/>
      <c r="Z40" s="126"/>
    </row>
    <row r="41" ht="9.75" customHeight="1" spans="1:26">
      <c r="A41" s="141" t="s">
        <v>2599</v>
      </c>
      <c r="B41" s="96"/>
      <c r="C41" s="96"/>
      <c r="D41" s="96"/>
      <c r="E41" s="96"/>
      <c r="F41" s="96"/>
      <c r="G41" s="96"/>
      <c r="H41" s="117"/>
      <c r="I41" s="149">
        <f>SUM(I33:I40)</f>
        <v>0</v>
      </c>
      <c r="J41" s="121"/>
      <c r="K41" s="121"/>
      <c r="L41" s="121"/>
      <c r="M41" s="121"/>
      <c r="N41" s="121"/>
      <c r="O41" s="121"/>
      <c r="P41" s="121"/>
      <c r="Q41" s="121"/>
      <c r="R41" s="121"/>
      <c r="S41" s="121"/>
      <c r="T41" s="121"/>
      <c r="U41" s="126"/>
      <c r="V41" s="126"/>
      <c r="W41" s="126"/>
      <c r="X41" s="126"/>
      <c r="Y41" s="126"/>
      <c r="Z41" s="126"/>
    </row>
    <row r="42" ht="9.75" customHeight="1" spans="1:26">
      <c r="A42" s="113" t="s">
        <v>2600</v>
      </c>
      <c r="B42" s="142" t="s">
        <v>1718</v>
      </c>
      <c r="C42" s="142" t="s">
        <v>1721</v>
      </c>
      <c r="D42" s="142" t="s">
        <v>1720</v>
      </c>
      <c r="E42" s="142" t="s">
        <v>1719</v>
      </c>
      <c r="F42" s="142" t="s">
        <v>2559</v>
      </c>
      <c r="G42" s="142" t="s">
        <v>2560</v>
      </c>
      <c r="H42" s="142" t="s">
        <v>2561</v>
      </c>
      <c r="I42" s="142" t="s">
        <v>2563</v>
      </c>
      <c r="J42" s="122"/>
      <c r="N42" s="121"/>
      <c r="O42" s="121"/>
      <c r="P42" s="121"/>
      <c r="Q42" s="121"/>
      <c r="R42" s="121"/>
      <c r="S42" s="121"/>
      <c r="T42" s="121"/>
      <c r="U42" s="126"/>
      <c r="V42" s="126"/>
      <c r="W42" s="126"/>
      <c r="X42" s="126"/>
      <c r="Y42" s="126"/>
      <c r="Z42" s="126"/>
    </row>
    <row r="43" ht="9.75" customHeight="1" spans="1:26">
      <c r="A43" s="101" t="s">
        <v>2601</v>
      </c>
      <c r="B43" s="102"/>
      <c r="C43" s="102"/>
      <c r="D43" s="102"/>
      <c r="E43" s="102"/>
      <c r="F43" s="103">
        <f t="shared" ref="F43:F48" si="13">SUM(B43:E43)</f>
        <v>0</v>
      </c>
      <c r="G43" s="104">
        <v>12.5</v>
      </c>
      <c r="H43" s="101" t="s">
        <v>2568</v>
      </c>
      <c r="I43" s="105">
        <f t="shared" ref="I43:I48" si="14">F43/G43</f>
        <v>0</v>
      </c>
      <c r="J43" s="121"/>
      <c r="K43" s="121"/>
      <c r="L43" s="121"/>
      <c r="M43" s="121"/>
      <c r="N43" s="121"/>
      <c r="O43" s="121"/>
      <c r="P43" s="121"/>
      <c r="Q43" s="121"/>
      <c r="R43" s="121"/>
      <c r="S43" s="121"/>
      <c r="T43" s="121"/>
      <c r="U43" s="126"/>
      <c r="V43" s="126"/>
      <c r="W43" s="126"/>
      <c r="X43" s="126"/>
      <c r="Y43" s="126"/>
      <c r="Z43" s="126"/>
    </row>
    <row r="44" ht="9.75" customHeight="1" spans="1:26">
      <c r="A44" s="101" t="s">
        <v>2602</v>
      </c>
      <c r="B44" s="102"/>
      <c r="C44" s="102"/>
      <c r="D44" s="102"/>
      <c r="E44" s="102"/>
      <c r="F44" s="103">
        <f t="shared" si="13"/>
        <v>0</v>
      </c>
      <c r="G44" s="104">
        <v>10</v>
      </c>
      <c r="H44" s="101" t="s">
        <v>2568</v>
      </c>
      <c r="I44" s="105">
        <f t="shared" si="14"/>
        <v>0</v>
      </c>
      <c r="J44" s="121"/>
      <c r="K44" s="121"/>
      <c r="L44" s="121"/>
      <c r="M44" s="121"/>
      <c r="N44" s="121"/>
      <c r="O44" s="121"/>
      <c r="P44" s="121"/>
      <c r="Q44" s="121"/>
      <c r="R44" s="121"/>
      <c r="S44" s="121"/>
      <c r="T44" s="121"/>
      <c r="U44" s="126"/>
      <c r="V44" s="126"/>
      <c r="W44" s="126"/>
      <c r="X44" s="126"/>
      <c r="Y44" s="126"/>
      <c r="Z44" s="126"/>
    </row>
    <row r="45" ht="9.75" customHeight="1" spans="1:26">
      <c r="A45" s="101" t="s">
        <v>2603</v>
      </c>
      <c r="B45" s="102"/>
      <c r="C45" s="102"/>
      <c r="D45" s="102"/>
      <c r="E45" s="102"/>
      <c r="F45" s="103">
        <f t="shared" si="13"/>
        <v>0</v>
      </c>
      <c r="G45" s="104">
        <v>7.5</v>
      </c>
      <c r="H45" s="101" t="s">
        <v>2568</v>
      </c>
      <c r="I45" s="105">
        <f t="shared" si="14"/>
        <v>0</v>
      </c>
      <c r="J45" s="121"/>
      <c r="K45" s="121"/>
      <c r="L45" s="121"/>
      <c r="M45" s="121"/>
      <c r="N45" s="121"/>
      <c r="O45" s="121"/>
      <c r="P45" s="121"/>
      <c r="Q45" s="121"/>
      <c r="R45" s="121"/>
      <c r="S45" s="121"/>
      <c r="T45" s="121"/>
      <c r="U45" s="126"/>
      <c r="V45" s="126"/>
      <c r="W45" s="126"/>
      <c r="X45" s="126"/>
      <c r="Y45" s="126"/>
      <c r="Z45" s="126"/>
    </row>
    <row r="46" ht="9.75" customHeight="1" spans="1:26">
      <c r="A46" s="101" t="s">
        <v>2604</v>
      </c>
      <c r="B46" s="102"/>
      <c r="C46" s="102"/>
      <c r="D46" s="102"/>
      <c r="E46" s="102"/>
      <c r="F46" s="103">
        <f t="shared" si="13"/>
        <v>0</v>
      </c>
      <c r="G46" s="104">
        <v>6</v>
      </c>
      <c r="H46" s="101" t="s">
        <v>2568</v>
      </c>
      <c r="I46" s="105">
        <f t="shared" si="14"/>
        <v>0</v>
      </c>
      <c r="J46" s="121"/>
      <c r="K46" s="121"/>
      <c r="L46" s="121"/>
      <c r="M46" s="121"/>
      <c r="N46" s="121"/>
      <c r="O46" s="121"/>
      <c r="P46" s="121"/>
      <c r="Q46" s="121"/>
      <c r="R46" s="121"/>
      <c r="S46" s="121"/>
      <c r="T46" s="121"/>
      <c r="U46" s="126"/>
      <c r="V46" s="126"/>
      <c r="W46" s="126"/>
      <c r="X46" s="126"/>
      <c r="Y46" s="126"/>
      <c r="Z46" s="126"/>
    </row>
    <row r="47" ht="9.75" customHeight="1" spans="1:26">
      <c r="A47" s="101" t="s">
        <v>2605</v>
      </c>
      <c r="B47" s="102"/>
      <c r="C47" s="102"/>
      <c r="D47" s="102"/>
      <c r="E47" s="102"/>
      <c r="F47" s="103">
        <f t="shared" si="13"/>
        <v>0</v>
      </c>
      <c r="G47" s="104">
        <v>4.5</v>
      </c>
      <c r="H47" s="101" t="s">
        <v>2568</v>
      </c>
      <c r="I47" s="105">
        <f t="shared" si="14"/>
        <v>0</v>
      </c>
      <c r="J47" s="121"/>
      <c r="K47" s="121"/>
      <c r="L47" s="121"/>
      <c r="M47" s="121"/>
      <c r="N47" s="121"/>
      <c r="O47" s="121"/>
      <c r="P47" s="121"/>
      <c r="Q47" s="121"/>
      <c r="R47" s="121"/>
      <c r="S47" s="121"/>
      <c r="T47" s="121"/>
      <c r="U47" s="126"/>
      <c r="V47" s="126"/>
      <c r="W47" s="126"/>
      <c r="X47" s="126"/>
      <c r="Y47" s="126"/>
      <c r="Z47" s="126"/>
    </row>
    <row r="48" ht="9.75" customHeight="1" spans="1:26">
      <c r="A48" s="101" t="s">
        <v>2606</v>
      </c>
      <c r="B48" s="102"/>
      <c r="C48" s="102"/>
      <c r="D48" s="102"/>
      <c r="E48" s="102"/>
      <c r="F48" s="103">
        <f t="shared" si="13"/>
        <v>0</v>
      </c>
      <c r="G48" s="104">
        <v>3</v>
      </c>
      <c r="H48" s="101" t="s">
        <v>2568</v>
      </c>
      <c r="I48" s="105">
        <f t="shared" si="14"/>
        <v>0</v>
      </c>
      <c r="J48" s="121"/>
      <c r="K48" s="121"/>
      <c r="L48" s="121"/>
      <c r="M48" s="121"/>
      <c r="N48" s="121"/>
      <c r="O48" s="121"/>
      <c r="P48" s="121"/>
      <c r="Q48" s="121"/>
      <c r="R48" s="121"/>
      <c r="S48" s="121"/>
      <c r="T48" s="121"/>
      <c r="U48" s="126"/>
      <c r="V48" s="126"/>
      <c r="W48" s="126"/>
      <c r="X48" s="126"/>
      <c r="Y48" s="126"/>
      <c r="Z48" s="126"/>
    </row>
    <row r="49" ht="9.75" customHeight="1" spans="1:26">
      <c r="A49" s="143" t="s">
        <v>2607</v>
      </c>
      <c r="B49" s="96"/>
      <c r="C49" s="96"/>
      <c r="D49" s="96"/>
      <c r="E49" s="96"/>
      <c r="F49" s="96"/>
      <c r="G49" s="96"/>
      <c r="H49" s="117"/>
      <c r="I49" s="149">
        <f>SUM(I43:I48)</f>
        <v>0</v>
      </c>
      <c r="J49" s="121"/>
      <c r="K49" s="121"/>
      <c r="L49" s="121"/>
      <c r="M49" s="121"/>
      <c r="N49" s="121"/>
      <c r="O49" s="121"/>
      <c r="P49" s="121"/>
      <c r="Q49" s="121"/>
      <c r="R49" s="121"/>
      <c r="S49" s="121"/>
      <c r="T49" s="121"/>
      <c r="U49" s="126"/>
      <c r="V49" s="126"/>
      <c r="W49" s="126"/>
      <c r="X49" s="126"/>
      <c r="Y49" s="126"/>
      <c r="Z49" s="126"/>
    </row>
    <row r="50" ht="9.75" customHeight="1" spans="1:26">
      <c r="A50" s="114" t="s">
        <v>2608</v>
      </c>
      <c r="B50" s="144" t="s">
        <v>1718</v>
      </c>
      <c r="C50" s="144" t="s">
        <v>1721</v>
      </c>
      <c r="D50" s="144" t="s">
        <v>1720</v>
      </c>
      <c r="E50" s="144" t="s">
        <v>1719</v>
      </c>
      <c r="F50" s="144" t="s">
        <v>2559</v>
      </c>
      <c r="G50" s="144" t="s">
        <v>2560</v>
      </c>
      <c r="H50" s="144" t="s">
        <v>2561</v>
      </c>
      <c r="I50" s="144" t="s">
        <v>2563</v>
      </c>
      <c r="J50" s="121"/>
      <c r="K50" s="121"/>
      <c r="L50" s="121"/>
      <c r="M50" s="121"/>
      <c r="N50" s="121"/>
      <c r="O50" s="121"/>
      <c r="P50" s="121"/>
      <c r="Q50" s="121"/>
      <c r="R50" s="121"/>
      <c r="S50" s="121"/>
      <c r="T50" s="121"/>
      <c r="U50" s="126"/>
      <c r="V50" s="126"/>
      <c r="W50" s="126"/>
      <c r="X50" s="126"/>
      <c r="Y50" s="126"/>
      <c r="Z50" s="126"/>
    </row>
    <row r="51" ht="9.75" customHeight="1" spans="1:26">
      <c r="A51" s="101" t="s">
        <v>2609</v>
      </c>
      <c r="B51" s="102"/>
      <c r="C51" s="102"/>
      <c r="D51" s="102"/>
      <c r="E51" s="102"/>
      <c r="F51" s="103">
        <f t="shared" ref="F51:F55" si="15">SUM(B51:E51)</f>
        <v>0</v>
      </c>
      <c r="G51" s="104">
        <v>15</v>
      </c>
      <c r="H51" s="101" t="s">
        <v>2575</v>
      </c>
      <c r="I51" s="105">
        <f>F51*0.25</f>
        <v>0</v>
      </c>
      <c r="J51" s="121"/>
      <c r="K51" s="121"/>
      <c r="L51" s="121"/>
      <c r="M51" s="121"/>
      <c r="N51" s="121"/>
      <c r="O51" s="121"/>
      <c r="P51" s="121"/>
      <c r="Q51" s="121"/>
      <c r="R51" s="121"/>
      <c r="S51" s="121"/>
      <c r="T51" s="121"/>
      <c r="U51" s="126"/>
      <c r="V51" s="126"/>
      <c r="W51" s="126"/>
      <c r="X51" s="126"/>
      <c r="Y51" s="126"/>
      <c r="Z51" s="126"/>
    </row>
    <row r="52" ht="9.75" customHeight="1" spans="1:26">
      <c r="A52" s="101" t="s">
        <v>2610</v>
      </c>
      <c r="B52" s="102"/>
      <c r="C52" s="102"/>
      <c r="D52" s="102"/>
      <c r="E52" s="102"/>
      <c r="F52" s="103">
        <f t="shared" si="15"/>
        <v>0</v>
      </c>
      <c r="G52" s="104">
        <v>30</v>
      </c>
      <c r="H52" s="101" t="s">
        <v>2575</v>
      </c>
      <c r="I52" s="105">
        <f>F52*0.5</f>
        <v>0</v>
      </c>
      <c r="J52" s="121"/>
      <c r="K52" s="121"/>
      <c r="L52" s="121"/>
      <c r="M52" s="121"/>
      <c r="N52" s="121"/>
      <c r="O52" s="121"/>
      <c r="P52" s="121"/>
      <c r="Q52" s="121"/>
      <c r="R52" s="121"/>
      <c r="S52" s="121"/>
      <c r="T52" s="121"/>
      <c r="U52" s="126"/>
      <c r="V52" s="126"/>
      <c r="W52" s="126"/>
      <c r="X52" s="126"/>
      <c r="Y52" s="126"/>
      <c r="Z52" s="126"/>
    </row>
    <row r="53" ht="9.75" customHeight="1" spans="1:26">
      <c r="A53" s="101" t="s">
        <v>2611</v>
      </c>
      <c r="B53" s="102"/>
      <c r="C53" s="102"/>
      <c r="D53" s="102"/>
      <c r="E53" s="102"/>
      <c r="F53" s="103">
        <f t="shared" si="15"/>
        <v>0</v>
      </c>
      <c r="G53" s="104">
        <v>45</v>
      </c>
      <c r="H53" s="101" t="s">
        <v>2575</v>
      </c>
      <c r="I53" s="105">
        <f>F53*0.75</f>
        <v>0</v>
      </c>
      <c r="J53" s="121"/>
      <c r="K53" s="121"/>
      <c r="L53" s="121"/>
      <c r="M53" s="121"/>
      <c r="N53" s="121"/>
      <c r="O53" s="121"/>
      <c r="P53" s="121"/>
      <c r="Q53" s="121"/>
      <c r="R53" s="121"/>
      <c r="S53" s="121"/>
      <c r="T53" s="121"/>
      <c r="U53" s="126"/>
      <c r="V53" s="126"/>
      <c r="W53" s="126"/>
      <c r="X53" s="126"/>
      <c r="Y53" s="126"/>
      <c r="Z53" s="126"/>
    </row>
    <row r="54" ht="9.75" customHeight="1" spans="1:26">
      <c r="A54" s="101" t="s">
        <v>2612</v>
      </c>
      <c r="B54" s="102"/>
      <c r="C54" s="102"/>
      <c r="D54" s="102"/>
      <c r="E54" s="102"/>
      <c r="F54" s="103">
        <f t="shared" si="15"/>
        <v>0</v>
      </c>
      <c r="G54" s="104">
        <v>60</v>
      </c>
      <c r="H54" s="101" t="s">
        <v>2575</v>
      </c>
      <c r="I54" s="105">
        <f>F54*1</f>
        <v>0</v>
      </c>
      <c r="J54" s="121"/>
      <c r="K54" s="121"/>
      <c r="L54" s="121"/>
      <c r="M54" s="121"/>
      <c r="N54" s="121"/>
      <c r="O54" s="121"/>
      <c r="P54" s="121"/>
      <c r="Q54" s="121"/>
      <c r="R54" s="121"/>
      <c r="S54" s="121"/>
      <c r="T54" s="121"/>
      <c r="U54" s="126"/>
      <c r="V54" s="126"/>
      <c r="W54" s="126"/>
      <c r="X54" s="126"/>
      <c r="Y54" s="126"/>
      <c r="Z54" s="126"/>
    </row>
    <row r="55" ht="9.75" customHeight="1" spans="1:26">
      <c r="A55" s="101" t="s">
        <v>2613</v>
      </c>
      <c r="B55" s="102"/>
      <c r="C55" s="102"/>
      <c r="D55" s="102"/>
      <c r="E55" s="102"/>
      <c r="F55" s="103">
        <f t="shared" si="15"/>
        <v>0</v>
      </c>
      <c r="G55" s="104">
        <v>75</v>
      </c>
      <c r="H55" s="101" t="s">
        <v>2575</v>
      </c>
      <c r="I55" s="105">
        <f>F55*1.25</f>
        <v>0</v>
      </c>
      <c r="J55" s="121"/>
      <c r="K55" s="121"/>
      <c r="L55" s="121"/>
      <c r="M55" s="121"/>
      <c r="N55" s="121"/>
      <c r="O55" s="121"/>
      <c r="P55" s="121"/>
      <c r="Q55" s="121"/>
      <c r="R55" s="121"/>
      <c r="S55" s="121"/>
      <c r="T55" s="121"/>
      <c r="U55" s="126"/>
      <c r="V55" s="126"/>
      <c r="W55" s="126"/>
      <c r="X55" s="126"/>
      <c r="Y55" s="126"/>
      <c r="Z55" s="126"/>
    </row>
    <row r="56" ht="9.75" customHeight="1" spans="1:26">
      <c r="A56" s="145" t="s">
        <v>2614</v>
      </c>
      <c r="B56" s="96"/>
      <c r="C56" s="96"/>
      <c r="D56" s="96"/>
      <c r="E56" s="96"/>
      <c r="F56" s="96"/>
      <c r="G56" s="96"/>
      <c r="H56" s="117"/>
      <c r="I56" s="149">
        <f>SUM(I51:I55)</f>
        <v>0</v>
      </c>
      <c r="J56" s="121"/>
      <c r="K56" s="121"/>
      <c r="L56" s="121"/>
      <c r="M56" s="121"/>
      <c r="N56" s="121"/>
      <c r="O56" s="121"/>
      <c r="P56" s="121"/>
      <c r="Q56" s="121"/>
      <c r="R56" s="121"/>
      <c r="S56" s="121"/>
      <c r="T56" s="121"/>
      <c r="U56" s="126"/>
      <c r="V56" s="126"/>
      <c r="W56" s="126"/>
      <c r="X56" s="126"/>
      <c r="Y56" s="126"/>
      <c r="Z56" s="126"/>
    </row>
    <row r="57" ht="9.75" customHeight="1" spans="1:26">
      <c r="A57" s="146" t="s">
        <v>2615</v>
      </c>
      <c r="B57" s="147" t="s">
        <v>1718</v>
      </c>
      <c r="C57" s="147" t="s">
        <v>1721</v>
      </c>
      <c r="D57" s="147" t="s">
        <v>1720</v>
      </c>
      <c r="E57" s="147" t="s">
        <v>2558</v>
      </c>
      <c r="F57" s="147" t="s">
        <v>2559</v>
      </c>
      <c r="G57" s="147" t="s">
        <v>2560</v>
      </c>
      <c r="H57" s="147" t="s">
        <v>2561</v>
      </c>
      <c r="I57" s="147" t="s">
        <v>1064</v>
      </c>
      <c r="J57" s="121"/>
      <c r="K57" s="121"/>
      <c r="L57" s="121"/>
      <c r="M57" s="121"/>
      <c r="N57" s="121"/>
      <c r="O57" s="121"/>
      <c r="P57" s="121"/>
      <c r="Q57" s="121"/>
      <c r="R57" s="121"/>
      <c r="S57" s="121"/>
      <c r="T57" s="121"/>
      <c r="U57" s="126"/>
      <c r="V57" s="126"/>
      <c r="W57" s="126"/>
      <c r="X57" s="126"/>
      <c r="Y57" s="126"/>
      <c r="Z57" s="126"/>
    </row>
    <row r="58" ht="9.75" customHeight="1" spans="1:26">
      <c r="A58" s="101" t="s">
        <v>2616</v>
      </c>
      <c r="B58" s="101"/>
      <c r="C58" s="101"/>
      <c r="D58" s="101"/>
      <c r="E58" s="101"/>
      <c r="F58" s="103">
        <f t="shared" ref="F58:F67" si="16">SUM(B58:E58)</f>
        <v>0</v>
      </c>
      <c r="G58" s="104">
        <v>20</v>
      </c>
      <c r="H58" s="101" t="s">
        <v>2575</v>
      </c>
      <c r="I58" s="105">
        <f>F58*0.33</f>
        <v>0</v>
      </c>
      <c r="J58" s="121"/>
      <c r="K58" s="121"/>
      <c r="L58" s="121"/>
      <c r="M58" s="121"/>
      <c r="N58" s="121"/>
      <c r="O58" s="121"/>
      <c r="P58" s="121"/>
      <c r="Q58" s="121"/>
      <c r="R58" s="121"/>
      <c r="S58" s="121"/>
      <c r="T58" s="121"/>
      <c r="U58" s="126"/>
      <c r="V58" s="126"/>
      <c r="W58" s="126"/>
      <c r="X58" s="126"/>
      <c r="Y58" s="126"/>
      <c r="Z58" s="126"/>
    </row>
    <row r="59" ht="9.75" customHeight="1" spans="1:26">
      <c r="A59" s="101" t="s">
        <v>2617</v>
      </c>
      <c r="B59" s="101"/>
      <c r="C59" s="101"/>
      <c r="D59" s="101"/>
      <c r="E59" s="101"/>
      <c r="F59" s="103">
        <f t="shared" si="16"/>
        <v>0</v>
      </c>
      <c r="G59" s="104">
        <v>30</v>
      </c>
      <c r="H59" s="101" t="s">
        <v>2575</v>
      </c>
      <c r="I59" s="105">
        <f>F59*0.5</f>
        <v>0</v>
      </c>
      <c r="J59" s="121"/>
      <c r="K59" s="121"/>
      <c r="L59" s="121"/>
      <c r="M59" s="121"/>
      <c r="N59" s="121"/>
      <c r="O59" s="121"/>
      <c r="P59" s="121"/>
      <c r="Q59" s="121"/>
      <c r="R59" s="121"/>
      <c r="S59" s="121"/>
      <c r="T59" s="121"/>
      <c r="U59" s="126"/>
      <c r="V59" s="126"/>
      <c r="W59" s="126"/>
      <c r="X59" s="126"/>
      <c r="Y59" s="126"/>
      <c r="Z59" s="126"/>
    </row>
    <row r="60" ht="9.75" customHeight="1" spans="1:26">
      <c r="A60" s="101" t="s">
        <v>2618</v>
      </c>
      <c r="B60" s="101"/>
      <c r="C60" s="101"/>
      <c r="D60" s="101"/>
      <c r="E60" s="101"/>
      <c r="F60" s="103">
        <f t="shared" si="16"/>
        <v>0</v>
      </c>
      <c r="G60" s="104">
        <v>45</v>
      </c>
      <c r="H60" s="101" t="s">
        <v>2575</v>
      </c>
      <c r="I60" s="105">
        <f>F60*0.75</f>
        <v>0</v>
      </c>
      <c r="J60" s="121"/>
      <c r="K60" s="121"/>
      <c r="L60" s="121"/>
      <c r="M60" s="121"/>
      <c r="N60" s="121"/>
      <c r="O60" s="121"/>
      <c r="P60" s="121"/>
      <c r="Q60" s="121"/>
      <c r="R60" s="121"/>
      <c r="S60" s="121"/>
      <c r="T60" s="121"/>
      <c r="U60" s="126"/>
      <c r="V60" s="126"/>
      <c r="W60" s="126"/>
      <c r="X60" s="126"/>
      <c r="Y60" s="126"/>
      <c r="Z60" s="126"/>
    </row>
    <row r="61" ht="9.75" customHeight="1" spans="1:26">
      <c r="A61" s="101" t="s">
        <v>2619</v>
      </c>
      <c r="B61" s="101"/>
      <c r="C61" s="101"/>
      <c r="D61" s="101"/>
      <c r="E61" s="101"/>
      <c r="F61" s="103">
        <f t="shared" si="16"/>
        <v>0</v>
      </c>
      <c r="G61" s="104">
        <v>60</v>
      </c>
      <c r="H61" s="101" t="s">
        <v>2575</v>
      </c>
      <c r="I61" s="105">
        <f>F61*1</f>
        <v>0</v>
      </c>
      <c r="J61" s="121"/>
      <c r="K61" s="121"/>
      <c r="L61" s="121"/>
      <c r="M61" s="121"/>
      <c r="N61" s="121"/>
      <c r="O61" s="121"/>
      <c r="P61" s="121"/>
      <c r="Q61" s="121"/>
      <c r="R61" s="121"/>
      <c r="S61" s="121"/>
      <c r="T61" s="121"/>
      <c r="U61" s="126"/>
      <c r="V61" s="126"/>
      <c r="W61" s="126"/>
      <c r="X61" s="126"/>
      <c r="Y61" s="126"/>
      <c r="Z61" s="126"/>
    </row>
    <row r="62" ht="9.75" customHeight="1" spans="1:26">
      <c r="A62" s="115" t="s">
        <v>2620</v>
      </c>
      <c r="B62" s="101"/>
      <c r="C62" s="101"/>
      <c r="D62" s="101"/>
      <c r="E62" s="101"/>
      <c r="F62" s="103">
        <f t="shared" si="16"/>
        <v>0</v>
      </c>
      <c r="G62" s="104">
        <v>90</v>
      </c>
      <c r="H62" s="101" t="s">
        <v>2575</v>
      </c>
      <c r="I62" s="105">
        <f>F62*1.5</f>
        <v>0</v>
      </c>
      <c r="J62" s="121"/>
      <c r="K62" s="121"/>
      <c r="L62" s="121"/>
      <c r="M62" s="121"/>
      <c r="N62" s="121"/>
      <c r="O62" s="121"/>
      <c r="P62" s="121"/>
      <c r="Q62" s="121"/>
      <c r="R62" s="121"/>
      <c r="S62" s="121"/>
      <c r="T62" s="121"/>
      <c r="U62" s="126"/>
      <c r="V62" s="126"/>
      <c r="W62" s="126"/>
      <c r="X62" s="126"/>
      <c r="Y62" s="126"/>
      <c r="Z62" s="126"/>
    </row>
    <row r="63" ht="9.75" customHeight="1" spans="1:26">
      <c r="A63" s="101" t="s">
        <v>2621</v>
      </c>
      <c r="B63" s="101"/>
      <c r="C63" s="101"/>
      <c r="D63" s="101"/>
      <c r="E63" s="101"/>
      <c r="F63" s="103">
        <f t="shared" si="16"/>
        <v>0</v>
      </c>
      <c r="G63" s="104">
        <v>6</v>
      </c>
      <c r="H63" s="101" t="s">
        <v>2581</v>
      </c>
      <c r="I63" s="105">
        <f>F63*6</f>
        <v>0</v>
      </c>
      <c r="J63" s="121"/>
      <c r="K63" s="121"/>
      <c r="L63" s="121"/>
      <c r="M63" s="121"/>
      <c r="N63" s="121"/>
      <c r="O63" s="121"/>
      <c r="P63" s="121"/>
      <c r="Q63" s="121"/>
      <c r="R63" s="121"/>
      <c r="S63" s="121"/>
      <c r="T63" s="121"/>
      <c r="U63" s="126"/>
      <c r="V63" s="126"/>
      <c r="W63" s="126"/>
      <c r="X63" s="126"/>
      <c r="Y63" s="126"/>
      <c r="Z63" s="126"/>
    </row>
    <row r="64" ht="9.75" customHeight="1" spans="1:26">
      <c r="A64" s="101" t="s">
        <v>2622</v>
      </c>
      <c r="B64" s="101"/>
      <c r="C64" s="101"/>
      <c r="D64" s="101"/>
      <c r="E64" s="101"/>
      <c r="F64" s="103">
        <f t="shared" si="16"/>
        <v>0</v>
      </c>
      <c r="G64" s="104">
        <v>20</v>
      </c>
      <c r="H64" s="101" t="s">
        <v>2575</v>
      </c>
      <c r="I64" s="101">
        <f>F64*0.33</f>
        <v>0</v>
      </c>
      <c r="J64" s="121"/>
      <c r="K64" s="121"/>
      <c r="L64" s="121"/>
      <c r="M64" s="121"/>
      <c r="N64" s="121"/>
      <c r="O64" s="121"/>
      <c r="P64" s="121"/>
      <c r="Q64" s="121"/>
      <c r="R64" s="121"/>
      <c r="S64" s="121"/>
      <c r="T64" s="121"/>
      <c r="U64" s="126"/>
      <c r="V64" s="126"/>
      <c r="W64" s="126"/>
      <c r="X64" s="126"/>
      <c r="Y64" s="126"/>
      <c r="Z64" s="126"/>
    </row>
    <row r="65" ht="9.75" customHeight="1" spans="1:26">
      <c r="A65" s="101" t="s">
        <v>2623</v>
      </c>
      <c r="B65" s="101"/>
      <c r="C65" s="101"/>
      <c r="D65" s="101"/>
      <c r="E65" s="101"/>
      <c r="F65" s="103">
        <f t="shared" si="16"/>
        <v>0</v>
      </c>
      <c r="G65" s="104">
        <v>60</v>
      </c>
      <c r="H65" s="101" t="s">
        <v>2575</v>
      </c>
      <c r="I65" s="101">
        <f>F65*1</f>
        <v>0</v>
      </c>
      <c r="J65" s="121"/>
      <c r="K65" s="121"/>
      <c r="L65" s="121"/>
      <c r="M65" s="121"/>
      <c r="N65" s="121"/>
      <c r="O65" s="121"/>
      <c r="P65" s="121"/>
      <c r="Q65" s="121"/>
      <c r="R65" s="121"/>
      <c r="S65" s="121"/>
      <c r="T65" s="121"/>
      <c r="U65" s="126"/>
      <c r="V65" s="126"/>
      <c r="W65" s="126"/>
      <c r="X65" s="126"/>
      <c r="Y65" s="126"/>
      <c r="Z65" s="126"/>
    </row>
    <row r="66" ht="9.75" customHeight="1" spans="1:26">
      <c r="A66" s="101" t="s">
        <v>2624</v>
      </c>
      <c r="B66" s="101"/>
      <c r="C66" s="101"/>
      <c r="D66" s="101"/>
      <c r="E66" s="101"/>
      <c r="F66" s="103">
        <f t="shared" si="16"/>
        <v>0</v>
      </c>
      <c r="G66" s="104">
        <v>20</v>
      </c>
      <c r="H66" s="101" t="s">
        <v>2575</v>
      </c>
      <c r="I66" s="101">
        <f>F66*0.33</f>
        <v>0</v>
      </c>
      <c r="J66" s="121"/>
      <c r="K66" s="121"/>
      <c r="L66" s="121"/>
      <c r="M66" s="121"/>
      <c r="N66" s="121"/>
      <c r="O66" s="121"/>
      <c r="P66" s="121"/>
      <c r="Q66" s="121"/>
      <c r="R66" s="121"/>
      <c r="S66" s="121"/>
      <c r="T66" s="121"/>
      <c r="U66" s="126"/>
      <c r="V66" s="126"/>
      <c r="W66" s="126"/>
      <c r="X66" s="126"/>
      <c r="Y66" s="126"/>
      <c r="Z66" s="126"/>
    </row>
    <row r="67" ht="9.75" customHeight="1" spans="1:26">
      <c r="A67" s="101" t="s">
        <v>2625</v>
      </c>
      <c r="B67" s="101"/>
      <c r="C67" s="101"/>
      <c r="D67" s="101"/>
      <c r="E67" s="101"/>
      <c r="F67" s="103">
        <f t="shared" si="16"/>
        <v>0</v>
      </c>
      <c r="G67" s="104">
        <v>30</v>
      </c>
      <c r="H67" s="101" t="s">
        <v>2575</v>
      </c>
      <c r="I67" s="101">
        <f>F67*0.5</f>
        <v>0</v>
      </c>
      <c r="J67" s="121"/>
      <c r="K67" s="121"/>
      <c r="L67" s="121"/>
      <c r="M67" s="121"/>
      <c r="N67" s="121"/>
      <c r="O67" s="121"/>
      <c r="P67" s="121"/>
      <c r="Q67" s="121"/>
      <c r="R67" s="121"/>
      <c r="S67" s="121"/>
      <c r="T67" s="121"/>
      <c r="U67" s="126"/>
      <c r="V67" s="126"/>
      <c r="W67" s="126"/>
      <c r="X67" s="126"/>
      <c r="Y67" s="126"/>
      <c r="Z67" s="126"/>
    </row>
    <row r="68" ht="9.75" customHeight="1" spans="1:26">
      <c r="A68" s="159" t="s">
        <v>2626</v>
      </c>
      <c r="B68" s="160"/>
      <c r="C68" s="160"/>
      <c r="D68" s="160"/>
      <c r="E68" s="160"/>
      <c r="F68" s="160"/>
      <c r="G68" s="160"/>
      <c r="H68" s="161"/>
      <c r="I68" s="162">
        <f>SUM(I58:I67)</f>
        <v>0</v>
      </c>
      <c r="J68" s="121"/>
      <c r="K68" s="121"/>
      <c r="L68" s="121"/>
      <c r="M68" s="121"/>
      <c r="N68" s="121"/>
      <c r="O68" s="121"/>
      <c r="P68" s="121"/>
      <c r="Q68" s="121"/>
      <c r="R68" s="121"/>
      <c r="S68" s="121"/>
      <c r="T68" s="121"/>
      <c r="U68" s="126"/>
      <c r="V68" s="126"/>
      <c r="W68" s="126"/>
      <c r="X68" s="126"/>
      <c r="Y68" s="126"/>
      <c r="Z68" s="126"/>
    </row>
    <row r="69" ht="9.75" customHeight="1" spans="1:26">
      <c r="A69" s="126"/>
      <c r="B69" s="126"/>
      <c r="C69" s="126"/>
      <c r="D69" s="126"/>
      <c r="E69" s="126"/>
      <c r="F69" s="126"/>
      <c r="G69" s="126"/>
      <c r="H69" s="126"/>
      <c r="I69" s="163"/>
      <c r="J69" s="121"/>
      <c r="K69" s="121"/>
      <c r="L69" s="121"/>
      <c r="M69" s="121"/>
      <c r="N69" s="121"/>
      <c r="O69" s="121"/>
      <c r="P69" s="121"/>
      <c r="Q69" s="121"/>
      <c r="R69" s="121"/>
      <c r="S69" s="121"/>
      <c r="T69" s="121"/>
      <c r="U69" s="126"/>
      <c r="V69" s="126"/>
      <c r="W69" s="126"/>
      <c r="X69" s="126"/>
      <c r="Y69" s="126"/>
      <c r="Z69" s="126"/>
    </row>
    <row r="70" ht="9.75" customHeight="1" spans="1:26">
      <c r="A70" s="121" t="s">
        <v>2627</v>
      </c>
      <c r="B70" s="121"/>
      <c r="C70" s="121"/>
      <c r="D70" s="121"/>
      <c r="E70" s="121"/>
      <c r="F70" s="121"/>
      <c r="G70" s="121"/>
      <c r="H70" s="121"/>
      <c r="I70" s="121"/>
      <c r="J70" s="121"/>
      <c r="K70" s="121"/>
      <c r="L70" s="121"/>
      <c r="M70" s="121"/>
      <c r="N70" s="121"/>
      <c r="O70" s="121"/>
      <c r="P70" s="121"/>
      <c r="Q70" s="121"/>
      <c r="R70" s="121"/>
      <c r="S70" s="121"/>
      <c r="T70" s="121"/>
      <c r="U70" s="121"/>
      <c r="V70" s="121"/>
      <c r="W70" s="121"/>
      <c r="X70" s="121"/>
      <c r="Y70" s="121"/>
      <c r="Z70" s="121"/>
    </row>
    <row r="71" ht="9.75" customHeight="1" spans="1:26">
      <c r="A71" s="121" t="s">
        <v>2628</v>
      </c>
      <c r="B71" s="121"/>
      <c r="C71" s="121"/>
      <c r="D71" s="121"/>
      <c r="E71" s="121"/>
      <c r="F71" s="121"/>
      <c r="G71" s="121"/>
      <c r="H71" s="121"/>
      <c r="I71" s="121"/>
      <c r="J71" s="121"/>
      <c r="K71" s="121"/>
      <c r="L71" s="121"/>
      <c r="M71" s="121"/>
      <c r="N71" s="121"/>
      <c r="O71" s="121"/>
      <c r="P71" s="121"/>
      <c r="Q71" s="121"/>
      <c r="R71" s="121"/>
      <c r="S71" s="121"/>
      <c r="T71" s="121"/>
      <c r="U71" s="121"/>
      <c r="V71" s="121"/>
      <c r="W71" s="121"/>
      <c r="X71" s="121"/>
      <c r="Y71" s="121"/>
      <c r="Z71" s="121"/>
    </row>
    <row r="72" ht="9.75" customHeight="1" spans="1:26">
      <c r="A72" s="121" t="s">
        <v>2629</v>
      </c>
      <c r="B72" s="121"/>
      <c r="C72" s="121"/>
      <c r="D72" s="121"/>
      <c r="E72" s="121"/>
      <c r="F72" s="121"/>
      <c r="G72" s="121"/>
      <c r="H72" s="121"/>
      <c r="I72" s="121"/>
      <c r="J72" s="121"/>
      <c r="K72" s="121"/>
      <c r="L72" s="121"/>
      <c r="M72" s="121"/>
      <c r="N72" s="121"/>
      <c r="O72" s="121"/>
      <c r="P72" s="121"/>
      <c r="Q72" s="121"/>
      <c r="R72" s="121"/>
      <c r="S72" s="121"/>
      <c r="T72" s="121"/>
      <c r="U72" s="121"/>
      <c r="V72" s="121"/>
      <c r="W72" s="121"/>
      <c r="X72" s="121"/>
      <c r="Y72" s="121"/>
      <c r="Z72" s="121"/>
    </row>
    <row r="73" ht="9.75" customHeight="1" spans="1:26">
      <c r="A73" s="121" t="s">
        <v>2630</v>
      </c>
      <c r="B73" s="121"/>
      <c r="C73" s="121"/>
      <c r="D73" s="121"/>
      <c r="E73" s="121"/>
      <c r="F73" s="121"/>
      <c r="G73" s="121"/>
      <c r="H73" s="121"/>
      <c r="I73" s="121"/>
      <c r="J73" s="121"/>
      <c r="K73" s="121"/>
      <c r="L73" s="121"/>
      <c r="M73" s="121"/>
      <c r="N73" s="121"/>
      <c r="O73" s="121"/>
      <c r="P73" s="121"/>
      <c r="Q73" s="121"/>
      <c r="R73" s="121"/>
      <c r="S73" s="121"/>
      <c r="T73" s="121"/>
      <c r="U73" s="121"/>
      <c r="V73" s="121"/>
      <c r="W73" s="121"/>
      <c r="X73" s="121"/>
      <c r="Y73" s="121"/>
      <c r="Z73" s="121"/>
    </row>
    <row r="74" ht="9.75" customHeight="1" spans="1:26">
      <c r="A74" s="121" t="s">
        <v>2631</v>
      </c>
      <c r="B74" s="121"/>
      <c r="C74" s="121"/>
      <c r="D74" s="121"/>
      <c r="E74" s="121"/>
      <c r="F74" s="121"/>
      <c r="G74" s="121"/>
      <c r="H74" s="121"/>
      <c r="I74" s="121"/>
      <c r="J74" s="121"/>
      <c r="K74" s="121"/>
      <c r="L74" s="121"/>
      <c r="M74" s="121"/>
      <c r="N74" s="121"/>
      <c r="O74" s="121"/>
      <c r="P74" s="121"/>
      <c r="Q74" s="121"/>
      <c r="R74" s="121"/>
      <c r="S74" s="121"/>
      <c r="T74" s="121"/>
      <c r="U74" s="121"/>
      <c r="V74" s="121"/>
      <c r="W74" s="121"/>
      <c r="X74" s="121"/>
      <c r="Y74" s="121"/>
      <c r="Z74" s="121"/>
    </row>
    <row r="75" ht="9.75" customHeight="1" spans="1:26">
      <c r="A75" s="121" t="s">
        <v>2632</v>
      </c>
      <c r="B75" s="121"/>
      <c r="C75" s="121"/>
      <c r="D75" s="121"/>
      <c r="E75" s="121"/>
      <c r="F75" s="121"/>
      <c r="G75" s="121"/>
      <c r="H75" s="121"/>
      <c r="I75" s="121"/>
      <c r="J75" s="121"/>
      <c r="K75" s="121"/>
      <c r="L75" s="121"/>
      <c r="M75" s="121"/>
      <c r="N75" s="121"/>
      <c r="O75" s="121"/>
      <c r="P75" s="121"/>
      <c r="Q75" s="121"/>
      <c r="R75" s="121"/>
      <c r="S75" s="121"/>
      <c r="T75" s="121"/>
      <c r="U75" s="121"/>
      <c r="V75" s="121"/>
      <c r="W75" s="121"/>
      <c r="X75" s="121"/>
      <c r="Y75" s="121"/>
      <c r="Z75" s="121"/>
    </row>
    <row r="76" ht="9.75" customHeight="1" spans="1:26">
      <c r="A76" s="121" t="s">
        <v>2633</v>
      </c>
      <c r="B76" s="121"/>
      <c r="C76" s="121"/>
      <c r="D76" s="121"/>
      <c r="E76" s="121"/>
      <c r="F76" s="121"/>
      <c r="G76" s="121"/>
      <c r="H76" s="121"/>
      <c r="I76" s="121"/>
      <c r="J76" s="121"/>
      <c r="K76" s="121"/>
      <c r="L76" s="121"/>
      <c r="M76" s="121"/>
      <c r="N76" s="121"/>
      <c r="O76" s="121"/>
      <c r="P76" s="121"/>
      <c r="Q76" s="121"/>
      <c r="R76" s="121"/>
      <c r="S76" s="121"/>
      <c r="T76" s="121"/>
      <c r="U76" s="121"/>
      <c r="V76" s="121"/>
      <c r="W76" s="121"/>
      <c r="X76" s="121"/>
      <c r="Y76" s="121"/>
      <c r="Z76" s="121"/>
    </row>
    <row r="77" ht="9.75" customHeight="1" spans="1:26">
      <c r="A77" s="121"/>
      <c r="B77" s="121"/>
      <c r="C77" s="121"/>
      <c r="D77" s="121"/>
      <c r="E77" s="121"/>
      <c r="F77" s="121"/>
      <c r="G77" s="121"/>
      <c r="H77" s="121"/>
      <c r="I77" s="121"/>
      <c r="J77" s="121"/>
      <c r="K77" s="121"/>
      <c r="L77" s="121"/>
      <c r="M77" s="121"/>
      <c r="N77" s="121"/>
      <c r="O77" s="121"/>
      <c r="P77" s="121"/>
      <c r="Q77" s="121"/>
      <c r="R77" s="121"/>
      <c r="S77" s="121"/>
      <c r="T77" s="121"/>
      <c r="U77" s="121"/>
      <c r="V77" s="121"/>
      <c r="W77" s="121"/>
      <c r="X77" s="121"/>
      <c r="Y77" s="121"/>
      <c r="Z77" s="121"/>
    </row>
    <row r="78" ht="9.75" customHeight="1" spans="1:26">
      <c r="A78" s="121"/>
      <c r="B78" s="121"/>
      <c r="C78" s="121"/>
      <c r="D78" s="121"/>
      <c r="E78" s="121"/>
      <c r="F78" s="121"/>
      <c r="G78" s="121"/>
      <c r="H78" s="121"/>
      <c r="I78" s="121"/>
      <c r="J78" s="121"/>
      <c r="K78" s="121"/>
      <c r="L78" s="121"/>
      <c r="M78" s="121"/>
      <c r="N78" s="121"/>
      <c r="O78" s="121"/>
      <c r="P78" s="121"/>
      <c r="Q78" s="121"/>
      <c r="R78" s="121"/>
      <c r="S78" s="121"/>
      <c r="T78" s="121"/>
      <c r="U78" s="121"/>
      <c r="V78" s="121"/>
      <c r="W78" s="121"/>
      <c r="X78" s="121"/>
      <c r="Y78" s="121"/>
      <c r="Z78" s="121"/>
    </row>
    <row r="79" ht="9.75" customHeight="1" spans="1:26">
      <c r="A79" s="121"/>
      <c r="B79" s="121"/>
      <c r="C79" s="121"/>
      <c r="D79" s="121"/>
      <c r="E79" s="121"/>
      <c r="F79" s="121"/>
      <c r="G79" s="121"/>
      <c r="H79" s="121"/>
      <c r="I79" s="121"/>
      <c r="J79" s="121"/>
      <c r="K79" s="121"/>
      <c r="L79" s="121"/>
      <c r="M79" s="121"/>
      <c r="N79" s="121"/>
      <c r="O79" s="121"/>
      <c r="P79" s="121"/>
      <c r="Q79" s="121"/>
      <c r="R79" s="121"/>
      <c r="S79" s="121"/>
      <c r="T79" s="121"/>
      <c r="U79" s="121"/>
      <c r="V79" s="121"/>
      <c r="W79" s="121"/>
      <c r="X79" s="121"/>
      <c r="Y79" s="121"/>
      <c r="Z79" s="121"/>
    </row>
    <row r="80" ht="9.75" customHeight="1" spans="1:26">
      <c r="A80" s="121"/>
      <c r="B80" s="121"/>
      <c r="C80" s="121"/>
      <c r="D80" s="121"/>
      <c r="E80" s="121"/>
      <c r="F80" s="121"/>
      <c r="G80" s="121"/>
      <c r="H80" s="121"/>
      <c r="I80" s="121"/>
      <c r="J80" s="121"/>
      <c r="K80" s="121"/>
      <c r="L80" s="121"/>
      <c r="M80" s="121"/>
      <c r="N80" s="121"/>
      <c r="O80" s="121"/>
      <c r="P80" s="121"/>
      <c r="Q80" s="121"/>
      <c r="R80" s="121"/>
      <c r="S80" s="121"/>
      <c r="T80" s="121"/>
      <c r="U80" s="121"/>
      <c r="V80" s="121"/>
      <c r="W80" s="121"/>
      <c r="X80" s="121"/>
      <c r="Y80" s="121"/>
      <c r="Z80" s="121"/>
    </row>
    <row r="81" ht="9.75" customHeight="1" spans="1:26">
      <c r="A81" s="121"/>
      <c r="B81" s="121"/>
      <c r="C81" s="121"/>
      <c r="D81" s="121"/>
      <c r="E81" s="121"/>
      <c r="F81" s="121"/>
      <c r="G81" s="121"/>
      <c r="H81" s="121"/>
      <c r="I81" s="121"/>
      <c r="J81" s="121"/>
      <c r="K81" s="121"/>
      <c r="L81" s="121"/>
      <c r="M81" s="121"/>
      <c r="N81" s="121"/>
      <c r="O81" s="121"/>
      <c r="P81" s="121"/>
      <c r="Q81" s="121"/>
      <c r="R81" s="121"/>
      <c r="S81" s="121"/>
      <c r="T81" s="121"/>
      <c r="U81" s="121"/>
      <c r="V81" s="121"/>
      <c r="W81" s="121"/>
      <c r="X81" s="121"/>
      <c r="Y81" s="121"/>
      <c r="Z81" s="121"/>
    </row>
    <row r="82" ht="9.75" customHeight="1" spans="1:26">
      <c r="A82" s="121"/>
      <c r="B82" s="121"/>
      <c r="C82" s="121"/>
      <c r="D82" s="121"/>
      <c r="E82" s="121"/>
      <c r="F82" s="121"/>
      <c r="G82" s="121"/>
      <c r="H82" s="121"/>
      <c r="I82" s="121"/>
      <c r="J82" s="121"/>
      <c r="K82" s="121"/>
      <c r="L82" s="121"/>
      <c r="M82" s="121"/>
      <c r="N82" s="121"/>
      <c r="O82" s="121"/>
      <c r="P82" s="121"/>
      <c r="Q82" s="121"/>
      <c r="R82" s="121"/>
      <c r="S82" s="121"/>
      <c r="T82" s="121"/>
      <c r="U82" s="121"/>
      <c r="V82" s="121"/>
      <c r="W82" s="121"/>
      <c r="X82" s="121"/>
      <c r="Y82" s="121"/>
      <c r="Z82" s="121"/>
    </row>
    <row r="83" ht="9.75" customHeight="1" spans="1:26">
      <c r="A83" s="121"/>
      <c r="B83" s="121"/>
      <c r="C83" s="121"/>
      <c r="D83" s="121"/>
      <c r="E83" s="121"/>
      <c r="F83" s="121"/>
      <c r="G83" s="121"/>
      <c r="H83" s="121"/>
      <c r="I83" s="121"/>
      <c r="J83" s="121"/>
      <c r="K83" s="121"/>
      <c r="L83" s="121"/>
      <c r="M83" s="121"/>
      <c r="N83" s="121"/>
      <c r="O83" s="121"/>
      <c r="P83" s="121"/>
      <c r="Q83" s="121"/>
      <c r="R83" s="121"/>
      <c r="S83" s="121"/>
      <c r="T83" s="121"/>
      <c r="U83" s="121"/>
      <c r="V83" s="121"/>
      <c r="W83" s="121"/>
      <c r="X83" s="121"/>
      <c r="Y83" s="121"/>
      <c r="Z83" s="121"/>
    </row>
    <row r="84" ht="9.75" customHeight="1" spans="1:26">
      <c r="A84" s="121"/>
      <c r="B84" s="121"/>
      <c r="C84" s="121"/>
      <c r="D84" s="121"/>
      <c r="E84" s="121"/>
      <c r="F84" s="121"/>
      <c r="G84" s="121"/>
      <c r="H84" s="121"/>
      <c r="I84" s="121"/>
      <c r="J84" s="121"/>
      <c r="K84" s="121"/>
      <c r="L84" s="121"/>
      <c r="M84" s="121"/>
      <c r="N84" s="121"/>
      <c r="O84" s="121"/>
      <c r="P84" s="121"/>
      <c r="Q84" s="121"/>
      <c r="R84" s="121"/>
      <c r="S84" s="121"/>
      <c r="T84" s="121"/>
      <c r="U84" s="121"/>
      <c r="V84" s="121"/>
      <c r="W84" s="121"/>
      <c r="X84" s="121"/>
      <c r="Y84" s="121"/>
      <c r="Z84" s="121"/>
    </row>
    <row r="85" ht="9.75" customHeight="1" spans="1:26">
      <c r="A85" s="121"/>
      <c r="B85" s="121"/>
      <c r="C85" s="121"/>
      <c r="D85" s="121"/>
      <c r="E85" s="121"/>
      <c r="F85" s="121"/>
      <c r="G85" s="121"/>
      <c r="H85" s="121"/>
      <c r="I85" s="121"/>
      <c r="J85" s="121"/>
      <c r="K85" s="121"/>
      <c r="L85" s="121"/>
      <c r="M85" s="121"/>
      <c r="N85" s="121"/>
      <c r="O85" s="121"/>
      <c r="P85" s="121"/>
      <c r="Q85" s="121"/>
      <c r="R85" s="121"/>
      <c r="S85" s="121"/>
      <c r="T85" s="121"/>
      <c r="U85" s="121"/>
      <c r="V85" s="121"/>
      <c r="W85" s="121"/>
      <c r="X85" s="121"/>
      <c r="Y85" s="121"/>
      <c r="Z85" s="121"/>
    </row>
    <row r="86" ht="9.75" customHeight="1" spans="1:26">
      <c r="A86" s="121"/>
      <c r="B86" s="121"/>
      <c r="C86" s="121"/>
      <c r="D86" s="121"/>
      <c r="E86" s="121"/>
      <c r="F86" s="121"/>
      <c r="G86" s="121"/>
      <c r="H86" s="121"/>
      <c r="I86" s="121"/>
      <c r="J86" s="121"/>
      <c r="K86" s="121"/>
      <c r="L86" s="121"/>
      <c r="M86" s="121"/>
      <c r="N86" s="121"/>
      <c r="O86" s="121"/>
      <c r="P86" s="121"/>
      <c r="Q86" s="121"/>
      <c r="R86" s="121"/>
      <c r="S86" s="121"/>
      <c r="T86" s="121"/>
      <c r="U86" s="121"/>
      <c r="V86" s="121"/>
      <c r="W86" s="121"/>
      <c r="X86" s="121"/>
      <c r="Y86" s="121"/>
      <c r="Z86" s="121"/>
    </row>
    <row r="87" ht="9.75" customHeight="1" spans="1:26">
      <c r="A87" s="121"/>
      <c r="B87" s="121"/>
      <c r="C87" s="121"/>
      <c r="D87" s="121"/>
      <c r="E87" s="121"/>
      <c r="F87" s="121"/>
      <c r="G87" s="121"/>
      <c r="H87" s="121"/>
      <c r="I87" s="121"/>
      <c r="J87" s="121"/>
      <c r="K87" s="121"/>
      <c r="L87" s="121"/>
      <c r="M87" s="121"/>
      <c r="N87" s="121"/>
      <c r="O87" s="121"/>
      <c r="P87" s="121"/>
      <c r="Q87" s="121"/>
      <c r="R87" s="121"/>
      <c r="S87" s="121"/>
      <c r="T87" s="121"/>
      <c r="U87" s="121"/>
      <c r="V87" s="121"/>
      <c r="W87" s="121"/>
      <c r="X87" s="121"/>
      <c r="Y87" s="121"/>
      <c r="Z87" s="121"/>
    </row>
    <row r="88" ht="9.75" customHeight="1" spans="1:26">
      <c r="A88" s="121"/>
      <c r="B88" s="121"/>
      <c r="C88" s="121"/>
      <c r="D88" s="121"/>
      <c r="E88" s="121"/>
      <c r="F88" s="121"/>
      <c r="G88" s="121"/>
      <c r="H88" s="121"/>
      <c r="I88" s="121"/>
      <c r="J88" s="121"/>
      <c r="K88" s="121"/>
      <c r="L88" s="121"/>
      <c r="M88" s="121"/>
      <c r="N88" s="121"/>
      <c r="O88" s="121"/>
      <c r="P88" s="121"/>
      <c r="Q88" s="121"/>
      <c r="R88" s="121"/>
      <c r="S88" s="121"/>
      <c r="T88" s="121"/>
      <c r="U88" s="121"/>
      <c r="V88" s="121"/>
      <c r="W88" s="121"/>
      <c r="X88" s="121"/>
      <c r="Y88" s="121"/>
      <c r="Z88" s="121"/>
    </row>
    <row r="89" ht="9.75" customHeight="1" spans="1:26">
      <c r="A89" s="121"/>
      <c r="B89" s="121"/>
      <c r="C89" s="121"/>
      <c r="D89" s="121"/>
      <c r="E89" s="121"/>
      <c r="F89" s="121"/>
      <c r="G89" s="121"/>
      <c r="H89" s="121"/>
      <c r="I89" s="121"/>
      <c r="J89" s="121"/>
      <c r="K89" s="121"/>
      <c r="L89" s="121"/>
      <c r="M89" s="121"/>
      <c r="N89" s="121"/>
      <c r="O89" s="121"/>
      <c r="P89" s="121"/>
      <c r="Q89" s="121"/>
      <c r="R89" s="121"/>
      <c r="S89" s="121"/>
      <c r="T89" s="121"/>
      <c r="U89" s="121"/>
      <c r="V89" s="121"/>
      <c r="W89" s="121"/>
      <c r="X89" s="121"/>
      <c r="Y89" s="121"/>
      <c r="Z89" s="121"/>
    </row>
    <row r="90" ht="9.75" customHeight="1" spans="1:26">
      <c r="A90" s="121"/>
      <c r="B90" s="121"/>
      <c r="C90" s="121"/>
      <c r="D90" s="121"/>
      <c r="E90" s="121"/>
      <c r="F90" s="121"/>
      <c r="G90" s="121"/>
      <c r="H90" s="121"/>
      <c r="I90" s="121"/>
      <c r="J90" s="121"/>
      <c r="K90" s="121"/>
      <c r="L90" s="121"/>
      <c r="M90" s="121"/>
      <c r="N90" s="121"/>
      <c r="O90" s="121"/>
      <c r="P90" s="121"/>
      <c r="Q90" s="121"/>
      <c r="R90" s="121"/>
      <c r="S90" s="121"/>
      <c r="T90" s="121"/>
      <c r="U90" s="121"/>
      <c r="V90" s="121"/>
      <c r="W90" s="121"/>
      <c r="X90" s="121"/>
      <c r="Y90" s="121"/>
      <c r="Z90" s="121"/>
    </row>
    <row r="91" ht="9.75" customHeight="1" spans="1:26">
      <c r="A91" s="121"/>
      <c r="B91" s="121"/>
      <c r="C91" s="121"/>
      <c r="D91" s="121"/>
      <c r="E91" s="121"/>
      <c r="F91" s="121"/>
      <c r="G91" s="121"/>
      <c r="H91" s="121"/>
      <c r="I91" s="121"/>
      <c r="J91" s="121"/>
      <c r="K91" s="121"/>
      <c r="L91" s="121"/>
      <c r="M91" s="121"/>
      <c r="N91" s="121"/>
      <c r="O91" s="121"/>
      <c r="P91" s="121"/>
      <c r="Q91" s="121"/>
      <c r="R91" s="121"/>
      <c r="S91" s="121"/>
      <c r="T91" s="121"/>
      <c r="U91" s="121"/>
      <c r="V91" s="121"/>
      <c r="W91" s="121"/>
      <c r="X91" s="121"/>
      <c r="Y91" s="121"/>
      <c r="Z91" s="121"/>
    </row>
    <row r="92" ht="9.75" customHeight="1" spans="1:26">
      <c r="A92" s="121"/>
      <c r="B92" s="121"/>
      <c r="C92" s="121"/>
      <c r="D92" s="121"/>
      <c r="E92" s="121"/>
      <c r="F92" s="121"/>
      <c r="G92" s="121"/>
      <c r="H92" s="121"/>
      <c r="I92" s="121"/>
      <c r="J92" s="121"/>
      <c r="K92" s="121"/>
      <c r="L92" s="121"/>
      <c r="M92" s="121"/>
      <c r="N92" s="121"/>
      <c r="O92" s="121"/>
      <c r="P92" s="121"/>
      <c r="Q92" s="121"/>
      <c r="R92" s="121"/>
      <c r="S92" s="121"/>
      <c r="T92" s="121"/>
      <c r="U92" s="121"/>
      <c r="V92" s="121"/>
      <c r="W92" s="121"/>
      <c r="X92" s="121"/>
      <c r="Y92" s="121"/>
      <c r="Z92" s="121"/>
    </row>
    <row r="93" ht="9.75" customHeight="1" spans="1:26">
      <c r="A93" s="121"/>
      <c r="B93" s="121"/>
      <c r="C93" s="121"/>
      <c r="D93" s="121"/>
      <c r="E93" s="121"/>
      <c r="F93" s="121"/>
      <c r="G93" s="121"/>
      <c r="H93" s="121"/>
      <c r="I93" s="121"/>
      <c r="J93" s="121"/>
      <c r="K93" s="121"/>
      <c r="L93" s="121"/>
      <c r="M93" s="121"/>
      <c r="N93" s="121"/>
      <c r="O93" s="121"/>
      <c r="P93" s="121"/>
      <c r="Q93" s="121"/>
      <c r="R93" s="121"/>
      <c r="S93" s="121"/>
      <c r="T93" s="121"/>
      <c r="U93" s="121"/>
      <c r="V93" s="121"/>
      <c r="W93" s="121"/>
      <c r="X93" s="121"/>
      <c r="Y93" s="121"/>
      <c r="Z93" s="121"/>
    </row>
    <row r="94" ht="9.75" customHeight="1" spans="1:26">
      <c r="A94" s="121"/>
      <c r="B94" s="121"/>
      <c r="C94" s="121"/>
      <c r="D94" s="121"/>
      <c r="E94" s="121"/>
      <c r="F94" s="121"/>
      <c r="G94" s="121"/>
      <c r="H94" s="121"/>
      <c r="I94" s="121"/>
      <c r="J94" s="121"/>
      <c r="K94" s="121"/>
      <c r="L94" s="121"/>
      <c r="M94" s="121"/>
      <c r="N94" s="121"/>
      <c r="O94" s="121"/>
      <c r="P94" s="121"/>
      <c r="Q94" s="121"/>
      <c r="R94" s="121"/>
      <c r="S94" s="121"/>
      <c r="T94" s="121"/>
      <c r="U94" s="121"/>
      <c r="V94" s="121"/>
      <c r="W94" s="121"/>
      <c r="X94" s="121"/>
      <c r="Y94" s="121"/>
      <c r="Z94" s="121"/>
    </row>
    <row r="95" ht="9.75" customHeight="1" spans="1:26">
      <c r="A95" s="121"/>
      <c r="B95" s="121"/>
      <c r="C95" s="121"/>
      <c r="D95" s="121"/>
      <c r="E95" s="121"/>
      <c r="F95" s="121"/>
      <c r="G95" s="121"/>
      <c r="H95" s="121"/>
      <c r="I95" s="121"/>
      <c r="J95" s="121"/>
      <c r="K95" s="121"/>
      <c r="L95" s="121"/>
      <c r="M95" s="121"/>
      <c r="N95" s="121"/>
      <c r="O95" s="121"/>
      <c r="P95" s="121"/>
      <c r="Q95" s="121"/>
      <c r="R95" s="121"/>
      <c r="S95" s="121"/>
      <c r="T95" s="121"/>
      <c r="U95" s="121"/>
      <c r="V95" s="121"/>
      <c r="W95" s="121"/>
      <c r="X95" s="121"/>
      <c r="Y95" s="121"/>
      <c r="Z95" s="121"/>
    </row>
    <row r="96" ht="9.75" customHeight="1" spans="1:26">
      <c r="A96" s="121"/>
      <c r="B96" s="121"/>
      <c r="C96" s="121"/>
      <c r="D96" s="121"/>
      <c r="E96" s="121"/>
      <c r="F96" s="121"/>
      <c r="G96" s="121"/>
      <c r="H96" s="121"/>
      <c r="I96" s="121"/>
      <c r="J96" s="121"/>
      <c r="K96" s="121"/>
      <c r="L96" s="121"/>
      <c r="M96" s="121"/>
      <c r="N96" s="121"/>
      <c r="O96" s="121"/>
      <c r="P96" s="121"/>
      <c r="Q96" s="121"/>
      <c r="R96" s="121"/>
      <c r="S96" s="121"/>
      <c r="T96" s="121"/>
      <c r="U96" s="126"/>
      <c r="V96" s="126"/>
      <c r="W96" s="126"/>
      <c r="X96" s="126"/>
      <c r="Y96" s="126"/>
      <c r="Z96" s="126"/>
    </row>
    <row r="97" ht="9.75" customHeight="1" spans="1:26">
      <c r="A97" s="121"/>
      <c r="B97" s="121"/>
      <c r="C97" s="121"/>
      <c r="D97" s="121"/>
      <c r="E97" s="121"/>
      <c r="F97" s="121"/>
      <c r="G97" s="121"/>
      <c r="H97" s="121"/>
      <c r="I97" s="121"/>
      <c r="J97" s="121"/>
      <c r="K97" s="121"/>
      <c r="L97" s="121"/>
      <c r="M97" s="121"/>
      <c r="N97" s="121"/>
      <c r="O97" s="121"/>
      <c r="P97" s="121"/>
      <c r="Q97" s="121"/>
      <c r="R97" s="121"/>
      <c r="S97" s="121"/>
      <c r="T97" s="121"/>
      <c r="U97" s="126"/>
      <c r="V97" s="126"/>
      <c r="W97" s="126"/>
      <c r="X97" s="126"/>
      <c r="Y97" s="126"/>
      <c r="Z97" s="126"/>
    </row>
    <row r="98" ht="9.75" customHeight="1" spans="1:26">
      <c r="A98" s="121"/>
      <c r="B98" s="121"/>
      <c r="C98" s="121"/>
      <c r="D98" s="121"/>
      <c r="E98" s="121"/>
      <c r="F98" s="121"/>
      <c r="G98" s="121"/>
      <c r="H98" s="121"/>
      <c r="I98" s="121"/>
      <c r="J98" s="121"/>
      <c r="K98" s="121"/>
      <c r="L98" s="121"/>
      <c r="M98" s="121"/>
      <c r="N98" s="121"/>
      <c r="O98" s="121"/>
      <c r="P98" s="121"/>
      <c r="Q98" s="121"/>
      <c r="R98" s="121"/>
      <c r="S98" s="121"/>
      <c r="T98" s="121"/>
      <c r="U98" s="126"/>
      <c r="V98" s="126"/>
      <c r="W98" s="126"/>
      <c r="X98" s="126"/>
      <c r="Y98" s="126"/>
      <c r="Z98" s="126"/>
    </row>
    <row r="99" ht="9.75" customHeight="1" spans="1:26">
      <c r="A99" s="121"/>
      <c r="B99" s="121"/>
      <c r="C99" s="121"/>
      <c r="D99" s="121"/>
      <c r="E99" s="121"/>
      <c r="F99" s="121"/>
      <c r="G99" s="121"/>
      <c r="H99" s="121"/>
      <c r="I99" s="121"/>
      <c r="J99" s="121"/>
      <c r="K99" s="121"/>
      <c r="L99" s="121"/>
      <c r="M99" s="121"/>
      <c r="N99" s="121"/>
      <c r="O99" s="121"/>
      <c r="P99" s="121"/>
      <c r="Q99" s="121"/>
      <c r="R99" s="121"/>
      <c r="S99" s="121"/>
      <c r="T99" s="121"/>
      <c r="U99" s="126"/>
      <c r="V99" s="126"/>
      <c r="W99" s="126"/>
      <c r="X99" s="126"/>
      <c r="Y99" s="126"/>
      <c r="Z99" s="126"/>
    </row>
    <row r="100" ht="9.75" customHeight="1" spans="1:26">
      <c r="A100" s="121"/>
      <c r="B100" s="121"/>
      <c r="C100" s="121"/>
      <c r="D100" s="121"/>
      <c r="E100" s="121"/>
      <c r="F100" s="121"/>
      <c r="G100" s="121"/>
      <c r="H100" s="121"/>
      <c r="I100" s="121"/>
      <c r="J100" s="121"/>
      <c r="K100" s="121"/>
      <c r="L100" s="121"/>
      <c r="M100" s="121"/>
      <c r="N100" s="121"/>
      <c r="O100" s="121"/>
      <c r="P100" s="121"/>
      <c r="Q100" s="121"/>
      <c r="R100" s="121"/>
      <c r="S100" s="121"/>
      <c r="T100" s="121"/>
      <c r="U100" s="126"/>
      <c r="V100" s="126"/>
      <c r="W100" s="126"/>
      <c r="X100" s="126"/>
      <c r="Y100" s="126"/>
      <c r="Z100" s="126"/>
    </row>
    <row r="101" ht="9.75" customHeight="1" spans="1:26">
      <c r="A101" s="121"/>
      <c r="B101" s="121"/>
      <c r="C101" s="121"/>
      <c r="D101" s="121"/>
      <c r="E101" s="121"/>
      <c r="F101" s="121"/>
      <c r="G101" s="121"/>
      <c r="H101" s="121"/>
      <c r="I101" s="121"/>
      <c r="J101" s="121"/>
      <c r="K101" s="121"/>
      <c r="L101" s="121"/>
      <c r="M101" s="121"/>
      <c r="N101" s="121"/>
      <c r="O101" s="121"/>
      <c r="P101" s="121"/>
      <c r="Q101" s="121"/>
      <c r="R101" s="121"/>
      <c r="S101" s="121"/>
      <c r="T101" s="121"/>
      <c r="U101" s="126"/>
      <c r="V101" s="126"/>
      <c r="W101" s="126"/>
      <c r="X101" s="126"/>
      <c r="Y101" s="126"/>
      <c r="Z101" s="126"/>
    </row>
    <row r="102" ht="9.75" customHeight="1" spans="1:26">
      <c r="A102" s="121"/>
      <c r="B102" s="121"/>
      <c r="C102" s="121"/>
      <c r="D102" s="121"/>
      <c r="E102" s="121"/>
      <c r="F102" s="121"/>
      <c r="G102" s="121"/>
      <c r="H102" s="121"/>
      <c r="I102" s="121"/>
      <c r="J102" s="121"/>
      <c r="K102" s="121"/>
      <c r="L102" s="121"/>
      <c r="M102" s="121"/>
      <c r="N102" s="121"/>
      <c r="O102" s="121"/>
      <c r="P102" s="121"/>
      <c r="Q102" s="121"/>
      <c r="R102" s="121"/>
      <c r="S102" s="121"/>
      <c r="T102" s="121"/>
      <c r="U102" s="126"/>
      <c r="V102" s="126"/>
      <c r="W102" s="126"/>
      <c r="X102" s="126"/>
      <c r="Y102" s="126"/>
      <c r="Z102" s="126"/>
    </row>
    <row r="103" ht="9.75" customHeight="1" spans="1:26">
      <c r="A103" s="121"/>
      <c r="B103" s="121"/>
      <c r="C103" s="121"/>
      <c r="D103" s="121"/>
      <c r="E103" s="121"/>
      <c r="F103" s="121"/>
      <c r="G103" s="121"/>
      <c r="H103" s="121"/>
      <c r="I103" s="121"/>
      <c r="J103" s="121"/>
      <c r="K103" s="121"/>
      <c r="L103" s="121"/>
      <c r="M103" s="121"/>
      <c r="N103" s="121"/>
      <c r="O103" s="121"/>
      <c r="P103" s="121"/>
      <c r="Q103" s="121"/>
      <c r="R103" s="121"/>
      <c r="S103" s="121"/>
      <c r="T103" s="121"/>
      <c r="U103" s="126"/>
      <c r="V103" s="126"/>
      <c r="W103" s="126"/>
      <c r="X103" s="126"/>
      <c r="Y103" s="126"/>
      <c r="Z103" s="126"/>
    </row>
    <row r="104" ht="9.75" customHeight="1" spans="1:26">
      <c r="A104" s="121"/>
      <c r="B104" s="121"/>
      <c r="C104" s="121"/>
      <c r="D104" s="121"/>
      <c r="E104" s="121"/>
      <c r="F104" s="121"/>
      <c r="G104" s="121"/>
      <c r="H104" s="121"/>
      <c r="I104" s="121"/>
      <c r="J104" s="121"/>
      <c r="K104" s="121"/>
      <c r="L104" s="121"/>
      <c r="M104" s="121"/>
      <c r="N104" s="121"/>
      <c r="O104" s="121"/>
      <c r="P104" s="121"/>
      <c r="Q104" s="121"/>
      <c r="R104" s="121"/>
      <c r="S104" s="121"/>
      <c r="T104" s="121"/>
      <c r="U104" s="126"/>
      <c r="V104" s="126"/>
      <c r="W104" s="126"/>
      <c r="X104" s="126"/>
      <c r="Y104" s="126"/>
      <c r="Z104" s="126"/>
    </row>
    <row r="105" ht="9.75" customHeight="1" spans="1:26">
      <c r="A105" s="121"/>
      <c r="B105" s="121"/>
      <c r="C105" s="121"/>
      <c r="D105" s="121"/>
      <c r="E105" s="121"/>
      <c r="F105" s="121"/>
      <c r="G105" s="121"/>
      <c r="H105" s="121"/>
      <c r="I105" s="121"/>
      <c r="J105" s="121"/>
      <c r="K105" s="121"/>
      <c r="L105" s="121"/>
      <c r="M105" s="121"/>
      <c r="N105" s="121"/>
      <c r="O105" s="121"/>
      <c r="P105" s="121"/>
      <c r="Q105" s="121"/>
      <c r="R105" s="121"/>
      <c r="S105" s="121"/>
      <c r="T105" s="121"/>
      <c r="U105" s="126"/>
      <c r="V105" s="126"/>
      <c r="W105" s="126"/>
      <c r="X105" s="126"/>
      <c r="Y105" s="126"/>
      <c r="Z105" s="126"/>
    </row>
    <row r="106" ht="14.25" customHeight="1" spans="1:26">
      <c r="A106" s="121"/>
      <c r="B106" s="121"/>
      <c r="C106" s="121"/>
      <c r="D106" s="121"/>
      <c r="E106" s="121"/>
      <c r="F106" s="121"/>
      <c r="G106" s="121"/>
      <c r="H106" s="121"/>
      <c r="I106" s="121"/>
      <c r="J106" s="121"/>
      <c r="K106" s="121"/>
      <c r="L106" s="121"/>
      <c r="M106" s="121"/>
      <c r="N106" s="121"/>
      <c r="O106" s="121"/>
      <c r="P106" s="121"/>
      <c r="Q106" s="126"/>
      <c r="R106" s="126"/>
      <c r="S106" s="126"/>
      <c r="T106" s="126"/>
      <c r="U106" s="126"/>
      <c r="V106" s="126"/>
      <c r="W106" s="126"/>
      <c r="X106" s="126"/>
      <c r="Y106" s="126"/>
      <c r="Z106" s="126"/>
    </row>
    <row r="107" ht="14.25" customHeight="1" spans="1:26">
      <c r="A107" s="121"/>
      <c r="B107" s="121"/>
      <c r="C107" s="121"/>
      <c r="D107" s="121"/>
      <c r="E107" s="121"/>
      <c r="F107" s="121"/>
      <c r="G107" s="121"/>
      <c r="H107" s="121"/>
      <c r="I107" s="121"/>
      <c r="J107" s="121"/>
      <c r="K107" s="121"/>
      <c r="L107" s="121"/>
      <c r="M107" s="121"/>
      <c r="N107" s="121"/>
      <c r="O107" s="121"/>
      <c r="P107" s="121"/>
      <c r="Q107" s="126"/>
      <c r="R107" s="126"/>
      <c r="S107" s="126"/>
      <c r="T107" s="126"/>
      <c r="U107" s="126"/>
      <c r="V107" s="126"/>
      <c r="W107" s="126"/>
      <c r="X107" s="126"/>
      <c r="Y107" s="126"/>
      <c r="Z107" s="126"/>
    </row>
    <row r="108" ht="14.25" customHeight="1" spans="1:26">
      <c r="A108" s="121"/>
      <c r="B108" s="121"/>
      <c r="C108" s="121"/>
      <c r="D108" s="121"/>
      <c r="E108" s="121"/>
      <c r="F108" s="121"/>
      <c r="G108" s="121"/>
      <c r="H108" s="121"/>
      <c r="I108" s="121"/>
      <c r="J108" s="121"/>
      <c r="K108" s="121"/>
      <c r="L108" s="121"/>
      <c r="M108" s="121"/>
      <c r="N108" s="121"/>
      <c r="O108" s="121"/>
      <c r="P108" s="121"/>
      <c r="Q108" s="126"/>
      <c r="R108" s="126"/>
      <c r="S108" s="126"/>
      <c r="T108" s="126"/>
      <c r="U108" s="126"/>
      <c r="V108" s="126"/>
      <c r="W108" s="126"/>
      <c r="X108" s="126"/>
      <c r="Y108" s="126"/>
      <c r="Z108" s="126"/>
    </row>
    <row r="109" ht="14.25" customHeight="1" spans="1:26">
      <c r="A109" s="121"/>
      <c r="B109" s="121"/>
      <c r="C109" s="121"/>
      <c r="D109" s="121"/>
      <c r="E109" s="121"/>
      <c r="F109" s="121"/>
      <c r="G109" s="121"/>
      <c r="H109" s="121"/>
      <c r="I109" s="121"/>
      <c r="J109" s="121"/>
      <c r="K109" s="121"/>
      <c r="L109" s="121"/>
      <c r="M109" s="121"/>
      <c r="N109" s="121"/>
      <c r="O109" s="121"/>
      <c r="P109" s="121"/>
      <c r="Q109" s="126"/>
      <c r="R109" s="126"/>
      <c r="S109" s="126"/>
      <c r="T109" s="126"/>
      <c r="U109" s="126"/>
      <c r="V109" s="126"/>
      <c r="W109" s="126"/>
      <c r="X109" s="126"/>
      <c r="Y109" s="126"/>
      <c r="Z109" s="126"/>
    </row>
    <row r="110" ht="14.25" customHeight="1" spans="1:26">
      <c r="A110" s="121"/>
      <c r="B110" s="121"/>
      <c r="C110" s="121"/>
      <c r="D110" s="121"/>
      <c r="E110" s="121"/>
      <c r="F110" s="121"/>
      <c r="G110" s="121"/>
      <c r="H110" s="121"/>
      <c r="I110" s="121"/>
      <c r="J110" s="121"/>
      <c r="K110" s="121"/>
      <c r="L110" s="121"/>
      <c r="M110" s="121"/>
      <c r="N110" s="121"/>
      <c r="O110" s="121"/>
      <c r="P110" s="121"/>
      <c r="Q110" s="126"/>
      <c r="R110" s="126"/>
      <c r="S110" s="126"/>
      <c r="T110" s="126"/>
      <c r="U110" s="126"/>
      <c r="V110" s="126"/>
      <c r="W110" s="126"/>
      <c r="X110" s="126"/>
      <c r="Y110" s="126"/>
      <c r="Z110" s="126"/>
    </row>
    <row r="111" ht="14.25" customHeight="1" spans="1:26">
      <c r="A111" s="121"/>
      <c r="B111" s="121"/>
      <c r="C111" s="121"/>
      <c r="D111" s="121"/>
      <c r="E111" s="121"/>
      <c r="F111" s="121"/>
      <c r="G111" s="121"/>
      <c r="H111" s="121"/>
      <c r="I111" s="121"/>
      <c r="J111" s="121"/>
      <c r="K111" s="121"/>
      <c r="L111" s="121"/>
      <c r="M111" s="121"/>
      <c r="N111" s="121"/>
      <c r="O111" s="121"/>
      <c r="P111" s="121"/>
      <c r="Q111" s="126"/>
      <c r="R111" s="126"/>
      <c r="S111" s="126"/>
      <c r="T111" s="126"/>
      <c r="U111" s="126"/>
      <c r="V111" s="126"/>
      <c r="W111" s="126"/>
      <c r="X111" s="126"/>
      <c r="Y111" s="126"/>
      <c r="Z111" s="126"/>
    </row>
    <row r="112" ht="14.25" customHeight="1" spans="1:26">
      <c r="A112" s="121"/>
      <c r="B112" s="121"/>
      <c r="C112" s="121"/>
      <c r="D112" s="121"/>
      <c r="E112" s="121"/>
      <c r="F112" s="121"/>
      <c r="G112" s="121"/>
      <c r="H112" s="121"/>
      <c r="I112" s="121"/>
      <c r="J112" s="121"/>
      <c r="K112" s="121"/>
      <c r="L112" s="121"/>
      <c r="M112" s="121"/>
      <c r="N112" s="121"/>
      <c r="O112" s="121"/>
      <c r="P112" s="121"/>
      <c r="Q112" s="126"/>
      <c r="R112" s="126"/>
      <c r="S112" s="126"/>
      <c r="T112" s="126"/>
      <c r="U112" s="126"/>
      <c r="V112" s="126"/>
      <c r="W112" s="126"/>
      <c r="X112" s="126"/>
      <c r="Y112" s="126"/>
      <c r="Z112" s="126"/>
    </row>
    <row r="113" ht="14.25" customHeight="1" spans="1:26">
      <c r="A113" s="121"/>
      <c r="B113" s="121"/>
      <c r="C113" s="121"/>
      <c r="D113" s="121"/>
      <c r="E113" s="121"/>
      <c r="F113" s="121"/>
      <c r="G113" s="121"/>
      <c r="H113" s="121"/>
      <c r="I113" s="121"/>
      <c r="J113" s="121"/>
      <c r="K113" s="121"/>
      <c r="L113" s="121"/>
      <c r="M113" s="121"/>
      <c r="N113" s="121"/>
      <c r="O113" s="121"/>
      <c r="P113" s="121"/>
      <c r="Q113" s="126"/>
      <c r="R113" s="126"/>
      <c r="S113" s="126"/>
      <c r="T113" s="126"/>
      <c r="U113" s="126"/>
      <c r="V113" s="126"/>
      <c r="W113" s="126"/>
      <c r="X113" s="126"/>
      <c r="Y113" s="126"/>
      <c r="Z113" s="126"/>
    </row>
    <row r="114" ht="14.25" customHeight="1" spans="1:26">
      <c r="A114" s="121"/>
      <c r="B114" s="121"/>
      <c r="C114" s="121"/>
      <c r="D114" s="121"/>
      <c r="E114" s="121"/>
      <c r="F114" s="121"/>
      <c r="G114" s="121"/>
      <c r="H114" s="121"/>
      <c r="I114" s="121"/>
      <c r="J114" s="121"/>
      <c r="K114" s="121"/>
      <c r="L114" s="121"/>
      <c r="M114" s="121"/>
      <c r="N114" s="121"/>
      <c r="O114" s="121"/>
      <c r="P114" s="121"/>
      <c r="Q114" s="126"/>
      <c r="R114" s="126"/>
      <c r="S114" s="126"/>
      <c r="T114" s="126"/>
      <c r="U114" s="126"/>
      <c r="V114" s="126"/>
      <c r="W114" s="126"/>
      <c r="X114" s="126"/>
      <c r="Y114" s="126"/>
      <c r="Z114" s="126"/>
    </row>
    <row r="115" ht="14.25" customHeight="1" spans="1:26">
      <c r="A115" s="121"/>
      <c r="B115" s="121"/>
      <c r="C115" s="121"/>
      <c r="D115" s="121"/>
      <c r="E115" s="121"/>
      <c r="F115" s="121"/>
      <c r="G115" s="121"/>
      <c r="H115" s="121"/>
      <c r="I115" s="121"/>
      <c r="J115" s="121"/>
      <c r="K115" s="121"/>
      <c r="L115" s="121"/>
      <c r="M115" s="121"/>
      <c r="N115" s="121"/>
      <c r="O115" s="121"/>
      <c r="P115" s="121"/>
      <c r="Q115" s="126"/>
      <c r="R115" s="126"/>
      <c r="S115" s="126"/>
      <c r="T115" s="126"/>
      <c r="U115" s="126"/>
      <c r="V115" s="126"/>
      <c r="W115" s="126"/>
      <c r="X115" s="126"/>
      <c r="Y115" s="126"/>
      <c r="Z115" s="126"/>
    </row>
    <row r="116" ht="14.25" customHeight="1" spans="1:26">
      <c r="A116" s="121"/>
      <c r="B116" s="121"/>
      <c r="C116" s="121"/>
      <c r="D116" s="121"/>
      <c r="E116" s="121"/>
      <c r="F116" s="121"/>
      <c r="G116" s="121"/>
      <c r="H116" s="121"/>
      <c r="I116" s="121"/>
      <c r="J116" s="121"/>
      <c r="K116" s="121"/>
      <c r="L116" s="121"/>
      <c r="M116" s="121"/>
      <c r="N116" s="121"/>
      <c r="O116" s="121"/>
      <c r="P116" s="121"/>
      <c r="Q116" s="126"/>
      <c r="R116" s="126"/>
      <c r="S116" s="126"/>
      <c r="T116" s="126"/>
      <c r="U116" s="126"/>
      <c r="V116" s="126"/>
      <c r="W116" s="126"/>
      <c r="X116" s="126"/>
      <c r="Y116" s="126"/>
      <c r="Z116" s="126"/>
    </row>
    <row r="117" ht="14.25" customHeight="1" spans="1:26">
      <c r="A117" s="121"/>
      <c r="B117" s="121"/>
      <c r="C117" s="121"/>
      <c r="D117" s="121"/>
      <c r="E117" s="121"/>
      <c r="F117" s="121"/>
      <c r="G117" s="121"/>
      <c r="H117" s="121"/>
      <c r="I117" s="121"/>
      <c r="J117" s="121"/>
      <c r="K117" s="121"/>
      <c r="L117" s="121"/>
      <c r="M117" s="121"/>
      <c r="N117" s="121"/>
      <c r="O117" s="121"/>
      <c r="P117" s="121"/>
      <c r="Q117" s="126"/>
      <c r="R117" s="126"/>
      <c r="S117" s="126"/>
      <c r="T117" s="126"/>
      <c r="U117" s="126"/>
      <c r="V117" s="126"/>
      <c r="W117" s="126"/>
      <c r="X117" s="126"/>
      <c r="Y117" s="126"/>
      <c r="Z117" s="126"/>
    </row>
    <row r="118" ht="14.25" customHeight="1" spans="1:26">
      <c r="A118" s="121"/>
      <c r="B118" s="121"/>
      <c r="C118" s="121"/>
      <c r="D118" s="121"/>
      <c r="E118" s="121"/>
      <c r="F118" s="121"/>
      <c r="G118" s="121"/>
      <c r="H118" s="121"/>
      <c r="I118" s="121"/>
      <c r="J118" s="121"/>
      <c r="K118" s="121"/>
      <c r="L118" s="121"/>
      <c r="M118" s="121"/>
      <c r="N118" s="121"/>
      <c r="O118" s="121"/>
      <c r="P118" s="121"/>
      <c r="Q118" s="126"/>
      <c r="R118" s="126"/>
      <c r="S118" s="126"/>
      <c r="T118" s="126"/>
      <c r="U118" s="126"/>
      <c r="V118" s="126"/>
      <c r="W118" s="126"/>
      <c r="X118" s="126"/>
      <c r="Y118" s="126"/>
      <c r="Z118" s="126"/>
    </row>
    <row r="119" ht="14.25" customHeight="1" spans="1:26">
      <c r="A119" s="121"/>
      <c r="B119" s="121"/>
      <c r="C119" s="121"/>
      <c r="D119" s="121"/>
      <c r="E119" s="121"/>
      <c r="F119" s="121"/>
      <c r="G119" s="121"/>
      <c r="H119" s="121"/>
      <c r="I119" s="121"/>
      <c r="J119" s="121"/>
      <c r="K119" s="121"/>
      <c r="L119" s="121"/>
      <c r="M119" s="121"/>
      <c r="N119" s="121"/>
      <c r="O119" s="121"/>
      <c r="P119" s="121"/>
      <c r="Q119" s="126"/>
      <c r="R119" s="126"/>
      <c r="S119" s="126"/>
      <c r="T119" s="126"/>
      <c r="U119" s="126"/>
      <c r="V119" s="126"/>
      <c r="W119" s="126"/>
      <c r="X119" s="126"/>
      <c r="Y119" s="126"/>
      <c r="Z119" s="126"/>
    </row>
    <row r="120" ht="14.25" customHeight="1" spans="1:26">
      <c r="A120" s="121"/>
      <c r="B120" s="121"/>
      <c r="C120" s="121"/>
      <c r="D120" s="121"/>
      <c r="E120" s="121"/>
      <c r="F120" s="121"/>
      <c r="G120" s="121"/>
      <c r="H120" s="121"/>
      <c r="I120" s="121"/>
      <c r="J120" s="121"/>
      <c r="K120" s="121"/>
      <c r="L120" s="121"/>
      <c r="M120" s="121"/>
      <c r="N120" s="121"/>
      <c r="O120" s="121"/>
      <c r="P120" s="121"/>
      <c r="Q120" s="126"/>
      <c r="R120" s="126"/>
      <c r="S120" s="126"/>
      <c r="T120" s="126"/>
      <c r="U120" s="126"/>
      <c r="V120" s="126"/>
      <c r="W120" s="126"/>
      <c r="X120" s="126"/>
      <c r="Y120" s="126"/>
      <c r="Z120" s="126"/>
    </row>
    <row r="121" ht="14.25" customHeight="1" spans="1:26">
      <c r="A121" s="121"/>
      <c r="B121" s="121"/>
      <c r="C121" s="121"/>
      <c r="D121" s="121"/>
      <c r="E121" s="121"/>
      <c r="F121" s="121"/>
      <c r="G121" s="121"/>
      <c r="H121" s="121"/>
      <c r="I121" s="121"/>
      <c r="J121" s="121"/>
      <c r="K121" s="121"/>
      <c r="L121" s="121"/>
      <c r="M121" s="121"/>
      <c r="N121" s="121"/>
      <c r="O121" s="121"/>
      <c r="P121" s="121"/>
      <c r="Q121" s="126"/>
      <c r="R121" s="126"/>
      <c r="S121" s="126"/>
      <c r="T121" s="126"/>
      <c r="U121" s="126"/>
      <c r="V121" s="126"/>
      <c r="W121" s="126"/>
      <c r="X121" s="126"/>
      <c r="Y121" s="126"/>
      <c r="Z121" s="126"/>
    </row>
    <row r="122" ht="14.25" customHeight="1" spans="1:26">
      <c r="A122" s="121"/>
      <c r="B122" s="121"/>
      <c r="C122" s="121"/>
      <c r="D122" s="121"/>
      <c r="E122" s="121"/>
      <c r="F122" s="121"/>
      <c r="G122" s="121"/>
      <c r="H122" s="121"/>
      <c r="I122" s="121"/>
      <c r="J122" s="121"/>
      <c r="K122" s="121"/>
      <c r="L122" s="121"/>
      <c r="M122" s="121"/>
      <c r="N122" s="121"/>
      <c r="O122" s="121"/>
      <c r="P122" s="121"/>
      <c r="Q122" s="126"/>
      <c r="R122" s="126"/>
      <c r="S122" s="126"/>
      <c r="T122" s="126"/>
      <c r="U122" s="126"/>
      <c r="V122" s="126"/>
      <c r="W122" s="126"/>
      <c r="X122" s="126"/>
      <c r="Y122" s="126"/>
      <c r="Z122" s="126"/>
    </row>
    <row r="123" ht="14.25" customHeight="1" spans="1:26">
      <c r="A123" s="121"/>
      <c r="B123" s="121"/>
      <c r="C123" s="121"/>
      <c r="D123" s="121"/>
      <c r="E123" s="121"/>
      <c r="F123" s="121"/>
      <c r="G123" s="121"/>
      <c r="H123" s="121"/>
      <c r="I123" s="121"/>
      <c r="J123" s="121"/>
      <c r="K123" s="121"/>
      <c r="L123" s="121"/>
      <c r="M123" s="121"/>
      <c r="N123" s="121"/>
      <c r="O123" s="121"/>
      <c r="P123" s="121"/>
      <c r="Q123" s="126"/>
      <c r="R123" s="126"/>
      <c r="S123" s="126"/>
      <c r="T123" s="126"/>
      <c r="U123" s="126"/>
      <c r="V123" s="126"/>
      <c r="W123" s="126"/>
      <c r="X123" s="126"/>
      <c r="Y123" s="126"/>
      <c r="Z123" s="126"/>
    </row>
    <row r="124" ht="14.25" customHeight="1" spans="1:26">
      <c r="A124" s="121"/>
      <c r="B124" s="121"/>
      <c r="C124" s="121"/>
      <c r="D124" s="121"/>
      <c r="E124" s="121"/>
      <c r="F124" s="121"/>
      <c r="G124" s="121"/>
      <c r="H124" s="121"/>
      <c r="I124" s="121"/>
      <c r="J124" s="121"/>
      <c r="K124" s="121"/>
      <c r="L124" s="121"/>
      <c r="M124" s="121"/>
      <c r="N124" s="121"/>
      <c r="O124" s="121"/>
      <c r="P124" s="121"/>
      <c r="Q124" s="126"/>
      <c r="R124" s="126"/>
      <c r="S124" s="126"/>
      <c r="T124" s="126"/>
      <c r="U124" s="126"/>
      <c r="V124" s="126"/>
      <c r="W124" s="126"/>
      <c r="X124" s="126"/>
      <c r="Y124" s="126"/>
      <c r="Z124" s="126"/>
    </row>
    <row r="125" ht="14.25" customHeight="1" spans="1:26">
      <c r="A125" s="121"/>
      <c r="B125" s="121"/>
      <c r="C125" s="121"/>
      <c r="D125" s="121"/>
      <c r="E125" s="121"/>
      <c r="F125" s="121"/>
      <c r="G125" s="121"/>
      <c r="H125" s="121"/>
      <c r="I125" s="121"/>
      <c r="J125" s="121"/>
      <c r="K125" s="121"/>
      <c r="L125" s="121"/>
      <c r="M125" s="121"/>
      <c r="N125" s="121"/>
      <c r="O125" s="121"/>
      <c r="P125" s="121"/>
      <c r="Q125" s="126"/>
      <c r="R125" s="126"/>
      <c r="S125" s="126"/>
      <c r="T125" s="126"/>
      <c r="U125" s="126"/>
      <c r="V125" s="126"/>
      <c r="W125" s="126"/>
      <c r="X125" s="126"/>
      <c r="Y125" s="126"/>
      <c r="Z125" s="126"/>
    </row>
    <row r="126" ht="14.25" customHeight="1" spans="1:26">
      <c r="A126" s="121"/>
      <c r="B126" s="121"/>
      <c r="C126" s="121"/>
      <c r="D126" s="121"/>
      <c r="E126" s="121"/>
      <c r="F126" s="121"/>
      <c r="G126" s="121"/>
      <c r="H126" s="121"/>
      <c r="I126" s="121"/>
      <c r="J126" s="121"/>
      <c r="K126" s="121"/>
      <c r="L126" s="121"/>
      <c r="M126" s="121"/>
      <c r="N126" s="121"/>
      <c r="O126" s="121"/>
      <c r="P126" s="121"/>
      <c r="Q126" s="126"/>
      <c r="R126" s="126"/>
      <c r="S126" s="126"/>
      <c r="T126" s="126"/>
      <c r="U126" s="126"/>
      <c r="V126" s="126"/>
      <c r="W126" s="126"/>
      <c r="X126" s="126"/>
      <c r="Y126" s="126"/>
      <c r="Z126" s="126"/>
    </row>
    <row r="127" ht="14.25" customHeight="1" spans="1:26">
      <c r="A127" s="121"/>
      <c r="B127" s="121"/>
      <c r="C127" s="121"/>
      <c r="D127" s="121"/>
      <c r="E127" s="121"/>
      <c r="F127" s="121"/>
      <c r="G127" s="121"/>
      <c r="H127" s="121"/>
      <c r="I127" s="121"/>
      <c r="J127" s="121"/>
      <c r="K127" s="121"/>
      <c r="L127" s="121"/>
      <c r="M127" s="121"/>
      <c r="N127" s="121"/>
      <c r="O127" s="121"/>
      <c r="P127" s="121"/>
      <c r="Q127" s="126"/>
      <c r="R127" s="126"/>
      <c r="S127" s="126"/>
      <c r="T127" s="126"/>
      <c r="U127" s="126"/>
      <c r="V127" s="126"/>
      <c r="W127" s="126"/>
      <c r="X127" s="126"/>
      <c r="Y127" s="126"/>
      <c r="Z127" s="126"/>
    </row>
    <row r="128" ht="14.25" customHeight="1" spans="1:26">
      <c r="A128" s="121"/>
      <c r="B128" s="121"/>
      <c r="C128" s="121"/>
      <c r="D128" s="121"/>
      <c r="E128" s="121"/>
      <c r="F128" s="121"/>
      <c r="G128" s="121"/>
      <c r="H128" s="121"/>
      <c r="I128" s="121"/>
      <c r="J128" s="121"/>
      <c r="K128" s="121"/>
      <c r="L128" s="121"/>
      <c r="M128" s="121"/>
      <c r="N128" s="121"/>
      <c r="O128" s="121"/>
      <c r="P128" s="121"/>
      <c r="Q128" s="126"/>
      <c r="R128" s="126"/>
      <c r="S128" s="126"/>
      <c r="T128" s="126"/>
      <c r="U128" s="126"/>
      <c r="V128" s="126"/>
      <c r="W128" s="126"/>
      <c r="X128" s="126"/>
      <c r="Y128" s="126"/>
      <c r="Z128" s="126"/>
    </row>
    <row r="129" ht="14.25" customHeight="1" spans="1:26">
      <c r="A129" s="121"/>
      <c r="B129" s="121"/>
      <c r="C129" s="121"/>
      <c r="D129" s="121"/>
      <c r="E129" s="121"/>
      <c r="F129" s="121"/>
      <c r="G129" s="121"/>
      <c r="H129" s="121"/>
      <c r="I129" s="121"/>
      <c r="J129" s="121"/>
      <c r="K129" s="121"/>
      <c r="L129" s="121"/>
      <c r="M129" s="121"/>
      <c r="N129" s="121"/>
      <c r="O129" s="121"/>
      <c r="P129" s="121"/>
      <c r="Q129" s="126"/>
      <c r="R129" s="126"/>
      <c r="S129" s="126"/>
      <c r="T129" s="126"/>
      <c r="U129" s="126"/>
      <c r="V129" s="126"/>
      <c r="W129" s="126"/>
      <c r="X129" s="126"/>
      <c r="Y129" s="126"/>
      <c r="Z129" s="126"/>
    </row>
    <row r="130" ht="14.25" customHeight="1" spans="1:26">
      <c r="A130" s="121"/>
      <c r="B130" s="121"/>
      <c r="C130" s="121"/>
      <c r="D130" s="121"/>
      <c r="E130" s="121"/>
      <c r="F130" s="121"/>
      <c r="G130" s="121"/>
      <c r="H130" s="121"/>
      <c r="I130" s="121"/>
      <c r="J130" s="121"/>
      <c r="K130" s="121"/>
      <c r="L130" s="121"/>
      <c r="M130" s="121"/>
      <c r="N130" s="121"/>
      <c r="O130" s="121"/>
      <c r="P130" s="121"/>
      <c r="Q130" s="126"/>
      <c r="R130" s="126"/>
      <c r="S130" s="126"/>
      <c r="T130" s="126"/>
      <c r="U130" s="126"/>
      <c r="V130" s="126"/>
      <c r="W130" s="126"/>
      <c r="X130" s="126"/>
      <c r="Y130" s="126"/>
      <c r="Z130" s="126"/>
    </row>
    <row r="131" ht="14.25" customHeight="1" spans="1:26">
      <c r="A131" s="121"/>
      <c r="B131" s="121"/>
      <c r="C131" s="121"/>
      <c r="D131" s="121"/>
      <c r="E131" s="121"/>
      <c r="F131" s="121"/>
      <c r="G131" s="121"/>
      <c r="H131" s="121"/>
      <c r="I131" s="121"/>
      <c r="J131" s="121"/>
      <c r="K131" s="121"/>
      <c r="L131" s="121"/>
      <c r="M131" s="121"/>
      <c r="N131" s="121"/>
      <c r="O131" s="121"/>
      <c r="P131" s="121"/>
      <c r="Q131" s="126"/>
      <c r="R131" s="126"/>
      <c r="S131" s="126"/>
      <c r="T131" s="126"/>
      <c r="U131" s="126"/>
      <c r="V131" s="126"/>
      <c r="W131" s="126"/>
      <c r="X131" s="126"/>
      <c r="Y131" s="126"/>
      <c r="Z131" s="126"/>
    </row>
    <row r="132" ht="14.25" customHeight="1" spans="1:26">
      <c r="A132" s="121"/>
      <c r="B132" s="121"/>
      <c r="C132" s="121"/>
      <c r="D132" s="121"/>
      <c r="E132" s="121"/>
      <c r="F132" s="121"/>
      <c r="G132" s="121"/>
      <c r="H132" s="121"/>
      <c r="I132" s="121"/>
      <c r="J132" s="121"/>
      <c r="K132" s="121"/>
      <c r="L132" s="121"/>
      <c r="M132" s="121"/>
      <c r="N132" s="121"/>
      <c r="O132" s="121"/>
      <c r="P132" s="121"/>
      <c r="Q132" s="126"/>
      <c r="R132" s="126"/>
      <c r="S132" s="126"/>
      <c r="T132" s="126"/>
      <c r="U132" s="126"/>
      <c r="V132" s="126"/>
      <c r="W132" s="126"/>
      <c r="X132" s="126"/>
      <c r="Y132" s="126"/>
      <c r="Z132" s="126"/>
    </row>
    <row r="133" ht="14.25" customHeight="1" spans="1:26">
      <c r="A133" s="121"/>
      <c r="B133" s="121"/>
      <c r="C133" s="121"/>
      <c r="D133" s="121"/>
      <c r="E133" s="121"/>
      <c r="F133" s="121"/>
      <c r="G133" s="121"/>
      <c r="H133" s="121"/>
      <c r="I133" s="121"/>
      <c r="J133" s="121"/>
      <c r="K133" s="121"/>
      <c r="L133" s="121"/>
      <c r="M133" s="121"/>
      <c r="N133" s="121"/>
      <c r="O133" s="121"/>
      <c r="P133" s="121"/>
      <c r="Q133" s="126"/>
      <c r="R133" s="126"/>
      <c r="S133" s="126"/>
      <c r="T133" s="126"/>
      <c r="U133" s="126"/>
      <c r="V133" s="126"/>
      <c r="W133" s="126"/>
      <c r="X133" s="126"/>
      <c r="Y133" s="126"/>
      <c r="Z133" s="126"/>
    </row>
    <row r="134" ht="14.25" customHeight="1" spans="1:26">
      <c r="A134" s="121"/>
      <c r="B134" s="121"/>
      <c r="C134" s="121"/>
      <c r="D134" s="121"/>
      <c r="E134" s="121"/>
      <c r="F134" s="121"/>
      <c r="G134" s="121"/>
      <c r="H134" s="121"/>
      <c r="I134" s="121"/>
      <c r="J134" s="121"/>
      <c r="K134" s="121"/>
      <c r="L134" s="121"/>
      <c r="M134" s="121"/>
      <c r="N134" s="121"/>
      <c r="O134" s="121"/>
      <c r="P134" s="121"/>
      <c r="Q134" s="126"/>
      <c r="R134" s="126"/>
      <c r="S134" s="126"/>
      <c r="T134" s="126"/>
      <c r="U134" s="126"/>
      <c r="V134" s="126"/>
      <c r="W134" s="126"/>
      <c r="X134" s="126"/>
      <c r="Y134" s="126"/>
      <c r="Z134" s="126"/>
    </row>
    <row r="135" ht="14.25" customHeight="1" spans="1:26">
      <c r="A135" s="121"/>
      <c r="B135" s="121"/>
      <c r="C135" s="121"/>
      <c r="D135" s="121"/>
      <c r="E135" s="121"/>
      <c r="F135" s="121"/>
      <c r="G135" s="121"/>
      <c r="H135" s="121"/>
      <c r="I135" s="121"/>
      <c r="J135" s="121"/>
      <c r="K135" s="121"/>
      <c r="L135" s="121"/>
      <c r="M135" s="121"/>
      <c r="N135" s="121"/>
      <c r="O135" s="121"/>
      <c r="P135" s="121"/>
      <c r="Q135" s="126"/>
      <c r="R135" s="126"/>
      <c r="S135" s="126"/>
      <c r="T135" s="126"/>
      <c r="U135" s="126"/>
      <c r="V135" s="126"/>
      <c r="W135" s="126"/>
      <c r="X135" s="126"/>
      <c r="Y135" s="126"/>
      <c r="Z135" s="126"/>
    </row>
    <row r="136" ht="14.25" customHeight="1" spans="1:26">
      <c r="A136" s="121"/>
      <c r="B136" s="121"/>
      <c r="C136" s="121"/>
      <c r="D136" s="121"/>
      <c r="E136" s="121"/>
      <c r="F136" s="121"/>
      <c r="G136" s="121"/>
      <c r="H136" s="121"/>
      <c r="I136" s="121"/>
      <c r="J136" s="121"/>
      <c r="K136" s="121"/>
      <c r="L136" s="121"/>
      <c r="M136" s="121"/>
      <c r="N136" s="121"/>
      <c r="O136" s="121"/>
      <c r="P136" s="121"/>
      <c r="Q136" s="126"/>
      <c r="R136" s="126"/>
      <c r="S136" s="126"/>
      <c r="T136" s="126"/>
      <c r="U136" s="126"/>
      <c r="V136" s="126"/>
      <c r="W136" s="126"/>
      <c r="X136" s="126"/>
      <c r="Y136" s="126"/>
      <c r="Z136" s="126"/>
    </row>
    <row r="137" ht="14.25" customHeight="1" spans="1:26">
      <c r="A137" s="121"/>
      <c r="B137" s="121"/>
      <c r="C137" s="121"/>
      <c r="D137" s="121"/>
      <c r="E137" s="121"/>
      <c r="F137" s="121"/>
      <c r="G137" s="121"/>
      <c r="H137" s="121"/>
      <c r="I137" s="121"/>
      <c r="J137" s="121"/>
      <c r="K137" s="121"/>
      <c r="L137" s="121"/>
      <c r="M137" s="121"/>
      <c r="N137" s="121"/>
      <c r="O137" s="121"/>
      <c r="P137" s="121"/>
      <c r="Q137" s="126"/>
      <c r="R137" s="126"/>
      <c r="S137" s="126"/>
      <c r="T137" s="126"/>
      <c r="U137" s="126"/>
      <c r="V137" s="126"/>
      <c r="W137" s="126"/>
      <c r="X137" s="126"/>
      <c r="Y137" s="126"/>
      <c r="Z137" s="126"/>
    </row>
    <row r="138" ht="14.25" customHeight="1" spans="1:26">
      <c r="A138" s="121"/>
      <c r="B138" s="121"/>
      <c r="C138" s="121"/>
      <c r="D138" s="121"/>
      <c r="E138" s="121"/>
      <c r="F138" s="121"/>
      <c r="G138" s="121"/>
      <c r="H138" s="121"/>
      <c r="I138" s="121"/>
      <c r="J138" s="121"/>
      <c r="K138" s="121"/>
      <c r="L138" s="121"/>
      <c r="M138" s="121"/>
      <c r="N138" s="121"/>
      <c r="O138" s="121"/>
      <c r="P138" s="121"/>
      <c r="Q138" s="126"/>
      <c r="R138" s="126"/>
      <c r="S138" s="126"/>
      <c r="T138" s="126"/>
      <c r="U138" s="126"/>
      <c r="V138" s="126"/>
      <c r="W138" s="126"/>
      <c r="X138" s="126"/>
      <c r="Y138" s="126"/>
      <c r="Z138" s="126"/>
    </row>
    <row r="139" ht="14.25" customHeight="1" spans="1:26">
      <c r="A139" s="121"/>
      <c r="B139" s="121"/>
      <c r="C139" s="121"/>
      <c r="D139" s="121"/>
      <c r="E139" s="121"/>
      <c r="F139" s="121"/>
      <c r="G139" s="121"/>
      <c r="H139" s="121"/>
      <c r="I139" s="121"/>
      <c r="J139" s="121"/>
      <c r="K139" s="121"/>
      <c r="L139" s="121"/>
      <c r="M139" s="121"/>
      <c r="N139" s="121"/>
      <c r="O139" s="121"/>
      <c r="P139" s="121"/>
      <c r="Q139" s="126"/>
      <c r="R139" s="126"/>
      <c r="S139" s="126"/>
      <c r="T139" s="126"/>
      <c r="U139" s="126"/>
      <c r="V139" s="126"/>
      <c r="W139" s="126"/>
      <c r="X139" s="126"/>
      <c r="Y139" s="126"/>
      <c r="Z139" s="126"/>
    </row>
    <row r="140" ht="14.25" customHeight="1" spans="1:26">
      <c r="A140" s="121"/>
      <c r="B140" s="121"/>
      <c r="C140" s="121"/>
      <c r="D140" s="121"/>
      <c r="E140" s="121"/>
      <c r="F140" s="121"/>
      <c r="G140" s="121"/>
      <c r="H140" s="121"/>
      <c r="I140" s="121"/>
      <c r="J140" s="121"/>
      <c r="K140" s="121"/>
      <c r="L140" s="121"/>
      <c r="M140" s="121"/>
      <c r="N140" s="121"/>
      <c r="O140" s="121"/>
      <c r="P140" s="121"/>
      <c r="Q140" s="126"/>
      <c r="R140" s="126"/>
      <c r="S140" s="126"/>
      <c r="T140" s="126"/>
      <c r="U140" s="126"/>
      <c r="V140" s="126"/>
      <c r="W140" s="126"/>
      <c r="X140" s="126"/>
      <c r="Y140" s="126"/>
      <c r="Z140" s="126"/>
    </row>
    <row r="141" ht="14.25" customHeight="1" spans="1:26">
      <c r="A141" s="121"/>
      <c r="B141" s="121"/>
      <c r="C141" s="121"/>
      <c r="D141" s="121"/>
      <c r="E141" s="121"/>
      <c r="F141" s="121"/>
      <c r="G141" s="121"/>
      <c r="H141" s="121"/>
      <c r="I141" s="121"/>
      <c r="J141" s="121"/>
      <c r="K141" s="121"/>
      <c r="L141" s="121"/>
      <c r="M141" s="121"/>
      <c r="N141" s="121"/>
      <c r="O141" s="121"/>
      <c r="P141" s="121"/>
      <c r="Q141" s="126"/>
      <c r="R141" s="126"/>
      <c r="S141" s="126"/>
      <c r="T141" s="126"/>
      <c r="U141" s="126"/>
      <c r="V141" s="126"/>
      <c r="W141" s="126"/>
      <c r="X141" s="126"/>
      <c r="Y141" s="126"/>
      <c r="Z141" s="126"/>
    </row>
    <row r="142" ht="14.25" customHeight="1" spans="1:26">
      <c r="A142" s="121"/>
      <c r="B142" s="121"/>
      <c r="C142" s="121"/>
      <c r="D142" s="121"/>
      <c r="E142" s="121"/>
      <c r="F142" s="121"/>
      <c r="G142" s="121"/>
      <c r="H142" s="121"/>
      <c r="I142" s="121"/>
      <c r="J142" s="121"/>
      <c r="K142" s="121"/>
      <c r="L142" s="121"/>
      <c r="M142" s="121"/>
      <c r="N142" s="121"/>
      <c r="O142" s="121"/>
      <c r="P142" s="121"/>
      <c r="Q142" s="126"/>
      <c r="R142" s="126"/>
      <c r="S142" s="126"/>
      <c r="T142" s="126"/>
      <c r="U142" s="126"/>
      <c r="V142" s="126"/>
      <c r="W142" s="126"/>
      <c r="X142" s="126"/>
      <c r="Y142" s="126"/>
      <c r="Z142" s="126"/>
    </row>
    <row r="143" ht="14.25" customHeight="1" spans="1:26">
      <c r="A143" s="121"/>
      <c r="B143" s="121"/>
      <c r="C143" s="121"/>
      <c r="D143" s="121"/>
      <c r="E143" s="121"/>
      <c r="F143" s="121"/>
      <c r="G143" s="121"/>
      <c r="H143" s="121"/>
      <c r="I143" s="121"/>
      <c r="J143" s="121"/>
      <c r="K143" s="121"/>
      <c r="L143" s="121"/>
      <c r="M143" s="121"/>
      <c r="N143" s="121"/>
      <c r="O143" s="121"/>
      <c r="P143" s="121"/>
      <c r="Q143" s="126"/>
      <c r="R143" s="126"/>
      <c r="S143" s="126"/>
      <c r="T143" s="126"/>
      <c r="U143" s="126"/>
      <c r="V143" s="126"/>
      <c r="W143" s="126"/>
      <c r="X143" s="126"/>
      <c r="Y143" s="126"/>
      <c r="Z143" s="126"/>
    </row>
    <row r="144" ht="14.25" customHeight="1" spans="1:26">
      <c r="A144" s="121"/>
      <c r="B144" s="121"/>
      <c r="C144" s="121"/>
      <c r="D144" s="121"/>
      <c r="E144" s="121"/>
      <c r="F144" s="121"/>
      <c r="G144" s="121"/>
      <c r="H144" s="121"/>
      <c r="I144" s="121"/>
      <c r="J144" s="121"/>
      <c r="K144" s="121"/>
      <c r="L144" s="121"/>
      <c r="M144" s="121"/>
      <c r="N144" s="121"/>
      <c r="O144" s="121"/>
      <c r="P144" s="121"/>
      <c r="Q144" s="126"/>
      <c r="R144" s="126"/>
      <c r="S144" s="126"/>
      <c r="T144" s="126"/>
      <c r="U144" s="126"/>
      <c r="V144" s="126"/>
      <c r="W144" s="126"/>
      <c r="X144" s="126"/>
      <c r="Y144" s="126"/>
      <c r="Z144" s="126"/>
    </row>
    <row r="145" ht="14.25" customHeight="1" spans="1:26">
      <c r="A145" s="121"/>
      <c r="B145" s="121"/>
      <c r="C145" s="121"/>
      <c r="D145" s="121"/>
      <c r="E145" s="121"/>
      <c r="F145" s="121"/>
      <c r="G145" s="121"/>
      <c r="H145" s="121"/>
      <c r="I145" s="121"/>
      <c r="J145" s="121"/>
      <c r="K145" s="121"/>
      <c r="L145" s="121"/>
      <c r="M145" s="121"/>
      <c r="N145" s="121"/>
      <c r="O145" s="121"/>
      <c r="P145" s="121"/>
      <c r="Q145" s="126"/>
      <c r="R145" s="126"/>
      <c r="S145" s="126"/>
      <c r="T145" s="126"/>
      <c r="U145" s="126"/>
      <c r="V145" s="126"/>
      <c r="W145" s="126"/>
      <c r="X145" s="126"/>
      <c r="Y145" s="126"/>
      <c r="Z145" s="126"/>
    </row>
    <row r="146" ht="14.25" customHeight="1" spans="1:26">
      <c r="A146" s="121"/>
      <c r="B146" s="121"/>
      <c r="C146" s="121"/>
      <c r="D146" s="121"/>
      <c r="E146" s="121"/>
      <c r="F146" s="121"/>
      <c r="G146" s="121"/>
      <c r="H146" s="121"/>
      <c r="I146" s="121"/>
      <c r="J146" s="121"/>
      <c r="K146" s="121"/>
      <c r="L146" s="121"/>
      <c r="M146" s="121"/>
      <c r="N146" s="121"/>
      <c r="O146" s="121"/>
      <c r="P146" s="121"/>
      <c r="Q146" s="126"/>
      <c r="R146" s="126"/>
      <c r="S146" s="126"/>
      <c r="T146" s="126"/>
      <c r="U146" s="126"/>
      <c r="V146" s="126"/>
      <c r="W146" s="126"/>
      <c r="X146" s="126"/>
      <c r="Y146" s="126"/>
      <c r="Z146" s="126"/>
    </row>
    <row r="147" ht="14.25" customHeight="1" spans="1:26">
      <c r="A147" s="121"/>
      <c r="B147" s="121"/>
      <c r="C147" s="121"/>
      <c r="D147" s="121"/>
      <c r="E147" s="121"/>
      <c r="F147" s="121"/>
      <c r="G147" s="121"/>
      <c r="H147" s="121"/>
      <c r="I147" s="121"/>
      <c r="J147" s="121"/>
      <c r="K147" s="121"/>
      <c r="L147" s="121"/>
      <c r="M147" s="121"/>
      <c r="N147" s="121"/>
      <c r="O147" s="121"/>
      <c r="P147" s="121"/>
      <c r="Q147" s="126"/>
      <c r="R147" s="126"/>
      <c r="S147" s="126"/>
      <c r="T147" s="126"/>
      <c r="U147" s="126"/>
      <c r="V147" s="126"/>
      <c r="W147" s="126"/>
      <c r="X147" s="126"/>
      <c r="Y147" s="126"/>
      <c r="Z147" s="126"/>
    </row>
    <row r="148" ht="14.25" customHeight="1" spans="1:26">
      <c r="A148" s="121"/>
      <c r="B148" s="121"/>
      <c r="C148" s="121"/>
      <c r="D148" s="121"/>
      <c r="E148" s="121"/>
      <c r="F148" s="121"/>
      <c r="G148" s="121"/>
      <c r="H148" s="121"/>
      <c r="I148" s="121"/>
      <c r="J148" s="121"/>
      <c r="K148" s="121"/>
      <c r="L148" s="121"/>
      <c r="M148" s="121"/>
      <c r="N148" s="121"/>
      <c r="O148" s="121"/>
      <c r="P148" s="121"/>
      <c r="Q148" s="126"/>
      <c r="R148" s="126"/>
      <c r="S148" s="126"/>
      <c r="T148" s="126"/>
      <c r="U148" s="126"/>
      <c r="V148" s="126"/>
      <c r="W148" s="126"/>
      <c r="X148" s="126"/>
      <c r="Y148" s="126"/>
      <c r="Z148" s="126"/>
    </row>
    <row r="149" ht="14.25" customHeight="1" spans="1:26">
      <c r="A149" s="121"/>
      <c r="B149" s="121"/>
      <c r="C149" s="121"/>
      <c r="D149" s="121"/>
      <c r="E149" s="121"/>
      <c r="F149" s="121"/>
      <c r="G149" s="121"/>
      <c r="H149" s="121"/>
      <c r="I149" s="121"/>
      <c r="J149" s="121"/>
      <c r="K149" s="121"/>
      <c r="L149" s="121"/>
      <c r="M149" s="121"/>
      <c r="N149" s="121"/>
      <c r="O149" s="121"/>
      <c r="P149" s="121"/>
      <c r="Q149" s="126"/>
      <c r="R149" s="126"/>
      <c r="S149" s="126"/>
      <c r="T149" s="126"/>
      <c r="U149" s="126"/>
      <c r="V149" s="126"/>
      <c r="W149" s="126"/>
      <c r="X149" s="126"/>
      <c r="Y149" s="126"/>
      <c r="Z149" s="126"/>
    </row>
    <row r="150" ht="14.25" customHeight="1" spans="1:26">
      <c r="A150" s="121"/>
      <c r="B150" s="121"/>
      <c r="C150" s="121"/>
      <c r="D150" s="121"/>
      <c r="E150" s="121"/>
      <c r="F150" s="121"/>
      <c r="G150" s="121"/>
      <c r="H150" s="121"/>
      <c r="I150" s="121"/>
      <c r="J150" s="121"/>
      <c r="K150" s="121"/>
      <c r="L150" s="121"/>
      <c r="M150" s="121"/>
      <c r="N150" s="121"/>
      <c r="O150" s="121"/>
      <c r="P150" s="121"/>
      <c r="Q150" s="126"/>
      <c r="R150" s="126"/>
      <c r="S150" s="126"/>
      <c r="T150" s="126"/>
      <c r="U150" s="126"/>
      <c r="V150" s="126"/>
      <c r="W150" s="126"/>
      <c r="X150" s="126"/>
      <c r="Y150" s="126"/>
      <c r="Z150" s="126"/>
    </row>
    <row r="151" ht="14.25" customHeight="1" spans="1:26">
      <c r="A151" s="121"/>
      <c r="B151" s="121"/>
      <c r="C151" s="121"/>
      <c r="D151" s="121"/>
      <c r="E151" s="121"/>
      <c r="F151" s="121"/>
      <c r="G151" s="121"/>
      <c r="H151" s="121"/>
      <c r="I151" s="121"/>
      <c r="J151" s="121"/>
      <c r="K151" s="121"/>
      <c r="L151" s="121"/>
      <c r="M151" s="121"/>
      <c r="N151" s="121"/>
      <c r="O151" s="121"/>
      <c r="P151" s="121"/>
      <c r="Q151" s="126"/>
      <c r="R151" s="126"/>
      <c r="S151" s="126"/>
      <c r="T151" s="126"/>
      <c r="U151" s="126"/>
      <c r="V151" s="126"/>
      <c r="W151" s="126"/>
      <c r="X151" s="126"/>
      <c r="Y151" s="126"/>
      <c r="Z151" s="126"/>
    </row>
    <row r="152" ht="14.25" customHeight="1" spans="1:26">
      <c r="A152" s="121"/>
      <c r="B152" s="121"/>
      <c r="C152" s="121"/>
      <c r="D152" s="121"/>
      <c r="E152" s="121"/>
      <c r="F152" s="121"/>
      <c r="G152" s="121"/>
      <c r="H152" s="121"/>
      <c r="I152" s="121"/>
      <c r="J152" s="121"/>
      <c r="K152" s="121"/>
      <c r="L152" s="121"/>
      <c r="M152" s="121"/>
      <c r="N152" s="121"/>
      <c r="O152" s="121"/>
      <c r="P152" s="121"/>
      <c r="Q152" s="126"/>
      <c r="R152" s="126"/>
      <c r="S152" s="126"/>
      <c r="T152" s="126"/>
      <c r="U152" s="126"/>
      <c r="V152" s="126"/>
      <c r="W152" s="126"/>
      <c r="X152" s="126"/>
      <c r="Y152" s="126"/>
      <c r="Z152" s="126"/>
    </row>
    <row r="153" ht="14.25" customHeight="1" spans="1:26">
      <c r="A153" s="121"/>
      <c r="B153" s="121"/>
      <c r="C153" s="121"/>
      <c r="D153" s="121"/>
      <c r="E153" s="121"/>
      <c r="F153" s="121"/>
      <c r="G153" s="121"/>
      <c r="H153" s="121"/>
      <c r="I153" s="121"/>
      <c r="J153" s="121"/>
      <c r="K153" s="121"/>
      <c r="L153" s="121"/>
      <c r="M153" s="121"/>
      <c r="N153" s="121"/>
      <c r="O153" s="121"/>
      <c r="P153" s="121"/>
      <c r="Q153" s="126"/>
      <c r="R153" s="126"/>
      <c r="S153" s="126"/>
      <c r="T153" s="126"/>
      <c r="U153" s="126"/>
      <c r="V153" s="126"/>
      <c r="W153" s="126"/>
      <c r="X153" s="126"/>
      <c r="Y153" s="126"/>
      <c r="Z153" s="126"/>
    </row>
    <row r="154" ht="14.25" customHeight="1" spans="1:26">
      <c r="A154" s="121"/>
      <c r="B154" s="121"/>
      <c r="C154" s="121"/>
      <c r="D154" s="121"/>
      <c r="E154" s="121"/>
      <c r="F154" s="121"/>
      <c r="G154" s="121"/>
      <c r="H154" s="121"/>
      <c r="I154" s="121"/>
      <c r="J154" s="121"/>
      <c r="K154" s="121"/>
      <c r="L154" s="121"/>
      <c r="M154" s="121"/>
      <c r="N154" s="121"/>
      <c r="O154" s="121"/>
      <c r="P154" s="121"/>
      <c r="Q154" s="126"/>
      <c r="R154" s="126"/>
      <c r="S154" s="126"/>
      <c r="T154" s="126"/>
      <c r="U154" s="126"/>
      <c r="V154" s="126"/>
      <c r="W154" s="126"/>
      <c r="X154" s="126"/>
      <c r="Y154" s="126"/>
      <c r="Z154" s="126"/>
    </row>
    <row r="155" ht="14.25" customHeight="1" spans="1:26">
      <c r="A155" s="121"/>
      <c r="B155" s="121"/>
      <c r="C155" s="121"/>
      <c r="D155" s="121"/>
      <c r="E155" s="121"/>
      <c r="F155" s="121"/>
      <c r="G155" s="121"/>
      <c r="H155" s="121"/>
      <c r="I155" s="121"/>
      <c r="J155" s="121"/>
      <c r="K155" s="121"/>
      <c r="L155" s="121"/>
      <c r="M155" s="121"/>
      <c r="N155" s="121"/>
      <c r="O155" s="121"/>
      <c r="P155" s="121"/>
      <c r="Q155" s="126"/>
      <c r="R155" s="126"/>
      <c r="S155" s="126"/>
      <c r="T155" s="126"/>
      <c r="U155" s="126"/>
      <c r="V155" s="126"/>
      <c r="W155" s="126"/>
      <c r="X155" s="126"/>
      <c r="Y155" s="126"/>
      <c r="Z155" s="126"/>
    </row>
    <row r="156" ht="14.25" customHeight="1" spans="1:26">
      <c r="A156" s="121"/>
      <c r="B156" s="121"/>
      <c r="C156" s="121"/>
      <c r="D156" s="121"/>
      <c r="E156" s="121"/>
      <c r="F156" s="121"/>
      <c r="G156" s="121"/>
      <c r="H156" s="121"/>
      <c r="I156" s="121"/>
      <c r="J156" s="121"/>
      <c r="K156" s="121"/>
      <c r="L156" s="121"/>
      <c r="M156" s="121"/>
      <c r="N156" s="121"/>
      <c r="O156" s="121"/>
      <c r="P156" s="121"/>
      <c r="Q156" s="126"/>
      <c r="R156" s="126"/>
      <c r="S156" s="126"/>
      <c r="T156" s="126"/>
      <c r="U156" s="126"/>
      <c r="V156" s="126"/>
      <c r="W156" s="126"/>
      <c r="X156" s="126"/>
      <c r="Y156" s="126"/>
      <c r="Z156" s="126"/>
    </row>
    <row r="157" ht="14.25" customHeight="1" spans="1:26">
      <c r="A157" s="121"/>
      <c r="B157" s="121"/>
      <c r="C157" s="121"/>
      <c r="D157" s="121"/>
      <c r="E157" s="121"/>
      <c r="F157" s="121"/>
      <c r="G157" s="121"/>
      <c r="H157" s="121"/>
      <c r="I157" s="121"/>
      <c r="J157" s="121"/>
      <c r="K157" s="121"/>
      <c r="L157" s="121"/>
      <c r="M157" s="121"/>
      <c r="N157" s="121"/>
      <c r="O157" s="121"/>
      <c r="P157" s="121"/>
      <c r="Q157" s="126"/>
      <c r="R157" s="126"/>
      <c r="S157" s="126"/>
      <c r="T157" s="126"/>
      <c r="U157" s="126"/>
      <c r="V157" s="126"/>
      <c r="W157" s="126"/>
      <c r="X157" s="126"/>
      <c r="Y157" s="126"/>
      <c r="Z157" s="126"/>
    </row>
    <row r="158" ht="14.25" customHeight="1" spans="1:26">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row>
    <row r="159" ht="14.25" customHeight="1" spans="1:26">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row>
    <row r="160" ht="14.25" customHeight="1" spans="1:26">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row>
    <row r="161" ht="14.25" customHeight="1" spans="1:26">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row>
    <row r="162" ht="14.25" customHeight="1" spans="1:26">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row>
    <row r="163" ht="14.25" customHeight="1" spans="1:26">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row>
    <row r="164" ht="14.25" customHeight="1" spans="1:26">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row>
    <row r="165" ht="14.25" customHeight="1" spans="1:26">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row>
    <row r="166" ht="14.25" customHeight="1" spans="1:26">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row>
    <row r="167" ht="14.25" customHeight="1" spans="1:26">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row>
    <row r="168" ht="14.25" customHeight="1" spans="1:26">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row>
    <row r="169" ht="14.25" customHeight="1" spans="1:26">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row>
    <row r="170" ht="14.25" customHeight="1" spans="1:26">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row>
    <row r="171" ht="14.25" customHeight="1" spans="1:26">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row>
    <row r="172" ht="14.25" customHeight="1" spans="1:26">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row>
    <row r="173" ht="14.25" customHeight="1" spans="1:26">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row>
    <row r="174" ht="14.25" customHeight="1" spans="1:26">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row>
    <row r="175" ht="14.25" customHeight="1" spans="1:26">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row>
    <row r="176" ht="14.25" customHeight="1" spans="1:26">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row>
    <row r="177" ht="14.25" customHeight="1" spans="1:26">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row>
    <row r="178" ht="14.25" customHeight="1" spans="1:26">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row>
    <row r="179" ht="14.25" customHeight="1" spans="1:26">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row>
    <row r="180" ht="14.25" customHeight="1" spans="1:26">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row>
    <row r="181" ht="14.25" customHeight="1" spans="1:26">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row>
    <row r="182" ht="14.25" customHeight="1" spans="1:26">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row>
    <row r="183" ht="14.25" customHeight="1" spans="1:26">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row>
    <row r="184" ht="14.25" customHeight="1" spans="1:26">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row>
    <row r="185" ht="14.25" customHeight="1" spans="1:26">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row>
    <row r="186" ht="14.25" customHeight="1" spans="1:26">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row>
    <row r="187" ht="14.25" customHeight="1" spans="1:26">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row>
    <row r="188" ht="14.25" customHeight="1" spans="1:26">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row>
    <row r="189" ht="14.25" customHeight="1" spans="1:26">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row>
    <row r="190" ht="14.25" customHeight="1" spans="1:26">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row>
    <row r="191" ht="14.25" customHeight="1" spans="1:26">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row>
    <row r="192" ht="14.25" customHeight="1" spans="1:26">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row>
    <row r="193" ht="14.25" customHeight="1" spans="1:26">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row>
    <row r="194" ht="14.25" customHeight="1" spans="1:26">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row>
    <row r="195" ht="14.25" customHeight="1" spans="1:26">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row>
    <row r="196" ht="14.25" customHeight="1" spans="1:26">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row>
    <row r="197" ht="14.25" customHeight="1" spans="1:26">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row>
    <row r="198" ht="14.25" customHeight="1" spans="1:26">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row>
    <row r="199" ht="14.25" customHeight="1" spans="1:26">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row>
    <row r="200" ht="14.25" customHeight="1" spans="1:26">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row>
    <row r="201" ht="14.25" customHeight="1" spans="1:26">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row>
    <row r="202" ht="14.25" customHeight="1" spans="1:26">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row>
    <row r="203" ht="14.25" customHeight="1" spans="1:26">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row>
    <row r="204" ht="14.25" customHeight="1" spans="1:26">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row>
    <row r="205" ht="14.25" customHeight="1" spans="1:26">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row>
    <row r="206" ht="14.25" customHeight="1" spans="1:26">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row>
    <row r="207" ht="14.25" customHeight="1" spans="1:26">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row>
    <row r="208" ht="14.25" customHeight="1" spans="1:26">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row>
    <row r="209" ht="14.25" customHeight="1" spans="1:26">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row>
    <row r="210" ht="14.25" customHeight="1" spans="1:26">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row>
    <row r="211" ht="14.25" customHeight="1" spans="1:26">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row>
    <row r="212" ht="14.25" customHeight="1" spans="1:26">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row>
    <row r="213" ht="14.25" customHeight="1" spans="1:26">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row>
    <row r="214" ht="14.25" customHeight="1" spans="1:26">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row>
    <row r="215" ht="14.25" customHeight="1" spans="1:26">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row>
    <row r="216" ht="14.25" customHeight="1" spans="1:26">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row>
    <row r="217" ht="14.25" customHeight="1" spans="1:26">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row>
    <row r="218" ht="14.25" customHeight="1" spans="1:26">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row>
    <row r="219" ht="14.25" customHeight="1" spans="1:26">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row>
    <row r="220" ht="14.25" customHeight="1" spans="1:26">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row>
    <row r="221" ht="14.25" customHeight="1" spans="1:26">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row>
    <row r="222" ht="14.25" customHeight="1" spans="1:26">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row>
    <row r="223" ht="14.25" customHeight="1" spans="1:26">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row>
    <row r="224" ht="14.25" customHeight="1" spans="1:26">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row>
    <row r="225" ht="14.25" customHeight="1" spans="1:26">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row>
    <row r="226" ht="14.25" customHeight="1" spans="1:26">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row>
    <row r="227" ht="14.25" customHeight="1" spans="1:26">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row>
    <row r="228" ht="14.25" customHeight="1" spans="1:26">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row>
    <row r="229" ht="14.25" customHeight="1" spans="1:26">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row>
    <row r="230" ht="14.25" customHeight="1" spans="1:26">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row>
    <row r="231" ht="14.25" customHeight="1" spans="1:26">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row>
    <row r="232" ht="14.25" customHeight="1" spans="1:26">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row>
    <row r="233" ht="14.25" customHeight="1" spans="1:26">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row>
    <row r="234" ht="14.25" customHeight="1" spans="1:26">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row>
    <row r="235" ht="14.25" customHeight="1" spans="1:26">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row>
    <row r="236" ht="14.25" customHeight="1" spans="1:26">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row>
    <row r="237" ht="14.25" customHeight="1" spans="1:26">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row>
    <row r="238" ht="14.25" customHeight="1" spans="1:26">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row>
    <row r="239" ht="14.25" customHeight="1" spans="1:26">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row>
    <row r="240" ht="14.25" customHeight="1" spans="1:26">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row>
    <row r="241" ht="14.25" customHeight="1" spans="1:26">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row>
    <row r="242" ht="14.25" customHeight="1" spans="1:26">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row>
    <row r="243" ht="14.25" customHeight="1" spans="1:26">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row>
    <row r="244" ht="14.25" customHeight="1" spans="1:26">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row>
    <row r="245" ht="14.25" customHeight="1" spans="1:26">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row>
    <row r="246" ht="14.25" customHeight="1" spans="1:26">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row>
    <row r="247" ht="14.25" customHeight="1" spans="1:26">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row>
    <row r="248" ht="14.25" customHeight="1" spans="1:26">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row>
    <row r="249" ht="14.25" customHeight="1" spans="1:26">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row>
    <row r="250" ht="14.25" customHeight="1" spans="1:26">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row>
    <row r="251" ht="14.25" customHeight="1" spans="1:26">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row>
    <row r="252" ht="14.25" customHeight="1" spans="1:26">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row>
    <row r="253" ht="14.25" customHeight="1" spans="1:26">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row>
    <row r="254" ht="14.25" customHeight="1" spans="1:26">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row>
    <row r="255" ht="14.25" customHeight="1" spans="1:26">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row>
    <row r="256" ht="14.25" customHeight="1" spans="1:26">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row>
    <row r="257" ht="14.25" customHeight="1" spans="1:26">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row>
    <row r="258" ht="14.25" customHeight="1" spans="1:26">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row>
    <row r="259" ht="14.25" customHeight="1" spans="1:26">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row>
    <row r="260" ht="14.25" customHeight="1" spans="1:26">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row>
    <row r="261" ht="14.25" customHeight="1" spans="1:26">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row>
    <row r="262" ht="14.25" customHeight="1" spans="1:26">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row>
    <row r="263" ht="14.25" customHeight="1" spans="1:26">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row>
    <row r="264" ht="14.25" customHeight="1" spans="1:26">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row>
    <row r="265" ht="14.25" customHeight="1" spans="1:26">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row>
    <row r="266" ht="14.25" customHeight="1" spans="1:26">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row>
    <row r="267" ht="14.25" customHeight="1" spans="1:26">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row>
    <row r="268" ht="14.25" customHeight="1" spans="1:26">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row>
    <row r="269" ht="14.25" customHeight="1" spans="1:26">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row>
    <row r="270" ht="14.25" customHeight="1" spans="1:26">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row>
    <row r="271" ht="14.25" customHeight="1" spans="1:26">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row>
    <row r="272" ht="14.25" customHeight="1" spans="1:26">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row>
    <row r="273" ht="14.25" customHeight="1" spans="1:26">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row>
    <row r="274" ht="14.25" customHeight="1" spans="1:26">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row>
    <row r="275" ht="14.25" customHeight="1" spans="1:26">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row>
    <row r="276" ht="14.25" customHeight="1" spans="1:26">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row>
    <row r="277" ht="14.25" customHeight="1" spans="1:26">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row>
    <row r="278" ht="14.25" customHeight="1" spans="1:26">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row>
    <row r="279" ht="14.25" customHeight="1" spans="1:26">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row>
    <row r="280" ht="14.25" customHeight="1" spans="1:26">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row>
    <row r="281" ht="14.25" customHeight="1" spans="1:26">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row>
    <row r="282" ht="14.25" customHeight="1" spans="1:26">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row>
    <row r="283" ht="14.25" customHeight="1" spans="1:26">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row>
    <row r="284" ht="14.25" customHeight="1" spans="1:26">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row>
    <row r="285" ht="14.25" customHeight="1" spans="1:26">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row>
    <row r="286" ht="14.25" customHeight="1" spans="1:26">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row>
    <row r="287" ht="14.25" customHeight="1" spans="1:26">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row>
    <row r="288" ht="14.25" customHeight="1" spans="1:26">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row>
    <row r="289" ht="14.25" customHeight="1" spans="1:26">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row>
    <row r="290" ht="14.25" customHeight="1" spans="1:26">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row>
    <row r="291" ht="14.25" customHeight="1" spans="1:26">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row>
    <row r="292" ht="14.25" customHeight="1" spans="1:26">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row>
    <row r="293" ht="14.25" customHeight="1" spans="1:26">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row>
    <row r="294" ht="14.25" customHeight="1" spans="1:26">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row>
    <row r="295" ht="14.25" customHeight="1" spans="1:26">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row>
    <row r="296" ht="14.25" customHeight="1" spans="1:26">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row>
    <row r="297" ht="14.25" customHeight="1" spans="1:26">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row>
    <row r="298" ht="14.25" customHeight="1" spans="1:26">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row>
    <row r="299" ht="14.25" customHeight="1" spans="1:26">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row>
    <row r="300" ht="14.25" customHeight="1" spans="1:26">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row>
    <row r="301" ht="14.25" customHeight="1" spans="1:26">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row>
    <row r="302" ht="14.25" customHeight="1" spans="1:26">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row>
    <row r="303" ht="14.25" customHeight="1" spans="1:26">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row>
    <row r="304" ht="14.25" customHeight="1" spans="1:26">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row>
    <row r="305" ht="14.25" customHeight="1" spans="1:26">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row>
    <row r="306" ht="14.25" customHeight="1" spans="1:26">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row>
    <row r="307" ht="14.25" customHeight="1" spans="1:26">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row>
    <row r="308" ht="14.25" customHeight="1" spans="1:26">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row>
    <row r="309" ht="14.25" customHeight="1" spans="1:26">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row>
    <row r="310" ht="14.25" customHeight="1" spans="1:26">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row>
    <row r="311" ht="14.25" customHeight="1" spans="1:26">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row>
    <row r="312" ht="14.25" customHeight="1" spans="1:26">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row>
    <row r="313" ht="14.25" customHeight="1" spans="1:26">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row>
    <row r="314" ht="14.25" customHeight="1" spans="1:26">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row>
    <row r="315" ht="14.25" customHeight="1" spans="1:26">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row>
    <row r="316" ht="14.25" customHeight="1" spans="1:26">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row>
    <row r="317" ht="14.25" customHeight="1" spans="1:26">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row>
    <row r="318" ht="14.25" customHeight="1" spans="1:26">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row>
    <row r="319" ht="14.25" customHeight="1" spans="1:26">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row>
    <row r="320" ht="14.25" customHeight="1" spans="1:26">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row>
    <row r="321" ht="14.25" customHeight="1" spans="1:26">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row>
    <row r="322" ht="14.25" customHeight="1" spans="1:26">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row>
    <row r="323" ht="14.25" customHeight="1" spans="1:26">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row>
    <row r="324" ht="14.25" customHeight="1" spans="1:26">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row>
    <row r="325" ht="14.25" customHeight="1" spans="1:26">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row>
    <row r="326" ht="14.25" customHeight="1" spans="1:26">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row>
    <row r="327" ht="14.25" customHeight="1" spans="1:26">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row>
    <row r="328" ht="14.25" customHeight="1" spans="1:26">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row>
    <row r="329" ht="14.25" customHeight="1" spans="1:26">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row>
    <row r="330" ht="14.25" customHeight="1" spans="1:26">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row>
    <row r="331" ht="14.25" customHeight="1" spans="1:26">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row>
    <row r="332" ht="14.25" customHeight="1" spans="1:26">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row>
    <row r="333" ht="14.25" customHeight="1" spans="1:26">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row>
    <row r="334" ht="14.25" customHeight="1" spans="1:26">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row>
    <row r="335" ht="14.25" customHeight="1" spans="1:26">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row>
    <row r="336" ht="14.25" customHeight="1" spans="1:26">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row>
    <row r="337" ht="14.25" customHeight="1" spans="1:26">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row>
    <row r="338" ht="14.25" customHeight="1" spans="1:26">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row>
    <row r="339" ht="14.25" customHeight="1" spans="1:26">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row>
    <row r="340" ht="14.25" customHeight="1" spans="1:26">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row>
    <row r="341" ht="14.25" customHeight="1" spans="1:26">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row>
    <row r="342" ht="14.25" customHeight="1" spans="1:26">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row>
    <row r="343" ht="14.25" customHeight="1" spans="1:26">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row>
    <row r="344" ht="14.25" customHeight="1" spans="1:26">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row>
    <row r="345" ht="14.25" customHeight="1" spans="1:26">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row>
    <row r="346" ht="14.25" customHeight="1" spans="1:26">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row>
    <row r="347" ht="14.25" customHeight="1" spans="1:26">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row>
    <row r="348" ht="14.25" customHeight="1" spans="1:26">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row>
    <row r="349" ht="14.25" customHeight="1" spans="1:26">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row>
    <row r="350" ht="14.25" customHeight="1" spans="1:26">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row>
    <row r="351" ht="14.25" customHeight="1" spans="1:26">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row>
    <row r="352" ht="14.25" customHeight="1" spans="1:26">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row>
    <row r="353" ht="14.25" customHeight="1" spans="1:26">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row>
    <row r="354" ht="14.25" customHeight="1" spans="1:26">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row>
    <row r="355" ht="14.25" customHeight="1" spans="1:26">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row>
    <row r="356" ht="14.25" customHeight="1" spans="1:26">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row>
    <row r="357" ht="14.25" customHeight="1" spans="1:26">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row>
    <row r="358" ht="14.25" customHeight="1" spans="1:26">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row>
    <row r="359" ht="14.25" customHeight="1" spans="1:26">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row>
    <row r="360" ht="14.25" customHeight="1" spans="1:26">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row>
    <row r="361" ht="14.25" customHeight="1" spans="1:26">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row>
    <row r="362" ht="14.25" customHeight="1" spans="1:26">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row>
    <row r="363" ht="14.25" customHeight="1" spans="1:26">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row>
    <row r="364" ht="14.25" customHeight="1" spans="1:26">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row>
    <row r="365" ht="14.25" customHeight="1" spans="1:26">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row>
    <row r="366" ht="14.25" customHeight="1" spans="1:26">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row>
    <row r="367" ht="14.25" customHeight="1" spans="1:26">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row>
    <row r="368" ht="14.25" customHeight="1" spans="1:26">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row>
    <row r="369" ht="14.25" customHeight="1" spans="1:26">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row>
    <row r="370" ht="14.25" customHeight="1" spans="1:26">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row>
    <row r="371" ht="14.25" customHeight="1" spans="1:26">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row>
    <row r="372" ht="14.25" customHeight="1" spans="1:26">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row>
    <row r="373" ht="14.25" customHeight="1" spans="1:26">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row>
    <row r="374" ht="14.25" customHeight="1" spans="1:26">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row>
    <row r="375" ht="14.25" customHeight="1" spans="1:26">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row>
    <row r="376" ht="14.25" customHeight="1" spans="1:26">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row>
    <row r="377" ht="14.25" customHeight="1" spans="1:26">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row>
    <row r="378" ht="14.25" customHeight="1" spans="1:26">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row>
    <row r="379" ht="14.25" customHeight="1" spans="1:26">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row>
    <row r="380" ht="14.25" customHeight="1" spans="1:26">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row>
    <row r="381" ht="14.25" customHeight="1" spans="1:26">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row>
    <row r="382" ht="14.25" customHeight="1" spans="1:26">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row>
    <row r="383" ht="14.25" customHeight="1" spans="1:26">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row>
    <row r="384" ht="14.25" customHeight="1" spans="1:26">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row>
    <row r="385" ht="14.25" customHeight="1" spans="1:26">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row>
    <row r="386" ht="14.25" customHeight="1" spans="1:26">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row>
    <row r="387" ht="14.25" customHeight="1" spans="1:26">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row>
    <row r="388" ht="14.25" customHeight="1" spans="1:26">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row>
    <row r="389" ht="14.25" customHeight="1" spans="1:26">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row>
    <row r="390" ht="14.25" customHeight="1" spans="1:26">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row>
    <row r="391" ht="14.25" customHeight="1" spans="1:26">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row>
    <row r="392" ht="14.25" customHeight="1" spans="1:26">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row>
    <row r="393" ht="14.25" customHeight="1" spans="1:26">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row>
    <row r="394" ht="14.25" customHeight="1" spans="1:26">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row>
    <row r="395" ht="14.25" customHeight="1" spans="1:26">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row>
    <row r="396" ht="14.25" customHeight="1" spans="1:26">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row>
    <row r="397" ht="14.25" customHeight="1" spans="1:26">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row>
    <row r="398" ht="14.25" customHeight="1" spans="1:26">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row>
    <row r="399" ht="14.25" customHeight="1" spans="1:26">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row>
    <row r="400" ht="14.25" customHeight="1" spans="1:26">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row>
    <row r="401" ht="14.25" customHeight="1" spans="1:26">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row>
    <row r="402" ht="14.25" customHeight="1" spans="1:26">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row>
    <row r="403" ht="14.25" customHeight="1" spans="1:26">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row>
    <row r="404" ht="14.25" customHeight="1" spans="1:26">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row>
    <row r="405" ht="14.25" customHeight="1" spans="1:26">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row>
    <row r="406" ht="14.25" customHeight="1" spans="1:26">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row>
    <row r="407" ht="14.25" customHeight="1" spans="1:26">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row>
    <row r="408" ht="14.25" customHeight="1" spans="1:26">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row>
    <row r="409" ht="14.25" customHeight="1" spans="1:26">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row>
    <row r="410" ht="14.25" customHeight="1" spans="1:26">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row>
    <row r="411" ht="14.25" customHeight="1" spans="1:26">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row>
    <row r="412" ht="14.25" customHeight="1" spans="1:26">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row>
    <row r="413" ht="14.25" customHeight="1" spans="1:26">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row>
    <row r="414" ht="14.25" customHeight="1" spans="1:26">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row>
    <row r="415" ht="14.25" customHeight="1" spans="1:26">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row>
    <row r="416" ht="14.25" customHeight="1" spans="1:26">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row>
    <row r="417" ht="14.25" customHeight="1" spans="1:26">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row>
    <row r="418" ht="14.25" customHeight="1" spans="1:26">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row>
    <row r="419" ht="14.25" customHeight="1" spans="1:26">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row>
    <row r="420" ht="14.25" customHeight="1" spans="1:26">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row>
    <row r="421" ht="14.25" customHeight="1" spans="1:26">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row>
    <row r="422" ht="14.25" customHeight="1" spans="1:26">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row>
    <row r="423" ht="14.25" customHeight="1" spans="1:26">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row>
    <row r="424" ht="14.25" customHeight="1" spans="1:26">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row>
    <row r="425" ht="14.25" customHeight="1" spans="1:26">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row>
    <row r="426" ht="14.25" customHeight="1" spans="1:26">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row>
    <row r="427" ht="14.25" customHeight="1" spans="1:26">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row>
    <row r="428" ht="14.25" customHeight="1" spans="1:26">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row>
    <row r="429" ht="14.25" customHeight="1" spans="1:26">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row>
    <row r="430" ht="14.25" customHeight="1" spans="1:26">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row>
    <row r="431" ht="14.25" customHeight="1" spans="1:26">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row>
    <row r="432" ht="14.25" customHeight="1" spans="1:26">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row>
    <row r="433" ht="14.25" customHeight="1" spans="1:26">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row>
    <row r="434" ht="14.25" customHeight="1" spans="1:26">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row>
    <row r="435" ht="14.25" customHeight="1" spans="1:26">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row>
    <row r="436" ht="14.25" customHeight="1" spans="1:26">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row>
    <row r="437" ht="14.25" customHeight="1" spans="1:26">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row>
    <row r="438" ht="14.25" customHeight="1" spans="1:26">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row>
    <row r="439" ht="14.25" customHeight="1" spans="1:26">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row>
    <row r="440" ht="14.25" customHeight="1" spans="1:26">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row>
    <row r="441" ht="14.25" customHeight="1" spans="1:26">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row>
    <row r="442" ht="14.25" customHeight="1" spans="1:26">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row>
    <row r="443" ht="14.25" customHeight="1" spans="1:26">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row>
    <row r="444" ht="14.25" customHeight="1" spans="1:26">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row>
    <row r="445" ht="14.25" customHeight="1" spans="1:26">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row>
    <row r="446" ht="14.25" customHeight="1" spans="1:26">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row>
    <row r="447" ht="14.25" customHeight="1" spans="1:26">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row>
    <row r="448" ht="14.25" customHeight="1" spans="1:26">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row>
    <row r="449" ht="14.25" customHeight="1" spans="1:26">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row>
    <row r="450" ht="14.25" customHeight="1" spans="1:26">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row>
    <row r="451" ht="14.25" customHeight="1" spans="1:26">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row>
    <row r="452" ht="14.25" customHeight="1" spans="1:26">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row>
    <row r="453" ht="14.25" customHeight="1" spans="1:26">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row>
    <row r="454" ht="14.25" customHeight="1" spans="1:26">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row>
    <row r="455" ht="14.25" customHeight="1" spans="1:26">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row>
    <row r="456" ht="14.25" customHeight="1" spans="1:26">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row>
    <row r="457" ht="14.25" customHeight="1" spans="1:26">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row>
    <row r="458" ht="14.25" customHeight="1" spans="1:26">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row>
    <row r="459" ht="14.25" customHeight="1" spans="1:26">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row>
    <row r="460" ht="14.25" customHeight="1" spans="1:26">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row>
    <row r="461" ht="14.25" customHeight="1" spans="1:26">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row>
    <row r="462" ht="14.25" customHeight="1" spans="1:26">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row>
    <row r="463" ht="14.25" customHeight="1" spans="1:26">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row>
    <row r="464" ht="14.25" customHeight="1" spans="1:26">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row>
    <row r="465" ht="14.25" customHeight="1" spans="1:26">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row>
    <row r="466" ht="14.25" customHeight="1" spans="1:26">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row>
    <row r="467" ht="14.25" customHeight="1" spans="1:26">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row>
    <row r="468" ht="14.25" customHeight="1" spans="1:26">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row>
    <row r="469" ht="14.25" customHeight="1" spans="1:26">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row>
    <row r="470" ht="14.25" customHeight="1" spans="1:26">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row>
    <row r="471" ht="14.25" customHeight="1" spans="1:26">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row>
    <row r="472" ht="14.25" customHeight="1" spans="1:26">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row>
    <row r="473" ht="14.25" customHeight="1" spans="1:26">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row>
    <row r="474" ht="14.25" customHeight="1" spans="1:26">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row>
    <row r="475" ht="14.25" customHeight="1" spans="1:26">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row>
    <row r="476" ht="14.25" customHeight="1" spans="1:26">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row>
    <row r="477" ht="14.25" customHeight="1" spans="1:26">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row>
    <row r="478" ht="14.25" customHeight="1" spans="1:26">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row>
    <row r="479" ht="14.25" customHeight="1" spans="1:26">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row>
    <row r="480" ht="14.25" customHeight="1" spans="1:26">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row>
    <row r="481" ht="14.25" customHeight="1" spans="1:26">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row>
    <row r="482" ht="14.25" customHeight="1" spans="1:26">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row>
    <row r="483" ht="14.25" customHeight="1" spans="1:26">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row>
    <row r="484" ht="14.25" customHeight="1" spans="1:26">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row>
    <row r="485" ht="14.25" customHeight="1" spans="1:26">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row>
    <row r="486" ht="14.25" customHeight="1" spans="1:26">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row>
    <row r="487" ht="14.25" customHeight="1" spans="1:26">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row>
    <row r="488" ht="14.25" customHeight="1" spans="1:26">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row>
    <row r="489" ht="14.25" customHeight="1" spans="1:26">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row>
    <row r="490" ht="14.25" customHeight="1" spans="1:26">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row>
    <row r="491" ht="14.25" customHeight="1" spans="1:26">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row>
    <row r="492" ht="14.25" customHeight="1" spans="1:26">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row>
    <row r="493" ht="14.25" customHeight="1" spans="1:26">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row>
    <row r="494" ht="14.25" customHeight="1" spans="1:26">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row>
    <row r="495" ht="14.25" customHeight="1" spans="1:26">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row>
    <row r="496" ht="14.25" customHeight="1" spans="1:26">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row>
    <row r="497" ht="14.25" customHeight="1" spans="1:26">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row>
    <row r="498" ht="14.25" customHeight="1" spans="1:26">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row>
    <row r="499" ht="14.25" customHeight="1" spans="1:26">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row>
    <row r="500" ht="14.25" customHeight="1" spans="1:26">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row>
    <row r="501" ht="14.25" customHeight="1" spans="1:26">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row>
    <row r="502" ht="14.25" customHeight="1" spans="1:26">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row>
    <row r="503" ht="14.25" customHeight="1" spans="1:26">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row>
    <row r="504" ht="14.25" customHeight="1" spans="1:26">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row>
    <row r="505" ht="14.25" customHeight="1" spans="1:26">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row>
    <row r="506" ht="14.25" customHeight="1" spans="1:26">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row>
    <row r="507" ht="14.25" customHeight="1" spans="1:26">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row>
    <row r="508" ht="14.25" customHeight="1" spans="1:26">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row>
    <row r="509" ht="14.25" customHeight="1" spans="1:26">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row>
    <row r="510" ht="14.25" customHeight="1" spans="1:26">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row>
    <row r="511" ht="14.25" customHeight="1" spans="1:26">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row>
    <row r="512" ht="14.25" customHeight="1" spans="1:26">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row>
    <row r="513" ht="14.25" customHeight="1" spans="1:26">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row>
    <row r="514" ht="14.25" customHeight="1" spans="1:26">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row>
    <row r="515" ht="14.25" customHeight="1" spans="1:26">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row>
    <row r="516" ht="14.25" customHeight="1" spans="1:26">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row>
    <row r="517" ht="14.25" customHeight="1" spans="1:26">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row>
    <row r="518" ht="14.25" customHeight="1" spans="1:26">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row>
    <row r="519" ht="14.25" customHeight="1" spans="1:26">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row>
    <row r="520" ht="14.25" customHeight="1" spans="1:26">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row>
    <row r="521" ht="14.25" customHeight="1" spans="1:26">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row>
    <row r="522" ht="14.25" customHeight="1" spans="1:26">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row>
    <row r="523" ht="14.25" customHeight="1" spans="1:26">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row>
    <row r="524" ht="14.25" customHeight="1" spans="1:26">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row>
    <row r="525" ht="14.25" customHeight="1" spans="1:26">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row>
    <row r="526" ht="14.25" customHeight="1" spans="1:26">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row>
    <row r="527" ht="14.25" customHeight="1" spans="1:26">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row>
    <row r="528" ht="14.25" customHeight="1" spans="1:26">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row>
    <row r="529" ht="14.25" customHeight="1" spans="1:26">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row>
    <row r="530" ht="14.25" customHeight="1" spans="1:26">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row>
    <row r="531" ht="14.25" customHeight="1" spans="1:26">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row>
    <row r="532" ht="14.25" customHeight="1" spans="1:26">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row>
    <row r="533" ht="14.25" customHeight="1" spans="1:26">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row>
    <row r="534" ht="14.25" customHeight="1" spans="1:26">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row>
    <row r="535" ht="14.25" customHeight="1" spans="1:26">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row>
    <row r="536" ht="14.25" customHeight="1" spans="1:26">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row>
    <row r="537" ht="14.25" customHeight="1" spans="1:26">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row>
    <row r="538" ht="14.25" customHeight="1" spans="1:26">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row>
    <row r="539" ht="14.25" customHeight="1" spans="1:26">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row>
    <row r="540" ht="14.25" customHeight="1" spans="1:26">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row>
    <row r="541" ht="14.25" customHeight="1" spans="1:26">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row>
    <row r="542" ht="14.25" customHeight="1" spans="1:26">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row>
    <row r="543" ht="14.25" customHeight="1" spans="1:26">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row>
    <row r="544" ht="14.25" customHeight="1" spans="1:26">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row>
    <row r="545" ht="14.25" customHeight="1" spans="1:26">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row>
    <row r="546" ht="14.25" customHeight="1" spans="1:26">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row>
    <row r="547" ht="14.25" customHeight="1" spans="1:26">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row>
    <row r="548" ht="14.25" customHeight="1" spans="1:26">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row>
    <row r="549" ht="14.25" customHeight="1" spans="1:26">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row>
    <row r="550" ht="14.25" customHeight="1" spans="1:26">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row>
    <row r="551" ht="14.25" customHeight="1" spans="1:26">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row>
    <row r="552" ht="14.25" customHeight="1" spans="1:26">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row>
    <row r="553" ht="14.25" customHeight="1" spans="1:26">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row>
    <row r="554" ht="14.25" customHeight="1" spans="1:26">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row>
    <row r="555" ht="14.25" customHeight="1" spans="1:26">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row>
    <row r="556" ht="14.25" customHeight="1" spans="1:26">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row>
    <row r="557" ht="14.25" customHeight="1" spans="1:26">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row>
    <row r="558" ht="14.25" customHeight="1" spans="1:26">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row>
    <row r="559" ht="14.25" customHeight="1" spans="1:26">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row>
    <row r="560" ht="14.25" customHeight="1" spans="1:26">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row>
    <row r="561" ht="14.25" customHeight="1" spans="1:26">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row>
    <row r="562" ht="14.25" customHeight="1" spans="1:26">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row>
    <row r="563" ht="14.25" customHeight="1" spans="1:26">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row>
    <row r="564" ht="14.25" customHeight="1" spans="1:26">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row>
    <row r="565" ht="14.25" customHeight="1" spans="1:26">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row>
    <row r="566" ht="14.25" customHeight="1" spans="1:26">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row>
    <row r="567" ht="14.25" customHeight="1" spans="1:26">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row>
    <row r="568" ht="14.25" customHeight="1" spans="1:26">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row>
    <row r="569" ht="14.25" customHeight="1" spans="1:26">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row>
    <row r="570" ht="14.25" customHeight="1" spans="1:26">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row>
    <row r="571" ht="14.25" customHeight="1" spans="1:26">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row>
    <row r="572" ht="14.25" customHeight="1" spans="1:26">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row>
    <row r="573" ht="14.25" customHeight="1" spans="1:26">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row>
    <row r="574" ht="14.25" customHeight="1" spans="1:26">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row>
    <row r="575" ht="14.25" customHeight="1" spans="1:26">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row>
    <row r="576" ht="14.25" customHeight="1" spans="1:26">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row>
    <row r="577" ht="14.25" customHeight="1" spans="1:26">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row>
    <row r="578" ht="14.25" customHeight="1" spans="1:26">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row>
    <row r="579" ht="14.25" customHeight="1" spans="1:26">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row>
    <row r="580" ht="14.25" customHeight="1" spans="1:26">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row>
    <row r="581" ht="14.25" customHeight="1" spans="1:26">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row>
    <row r="582" ht="14.25" customHeight="1" spans="1:26">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row>
    <row r="583" ht="14.25" customHeight="1" spans="1:26">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row>
    <row r="584" ht="14.25" customHeight="1" spans="1:26">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row>
    <row r="585" ht="14.25" customHeight="1" spans="1:26">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row>
    <row r="586" ht="14.25" customHeight="1" spans="1:26">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row>
    <row r="587" ht="14.25" customHeight="1" spans="1:26">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row>
    <row r="588" ht="14.25" customHeight="1" spans="1:26">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row>
    <row r="589" ht="14.25" customHeight="1" spans="1:26">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row>
    <row r="590" ht="14.25" customHeight="1" spans="1:26">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row>
    <row r="591" ht="14.25" customHeight="1" spans="1:26">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row>
    <row r="592" ht="14.25" customHeight="1" spans="1:26">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row>
    <row r="593" ht="14.25" customHeight="1" spans="1:26">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row>
    <row r="594" ht="14.25" customHeight="1" spans="1:26">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row>
    <row r="595" ht="14.25" customHeight="1" spans="1:26">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row>
    <row r="596" ht="14.25" customHeight="1" spans="1:26">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row>
    <row r="597" ht="14.25" customHeight="1" spans="1:26">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row>
    <row r="598" ht="14.25" customHeight="1" spans="1:26">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row>
    <row r="599" ht="14.25" customHeight="1" spans="1:26">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row>
    <row r="600" ht="14.25" customHeight="1" spans="1:26">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row>
    <row r="601" ht="14.25" customHeight="1" spans="1:26">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row>
    <row r="602" ht="14.25" customHeight="1" spans="1:26">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row>
    <row r="603" ht="14.25" customHeight="1" spans="1:26">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row>
    <row r="604" ht="14.25" customHeight="1" spans="1:26">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row>
    <row r="605" ht="14.25" customHeight="1" spans="1:26">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row>
    <row r="606" ht="14.25" customHeight="1" spans="1:26">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row>
    <row r="607" ht="14.25" customHeight="1" spans="1:26">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row>
    <row r="608" ht="14.25" customHeight="1" spans="1:26">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row>
    <row r="609" ht="14.25" customHeight="1" spans="1:26">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row>
    <row r="610" ht="14.25" customHeight="1" spans="1:26">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row>
    <row r="611" ht="14.25" customHeight="1" spans="1:26">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row>
    <row r="612" ht="14.25" customHeight="1" spans="1:26">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row>
    <row r="613" ht="14.25" customHeight="1" spans="1:26">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row>
    <row r="614" ht="14.25" customHeight="1" spans="1:26">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row>
    <row r="615" ht="14.25" customHeight="1" spans="1:26">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row>
    <row r="616" ht="14.25" customHeight="1" spans="1:26">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row>
    <row r="617" ht="14.25" customHeight="1" spans="1:26">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row>
    <row r="618" ht="14.25" customHeight="1" spans="1:26">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row>
    <row r="619" ht="14.25" customHeight="1" spans="1:26">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row>
    <row r="620" ht="14.25" customHeight="1" spans="1:26">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row>
    <row r="621" ht="14.25" customHeight="1" spans="1:26">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row>
    <row r="622" ht="14.25" customHeight="1" spans="1:26">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row>
    <row r="623" ht="14.25" customHeight="1" spans="1:26">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row>
    <row r="624" ht="14.25" customHeight="1" spans="1:26">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row>
    <row r="625" ht="14.25" customHeight="1" spans="1:26">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row>
    <row r="626" ht="14.25" customHeight="1" spans="1:26">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row>
    <row r="627" ht="14.25" customHeight="1" spans="1:26">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row>
    <row r="628" ht="14.25" customHeight="1" spans="1:26">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row>
    <row r="629" ht="14.25" customHeight="1" spans="1:26">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row>
    <row r="630" ht="14.25" customHeight="1" spans="1:26">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row>
    <row r="631" ht="14.25" customHeight="1" spans="1:26">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row>
    <row r="632" ht="14.25" customHeight="1" spans="1:26">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row>
    <row r="633" ht="14.25" customHeight="1" spans="1:26">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row>
    <row r="634" ht="14.25" customHeight="1" spans="1:26">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row>
    <row r="635" ht="14.25" customHeight="1" spans="1:26">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row>
    <row r="636" ht="14.25" customHeight="1" spans="1:26">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row>
    <row r="637" ht="14.25" customHeight="1" spans="1:26">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row>
    <row r="638" ht="14.25" customHeight="1" spans="1:26">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row>
    <row r="639" ht="14.25" customHeight="1" spans="1:26">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row>
    <row r="640" ht="14.25" customHeight="1" spans="1:26">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row>
    <row r="641" ht="14.25" customHeight="1" spans="1:26">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row>
    <row r="642" ht="14.25" customHeight="1" spans="1:26">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row>
    <row r="643" ht="14.25" customHeight="1" spans="1:26">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row>
    <row r="644" ht="14.25" customHeight="1" spans="1:26">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row>
    <row r="645" ht="14.25" customHeight="1" spans="1:26">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row>
    <row r="646" ht="14.25" customHeight="1" spans="1:26">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row>
    <row r="647" ht="14.25" customHeight="1" spans="1:26">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row>
    <row r="648" ht="14.25" customHeight="1" spans="1:26">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row>
    <row r="649" ht="14.25" customHeight="1" spans="1:26">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row>
    <row r="650" ht="14.25" customHeight="1" spans="1:26">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row>
    <row r="651" ht="14.25" customHeight="1" spans="1:26">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row>
    <row r="652" ht="14.25" customHeight="1" spans="1:26">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row>
    <row r="653" ht="14.25" customHeight="1" spans="1:26">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row>
    <row r="654" ht="14.25" customHeight="1" spans="1:26">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row>
    <row r="655" ht="14.25" customHeight="1" spans="1:26">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row>
    <row r="656" ht="14.25" customHeight="1" spans="1:26">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row>
    <row r="657" ht="14.25" customHeight="1" spans="1:26">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row>
    <row r="658" ht="14.25" customHeight="1" spans="1:26">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row>
    <row r="659" ht="14.25" customHeight="1" spans="1:26">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row>
    <row r="660" ht="14.25" customHeight="1" spans="1:26">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row>
    <row r="661" ht="14.25" customHeight="1" spans="1:26">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row>
    <row r="662" ht="14.25" customHeight="1" spans="1:26">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row>
    <row r="663" ht="14.25" customHeight="1" spans="1:26">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row>
    <row r="664" ht="14.25" customHeight="1" spans="1:26">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row>
    <row r="665" ht="14.25" customHeight="1" spans="1:26">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row>
    <row r="666" ht="14.25" customHeight="1" spans="1:26">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row>
    <row r="667" ht="14.25" customHeight="1" spans="1:26">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row>
    <row r="668" ht="14.25" customHeight="1" spans="1:26">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row>
    <row r="669" ht="14.25" customHeight="1" spans="1:26">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row>
    <row r="670" ht="14.25" customHeight="1" spans="1:26">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row>
    <row r="671" ht="14.25" customHeight="1" spans="1:26">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row>
    <row r="672" ht="14.25" customHeight="1" spans="1:26">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row>
    <row r="673" ht="14.25" customHeight="1" spans="1:26">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row>
    <row r="674" ht="14.25" customHeight="1" spans="1:26">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row>
    <row r="675" ht="14.25" customHeight="1" spans="1:26">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row>
    <row r="676" ht="14.25" customHeight="1" spans="1:26">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row>
    <row r="677" ht="14.25" customHeight="1" spans="1:26">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row>
    <row r="678" ht="14.25" customHeight="1" spans="1:26">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row>
    <row r="679" ht="14.25" customHeight="1" spans="1:26">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row>
    <row r="680" ht="14.25" customHeight="1" spans="1:26">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row>
    <row r="681" ht="14.25" customHeight="1" spans="1:26">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row>
    <row r="682" ht="14.25" customHeight="1" spans="1:26">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row>
    <row r="683" ht="14.25" customHeight="1" spans="1:26">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row>
    <row r="684" ht="14.25" customHeight="1" spans="1:26">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row>
    <row r="685" ht="14.25" customHeight="1" spans="1:26">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row>
    <row r="686" ht="14.25" customHeight="1" spans="1:26">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row>
    <row r="687" ht="14.25" customHeight="1" spans="1:26">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row>
    <row r="688" ht="14.25" customHeight="1" spans="1:26">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row>
    <row r="689" ht="14.25" customHeight="1" spans="1:26">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row>
    <row r="690" ht="14.25" customHeight="1" spans="1:26">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row>
    <row r="691" ht="14.25" customHeight="1" spans="1:26">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row>
    <row r="692" ht="14.25" customHeight="1" spans="1:26">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row>
    <row r="693" ht="14.25" customHeight="1" spans="1:26">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row>
    <row r="694" ht="14.25" customHeight="1" spans="1:26">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row>
    <row r="695" ht="14.25" customHeight="1" spans="1:26">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row>
    <row r="696" ht="14.25" customHeight="1" spans="1:26">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row>
    <row r="697" ht="14.25" customHeight="1" spans="1:26">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row>
    <row r="698" ht="14.25" customHeight="1" spans="1:26">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row>
    <row r="699" ht="14.25" customHeight="1" spans="1:26">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row>
    <row r="700" ht="14.25" customHeight="1" spans="1:26">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row>
    <row r="701" ht="14.25" customHeight="1" spans="1:26">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row>
    <row r="702" ht="14.25" customHeight="1" spans="1:26">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row>
    <row r="703" ht="14.25" customHeight="1" spans="1:26">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row>
    <row r="704" ht="14.25" customHeight="1" spans="1:26">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row>
    <row r="705" ht="14.25" customHeight="1" spans="1:26">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row>
    <row r="706" ht="14.25" customHeight="1" spans="1:26">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row>
    <row r="707" ht="14.25" customHeight="1" spans="1:26">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row>
    <row r="708" ht="14.25" customHeight="1" spans="1:26">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row>
    <row r="709" ht="14.25" customHeight="1" spans="1:26">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row>
    <row r="710" ht="14.25" customHeight="1" spans="1:26">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row>
    <row r="711" ht="14.25" customHeight="1" spans="1:26">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row>
    <row r="712" ht="14.25" customHeight="1" spans="1:26">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row>
    <row r="713" ht="14.25" customHeight="1" spans="1:26">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row>
    <row r="714" ht="14.25" customHeight="1" spans="1:26">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row>
    <row r="715" ht="14.25" customHeight="1" spans="1:26">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row>
    <row r="716" ht="14.25" customHeight="1" spans="1:26">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row>
    <row r="717" ht="14.25" customHeight="1" spans="1:26">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row>
    <row r="718" ht="14.25" customHeight="1" spans="1:26">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row>
    <row r="719" ht="14.25" customHeight="1" spans="1:26">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row>
    <row r="720" ht="14.25" customHeight="1" spans="1:26">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row>
    <row r="721" ht="14.25" customHeight="1" spans="1:26">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row>
    <row r="722" ht="14.25" customHeight="1" spans="1:26">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row>
    <row r="723" ht="14.25" customHeight="1" spans="1:26">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row>
    <row r="724" ht="14.25" customHeight="1" spans="1:26">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row>
    <row r="725" ht="14.25" customHeight="1" spans="1:26">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row>
    <row r="726" ht="14.25" customHeight="1" spans="1:26">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row>
    <row r="727" ht="14.25" customHeight="1" spans="1:26">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row>
    <row r="728" ht="14.25" customHeight="1" spans="1:26">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row>
    <row r="729" ht="14.25" customHeight="1" spans="1:26">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row>
    <row r="730" ht="14.25" customHeight="1" spans="1:26">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row>
    <row r="731" ht="14.25" customHeight="1" spans="1:26">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row>
    <row r="732" ht="14.25" customHeight="1" spans="1:26">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row>
    <row r="733" ht="14.25" customHeight="1" spans="1:26">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row>
    <row r="734" ht="14.25" customHeight="1" spans="1:26">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row>
    <row r="735" ht="14.25" customHeight="1" spans="1:26">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row>
    <row r="736" ht="14.25" customHeight="1" spans="1:26">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row>
    <row r="737" ht="14.25" customHeight="1" spans="1:26">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row>
    <row r="738" ht="14.25" customHeight="1" spans="1:26">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row>
    <row r="739" ht="14.25" customHeight="1" spans="1:26">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row>
    <row r="740" ht="14.25" customHeight="1" spans="1:26">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row>
    <row r="741" ht="14.25" customHeight="1" spans="1:26">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row>
    <row r="742" ht="14.25" customHeight="1" spans="1:26">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row>
    <row r="743" ht="14.25" customHeight="1" spans="1:26">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row>
    <row r="744" ht="14.25" customHeight="1" spans="1:26">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row>
    <row r="745" ht="14.25" customHeight="1" spans="1:26">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row>
    <row r="746" ht="14.25" customHeight="1" spans="1:26">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row>
    <row r="747" ht="14.25" customHeight="1" spans="1:26">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row>
    <row r="748" ht="14.25" customHeight="1" spans="1:26">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row>
    <row r="749" ht="14.25" customHeight="1" spans="1:26">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row>
    <row r="750" ht="14.25" customHeight="1" spans="1:26">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row>
    <row r="751" ht="14.25" customHeight="1" spans="1:26">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row>
    <row r="752" ht="14.25" customHeight="1" spans="1:26">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row>
    <row r="753" ht="14.25" customHeight="1" spans="1:26">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row>
    <row r="754" ht="14.25" customHeight="1" spans="1:26">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row>
    <row r="755" ht="14.25" customHeight="1" spans="1:26">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row>
    <row r="756" ht="14.25" customHeight="1" spans="1:26">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row>
    <row r="757" ht="14.25" customHeight="1" spans="1:26">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row>
    <row r="758" ht="14.25" customHeight="1" spans="1:26">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row>
    <row r="759" ht="14.25" customHeight="1" spans="1:26">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row>
    <row r="760" ht="14.25" customHeight="1" spans="1:26">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row>
    <row r="761" ht="14.25" customHeight="1" spans="1:26">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row>
    <row r="762" ht="14.25" customHeight="1" spans="1:26">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row>
    <row r="763" ht="14.25" customHeight="1" spans="1:26">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row>
    <row r="764" ht="14.25" customHeight="1" spans="1:26">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row>
    <row r="765" ht="14.25" customHeight="1" spans="1:26">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row>
    <row r="766" ht="14.25" customHeight="1" spans="1:26">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row>
    <row r="767" ht="14.25" customHeight="1" spans="1:26">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row>
    <row r="768" ht="14.25" customHeight="1" spans="1:26">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row>
    <row r="769" ht="14.25" customHeight="1" spans="1:26">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row>
    <row r="770" ht="14.25" customHeight="1" spans="1:26">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row>
    <row r="771" ht="14.25" customHeight="1" spans="1:26">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row>
    <row r="772" ht="14.25" customHeight="1" spans="1:26">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row>
    <row r="773" ht="14.25" customHeight="1" spans="1:26">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row>
    <row r="774" ht="14.25" customHeight="1" spans="1:26">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row>
    <row r="775" ht="14.25" customHeight="1" spans="1:26">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row>
    <row r="776" ht="14.25" customHeight="1" spans="1:26">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row>
    <row r="777" ht="14.25" customHeight="1" spans="1:26">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row>
    <row r="778" ht="14.25" customHeight="1" spans="1:26">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row>
    <row r="779" ht="14.25" customHeight="1" spans="1:26">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row>
    <row r="780" ht="14.25" customHeight="1" spans="1:26">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row>
    <row r="781" ht="14.25" customHeight="1" spans="1:26">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row>
    <row r="782" ht="14.25" customHeight="1" spans="1:26">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row>
    <row r="783" ht="14.25" customHeight="1" spans="1:26">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row>
    <row r="784" ht="14.25" customHeight="1" spans="1:26">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row>
    <row r="785" ht="14.25" customHeight="1" spans="1:26">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row>
    <row r="786" ht="14.25" customHeight="1" spans="1:26">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row>
    <row r="787" ht="14.25" customHeight="1" spans="1:26">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row>
    <row r="788" ht="14.25" customHeight="1" spans="1:26">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row>
    <row r="789" ht="14.25" customHeight="1" spans="1:26">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row>
    <row r="790" ht="14.25" customHeight="1" spans="1:26">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row>
    <row r="791" ht="14.25" customHeight="1" spans="1:26">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row>
    <row r="792" ht="14.25" customHeight="1" spans="1:26">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row>
    <row r="793" ht="14.25" customHeight="1" spans="1:26">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row>
    <row r="794" ht="14.25" customHeight="1" spans="1:26">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row>
    <row r="795" ht="14.25" customHeight="1" spans="1:26">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row>
    <row r="796" ht="14.25" customHeight="1" spans="1:26">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row>
    <row r="797" ht="14.25" customHeight="1" spans="1:26">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row>
    <row r="798" ht="14.25" customHeight="1" spans="1:26">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row>
    <row r="799" ht="14.25" customHeight="1" spans="1:26">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row>
    <row r="800" ht="14.25" customHeight="1" spans="1:26">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row>
    <row r="801" ht="14.25" customHeight="1" spans="1:26">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row>
    <row r="802" ht="14.25" customHeight="1" spans="1:26">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row>
    <row r="803" ht="14.25" customHeight="1" spans="1:26">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row>
    <row r="804" ht="14.25" customHeight="1" spans="1:26">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row>
    <row r="805" ht="14.25" customHeight="1" spans="1:26">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row>
    <row r="806" ht="14.25" customHeight="1" spans="1:26">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row>
    <row r="807" ht="14.25" customHeight="1" spans="1:26">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row>
    <row r="808" ht="14.25" customHeight="1" spans="1:26">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row>
    <row r="809" ht="14.25" customHeight="1" spans="1:26">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row>
    <row r="810" ht="14.25" customHeight="1" spans="1:26">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row>
    <row r="811" ht="14.25" customHeight="1" spans="1:26">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row>
    <row r="812" ht="14.25" customHeight="1" spans="1:26">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row>
    <row r="813" ht="14.25" customHeight="1" spans="1:26">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row>
    <row r="814" ht="14.25" customHeight="1" spans="1:26">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row>
    <row r="815" ht="14.25" customHeight="1" spans="1:26">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row>
    <row r="816" ht="14.25" customHeight="1" spans="1:26">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row>
    <row r="817" ht="14.25" customHeight="1" spans="1:26">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row>
    <row r="818" ht="14.25" customHeight="1" spans="1:26">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row>
    <row r="819" ht="14.25" customHeight="1" spans="1:26">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row>
    <row r="820" ht="14.25" customHeight="1" spans="1:26">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row>
    <row r="821" ht="14.25" customHeight="1" spans="1:26">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row>
    <row r="822" ht="14.25" customHeight="1" spans="1:26">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row>
    <row r="823" ht="14.25" customHeight="1" spans="1:26">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row>
    <row r="824" ht="14.25" customHeight="1" spans="1:26">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row>
    <row r="825" ht="14.25" customHeight="1" spans="1:26">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row>
    <row r="826" ht="14.25" customHeight="1" spans="1:26">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row>
    <row r="827" ht="14.25" customHeight="1" spans="1:26">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row>
    <row r="828" ht="14.25" customHeight="1" spans="1:26">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row>
    <row r="829" ht="14.25" customHeight="1" spans="1:26">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row>
    <row r="830" ht="14.25" customHeight="1" spans="1:26">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row>
    <row r="831" ht="14.25" customHeight="1" spans="1:26">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row>
    <row r="832" ht="14.25" customHeight="1" spans="1:26">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row>
    <row r="833" ht="14.25" customHeight="1" spans="1:26">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row>
    <row r="834" ht="14.25" customHeight="1" spans="1:26">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row>
    <row r="835" ht="14.25" customHeight="1" spans="1:26">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row>
    <row r="836" ht="14.25" customHeight="1" spans="1:26">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row>
    <row r="837" ht="14.25" customHeight="1" spans="1:26">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row>
    <row r="838" ht="14.25" customHeight="1" spans="1:26">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row>
    <row r="839" ht="14.25" customHeight="1" spans="1:26">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row>
    <row r="840" ht="14.25" customHeight="1" spans="1:26">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row>
    <row r="841" ht="14.25" customHeight="1" spans="1:26">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row>
    <row r="842" ht="14.25" customHeight="1" spans="1:26">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row>
    <row r="843" ht="14.25" customHeight="1" spans="1:26">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row>
    <row r="844" ht="14.25" customHeight="1" spans="1:26">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row>
    <row r="845" ht="14.25" customHeight="1" spans="1:26">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row>
    <row r="846" ht="14.25" customHeight="1" spans="1:26">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row>
    <row r="847" ht="14.25" customHeight="1" spans="1:26">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row>
    <row r="848" ht="14.25" customHeight="1" spans="1:26">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row>
    <row r="849" ht="14.25" customHeight="1" spans="1:26">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row>
    <row r="850" ht="14.25" customHeight="1" spans="1:26">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row>
    <row r="851" ht="14.25" customHeight="1" spans="1:26">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row>
    <row r="852" ht="14.25" customHeight="1" spans="1:26">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row>
    <row r="853" ht="14.25" customHeight="1" spans="1:26">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row>
    <row r="854" ht="14.25" customHeight="1" spans="1:26">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row>
    <row r="855" ht="14.25" customHeight="1" spans="1:26">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row>
    <row r="856" ht="14.25" customHeight="1" spans="1:26">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row>
    <row r="857" ht="14.25" customHeight="1" spans="1:26">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row>
    <row r="858" ht="14.25" customHeight="1" spans="1:26">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row>
    <row r="859" ht="14.25" customHeight="1" spans="1:26">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row>
    <row r="860" ht="14.25" customHeight="1" spans="1:26">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row>
    <row r="861" ht="14.25" customHeight="1" spans="1:26">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row>
    <row r="862" ht="14.25" customHeight="1" spans="1:26">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row>
    <row r="863" ht="14.25" customHeight="1" spans="1:26">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row>
    <row r="864" ht="14.25" customHeight="1" spans="1:26">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row>
    <row r="865" ht="14.25" customHeight="1" spans="1:26">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row>
    <row r="866" ht="14.25" customHeight="1" spans="1:26">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row>
    <row r="867" ht="14.25" customHeight="1" spans="1:26">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row>
    <row r="868" ht="14.25" customHeight="1" spans="1:26">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row>
    <row r="869" ht="14.25" customHeight="1" spans="1:26">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row>
    <row r="870" ht="14.25" customHeight="1" spans="1:26">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row>
    <row r="871" ht="14.25" customHeight="1" spans="1:26">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row>
    <row r="872" ht="14.25" customHeight="1" spans="1:26">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row>
    <row r="873" ht="14.25" customHeight="1" spans="1:26">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row>
    <row r="874" ht="14.25" customHeight="1" spans="1:26">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row>
    <row r="875" ht="14.25" customHeight="1" spans="1:26">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row>
    <row r="876" ht="14.25" customHeight="1" spans="1:26">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row>
    <row r="877" ht="14.25" customHeight="1" spans="1:26">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row>
    <row r="878" ht="14.25" customHeight="1" spans="1:26">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row>
    <row r="879" ht="14.25" customHeight="1" spans="1:26">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row>
    <row r="880" ht="14.25" customHeight="1" spans="1:26">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row>
    <row r="881" ht="14.25" customHeight="1" spans="1:26">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row>
    <row r="882" ht="14.25" customHeight="1" spans="1:26">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row>
    <row r="883" ht="14.25" customHeight="1" spans="1:26">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row>
    <row r="884" ht="14.25" customHeight="1" spans="1:26">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row>
    <row r="885" ht="14.25" customHeight="1" spans="1:26">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row>
    <row r="886" ht="14.25" customHeight="1" spans="1:26">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row>
    <row r="887" ht="14.25" customHeight="1" spans="1:26">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row>
    <row r="888" ht="14.25" customHeight="1" spans="1:26">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row>
    <row r="889" ht="14.25" customHeight="1" spans="1:26">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row>
    <row r="890" ht="14.25" customHeight="1" spans="1:26">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row>
    <row r="891" ht="14.25" customHeight="1" spans="1:26">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row>
    <row r="892" ht="14.25" customHeight="1" spans="1:26">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row>
    <row r="893" ht="14.25" customHeight="1" spans="1:26">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row>
    <row r="894" ht="14.25" customHeight="1" spans="1:26">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row>
    <row r="895" ht="14.25" customHeight="1" spans="1:26">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row>
    <row r="896" ht="14.25" customHeight="1" spans="1:26">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row>
    <row r="897" ht="14.25" customHeight="1" spans="1:26">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row>
    <row r="898" ht="14.25" customHeight="1" spans="1:26">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row>
    <row r="899" ht="14.25" customHeight="1" spans="1:26">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row>
    <row r="900" ht="14.25" customHeight="1" spans="1:26">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row>
    <row r="901" ht="14.25" customHeight="1" spans="1:26">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row>
    <row r="902" ht="14.25" customHeight="1" spans="1:26">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row>
    <row r="903" ht="14.25" customHeight="1" spans="1:26">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row>
    <row r="904" ht="14.25" customHeight="1" spans="1:26">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row>
    <row r="905" ht="14.25" customHeight="1" spans="1:26">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row>
    <row r="906" ht="14.25" customHeight="1" spans="1:26">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row>
    <row r="907" ht="14.25" customHeight="1" spans="1:26">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row>
    <row r="908" ht="14.25" customHeight="1" spans="1:26">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row>
    <row r="909" ht="14.25" customHeight="1" spans="1:26">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row>
    <row r="910" ht="14.25" customHeight="1" spans="1:26">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row>
    <row r="911" ht="14.25" customHeight="1" spans="1:26">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row>
    <row r="912" ht="14.25" customHeight="1" spans="1:26">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row>
    <row r="913" ht="14.25" customHeight="1" spans="1:26">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row>
    <row r="914" ht="14.25" customHeight="1" spans="1:26">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row>
    <row r="915" ht="14.25" customHeight="1" spans="1:26">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row>
    <row r="916" ht="14.25" customHeight="1" spans="1:26">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row>
    <row r="917" ht="14.25" customHeight="1" spans="1:26">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row>
    <row r="918" ht="14.25" customHeight="1" spans="1:26">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row>
    <row r="919" ht="14.25" customHeight="1" spans="1:26">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row>
    <row r="920" ht="14.25" customHeight="1" spans="1:26">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row>
    <row r="921" ht="14.25" customHeight="1" spans="1:26">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row>
    <row r="922" ht="14.25" customHeight="1" spans="1:26">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row>
    <row r="923" ht="14.25" customHeight="1" spans="1:26">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row>
    <row r="924" ht="14.25" customHeight="1" spans="1:26">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row>
    <row r="925" ht="14.25" customHeight="1" spans="1:26">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row>
    <row r="926" ht="14.25" customHeight="1" spans="1:26">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row>
    <row r="927" ht="14.25" customHeight="1" spans="1:26">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row>
    <row r="928" ht="14.25" customHeight="1" spans="1:26">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row>
    <row r="929" ht="14.25" customHeight="1" spans="1:26">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row>
    <row r="930" ht="14.25" customHeight="1" spans="1:26">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row>
    <row r="931" ht="14.25" customHeight="1" spans="1:26">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row>
    <row r="932" ht="14.25" customHeight="1" spans="1:26">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row>
    <row r="933" ht="14.25" customHeight="1" spans="1:26">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row>
    <row r="934" ht="14.25" customHeight="1" spans="1:26">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row>
    <row r="935" ht="14.25" customHeight="1" spans="1:26">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row>
    <row r="936" ht="14.25" customHeight="1" spans="1:26">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row>
    <row r="937" ht="14.25" customHeight="1" spans="1:26">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row>
    <row r="938" ht="14.25" customHeight="1" spans="1:26">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row>
    <row r="939" ht="14.25" customHeight="1" spans="1:26">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row>
    <row r="940" ht="14.25" customHeight="1" spans="1:26">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row>
    <row r="941" ht="14.25" customHeight="1" spans="1:26">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row>
    <row r="942" ht="14.25" customHeight="1" spans="1:26">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row>
    <row r="943" ht="14.25" customHeight="1" spans="1:26">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row>
    <row r="944" ht="14.25" customHeight="1" spans="1:26">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row>
    <row r="945" ht="14.25" customHeight="1" spans="1:26">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row>
    <row r="946" ht="14.25" customHeight="1" spans="1:26">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row>
    <row r="947" ht="14.25" customHeight="1" spans="1:26">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row>
    <row r="948" ht="14.25" customHeight="1" spans="1:26">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row>
    <row r="949" ht="14.25" customHeight="1" spans="1:26">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row>
    <row r="950" ht="14.25" customHeight="1" spans="1:26">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row>
    <row r="951" ht="14.25" customHeight="1" spans="1:26">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row>
    <row r="952" ht="14.25" customHeight="1" spans="1:26">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row>
    <row r="953" ht="14.25" customHeight="1" spans="1:26">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row>
    <row r="954" ht="14.25" customHeight="1" spans="1:26">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row>
    <row r="955" ht="14.25" customHeight="1" spans="1:26">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row>
    <row r="956" ht="14.25" customHeight="1" spans="1:26">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row>
    <row r="957" ht="14.25" customHeight="1" spans="1:26">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row>
    <row r="958" ht="14.25" customHeight="1" spans="1:26">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row>
    <row r="959" ht="14.25" customHeight="1" spans="1:26">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row>
    <row r="960" ht="14.25" customHeight="1" spans="1:26">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row>
    <row r="961" ht="14.25" customHeight="1" spans="1:26">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row>
    <row r="962" ht="14.25" customHeight="1" spans="1:26">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row>
    <row r="963" ht="14.25" customHeight="1" spans="1:26">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row>
    <row r="964" ht="14.25" customHeight="1" spans="1:26">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row>
    <row r="965" ht="14.25" customHeight="1" spans="1:26">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row>
    <row r="966" ht="14.25" customHeight="1" spans="1:26">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row>
    <row r="967" ht="14.25" customHeight="1" spans="1:26">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row>
    <row r="968" ht="14.25" customHeight="1" spans="1:26">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row>
    <row r="969" ht="14.25" customHeight="1" spans="1:26">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row>
    <row r="970" ht="14.25" customHeight="1" spans="1:26">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row>
    <row r="971" ht="14.25" customHeight="1" spans="1:26">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row>
    <row r="972" ht="14.25" customHeight="1" spans="1:26">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row>
    <row r="973" ht="14.25" customHeight="1" spans="1:26">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row>
    <row r="974" ht="14.25" customHeight="1" spans="1:26">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row>
    <row r="975" ht="14.25" customHeight="1" spans="1:26">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row>
    <row r="976" ht="14.25" customHeight="1" spans="1:26">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row>
    <row r="977" ht="14.25" customHeight="1" spans="1:26">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row>
    <row r="978" ht="14.25" customHeight="1" spans="1:26">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row>
    <row r="979" ht="14.25" customHeight="1" spans="1:26">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row>
    <row r="980" ht="14.25" customHeight="1" spans="1:26">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row>
    <row r="981" ht="14.25" customHeight="1" spans="1:26">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row>
    <row r="982" ht="14.25" customHeight="1" spans="1:26">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row>
    <row r="983" ht="14.25" customHeight="1" spans="1:26">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row>
    <row r="984" ht="14.25" customHeight="1" spans="1:26">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row>
    <row r="985" ht="14.25" customHeight="1" spans="1:26">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row>
    <row r="986" ht="14.25" customHeight="1" spans="1:26">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row>
    <row r="987" ht="14.25" customHeight="1" spans="1:26">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row>
    <row r="988" ht="14.25" customHeight="1" spans="1:26">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row>
    <row r="989" ht="14.25" customHeight="1" spans="1:26">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row>
    <row r="990" ht="14.25" customHeight="1" spans="1:26">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row>
    <row r="991" ht="14.25" customHeight="1" spans="1:26">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row>
    <row r="992" ht="14.25" customHeight="1" spans="1:26">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row>
    <row r="993" ht="14.25" customHeight="1" spans="1:26">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row>
    <row r="994" ht="14.25" customHeight="1" spans="1:26">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row>
    <row r="995" ht="14.25" customHeight="1" spans="1:26">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row>
    <row r="996" ht="14.25" customHeight="1" spans="1:26">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row>
    <row r="997" ht="14.25" customHeight="1" spans="1:26">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row>
    <row r="998" ht="14.25" customHeight="1" spans="1:26">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row>
    <row r="999" ht="14.25" customHeight="1" spans="1:26">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row>
    <row r="1000" ht="14.25" customHeight="1" spans="1:26">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row>
  </sheetData>
  <mergeCells count="9">
    <mergeCell ref="G1:Q1"/>
    <mergeCell ref="A8:H8"/>
    <mergeCell ref="L20:S20"/>
    <mergeCell ref="A26:H26"/>
    <mergeCell ref="A41:H41"/>
    <mergeCell ref="J42:M42"/>
    <mergeCell ref="A49:H49"/>
    <mergeCell ref="A56:H56"/>
    <mergeCell ref="A68:H68"/>
  </mergeCells>
  <pageMargins left="0.25" right="0.25" top="0.75" bottom="0.75" header="0" footer="0"/>
  <pageSetup paperSize="1" orientation="portrait"/>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2.6285714285714" defaultRowHeight="15.75" customHeight="1"/>
  <cols>
    <col min="1" max="1" width="12.752380952381" customWidth="1"/>
    <col min="2" max="5" width="3.13333333333333" customWidth="1"/>
    <col min="6" max="6" width="4" customWidth="1"/>
    <col min="7" max="7" width="2.75238095238095" customWidth="1"/>
    <col min="8" max="8" width="3.62857142857143" customWidth="1"/>
    <col min="9" max="9" width="3.13333333333333" customWidth="1"/>
    <col min="10" max="10" width="5.13333333333333" customWidth="1"/>
    <col min="11" max="11" width="1.13333333333333" customWidth="1"/>
    <col min="12" max="12" width="12.752380952381" customWidth="1"/>
    <col min="13" max="16" width="3.13333333333333" customWidth="1"/>
    <col min="17" max="17" width="4" customWidth="1"/>
    <col min="18" max="18" width="2.75238095238095" customWidth="1"/>
    <col min="19" max="19" width="3.62857142857143" customWidth="1"/>
    <col min="20" max="20" width="3.13333333333333" customWidth="1"/>
    <col min="21" max="21" width="6.24761904761905" customWidth="1"/>
    <col min="22" max="26" width="7.62857142857143" customWidth="1"/>
  </cols>
  <sheetData>
    <row r="1" ht="12" customHeight="1" spans="1:26">
      <c r="A1" s="124" t="s">
        <v>2554</v>
      </c>
      <c r="B1" s="125"/>
      <c r="C1" s="126"/>
      <c r="D1" s="126"/>
      <c r="E1" s="126"/>
      <c r="F1" s="126"/>
      <c r="G1" s="127" t="s">
        <v>2634</v>
      </c>
      <c r="H1" s="96"/>
      <c r="I1" s="96"/>
      <c r="J1" s="96"/>
      <c r="K1" s="96"/>
      <c r="L1" s="96"/>
      <c r="M1" s="96"/>
      <c r="N1" s="96"/>
      <c r="O1" s="96"/>
      <c r="P1" s="96"/>
      <c r="Q1" s="117"/>
      <c r="R1" s="126"/>
      <c r="S1" s="156" t="s">
        <v>2556</v>
      </c>
      <c r="T1" s="157"/>
      <c r="U1" s="126"/>
      <c r="V1" s="126"/>
      <c r="W1" s="126"/>
      <c r="X1" s="126"/>
      <c r="Y1" s="126"/>
      <c r="Z1" s="126"/>
    </row>
    <row r="2" ht="9.75" customHeight="1" spans="1:26">
      <c r="A2" s="121"/>
      <c r="B2" s="121"/>
      <c r="C2" s="121"/>
      <c r="D2" s="121"/>
      <c r="E2" s="121"/>
      <c r="F2" s="121"/>
      <c r="G2" s="121"/>
      <c r="H2" s="121"/>
      <c r="I2" s="121"/>
      <c r="J2" s="121"/>
      <c r="K2" s="121"/>
      <c r="L2" s="121"/>
      <c r="M2" s="121"/>
      <c r="N2" s="121"/>
      <c r="O2" s="121"/>
      <c r="P2" s="121"/>
      <c r="Q2" s="126"/>
      <c r="R2" s="126"/>
      <c r="S2" s="126"/>
      <c r="T2" s="126"/>
      <c r="U2" s="126"/>
      <c r="V2" s="126"/>
      <c r="W2" s="126"/>
      <c r="X2" s="126"/>
      <c r="Y2" s="126"/>
      <c r="Z2" s="126"/>
    </row>
    <row r="3" ht="9.75" customHeight="1" spans="1:26">
      <c r="A3" s="128" t="s">
        <v>2557</v>
      </c>
      <c r="B3" s="129" t="s">
        <v>1718</v>
      </c>
      <c r="C3" s="129" t="s">
        <v>1721</v>
      </c>
      <c r="D3" s="129" t="s">
        <v>1720</v>
      </c>
      <c r="E3" s="129" t="s">
        <v>2558</v>
      </c>
      <c r="F3" s="129" t="s">
        <v>2559</v>
      </c>
      <c r="G3" s="129" t="s">
        <v>2560</v>
      </c>
      <c r="H3" s="129" t="s">
        <v>2561</v>
      </c>
      <c r="I3" s="129" t="s">
        <v>1064</v>
      </c>
      <c r="J3" s="121"/>
      <c r="K3" s="121"/>
      <c r="L3" s="116" t="s">
        <v>2562</v>
      </c>
      <c r="M3" s="148" t="s">
        <v>1718</v>
      </c>
      <c r="N3" s="148" t="s">
        <v>1721</v>
      </c>
      <c r="O3" s="148" t="s">
        <v>1720</v>
      </c>
      <c r="P3" s="148" t="s">
        <v>1719</v>
      </c>
      <c r="Q3" s="148" t="s">
        <v>2559</v>
      </c>
      <c r="R3" s="148" t="s">
        <v>2560</v>
      </c>
      <c r="S3" s="148" t="s">
        <v>2561</v>
      </c>
      <c r="T3" s="148" t="s">
        <v>2563</v>
      </c>
      <c r="U3" s="126"/>
      <c r="V3" s="126"/>
      <c r="W3" s="126"/>
      <c r="X3" s="126"/>
      <c r="Y3" s="126"/>
      <c r="Z3" s="126"/>
    </row>
    <row r="4" ht="9.75" customHeight="1" spans="1:26">
      <c r="A4" s="101" t="s">
        <v>2564</v>
      </c>
      <c r="B4" s="102"/>
      <c r="C4" s="102"/>
      <c r="D4" s="102"/>
      <c r="E4" s="102"/>
      <c r="F4" s="103">
        <f t="shared" ref="F4:F7" si="0">SUM(B4:E4)</f>
        <v>0</v>
      </c>
      <c r="G4" s="104">
        <v>250</v>
      </c>
      <c r="H4" s="101" t="s">
        <v>2565</v>
      </c>
      <c r="I4" s="105">
        <f t="shared" ref="I4:I6" si="1">F4/G4</f>
        <v>0</v>
      </c>
      <c r="J4" s="121"/>
      <c r="K4" s="121"/>
      <c r="L4" s="101" t="s">
        <v>2392</v>
      </c>
      <c r="M4" s="102"/>
      <c r="N4" s="102"/>
      <c r="O4" s="102"/>
      <c r="P4" s="102"/>
      <c r="Q4" s="103">
        <f t="shared" ref="Q4:Q17" si="2">SUM(M4:P4)</f>
        <v>0</v>
      </c>
      <c r="R4" s="104">
        <v>40</v>
      </c>
      <c r="S4" s="101" t="s">
        <v>2566</v>
      </c>
      <c r="T4" s="105">
        <f t="shared" ref="T4:T6" si="3">Q4/R4</f>
        <v>0</v>
      </c>
      <c r="U4" s="158"/>
      <c r="V4" s="126"/>
      <c r="W4" s="126"/>
      <c r="X4" s="126"/>
      <c r="Y4" s="126"/>
      <c r="Z4" s="126"/>
    </row>
    <row r="5" ht="9.75" customHeight="1" spans="1:26">
      <c r="A5" s="101" t="s">
        <v>2567</v>
      </c>
      <c r="B5" s="102">
        <v>60</v>
      </c>
      <c r="C5" s="102">
        <v>40</v>
      </c>
      <c r="D5" s="102">
        <v>60</v>
      </c>
      <c r="E5" s="102">
        <v>40</v>
      </c>
      <c r="F5" s="103">
        <f t="shared" si="0"/>
        <v>200</v>
      </c>
      <c r="G5" s="104">
        <v>500</v>
      </c>
      <c r="H5" s="101" t="s">
        <v>2568</v>
      </c>
      <c r="I5" s="105">
        <f t="shared" si="1"/>
        <v>0.4</v>
      </c>
      <c r="J5" s="121"/>
      <c r="K5" s="121"/>
      <c r="L5" s="101" t="s">
        <v>2569</v>
      </c>
      <c r="M5" s="102"/>
      <c r="N5" s="102"/>
      <c r="O5" s="102"/>
      <c r="P5" s="102"/>
      <c r="Q5" s="103">
        <f t="shared" si="2"/>
        <v>0</v>
      </c>
      <c r="R5" s="104">
        <v>60</v>
      </c>
      <c r="S5" s="101" t="s">
        <v>2566</v>
      </c>
      <c r="T5" s="105">
        <f t="shared" si="3"/>
        <v>0</v>
      </c>
      <c r="U5" s="126"/>
      <c r="V5" s="126"/>
      <c r="W5" s="126"/>
      <c r="X5" s="126"/>
      <c r="Y5" s="126"/>
      <c r="Z5" s="126"/>
    </row>
    <row r="6" ht="9.75" customHeight="1" spans="1:26">
      <c r="A6" s="101" t="s">
        <v>2570</v>
      </c>
      <c r="B6" s="102"/>
      <c r="C6" s="102"/>
      <c r="D6" s="102"/>
      <c r="E6" s="102"/>
      <c r="F6" s="103">
        <f t="shared" si="0"/>
        <v>0</v>
      </c>
      <c r="G6" s="104">
        <v>100</v>
      </c>
      <c r="H6" s="101" t="s">
        <v>2566</v>
      </c>
      <c r="I6" s="105">
        <f t="shared" si="1"/>
        <v>0</v>
      </c>
      <c r="J6" s="121"/>
      <c r="K6" s="121"/>
      <c r="L6" s="101" t="s">
        <v>2571</v>
      </c>
      <c r="M6" s="102"/>
      <c r="N6" s="102"/>
      <c r="O6" s="102"/>
      <c r="P6" s="102"/>
      <c r="Q6" s="103">
        <f t="shared" si="2"/>
        <v>0</v>
      </c>
      <c r="R6" s="104">
        <v>30</v>
      </c>
      <c r="S6" s="101" t="s">
        <v>2566</v>
      </c>
      <c r="T6" s="105">
        <f t="shared" si="3"/>
        <v>0</v>
      </c>
      <c r="U6" s="126"/>
      <c r="V6" s="126"/>
      <c r="W6" s="126"/>
      <c r="X6" s="126"/>
      <c r="Y6" s="126"/>
      <c r="Z6" s="126"/>
    </row>
    <row r="7" ht="9.75" customHeight="1" spans="1:26">
      <c r="A7" s="101" t="s">
        <v>2572</v>
      </c>
      <c r="B7" s="102"/>
      <c r="C7" s="102"/>
      <c r="D7" s="102"/>
      <c r="E7" s="102"/>
      <c r="F7" s="103">
        <f t="shared" si="0"/>
        <v>0</v>
      </c>
      <c r="G7" s="104">
        <v>10</v>
      </c>
      <c r="H7" s="101" t="s">
        <v>2573</v>
      </c>
      <c r="I7" s="105">
        <f>F7/6</f>
        <v>0</v>
      </c>
      <c r="J7" s="121"/>
      <c r="K7" s="121"/>
      <c r="L7" s="101" t="s">
        <v>2574</v>
      </c>
      <c r="M7" s="102"/>
      <c r="N7" s="102"/>
      <c r="O7" s="102"/>
      <c r="P7" s="102"/>
      <c r="Q7" s="103">
        <f t="shared" si="2"/>
        <v>0</v>
      </c>
      <c r="R7" s="104">
        <v>15</v>
      </c>
      <c r="S7" s="101" t="s">
        <v>2575</v>
      </c>
      <c r="T7" s="105">
        <f>Q7*0.25</f>
        <v>0</v>
      </c>
      <c r="U7" s="126"/>
      <c r="V7" s="126"/>
      <c r="W7" s="126"/>
      <c r="X7" s="126"/>
      <c r="Y7" s="126"/>
      <c r="Z7" s="126"/>
    </row>
    <row r="8" ht="9.75" customHeight="1" spans="1:26">
      <c r="A8" s="130" t="s">
        <v>2576</v>
      </c>
      <c r="B8" s="96"/>
      <c r="C8" s="96"/>
      <c r="D8" s="96"/>
      <c r="E8" s="96"/>
      <c r="F8" s="96"/>
      <c r="G8" s="96"/>
      <c r="H8" s="117"/>
      <c r="I8" s="149">
        <f>SUM(I4:I7)</f>
        <v>0.4</v>
      </c>
      <c r="J8" s="150"/>
      <c r="K8" s="150"/>
      <c r="L8" s="101" t="s">
        <v>2577</v>
      </c>
      <c r="M8" s="102"/>
      <c r="N8" s="102"/>
      <c r="O8" s="102"/>
      <c r="P8" s="102"/>
      <c r="Q8" s="103">
        <f t="shared" si="2"/>
        <v>0</v>
      </c>
      <c r="R8" s="104">
        <v>20</v>
      </c>
      <c r="S8" s="101" t="s">
        <v>2575</v>
      </c>
      <c r="T8" s="105">
        <f>Q8*0.333</f>
        <v>0</v>
      </c>
      <c r="U8" s="126"/>
      <c r="V8" s="126"/>
      <c r="W8" s="126"/>
      <c r="X8" s="126"/>
      <c r="Y8" s="126"/>
      <c r="Z8" s="126"/>
    </row>
    <row r="9" ht="9.75" customHeight="1" spans="1:26">
      <c r="A9" s="106" t="s">
        <v>2578</v>
      </c>
      <c r="B9" s="131" t="s">
        <v>1718</v>
      </c>
      <c r="C9" s="131" t="s">
        <v>1721</v>
      </c>
      <c r="D9" s="131" t="s">
        <v>1720</v>
      </c>
      <c r="E9" s="131" t="s">
        <v>1719</v>
      </c>
      <c r="F9" s="131" t="s">
        <v>2559</v>
      </c>
      <c r="G9" s="131" t="s">
        <v>2560</v>
      </c>
      <c r="H9" s="131" t="s">
        <v>2561</v>
      </c>
      <c r="I9" s="131" t="s">
        <v>1064</v>
      </c>
      <c r="J9" s="121"/>
      <c r="K9" s="121"/>
      <c r="L9" s="101" t="s">
        <v>2579</v>
      </c>
      <c r="M9" s="102"/>
      <c r="N9" s="102"/>
      <c r="O9" s="102"/>
      <c r="P9" s="102"/>
      <c r="Q9" s="103">
        <f t="shared" si="2"/>
        <v>0</v>
      </c>
      <c r="R9" s="104">
        <v>30</v>
      </c>
      <c r="S9" s="101" t="s">
        <v>2575</v>
      </c>
      <c r="T9" s="105">
        <f>Q9*0.5</f>
        <v>0</v>
      </c>
      <c r="U9" s="126"/>
      <c r="V9" s="126"/>
      <c r="W9" s="126"/>
      <c r="X9" s="126"/>
      <c r="Y9" s="126"/>
      <c r="Z9" s="126"/>
    </row>
    <row r="10" ht="9.75" customHeight="1" spans="1:26">
      <c r="A10" s="101" t="s">
        <v>505</v>
      </c>
      <c r="B10" s="102"/>
      <c r="C10" s="102"/>
      <c r="D10" s="102"/>
      <c r="E10" s="102"/>
      <c r="F10" s="103">
        <f t="shared" ref="F10:F23" si="4">SUM(B10:E10)</f>
        <v>0</v>
      </c>
      <c r="G10" s="104">
        <v>10</v>
      </c>
      <c r="H10" s="101" t="s">
        <v>2573</v>
      </c>
      <c r="I10" s="105">
        <f>F10/6</f>
        <v>0</v>
      </c>
      <c r="J10" s="121"/>
      <c r="K10" s="121"/>
      <c r="L10" s="101" t="s">
        <v>2580</v>
      </c>
      <c r="M10" s="102"/>
      <c r="N10" s="102"/>
      <c r="O10" s="102"/>
      <c r="P10" s="102"/>
      <c r="Q10" s="103">
        <f t="shared" si="2"/>
        <v>0</v>
      </c>
      <c r="R10" s="104">
        <v>4</v>
      </c>
      <c r="S10" s="101" t="s">
        <v>2581</v>
      </c>
      <c r="T10" s="105">
        <f>Q10*4</f>
        <v>0</v>
      </c>
      <c r="U10" s="126"/>
      <c r="V10" s="126"/>
      <c r="W10" s="126"/>
      <c r="X10" s="126"/>
      <c r="Y10" s="126"/>
      <c r="Z10" s="126"/>
    </row>
    <row r="11" ht="9.75" customHeight="1" spans="1:26">
      <c r="A11" s="101" t="s">
        <v>506</v>
      </c>
      <c r="B11" s="102"/>
      <c r="C11" s="102"/>
      <c r="D11" s="102"/>
      <c r="E11" s="102"/>
      <c r="F11" s="103">
        <f t="shared" si="4"/>
        <v>0</v>
      </c>
      <c r="G11" s="104">
        <v>20</v>
      </c>
      <c r="H11" s="101" t="s">
        <v>2573</v>
      </c>
      <c r="I11" s="105">
        <f>F11/3</f>
        <v>0</v>
      </c>
      <c r="J11" s="121"/>
      <c r="K11" s="121"/>
      <c r="L11" s="101" t="s">
        <v>2582</v>
      </c>
      <c r="M11" s="102"/>
      <c r="N11" s="102"/>
      <c r="O11" s="102"/>
      <c r="P11" s="102"/>
      <c r="Q11" s="103">
        <f t="shared" si="2"/>
        <v>0</v>
      </c>
      <c r="R11" s="104">
        <v>25</v>
      </c>
      <c r="S11" s="101" t="s">
        <v>2566</v>
      </c>
      <c r="T11" s="105">
        <f t="shared" ref="T11:T13" si="5">Q11/R11</f>
        <v>0</v>
      </c>
      <c r="U11" s="126"/>
      <c r="V11" s="126"/>
      <c r="W11" s="126"/>
      <c r="X11" s="126"/>
      <c r="Y11" s="126"/>
      <c r="Z11" s="126"/>
    </row>
    <row r="12" ht="9.75" customHeight="1" spans="1:26">
      <c r="A12" s="101" t="s">
        <v>507</v>
      </c>
      <c r="B12" s="102"/>
      <c r="C12" s="102"/>
      <c r="D12" s="102"/>
      <c r="E12" s="102"/>
      <c r="F12" s="103">
        <f t="shared" si="4"/>
        <v>0</v>
      </c>
      <c r="G12" s="104">
        <v>15</v>
      </c>
      <c r="H12" s="101" t="s">
        <v>2566</v>
      </c>
      <c r="I12" s="105">
        <f t="shared" ref="I12:I17" si="6">F12/G12</f>
        <v>0</v>
      </c>
      <c r="J12" s="121"/>
      <c r="K12" s="121"/>
      <c r="L12" s="101" t="s">
        <v>2583</v>
      </c>
      <c r="M12" s="102"/>
      <c r="N12" s="102"/>
      <c r="O12" s="102"/>
      <c r="P12" s="102"/>
      <c r="Q12" s="103">
        <f t="shared" si="2"/>
        <v>0</v>
      </c>
      <c r="R12" s="104">
        <v>10</v>
      </c>
      <c r="S12" s="101" t="s">
        <v>2566</v>
      </c>
      <c r="T12" s="105">
        <f t="shared" si="5"/>
        <v>0</v>
      </c>
      <c r="U12" s="126"/>
      <c r="V12" s="126"/>
      <c r="W12" s="126"/>
      <c r="X12" s="126"/>
      <c r="Y12" s="126"/>
      <c r="Z12" s="126"/>
    </row>
    <row r="13" ht="9.75" customHeight="1" spans="1:26">
      <c r="A13" s="101" t="s">
        <v>508</v>
      </c>
      <c r="B13" s="102"/>
      <c r="C13" s="102"/>
      <c r="D13" s="102"/>
      <c r="E13" s="102"/>
      <c r="F13" s="103">
        <f t="shared" si="4"/>
        <v>0</v>
      </c>
      <c r="G13" s="104">
        <v>9</v>
      </c>
      <c r="H13" s="101" t="s">
        <v>2566</v>
      </c>
      <c r="I13" s="105">
        <f t="shared" si="6"/>
        <v>0</v>
      </c>
      <c r="J13" s="121"/>
      <c r="K13" s="121"/>
      <c r="L13" s="101" t="s">
        <v>2584</v>
      </c>
      <c r="M13" s="102"/>
      <c r="N13" s="102"/>
      <c r="O13" s="102"/>
      <c r="P13" s="102"/>
      <c r="Q13" s="103">
        <f t="shared" si="2"/>
        <v>0</v>
      </c>
      <c r="R13" s="104">
        <v>50</v>
      </c>
      <c r="S13" s="101" t="s">
        <v>2568</v>
      </c>
      <c r="T13" s="105">
        <f t="shared" si="5"/>
        <v>0</v>
      </c>
      <c r="U13" s="126"/>
      <c r="V13" s="126"/>
      <c r="W13" s="126"/>
      <c r="X13" s="126"/>
      <c r="Y13" s="126"/>
      <c r="Z13" s="126"/>
    </row>
    <row r="14" ht="9.75" customHeight="1" spans="1:26">
      <c r="A14" s="101" t="s">
        <v>509</v>
      </c>
      <c r="B14" s="102"/>
      <c r="C14" s="102"/>
      <c r="D14" s="102"/>
      <c r="E14" s="102"/>
      <c r="F14" s="103">
        <f t="shared" si="4"/>
        <v>0</v>
      </c>
      <c r="G14" s="104">
        <v>70</v>
      </c>
      <c r="H14" s="101" t="s">
        <v>2568</v>
      </c>
      <c r="I14" s="105">
        <f t="shared" si="6"/>
        <v>0</v>
      </c>
      <c r="J14" s="121"/>
      <c r="K14" s="121"/>
      <c r="L14" s="101" t="s">
        <v>2585</v>
      </c>
      <c r="M14" s="102"/>
      <c r="N14" s="102"/>
      <c r="O14" s="102"/>
      <c r="P14" s="102"/>
      <c r="Q14" s="103">
        <f t="shared" si="2"/>
        <v>0</v>
      </c>
      <c r="R14" s="104">
        <v>30</v>
      </c>
      <c r="S14" s="101" t="s">
        <v>2575</v>
      </c>
      <c r="T14" s="105">
        <f>Q14*0.5</f>
        <v>0</v>
      </c>
      <c r="U14" s="126"/>
      <c r="V14" s="126"/>
      <c r="W14" s="126"/>
      <c r="X14" s="126"/>
      <c r="Y14" s="126"/>
      <c r="Z14" s="126"/>
    </row>
    <row r="15" ht="9.75" customHeight="1" spans="1:26">
      <c r="A15" s="101" t="s">
        <v>510</v>
      </c>
      <c r="B15" s="102"/>
      <c r="C15" s="102"/>
      <c r="D15" s="102"/>
      <c r="E15" s="102"/>
      <c r="F15" s="103">
        <f t="shared" si="4"/>
        <v>0</v>
      </c>
      <c r="G15" s="104">
        <v>50</v>
      </c>
      <c r="H15" s="101" t="s">
        <v>2568</v>
      </c>
      <c r="I15" s="105">
        <f t="shared" si="6"/>
        <v>0</v>
      </c>
      <c r="J15" s="121"/>
      <c r="K15" s="121"/>
      <c r="L15" s="101" t="s">
        <v>2586</v>
      </c>
      <c r="M15" s="102"/>
      <c r="N15" s="102"/>
      <c r="O15" s="102"/>
      <c r="P15" s="102"/>
      <c r="Q15" s="103">
        <f t="shared" si="2"/>
        <v>0</v>
      </c>
      <c r="R15" s="104">
        <v>40</v>
      </c>
      <c r="S15" s="101" t="s">
        <v>2566</v>
      </c>
      <c r="T15" s="105">
        <f t="shared" ref="T15:T17" si="7">Q15/R15</f>
        <v>0</v>
      </c>
      <c r="U15" s="126"/>
      <c r="V15" s="126"/>
      <c r="W15" s="126"/>
      <c r="X15" s="126"/>
      <c r="Y15" s="126"/>
      <c r="Z15" s="126"/>
    </row>
    <row r="16" ht="9.75" customHeight="1" spans="1:26">
      <c r="A16" s="101" t="s">
        <v>511</v>
      </c>
      <c r="B16" s="102"/>
      <c r="C16" s="102"/>
      <c r="D16" s="102"/>
      <c r="E16" s="102"/>
      <c r="F16" s="103">
        <f t="shared" si="4"/>
        <v>0</v>
      </c>
      <c r="G16" s="104">
        <v>35</v>
      </c>
      <c r="H16" s="101" t="s">
        <v>2568</v>
      </c>
      <c r="I16" s="105">
        <f t="shared" si="6"/>
        <v>0</v>
      </c>
      <c r="J16" s="121"/>
      <c r="K16" s="121"/>
      <c r="L16" s="101" t="s">
        <v>2587</v>
      </c>
      <c r="M16" s="102"/>
      <c r="N16" s="102"/>
      <c r="O16" s="102"/>
      <c r="P16" s="102"/>
      <c r="Q16" s="103">
        <f t="shared" si="2"/>
        <v>0</v>
      </c>
      <c r="R16" s="104">
        <v>8</v>
      </c>
      <c r="S16" s="101" t="s">
        <v>2566</v>
      </c>
      <c r="T16" s="105">
        <f t="shared" si="7"/>
        <v>0</v>
      </c>
      <c r="U16" s="126"/>
      <c r="V16" s="126"/>
      <c r="W16" s="126"/>
      <c r="X16" s="126"/>
      <c r="Y16" s="126"/>
      <c r="Z16" s="126"/>
    </row>
    <row r="17" ht="9.75" customHeight="1" spans="1:26">
      <c r="A17" s="101" t="s">
        <v>512</v>
      </c>
      <c r="B17" s="102"/>
      <c r="C17" s="102"/>
      <c r="D17" s="102"/>
      <c r="E17" s="102"/>
      <c r="F17" s="103">
        <f t="shared" si="4"/>
        <v>0</v>
      </c>
      <c r="G17" s="104">
        <v>60</v>
      </c>
      <c r="H17" s="101" t="s">
        <v>2568</v>
      </c>
      <c r="I17" s="105">
        <f t="shared" si="6"/>
        <v>0</v>
      </c>
      <c r="J17" s="121"/>
      <c r="K17" s="121"/>
      <c r="L17" s="101" t="s">
        <v>2588</v>
      </c>
      <c r="M17" s="102"/>
      <c r="N17" s="102"/>
      <c r="O17" s="102"/>
      <c r="P17" s="102"/>
      <c r="Q17" s="103">
        <f t="shared" si="2"/>
        <v>0</v>
      </c>
      <c r="R17" s="104">
        <v>8</v>
      </c>
      <c r="S17" s="101" t="s">
        <v>2566</v>
      </c>
      <c r="T17" s="105">
        <f t="shared" si="7"/>
        <v>0</v>
      </c>
      <c r="U17" s="126"/>
      <c r="V17" s="126"/>
      <c r="W17" s="126"/>
      <c r="X17" s="126"/>
      <c r="Y17" s="126"/>
      <c r="Z17" s="126"/>
    </row>
    <row r="18" ht="9.75" customHeight="1" spans="1:26">
      <c r="A18" s="101" t="s">
        <v>513</v>
      </c>
      <c r="B18" s="102"/>
      <c r="C18" s="102"/>
      <c r="D18" s="102"/>
      <c r="E18" s="102"/>
      <c r="F18" s="103">
        <f t="shared" si="4"/>
        <v>0</v>
      </c>
      <c r="G18" s="104">
        <v>20</v>
      </c>
      <c r="H18" s="101" t="s">
        <v>2573</v>
      </c>
      <c r="I18" s="105">
        <f>F18/3</f>
        <v>0</v>
      </c>
      <c r="J18" s="121"/>
      <c r="K18" s="121"/>
      <c r="L18" s="101"/>
      <c r="M18" s="102"/>
      <c r="N18" s="102"/>
      <c r="O18" s="102"/>
      <c r="P18" s="102"/>
      <c r="Q18" s="103"/>
      <c r="R18" s="104"/>
      <c r="S18" s="101"/>
      <c r="T18" s="105"/>
      <c r="U18" s="126"/>
      <c r="V18" s="126"/>
      <c r="W18" s="126"/>
      <c r="X18" s="126"/>
      <c r="Y18" s="126"/>
      <c r="Z18" s="126"/>
    </row>
    <row r="19" ht="9.75" customHeight="1" spans="1:26">
      <c r="A19" s="101" t="s">
        <v>514</v>
      </c>
      <c r="B19" s="102"/>
      <c r="C19" s="102"/>
      <c r="D19" s="102"/>
      <c r="E19" s="102"/>
      <c r="F19" s="103">
        <f t="shared" si="4"/>
        <v>0</v>
      </c>
      <c r="G19" s="104">
        <v>10</v>
      </c>
      <c r="H19" s="101" t="s">
        <v>2566</v>
      </c>
      <c r="I19" s="105">
        <f t="shared" ref="I19:I20" si="8">F19/G19</f>
        <v>0</v>
      </c>
      <c r="J19" s="121"/>
      <c r="K19" s="121"/>
      <c r="L19" s="101"/>
      <c r="M19" s="102"/>
      <c r="N19" s="102"/>
      <c r="O19" s="102"/>
      <c r="P19" s="102"/>
      <c r="Q19" s="103"/>
      <c r="R19" s="104"/>
      <c r="S19" s="101"/>
      <c r="T19" s="105"/>
      <c r="U19" s="126"/>
      <c r="V19" s="126"/>
      <c r="W19" s="126"/>
      <c r="X19" s="126"/>
      <c r="Y19" s="126"/>
      <c r="Z19" s="126"/>
    </row>
    <row r="20" ht="9.75" customHeight="1" spans="1:26">
      <c r="A20" s="101" t="s">
        <v>515</v>
      </c>
      <c r="B20" s="102"/>
      <c r="C20" s="102"/>
      <c r="D20" s="102"/>
      <c r="E20" s="102"/>
      <c r="F20" s="103">
        <f t="shared" si="4"/>
        <v>0</v>
      </c>
      <c r="G20" s="104">
        <v>60</v>
      </c>
      <c r="H20" s="101" t="s">
        <v>2566</v>
      </c>
      <c r="I20" s="105">
        <f t="shared" si="8"/>
        <v>0</v>
      </c>
      <c r="J20" s="122"/>
      <c r="K20" s="122"/>
      <c r="L20" s="151" t="s">
        <v>2589</v>
      </c>
      <c r="M20" s="96"/>
      <c r="N20" s="96"/>
      <c r="O20" s="96"/>
      <c r="P20" s="96"/>
      <c r="Q20" s="96"/>
      <c r="R20" s="96"/>
      <c r="S20" s="117"/>
      <c r="T20" s="149">
        <f>SUM(T4:T19)</f>
        <v>0</v>
      </c>
      <c r="U20" s="126"/>
      <c r="V20" s="126"/>
      <c r="W20" s="126"/>
      <c r="X20" s="126"/>
      <c r="Y20" s="126"/>
      <c r="Z20" s="126"/>
    </row>
    <row r="21" ht="9.75" customHeight="1" spans="1:26">
      <c r="A21" s="101" t="s">
        <v>516</v>
      </c>
      <c r="B21" s="102"/>
      <c r="C21" s="102"/>
      <c r="D21" s="102"/>
      <c r="E21" s="102"/>
      <c r="F21" s="103">
        <f t="shared" si="4"/>
        <v>0</v>
      </c>
      <c r="G21" s="104">
        <v>15</v>
      </c>
      <c r="H21" s="101" t="s">
        <v>2575</v>
      </c>
      <c r="I21" s="105">
        <f t="shared" ref="I21:I24" si="9">F21/4</f>
        <v>0</v>
      </c>
      <c r="J21" s="121"/>
      <c r="K21" s="121"/>
      <c r="L21" s="126"/>
      <c r="M21" s="126"/>
      <c r="N21" s="126"/>
      <c r="O21" s="126"/>
      <c r="P21" s="126"/>
      <c r="Q21" s="126"/>
      <c r="R21" s="126"/>
      <c r="S21" s="126"/>
      <c r="T21" s="126"/>
      <c r="U21" s="126"/>
      <c r="V21" s="126"/>
      <c r="W21" s="126"/>
      <c r="X21" s="126"/>
      <c r="Y21" s="126"/>
      <c r="Z21" s="126"/>
    </row>
    <row r="22" ht="9.75" customHeight="1" spans="1:26">
      <c r="A22" s="101" t="s">
        <v>251</v>
      </c>
      <c r="B22" s="102"/>
      <c r="C22" s="102"/>
      <c r="D22" s="102"/>
      <c r="E22" s="102"/>
      <c r="F22" s="103">
        <f t="shared" si="4"/>
        <v>0</v>
      </c>
      <c r="G22" s="104">
        <v>15</v>
      </c>
      <c r="H22" s="101" t="s">
        <v>2575</v>
      </c>
      <c r="I22" s="105">
        <f t="shared" si="9"/>
        <v>0</v>
      </c>
      <c r="J22" s="121"/>
      <c r="K22" s="121"/>
      <c r="L22" s="126"/>
      <c r="M22" s="126"/>
      <c r="N22" s="126"/>
      <c r="O22" s="126"/>
      <c r="P22" s="126"/>
      <c r="Q22" s="126"/>
      <c r="R22" s="126"/>
      <c r="S22" s="126"/>
      <c r="T22" s="126"/>
      <c r="U22" s="126"/>
      <c r="V22" s="126"/>
      <c r="W22" s="126"/>
      <c r="X22" s="126"/>
      <c r="Y22" s="126"/>
      <c r="Z22" s="126"/>
    </row>
    <row r="23" ht="9.75" customHeight="1" spans="1:26">
      <c r="A23" s="101" t="s">
        <v>252</v>
      </c>
      <c r="B23" s="102"/>
      <c r="C23" s="102"/>
      <c r="D23" s="102"/>
      <c r="E23" s="102"/>
      <c r="F23" s="103">
        <f t="shared" si="4"/>
        <v>0</v>
      </c>
      <c r="G23" s="104">
        <v>15</v>
      </c>
      <c r="H23" s="101" t="s">
        <v>2575</v>
      </c>
      <c r="I23" s="105">
        <f t="shared" si="9"/>
        <v>0</v>
      </c>
      <c r="J23" s="121"/>
      <c r="K23" s="121"/>
      <c r="L23" s="126"/>
      <c r="M23" s="126"/>
      <c r="N23" s="126"/>
      <c r="O23" s="126"/>
      <c r="P23" s="126"/>
      <c r="Q23" s="126"/>
      <c r="R23" s="126"/>
      <c r="S23" s="126"/>
      <c r="T23" s="126"/>
      <c r="U23" s="126"/>
      <c r="V23" s="126"/>
      <c r="W23" s="126"/>
      <c r="X23" s="126"/>
      <c r="Y23" s="126"/>
      <c r="Z23" s="126"/>
    </row>
    <row r="24" ht="9.75" customHeight="1" spans="1:26">
      <c r="A24" s="101" t="s">
        <v>253</v>
      </c>
      <c r="B24" s="102"/>
      <c r="C24" s="102"/>
      <c r="D24" s="102"/>
      <c r="E24" s="102"/>
      <c r="F24" s="103">
        <v>0</v>
      </c>
      <c r="G24" s="104">
        <v>15</v>
      </c>
      <c r="H24" s="101" t="s">
        <v>2575</v>
      </c>
      <c r="I24" s="105">
        <f t="shared" si="9"/>
        <v>0</v>
      </c>
      <c r="J24" s="121"/>
      <c r="K24" s="121"/>
      <c r="L24" s="126"/>
      <c r="M24" s="126"/>
      <c r="N24" s="126"/>
      <c r="O24" s="126"/>
      <c r="P24" s="126"/>
      <c r="Q24" s="126"/>
      <c r="R24" s="126"/>
      <c r="S24" s="126"/>
      <c r="T24" s="126"/>
      <c r="U24" s="126"/>
      <c r="V24" s="126"/>
      <c r="W24" s="126"/>
      <c r="X24" s="126"/>
      <c r="Y24" s="126"/>
      <c r="Z24" s="126"/>
    </row>
    <row r="25" ht="9.75" customHeight="1" spans="1:26">
      <c r="A25" s="101"/>
      <c r="B25" s="102"/>
      <c r="C25" s="102"/>
      <c r="D25" s="102"/>
      <c r="E25" s="102"/>
      <c r="F25" s="103"/>
      <c r="G25" s="104"/>
      <c r="H25" s="101"/>
      <c r="I25" s="105"/>
      <c r="J25" s="121"/>
      <c r="K25" s="121"/>
      <c r="L25" s="126"/>
      <c r="M25" s="126"/>
      <c r="N25" s="126"/>
      <c r="O25" s="126"/>
      <c r="P25" s="126"/>
      <c r="Q25" s="126"/>
      <c r="R25" s="126"/>
      <c r="S25" s="126"/>
      <c r="T25" s="126"/>
      <c r="U25" s="126"/>
      <c r="V25" s="126"/>
      <c r="W25" s="126"/>
      <c r="X25" s="126"/>
      <c r="Y25" s="126"/>
      <c r="Z25" s="126"/>
    </row>
    <row r="26" ht="9.75" customHeight="1" spans="1:26">
      <c r="A26" s="132" t="s">
        <v>2590</v>
      </c>
      <c r="B26" s="96"/>
      <c r="C26" s="96"/>
      <c r="D26" s="96"/>
      <c r="E26" s="96"/>
      <c r="F26" s="96"/>
      <c r="G26" s="96"/>
      <c r="H26" s="117"/>
      <c r="I26" s="149">
        <f>SUM(I10:I25)</f>
        <v>0</v>
      </c>
      <c r="J26" s="150"/>
      <c r="K26" s="150"/>
      <c r="L26" s="126"/>
      <c r="M26" s="126"/>
      <c r="N26" s="126"/>
      <c r="O26" s="126"/>
      <c r="P26" s="126"/>
      <c r="Q26" s="126"/>
      <c r="R26" s="126"/>
      <c r="S26" s="126"/>
      <c r="T26" s="126"/>
      <c r="U26" s="126"/>
      <c r="V26" s="126"/>
      <c r="W26" s="126"/>
      <c r="X26" s="126"/>
      <c r="Y26" s="126"/>
      <c r="Z26" s="126"/>
    </row>
    <row r="27" ht="9.75" customHeight="1" spans="1:26">
      <c r="A27" s="107" t="s">
        <v>2591</v>
      </c>
      <c r="B27" s="133" t="s">
        <v>1718</v>
      </c>
      <c r="C27" s="133" t="s">
        <v>1721</v>
      </c>
      <c r="D27" s="133" t="s">
        <v>1720</v>
      </c>
      <c r="E27" s="133" t="s">
        <v>1719</v>
      </c>
      <c r="F27" s="133" t="s">
        <v>2559</v>
      </c>
      <c r="G27" s="133" t="s">
        <v>2560</v>
      </c>
      <c r="H27" s="133" t="s">
        <v>2561</v>
      </c>
      <c r="I27" s="133" t="s">
        <v>1064</v>
      </c>
      <c r="J27" s="121"/>
      <c r="K27" s="121"/>
      <c r="L27" s="126"/>
      <c r="M27" s="126"/>
      <c r="N27" s="126"/>
      <c r="O27" s="126"/>
      <c r="P27" s="126"/>
      <c r="Q27" s="126"/>
      <c r="R27" s="126"/>
      <c r="S27" s="126"/>
      <c r="T27" s="126"/>
      <c r="U27" s="126"/>
      <c r="V27" s="126"/>
      <c r="W27" s="126"/>
      <c r="X27" s="126"/>
      <c r="Y27" s="126"/>
      <c r="Z27" s="126"/>
    </row>
    <row r="28" ht="9.75" customHeight="1" spans="1:26">
      <c r="A28" s="101" t="s">
        <v>2592</v>
      </c>
      <c r="B28" s="102"/>
      <c r="C28" s="102"/>
      <c r="D28" s="102"/>
      <c r="E28" s="102"/>
      <c r="F28" s="103">
        <f t="shared" ref="F28:F29" si="10">SUM(B28:E28)</f>
        <v>0</v>
      </c>
      <c r="G28" s="104">
        <v>15</v>
      </c>
      <c r="H28" s="101" t="s">
        <v>2575</v>
      </c>
      <c r="I28" s="105">
        <f>F28/4</f>
        <v>0</v>
      </c>
      <c r="J28" s="152"/>
      <c r="K28" s="121"/>
      <c r="L28" s="126"/>
      <c r="M28" s="126"/>
      <c r="N28" s="126"/>
      <c r="O28" s="126"/>
      <c r="P28" s="126"/>
      <c r="Q28" s="126"/>
      <c r="R28" s="126"/>
      <c r="S28" s="126"/>
      <c r="T28" s="126"/>
      <c r="U28" s="126"/>
      <c r="V28" s="126"/>
      <c r="W28" s="126"/>
      <c r="X28" s="126"/>
      <c r="Y28" s="126"/>
      <c r="Z28" s="126"/>
    </row>
    <row r="29" ht="9.75" customHeight="1" spans="1:26">
      <c r="A29" s="101" t="s">
        <v>2593</v>
      </c>
      <c r="B29" s="102"/>
      <c r="C29" s="102"/>
      <c r="D29" s="102"/>
      <c r="E29" s="102"/>
      <c r="F29" s="103">
        <f t="shared" si="10"/>
        <v>0</v>
      </c>
      <c r="G29" s="104">
        <v>150</v>
      </c>
      <c r="H29" s="101" t="s">
        <v>2566</v>
      </c>
      <c r="I29" s="105">
        <f>F29/G29</f>
        <v>0</v>
      </c>
      <c r="J29" s="152"/>
      <c r="K29" s="121"/>
      <c r="L29" s="126"/>
      <c r="M29" s="126"/>
      <c r="N29" s="126"/>
      <c r="O29" s="126"/>
      <c r="P29" s="126"/>
      <c r="Q29" s="126"/>
      <c r="R29" s="126"/>
      <c r="S29" s="126"/>
      <c r="T29" s="126"/>
      <c r="U29" s="126"/>
      <c r="V29" s="126"/>
      <c r="W29" s="126"/>
      <c r="X29" s="126"/>
      <c r="Y29" s="126"/>
      <c r="Z29" s="126"/>
    </row>
    <row r="30" ht="9.75" customHeight="1" spans="1:26">
      <c r="A30" s="134"/>
      <c r="B30" s="135"/>
      <c r="C30" s="135"/>
      <c r="D30" s="135"/>
      <c r="E30" s="135"/>
      <c r="F30" s="135"/>
      <c r="G30" s="136" t="s">
        <v>2594</v>
      </c>
      <c r="H30" s="137"/>
      <c r="I30" s="149">
        <f>SUM(I28:I29)</f>
        <v>0</v>
      </c>
      <c r="J30" s="121"/>
      <c r="K30" s="121"/>
      <c r="L30" s="126"/>
      <c r="M30" s="126"/>
      <c r="N30" s="126"/>
      <c r="O30" s="126"/>
      <c r="P30" s="126"/>
      <c r="Q30" s="126"/>
      <c r="R30" s="126"/>
      <c r="S30" s="126"/>
      <c r="T30" s="126"/>
      <c r="U30" s="126"/>
      <c r="V30" s="126"/>
      <c r="W30" s="126"/>
      <c r="X30" s="126"/>
      <c r="Y30" s="126"/>
      <c r="Z30" s="126"/>
    </row>
    <row r="31" ht="9.75" customHeight="1" spans="1:26">
      <c r="A31" s="108" t="s">
        <v>2595</v>
      </c>
      <c r="B31" s="138" t="s">
        <v>1718</v>
      </c>
      <c r="C31" s="138" t="s">
        <v>1721</v>
      </c>
      <c r="D31" s="138" t="s">
        <v>1720</v>
      </c>
      <c r="E31" s="138" t="s">
        <v>1719</v>
      </c>
      <c r="F31" s="138" t="s">
        <v>2559</v>
      </c>
      <c r="G31" s="138" t="s">
        <v>2560</v>
      </c>
      <c r="H31" s="138" t="s">
        <v>2561</v>
      </c>
      <c r="I31" s="138" t="s">
        <v>1064</v>
      </c>
      <c r="J31" s="153"/>
      <c r="K31" s="153"/>
      <c r="L31" s="126"/>
      <c r="M31" s="126"/>
      <c r="N31" s="126"/>
      <c r="O31" s="126"/>
      <c r="P31" s="126"/>
      <c r="Q31" s="126"/>
      <c r="R31" s="126"/>
      <c r="S31" s="126"/>
      <c r="T31" s="126"/>
      <c r="U31" s="126"/>
      <c r="V31" s="126"/>
      <c r="W31" s="126"/>
      <c r="X31" s="126"/>
      <c r="Y31" s="126"/>
      <c r="Z31" s="126"/>
    </row>
    <row r="32" ht="9.75" customHeight="1" spans="1:26">
      <c r="A32" s="109" t="s">
        <v>517</v>
      </c>
      <c r="B32" s="111"/>
      <c r="C32" s="111"/>
      <c r="D32" s="111"/>
      <c r="E32" s="111"/>
      <c r="F32" s="139">
        <f t="shared" ref="F32:F37" si="11">SUM(B32:E32)</f>
        <v>0</v>
      </c>
      <c r="G32" s="110">
        <v>15</v>
      </c>
      <c r="H32" s="111" t="s">
        <v>2575</v>
      </c>
      <c r="I32" s="154">
        <f>F32/4</f>
        <v>0</v>
      </c>
      <c r="J32" s="121"/>
      <c r="K32" s="121"/>
      <c r="L32" s="126"/>
      <c r="M32" s="126"/>
      <c r="N32" s="126"/>
      <c r="O32" s="126"/>
      <c r="P32" s="126"/>
      <c r="Q32" s="126"/>
      <c r="R32" s="126"/>
      <c r="S32" s="126"/>
      <c r="T32" s="126"/>
      <c r="U32" s="126"/>
      <c r="V32" s="126"/>
      <c r="W32" s="126"/>
      <c r="X32" s="126"/>
      <c r="Y32" s="126"/>
      <c r="Z32" s="126"/>
    </row>
    <row r="33" ht="9.75" customHeight="1" spans="1:26">
      <c r="A33" s="101" t="s">
        <v>518</v>
      </c>
      <c r="B33" s="102"/>
      <c r="C33" s="102"/>
      <c r="D33" s="102"/>
      <c r="E33" s="102"/>
      <c r="F33" s="103">
        <f t="shared" si="11"/>
        <v>0</v>
      </c>
      <c r="G33" s="104">
        <v>150</v>
      </c>
      <c r="H33" s="101" t="s">
        <v>2568</v>
      </c>
      <c r="I33" s="105">
        <f t="shared" ref="I33:I39" si="12">F33/G33</f>
        <v>0</v>
      </c>
      <c r="J33" s="121"/>
      <c r="K33" s="121"/>
      <c r="L33" s="155"/>
      <c r="M33" s="121"/>
      <c r="N33" s="121"/>
      <c r="O33" s="121"/>
      <c r="P33" s="121"/>
      <c r="Q33" s="121"/>
      <c r="R33" s="121"/>
      <c r="S33" s="121"/>
      <c r="T33" s="121"/>
      <c r="U33" s="126"/>
      <c r="V33" s="126"/>
      <c r="W33" s="126"/>
      <c r="X33" s="126"/>
      <c r="Y33" s="126"/>
      <c r="Z33" s="126"/>
    </row>
    <row r="34" ht="9.75" customHeight="1" spans="1:26">
      <c r="A34" s="101" t="s">
        <v>519</v>
      </c>
      <c r="B34" s="102"/>
      <c r="C34" s="102"/>
      <c r="D34" s="102"/>
      <c r="E34" s="102"/>
      <c r="F34" s="103">
        <f t="shared" si="11"/>
        <v>0</v>
      </c>
      <c r="G34" s="104">
        <v>100</v>
      </c>
      <c r="H34" s="101" t="s">
        <v>2568</v>
      </c>
      <c r="I34" s="105">
        <f t="shared" si="12"/>
        <v>0</v>
      </c>
      <c r="J34" s="121"/>
      <c r="K34" s="121"/>
      <c r="L34" s="121"/>
      <c r="M34" s="121"/>
      <c r="N34" s="121"/>
      <c r="O34" s="121"/>
      <c r="P34" s="121"/>
      <c r="Q34" s="121"/>
      <c r="R34" s="121"/>
      <c r="S34" s="121"/>
      <c r="T34" s="121"/>
      <c r="U34" s="126"/>
      <c r="V34" s="126"/>
      <c r="W34" s="126"/>
      <c r="X34" s="126"/>
      <c r="Y34" s="126"/>
      <c r="Z34" s="126"/>
    </row>
    <row r="35" ht="9.75" customHeight="1" spans="1:26">
      <c r="A35" s="101" t="s">
        <v>520</v>
      </c>
      <c r="B35" s="102"/>
      <c r="C35" s="102"/>
      <c r="D35" s="102"/>
      <c r="E35" s="102"/>
      <c r="F35" s="103">
        <f t="shared" si="11"/>
        <v>0</v>
      </c>
      <c r="G35" s="104">
        <v>70</v>
      </c>
      <c r="H35" s="101" t="s">
        <v>2568</v>
      </c>
      <c r="I35" s="105">
        <f t="shared" si="12"/>
        <v>0</v>
      </c>
      <c r="J35" s="121"/>
      <c r="K35" s="121"/>
      <c r="L35" s="121"/>
      <c r="M35" s="121"/>
      <c r="N35" s="121"/>
      <c r="O35" s="121"/>
      <c r="P35" s="121"/>
      <c r="Q35" s="121"/>
      <c r="R35" s="121"/>
      <c r="S35" s="121"/>
      <c r="T35" s="121"/>
      <c r="U35" s="126"/>
      <c r="V35" s="126"/>
      <c r="W35" s="126"/>
      <c r="X35" s="126"/>
      <c r="Y35" s="126"/>
      <c r="Z35" s="126"/>
    </row>
    <row r="36" ht="9.75" customHeight="1" spans="1:26">
      <c r="A36" s="101" t="s">
        <v>254</v>
      </c>
      <c r="B36" s="102"/>
      <c r="C36" s="102"/>
      <c r="D36" s="102"/>
      <c r="E36" s="102"/>
      <c r="F36" s="103">
        <f t="shared" si="11"/>
        <v>0</v>
      </c>
      <c r="G36" s="104">
        <v>50</v>
      </c>
      <c r="H36" s="101" t="s">
        <v>2568</v>
      </c>
      <c r="I36" s="105">
        <f t="shared" si="12"/>
        <v>0</v>
      </c>
      <c r="J36" s="121"/>
      <c r="K36" s="121"/>
      <c r="L36" s="121"/>
      <c r="M36" s="121"/>
      <c r="N36" s="121"/>
      <c r="O36" s="121"/>
      <c r="P36" s="121"/>
      <c r="Q36" s="121"/>
      <c r="R36" s="121"/>
      <c r="S36" s="121"/>
      <c r="T36" s="121"/>
      <c r="U36" s="126"/>
      <c r="V36" s="126"/>
      <c r="W36" s="126"/>
      <c r="X36" s="126"/>
      <c r="Y36" s="126"/>
      <c r="Z36" s="126"/>
    </row>
    <row r="37" ht="9.75" customHeight="1" spans="1:26">
      <c r="A37" s="101" t="s">
        <v>2596</v>
      </c>
      <c r="B37" s="102"/>
      <c r="C37" s="102"/>
      <c r="D37" s="102"/>
      <c r="E37" s="102"/>
      <c r="F37" s="103">
        <f t="shared" si="11"/>
        <v>0</v>
      </c>
      <c r="G37" s="104">
        <v>200</v>
      </c>
      <c r="H37" s="101" t="s">
        <v>2568</v>
      </c>
      <c r="I37" s="105">
        <f t="shared" si="12"/>
        <v>0</v>
      </c>
      <c r="J37" s="121"/>
      <c r="K37" s="121"/>
      <c r="L37" s="121"/>
      <c r="M37" s="121"/>
      <c r="N37" s="121"/>
      <c r="O37" s="121"/>
      <c r="P37" s="121"/>
      <c r="Q37" s="121"/>
      <c r="R37" s="121"/>
      <c r="S37" s="121"/>
      <c r="T37" s="121"/>
      <c r="U37" s="126"/>
      <c r="V37" s="126"/>
      <c r="W37" s="126"/>
      <c r="X37" s="126"/>
      <c r="Y37" s="126"/>
      <c r="Z37" s="126"/>
    </row>
    <row r="38" ht="9.75" customHeight="1" spans="1:26">
      <c r="A38" s="101" t="s">
        <v>2597</v>
      </c>
      <c r="B38" s="102"/>
      <c r="C38" s="102"/>
      <c r="D38" s="102"/>
      <c r="E38" s="102"/>
      <c r="F38" s="103"/>
      <c r="G38" s="104">
        <v>300</v>
      </c>
      <c r="H38" s="101" t="s">
        <v>2568</v>
      </c>
      <c r="I38" s="105">
        <f t="shared" si="12"/>
        <v>0</v>
      </c>
      <c r="J38" s="121"/>
      <c r="K38" s="121"/>
      <c r="L38" s="121"/>
      <c r="M38" s="121"/>
      <c r="N38" s="121"/>
      <c r="O38" s="121"/>
      <c r="P38" s="121"/>
      <c r="Q38" s="121"/>
      <c r="R38" s="121"/>
      <c r="S38" s="121"/>
      <c r="T38" s="121"/>
      <c r="U38" s="126"/>
      <c r="V38" s="126"/>
      <c r="W38" s="126"/>
      <c r="X38" s="126"/>
      <c r="Y38" s="126"/>
      <c r="Z38" s="126"/>
    </row>
    <row r="39" ht="9.75" customHeight="1" spans="1:26">
      <c r="A39" s="101" t="s">
        <v>2598</v>
      </c>
      <c r="B39" s="102"/>
      <c r="C39" s="102"/>
      <c r="D39" s="102"/>
      <c r="E39" s="102"/>
      <c r="F39" s="103"/>
      <c r="G39" s="104">
        <v>150</v>
      </c>
      <c r="H39" s="101" t="s">
        <v>2568</v>
      </c>
      <c r="I39" s="105">
        <f t="shared" si="12"/>
        <v>0</v>
      </c>
      <c r="J39" s="121"/>
      <c r="K39" s="121"/>
      <c r="L39" s="121"/>
      <c r="M39" s="121"/>
      <c r="N39" s="121"/>
      <c r="O39" s="121"/>
      <c r="P39" s="121"/>
      <c r="Q39" s="121"/>
      <c r="R39" s="121"/>
      <c r="S39" s="121"/>
      <c r="T39" s="121"/>
      <c r="U39" s="126"/>
      <c r="V39" s="126"/>
      <c r="W39" s="126"/>
      <c r="X39" s="126"/>
      <c r="Y39" s="126"/>
      <c r="Z39" s="126"/>
    </row>
    <row r="40" ht="9.75" customHeight="1" spans="1:26">
      <c r="A40" s="101"/>
      <c r="B40" s="101"/>
      <c r="C40" s="101"/>
      <c r="D40" s="101"/>
      <c r="E40" s="101"/>
      <c r="F40" s="140"/>
      <c r="G40" s="101"/>
      <c r="H40" s="101"/>
      <c r="I40" s="101"/>
      <c r="J40" s="121"/>
      <c r="K40" s="121"/>
      <c r="L40" s="121"/>
      <c r="M40" s="121"/>
      <c r="N40" s="121"/>
      <c r="O40" s="121"/>
      <c r="P40" s="121"/>
      <c r="Q40" s="121"/>
      <c r="R40" s="121"/>
      <c r="S40" s="121"/>
      <c r="T40" s="121"/>
      <c r="U40" s="126"/>
      <c r="V40" s="126"/>
      <c r="W40" s="126"/>
      <c r="X40" s="126"/>
      <c r="Y40" s="126"/>
      <c r="Z40" s="126"/>
    </row>
    <row r="41" ht="9.75" customHeight="1" spans="1:26">
      <c r="A41" s="141" t="s">
        <v>2599</v>
      </c>
      <c r="B41" s="96"/>
      <c r="C41" s="96"/>
      <c r="D41" s="96"/>
      <c r="E41" s="96"/>
      <c r="F41" s="96"/>
      <c r="G41" s="96"/>
      <c r="H41" s="117"/>
      <c r="I41" s="149">
        <f>SUM(I33:I40)</f>
        <v>0</v>
      </c>
      <c r="J41" s="121"/>
      <c r="K41" s="121"/>
      <c r="L41" s="121"/>
      <c r="M41" s="121"/>
      <c r="N41" s="121"/>
      <c r="O41" s="121"/>
      <c r="P41" s="121"/>
      <c r="Q41" s="121"/>
      <c r="R41" s="121"/>
      <c r="S41" s="121"/>
      <c r="T41" s="121"/>
      <c r="U41" s="126"/>
      <c r="V41" s="126"/>
      <c r="W41" s="126"/>
      <c r="X41" s="126"/>
      <c r="Y41" s="126"/>
      <c r="Z41" s="126"/>
    </row>
    <row r="42" ht="9.75" customHeight="1" spans="1:26">
      <c r="A42" s="113" t="s">
        <v>2600</v>
      </c>
      <c r="B42" s="142" t="s">
        <v>1718</v>
      </c>
      <c r="C42" s="142" t="s">
        <v>1721</v>
      </c>
      <c r="D42" s="142" t="s">
        <v>1720</v>
      </c>
      <c r="E42" s="142" t="s">
        <v>1719</v>
      </c>
      <c r="F42" s="142" t="s">
        <v>2559</v>
      </c>
      <c r="G42" s="142" t="s">
        <v>2560</v>
      </c>
      <c r="H42" s="142" t="s">
        <v>2561</v>
      </c>
      <c r="I42" s="142" t="s">
        <v>2563</v>
      </c>
      <c r="J42" s="122"/>
      <c r="N42" s="121"/>
      <c r="O42" s="121"/>
      <c r="P42" s="121"/>
      <c r="Q42" s="121"/>
      <c r="R42" s="121"/>
      <c r="S42" s="121"/>
      <c r="T42" s="121"/>
      <c r="U42" s="126"/>
      <c r="V42" s="126"/>
      <c r="W42" s="126"/>
      <c r="X42" s="126"/>
      <c r="Y42" s="126"/>
      <c r="Z42" s="126"/>
    </row>
    <row r="43" ht="9.75" customHeight="1" spans="1:26">
      <c r="A43" s="101" t="s">
        <v>2601</v>
      </c>
      <c r="B43" s="102"/>
      <c r="C43" s="102"/>
      <c r="D43" s="102"/>
      <c r="E43" s="102"/>
      <c r="F43" s="103">
        <f t="shared" ref="F43:F48" si="13">SUM(B43:E43)</f>
        <v>0</v>
      </c>
      <c r="G43" s="104">
        <v>12.5</v>
      </c>
      <c r="H43" s="101" t="s">
        <v>2568</v>
      </c>
      <c r="I43" s="105">
        <f t="shared" ref="I43:I48" si="14">F43/G43</f>
        <v>0</v>
      </c>
      <c r="J43" s="121"/>
      <c r="K43" s="121"/>
      <c r="L43" s="121"/>
      <c r="M43" s="121"/>
      <c r="N43" s="121"/>
      <c r="O43" s="121"/>
      <c r="P43" s="121"/>
      <c r="Q43" s="121"/>
      <c r="R43" s="121"/>
      <c r="S43" s="121"/>
      <c r="T43" s="121"/>
      <c r="U43" s="126"/>
      <c r="V43" s="126"/>
      <c r="W43" s="126"/>
      <c r="X43" s="126"/>
      <c r="Y43" s="126"/>
      <c r="Z43" s="126"/>
    </row>
    <row r="44" ht="9.75" customHeight="1" spans="1:26">
      <c r="A44" s="101" t="s">
        <v>2602</v>
      </c>
      <c r="B44" s="102"/>
      <c r="C44" s="102"/>
      <c r="D44" s="102"/>
      <c r="E44" s="102"/>
      <c r="F44" s="103">
        <f t="shared" si="13"/>
        <v>0</v>
      </c>
      <c r="G44" s="104">
        <v>10</v>
      </c>
      <c r="H44" s="101" t="s">
        <v>2568</v>
      </c>
      <c r="I44" s="105">
        <f t="shared" si="14"/>
        <v>0</v>
      </c>
      <c r="J44" s="121"/>
      <c r="K44" s="121"/>
      <c r="L44" s="121"/>
      <c r="M44" s="121"/>
      <c r="N44" s="121"/>
      <c r="O44" s="121"/>
      <c r="P44" s="121"/>
      <c r="Q44" s="121"/>
      <c r="R44" s="121"/>
      <c r="S44" s="121"/>
      <c r="T44" s="121"/>
      <c r="U44" s="126"/>
      <c r="V44" s="126"/>
      <c r="W44" s="126"/>
      <c r="X44" s="126"/>
      <c r="Y44" s="126"/>
      <c r="Z44" s="126"/>
    </row>
    <row r="45" ht="9.75" customHeight="1" spans="1:26">
      <c r="A45" s="101" t="s">
        <v>2603</v>
      </c>
      <c r="B45" s="102"/>
      <c r="C45" s="102"/>
      <c r="D45" s="102"/>
      <c r="E45" s="102"/>
      <c r="F45" s="103">
        <f t="shared" si="13"/>
        <v>0</v>
      </c>
      <c r="G45" s="104">
        <v>7.5</v>
      </c>
      <c r="H45" s="101" t="s">
        <v>2568</v>
      </c>
      <c r="I45" s="105">
        <f t="shared" si="14"/>
        <v>0</v>
      </c>
      <c r="J45" s="121"/>
      <c r="K45" s="121"/>
      <c r="L45" s="121"/>
      <c r="M45" s="121"/>
      <c r="N45" s="121"/>
      <c r="O45" s="121"/>
      <c r="P45" s="121"/>
      <c r="Q45" s="121"/>
      <c r="R45" s="121"/>
      <c r="S45" s="121"/>
      <c r="T45" s="121"/>
      <c r="U45" s="126"/>
      <c r="V45" s="126"/>
      <c r="W45" s="126"/>
      <c r="X45" s="126"/>
      <c r="Y45" s="126"/>
      <c r="Z45" s="126"/>
    </row>
    <row r="46" ht="9.75" customHeight="1" spans="1:26">
      <c r="A46" s="101" t="s">
        <v>2604</v>
      </c>
      <c r="B46" s="102"/>
      <c r="C46" s="102"/>
      <c r="D46" s="102"/>
      <c r="E46" s="102"/>
      <c r="F46" s="103">
        <f t="shared" si="13"/>
        <v>0</v>
      </c>
      <c r="G46" s="104">
        <v>6</v>
      </c>
      <c r="H46" s="101" t="s">
        <v>2568</v>
      </c>
      <c r="I46" s="105">
        <f t="shared" si="14"/>
        <v>0</v>
      </c>
      <c r="J46" s="121"/>
      <c r="K46" s="121"/>
      <c r="L46" s="121"/>
      <c r="M46" s="121"/>
      <c r="N46" s="121"/>
      <c r="O46" s="121"/>
      <c r="P46" s="121"/>
      <c r="Q46" s="121"/>
      <c r="R46" s="121"/>
      <c r="S46" s="121"/>
      <c r="T46" s="121"/>
      <c r="U46" s="126"/>
      <c r="V46" s="126"/>
      <c r="W46" s="126"/>
      <c r="X46" s="126"/>
      <c r="Y46" s="126"/>
      <c r="Z46" s="126"/>
    </row>
    <row r="47" ht="9.75" customHeight="1" spans="1:26">
      <c r="A47" s="101" t="s">
        <v>2605</v>
      </c>
      <c r="B47" s="102"/>
      <c r="C47" s="102"/>
      <c r="D47" s="102"/>
      <c r="E47" s="102"/>
      <c r="F47" s="103">
        <f t="shared" si="13"/>
        <v>0</v>
      </c>
      <c r="G47" s="104">
        <v>4.5</v>
      </c>
      <c r="H47" s="101" t="s">
        <v>2568</v>
      </c>
      <c r="I47" s="105">
        <f t="shared" si="14"/>
        <v>0</v>
      </c>
      <c r="J47" s="121"/>
      <c r="K47" s="121"/>
      <c r="L47" s="121"/>
      <c r="M47" s="121"/>
      <c r="N47" s="121"/>
      <c r="O47" s="121"/>
      <c r="P47" s="121"/>
      <c r="Q47" s="121"/>
      <c r="R47" s="121"/>
      <c r="S47" s="121"/>
      <c r="T47" s="121"/>
      <c r="U47" s="126"/>
      <c r="V47" s="126"/>
      <c r="W47" s="126"/>
      <c r="X47" s="126"/>
      <c r="Y47" s="126"/>
      <c r="Z47" s="126"/>
    </row>
    <row r="48" ht="9.75" customHeight="1" spans="1:26">
      <c r="A48" s="101" t="s">
        <v>2606</v>
      </c>
      <c r="B48" s="102"/>
      <c r="C48" s="102"/>
      <c r="D48" s="102"/>
      <c r="E48" s="102"/>
      <c r="F48" s="103">
        <f t="shared" si="13"/>
        <v>0</v>
      </c>
      <c r="G48" s="104">
        <v>3</v>
      </c>
      <c r="H48" s="101" t="s">
        <v>2568</v>
      </c>
      <c r="I48" s="105">
        <f t="shared" si="14"/>
        <v>0</v>
      </c>
      <c r="J48" s="121"/>
      <c r="K48" s="121"/>
      <c r="L48" s="121"/>
      <c r="M48" s="121"/>
      <c r="N48" s="121"/>
      <c r="O48" s="121"/>
      <c r="P48" s="121"/>
      <c r="Q48" s="121"/>
      <c r="R48" s="121"/>
      <c r="S48" s="121"/>
      <c r="T48" s="121"/>
      <c r="U48" s="126"/>
      <c r="V48" s="126"/>
      <c r="W48" s="126"/>
      <c r="X48" s="126"/>
      <c r="Y48" s="126"/>
      <c r="Z48" s="126"/>
    </row>
    <row r="49" ht="9.75" customHeight="1" spans="1:26">
      <c r="A49" s="143" t="s">
        <v>2607</v>
      </c>
      <c r="B49" s="96"/>
      <c r="C49" s="96"/>
      <c r="D49" s="96"/>
      <c r="E49" s="96"/>
      <c r="F49" s="96"/>
      <c r="G49" s="96"/>
      <c r="H49" s="117"/>
      <c r="I49" s="149">
        <f>SUM(I43:I48)</f>
        <v>0</v>
      </c>
      <c r="J49" s="121"/>
      <c r="K49" s="121"/>
      <c r="L49" s="121"/>
      <c r="M49" s="121"/>
      <c r="N49" s="121"/>
      <c r="O49" s="121"/>
      <c r="P49" s="121"/>
      <c r="Q49" s="121"/>
      <c r="R49" s="121"/>
      <c r="S49" s="121"/>
      <c r="T49" s="121"/>
      <c r="U49" s="126"/>
      <c r="V49" s="126"/>
      <c r="W49" s="126"/>
      <c r="X49" s="126"/>
      <c r="Y49" s="126"/>
      <c r="Z49" s="126"/>
    </row>
    <row r="50" ht="9.75" customHeight="1" spans="1:26">
      <c r="A50" s="114" t="s">
        <v>2608</v>
      </c>
      <c r="B50" s="144" t="s">
        <v>1718</v>
      </c>
      <c r="C50" s="144" t="s">
        <v>1721</v>
      </c>
      <c r="D50" s="144" t="s">
        <v>1720</v>
      </c>
      <c r="E50" s="144" t="s">
        <v>1719</v>
      </c>
      <c r="F50" s="144" t="s">
        <v>2559</v>
      </c>
      <c r="G50" s="144" t="s">
        <v>2560</v>
      </c>
      <c r="H50" s="144" t="s">
        <v>2561</v>
      </c>
      <c r="I50" s="144" t="s">
        <v>2563</v>
      </c>
      <c r="J50" s="121"/>
      <c r="K50" s="121"/>
      <c r="L50" s="121"/>
      <c r="M50" s="121"/>
      <c r="N50" s="121"/>
      <c r="O50" s="121"/>
      <c r="P50" s="121"/>
      <c r="Q50" s="121"/>
      <c r="R50" s="121"/>
      <c r="S50" s="121"/>
      <c r="T50" s="121"/>
      <c r="U50" s="126"/>
      <c r="V50" s="126"/>
      <c r="W50" s="126"/>
      <c r="X50" s="126"/>
      <c r="Y50" s="126"/>
      <c r="Z50" s="126"/>
    </row>
    <row r="51" ht="9.75" customHeight="1" spans="1:26">
      <c r="A51" s="101" t="s">
        <v>2609</v>
      </c>
      <c r="B51" s="102"/>
      <c r="C51" s="102"/>
      <c r="D51" s="102"/>
      <c r="E51" s="102"/>
      <c r="F51" s="103">
        <f t="shared" ref="F51:F55" si="15">SUM(B51:E51)</f>
        <v>0</v>
      </c>
      <c r="G51" s="104">
        <v>15</v>
      </c>
      <c r="H51" s="101" t="s">
        <v>2575</v>
      </c>
      <c r="I51" s="105">
        <f>F51*0.25</f>
        <v>0</v>
      </c>
      <c r="J51" s="121"/>
      <c r="K51" s="121"/>
      <c r="L51" s="121"/>
      <c r="M51" s="121"/>
      <c r="N51" s="121"/>
      <c r="O51" s="121"/>
      <c r="P51" s="121"/>
      <c r="Q51" s="121"/>
      <c r="R51" s="121"/>
      <c r="S51" s="121"/>
      <c r="T51" s="121"/>
      <c r="U51" s="126"/>
      <c r="V51" s="126"/>
      <c r="W51" s="126"/>
      <c r="X51" s="126"/>
      <c r="Y51" s="126"/>
      <c r="Z51" s="126"/>
    </row>
    <row r="52" ht="9.75" customHeight="1" spans="1:26">
      <c r="A52" s="101" t="s">
        <v>2610</v>
      </c>
      <c r="B52" s="102"/>
      <c r="C52" s="102"/>
      <c r="D52" s="102"/>
      <c r="E52" s="102"/>
      <c r="F52" s="103">
        <f t="shared" si="15"/>
        <v>0</v>
      </c>
      <c r="G52" s="104">
        <v>30</v>
      </c>
      <c r="H52" s="101" t="s">
        <v>2575</v>
      </c>
      <c r="I52" s="105">
        <f>F52*0.5</f>
        <v>0</v>
      </c>
      <c r="J52" s="121"/>
      <c r="K52" s="121"/>
      <c r="L52" s="121"/>
      <c r="M52" s="121"/>
      <c r="N52" s="121"/>
      <c r="O52" s="121"/>
      <c r="P52" s="121"/>
      <c r="Q52" s="121"/>
      <c r="R52" s="121"/>
      <c r="S52" s="121"/>
      <c r="T52" s="121"/>
      <c r="U52" s="126"/>
      <c r="V52" s="126"/>
      <c r="W52" s="126"/>
      <c r="X52" s="126"/>
      <c r="Y52" s="126"/>
      <c r="Z52" s="126"/>
    </row>
    <row r="53" ht="9.75" customHeight="1" spans="1:26">
      <c r="A53" s="101" t="s">
        <v>2611</v>
      </c>
      <c r="B53" s="102"/>
      <c r="C53" s="102"/>
      <c r="D53" s="102"/>
      <c r="E53" s="102"/>
      <c r="F53" s="103">
        <f t="shared" si="15"/>
        <v>0</v>
      </c>
      <c r="G53" s="104">
        <v>45</v>
      </c>
      <c r="H53" s="101" t="s">
        <v>2575</v>
      </c>
      <c r="I53" s="105">
        <f>F53*0.75</f>
        <v>0</v>
      </c>
      <c r="J53" s="121"/>
      <c r="K53" s="121"/>
      <c r="L53" s="121"/>
      <c r="M53" s="121"/>
      <c r="N53" s="121"/>
      <c r="O53" s="121"/>
      <c r="P53" s="121"/>
      <c r="Q53" s="121"/>
      <c r="R53" s="121"/>
      <c r="S53" s="121"/>
      <c r="T53" s="121"/>
      <c r="U53" s="126"/>
      <c r="V53" s="126"/>
      <c r="W53" s="126"/>
      <c r="X53" s="126"/>
      <c r="Y53" s="126"/>
      <c r="Z53" s="126"/>
    </row>
    <row r="54" ht="9.75" customHeight="1" spans="1:26">
      <c r="A54" s="101" t="s">
        <v>2612</v>
      </c>
      <c r="B54" s="102"/>
      <c r="C54" s="102"/>
      <c r="D54" s="102"/>
      <c r="E54" s="102"/>
      <c r="F54" s="103">
        <f t="shared" si="15"/>
        <v>0</v>
      </c>
      <c r="G54" s="104">
        <v>60</v>
      </c>
      <c r="H54" s="101" t="s">
        <v>2575</v>
      </c>
      <c r="I54" s="105">
        <f>F54*1</f>
        <v>0</v>
      </c>
      <c r="J54" s="121"/>
      <c r="K54" s="121"/>
      <c r="L54" s="121"/>
      <c r="M54" s="121"/>
      <c r="N54" s="121"/>
      <c r="O54" s="121"/>
      <c r="P54" s="121"/>
      <c r="Q54" s="121"/>
      <c r="R54" s="121"/>
      <c r="S54" s="121"/>
      <c r="T54" s="121"/>
      <c r="U54" s="126"/>
      <c r="V54" s="126"/>
      <c r="W54" s="126"/>
      <c r="X54" s="126"/>
      <c r="Y54" s="126"/>
      <c r="Z54" s="126"/>
    </row>
    <row r="55" ht="9.75" customHeight="1" spans="1:26">
      <c r="A55" s="101" t="s">
        <v>2613</v>
      </c>
      <c r="B55" s="102"/>
      <c r="C55" s="102"/>
      <c r="D55" s="102"/>
      <c r="E55" s="102"/>
      <c r="F55" s="103">
        <f t="shared" si="15"/>
        <v>0</v>
      </c>
      <c r="G55" s="104">
        <v>75</v>
      </c>
      <c r="H55" s="101" t="s">
        <v>2575</v>
      </c>
      <c r="I55" s="105">
        <f>F55*1.25</f>
        <v>0</v>
      </c>
      <c r="J55" s="121"/>
      <c r="K55" s="121"/>
      <c r="L55" s="121"/>
      <c r="M55" s="121"/>
      <c r="N55" s="121"/>
      <c r="O55" s="121"/>
      <c r="P55" s="121"/>
      <c r="Q55" s="121"/>
      <c r="R55" s="121"/>
      <c r="S55" s="121"/>
      <c r="T55" s="121"/>
      <c r="U55" s="126"/>
      <c r="V55" s="126"/>
      <c r="W55" s="126"/>
      <c r="X55" s="126"/>
      <c r="Y55" s="126"/>
      <c r="Z55" s="126"/>
    </row>
    <row r="56" ht="9.75" customHeight="1" spans="1:26">
      <c r="A56" s="145" t="s">
        <v>2614</v>
      </c>
      <c r="B56" s="96"/>
      <c r="C56" s="96"/>
      <c r="D56" s="96"/>
      <c r="E56" s="96"/>
      <c r="F56" s="96"/>
      <c r="G56" s="96"/>
      <c r="H56" s="117"/>
      <c r="I56" s="149">
        <f>SUM(I51:I55)</f>
        <v>0</v>
      </c>
      <c r="J56" s="121"/>
      <c r="K56" s="121"/>
      <c r="L56" s="121"/>
      <c r="M56" s="121"/>
      <c r="N56" s="121"/>
      <c r="O56" s="121"/>
      <c r="P56" s="121"/>
      <c r="Q56" s="121"/>
      <c r="R56" s="121"/>
      <c r="S56" s="121"/>
      <c r="T56" s="121"/>
      <c r="U56" s="126"/>
      <c r="V56" s="126"/>
      <c r="W56" s="126"/>
      <c r="X56" s="126"/>
      <c r="Y56" s="126"/>
      <c r="Z56" s="126"/>
    </row>
    <row r="57" ht="9.75" customHeight="1" spans="1:26">
      <c r="A57" s="146" t="s">
        <v>2615</v>
      </c>
      <c r="B57" s="147" t="s">
        <v>1718</v>
      </c>
      <c r="C57" s="147" t="s">
        <v>1721</v>
      </c>
      <c r="D57" s="147" t="s">
        <v>1720</v>
      </c>
      <c r="E57" s="147" t="s">
        <v>2558</v>
      </c>
      <c r="F57" s="147" t="s">
        <v>2559</v>
      </c>
      <c r="G57" s="147" t="s">
        <v>2560</v>
      </c>
      <c r="H57" s="147" t="s">
        <v>2561</v>
      </c>
      <c r="I57" s="147" t="s">
        <v>1064</v>
      </c>
      <c r="J57" s="121"/>
      <c r="K57" s="121"/>
      <c r="L57" s="121"/>
      <c r="M57" s="121"/>
      <c r="N57" s="121"/>
      <c r="O57" s="121"/>
      <c r="P57" s="121"/>
      <c r="Q57" s="121"/>
      <c r="R57" s="121"/>
      <c r="S57" s="121"/>
      <c r="T57" s="121"/>
      <c r="U57" s="126"/>
      <c r="V57" s="126"/>
      <c r="W57" s="126"/>
      <c r="X57" s="126"/>
      <c r="Y57" s="126"/>
      <c r="Z57" s="126"/>
    </row>
    <row r="58" ht="9.75" customHeight="1" spans="1:26">
      <c r="A58" s="101" t="s">
        <v>2616</v>
      </c>
      <c r="B58" s="101"/>
      <c r="C58" s="101"/>
      <c r="D58" s="101"/>
      <c r="E58" s="101"/>
      <c r="F58" s="103">
        <f t="shared" ref="F58:F67" si="16">SUM(B58:E58)</f>
        <v>0</v>
      </c>
      <c r="G58" s="104">
        <v>20</v>
      </c>
      <c r="H58" s="101" t="s">
        <v>2575</v>
      </c>
      <c r="I58" s="105">
        <f>F58*0.33</f>
        <v>0</v>
      </c>
      <c r="J58" s="121"/>
      <c r="K58" s="121"/>
      <c r="L58" s="121"/>
      <c r="M58" s="121"/>
      <c r="N58" s="121"/>
      <c r="O58" s="121"/>
      <c r="P58" s="121"/>
      <c r="Q58" s="121"/>
      <c r="R58" s="121"/>
      <c r="S58" s="121"/>
      <c r="T58" s="121"/>
      <c r="U58" s="126"/>
      <c r="V58" s="126"/>
      <c r="W58" s="126"/>
      <c r="X58" s="126"/>
      <c r="Y58" s="126"/>
      <c r="Z58" s="126"/>
    </row>
    <row r="59" ht="9.75" customHeight="1" spans="1:26">
      <c r="A59" s="101" t="s">
        <v>2617</v>
      </c>
      <c r="B59" s="101"/>
      <c r="C59" s="101"/>
      <c r="D59" s="101"/>
      <c r="E59" s="101"/>
      <c r="F59" s="103">
        <f t="shared" si="16"/>
        <v>0</v>
      </c>
      <c r="G59" s="104">
        <v>30</v>
      </c>
      <c r="H59" s="101" t="s">
        <v>2575</v>
      </c>
      <c r="I59" s="105">
        <f>F59*0.5</f>
        <v>0</v>
      </c>
      <c r="J59" s="121"/>
      <c r="K59" s="121"/>
      <c r="L59" s="121"/>
      <c r="M59" s="121"/>
      <c r="N59" s="121"/>
      <c r="O59" s="121"/>
      <c r="P59" s="121"/>
      <c r="Q59" s="121"/>
      <c r="R59" s="121"/>
      <c r="S59" s="121"/>
      <c r="T59" s="121"/>
      <c r="U59" s="126"/>
      <c r="V59" s="126"/>
      <c r="W59" s="126"/>
      <c r="X59" s="126"/>
      <c r="Y59" s="126"/>
      <c r="Z59" s="126"/>
    </row>
    <row r="60" ht="9.75" customHeight="1" spans="1:26">
      <c r="A60" s="101" t="s">
        <v>2618</v>
      </c>
      <c r="B60" s="101"/>
      <c r="C60" s="101"/>
      <c r="D60" s="101"/>
      <c r="E60" s="101"/>
      <c r="F60" s="103">
        <f t="shared" si="16"/>
        <v>0</v>
      </c>
      <c r="G60" s="104">
        <v>45</v>
      </c>
      <c r="H60" s="101" t="s">
        <v>2575</v>
      </c>
      <c r="I60" s="105">
        <f>F60*0.75</f>
        <v>0</v>
      </c>
      <c r="J60" s="121"/>
      <c r="K60" s="121"/>
      <c r="L60" s="121"/>
      <c r="M60" s="121"/>
      <c r="N60" s="121"/>
      <c r="O60" s="121"/>
      <c r="P60" s="121"/>
      <c r="Q60" s="121"/>
      <c r="R60" s="121"/>
      <c r="S60" s="121"/>
      <c r="T60" s="121"/>
      <c r="U60" s="126"/>
      <c r="V60" s="126"/>
      <c r="W60" s="126"/>
      <c r="X60" s="126"/>
      <c r="Y60" s="126"/>
      <c r="Z60" s="126"/>
    </row>
    <row r="61" ht="9.75" customHeight="1" spans="1:26">
      <c r="A61" s="101" t="s">
        <v>2619</v>
      </c>
      <c r="B61" s="101"/>
      <c r="C61" s="101"/>
      <c r="D61" s="101"/>
      <c r="E61" s="101"/>
      <c r="F61" s="103">
        <f t="shared" si="16"/>
        <v>0</v>
      </c>
      <c r="G61" s="104">
        <v>60</v>
      </c>
      <c r="H61" s="101" t="s">
        <v>2575</v>
      </c>
      <c r="I61" s="105">
        <f>F61*1</f>
        <v>0</v>
      </c>
      <c r="J61" s="121"/>
      <c r="K61" s="121"/>
      <c r="L61" s="121"/>
      <c r="M61" s="121"/>
      <c r="N61" s="121"/>
      <c r="O61" s="121"/>
      <c r="P61" s="121"/>
      <c r="Q61" s="121"/>
      <c r="R61" s="121"/>
      <c r="S61" s="121"/>
      <c r="T61" s="121"/>
      <c r="U61" s="126"/>
      <c r="V61" s="126"/>
      <c r="W61" s="126"/>
      <c r="X61" s="126"/>
      <c r="Y61" s="126"/>
      <c r="Z61" s="126"/>
    </row>
    <row r="62" ht="9.75" customHeight="1" spans="1:26">
      <c r="A62" s="115" t="s">
        <v>2620</v>
      </c>
      <c r="B62" s="101"/>
      <c r="C62" s="101"/>
      <c r="D62" s="101"/>
      <c r="E62" s="101"/>
      <c r="F62" s="103">
        <f t="shared" si="16"/>
        <v>0</v>
      </c>
      <c r="G62" s="104">
        <v>90</v>
      </c>
      <c r="H62" s="101" t="s">
        <v>2575</v>
      </c>
      <c r="I62" s="105">
        <f>F62*1.5</f>
        <v>0</v>
      </c>
      <c r="J62" s="121"/>
      <c r="K62" s="121"/>
      <c r="L62" s="121"/>
      <c r="M62" s="121"/>
      <c r="N62" s="121"/>
      <c r="O62" s="121"/>
      <c r="P62" s="121"/>
      <c r="Q62" s="121"/>
      <c r="R62" s="121"/>
      <c r="S62" s="121"/>
      <c r="T62" s="121"/>
      <c r="U62" s="126"/>
      <c r="V62" s="126"/>
      <c r="W62" s="126"/>
      <c r="X62" s="126"/>
      <c r="Y62" s="126"/>
      <c r="Z62" s="126"/>
    </row>
    <row r="63" ht="9.75" customHeight="1" spans="1:26">
      <c r="A63" s="101" t="s">
        <v>2621</v>
      </c>
      <c r="B63" s="101"/>
      <c r="C63" s="101"/>
      <c r="D63" s="101"/>
      <c r="E63" s="101"/>
      <c r="F63" s="103">
        <f t="shared" si="16"/>
        <v>0</v>
      </c>
      <c r="G63" s="104">
        <v>6</v>
      </c>
      <c r="H63" s="101" t="s">
        <v>2581</v>
      </c>
      <c r="I63" s="105">
        <f>F63*6</f>
        <v>0</v>
      </c>
      <c r="J63" s="121"/>
      <c r="K63" s="121"/>
      <c r="L63" s="121"/>
      <c r="M63" s="121"/>
      <c r="N63" s="121"/>
      <c r="O63" s="121"/>
      <c r="P63" s="121"/>
      <c r="Q63" s="121"/>
      <c r="R63" s="121"/>
      <c r="S63" s="121"/>
      <c r="T63" s="121"/>
      <c r="U63" s="126"/>
      <c r="V63" s="126"/>
      <c r="W63" s="126"/>
      <c r="X63" s="126"/>
      <c r="Y63" s="126"/>
      <c r="Z63" s="126"/>
    </row>
    <row r="64" ht="9.75" customHeight="1" spans="1:26">
      <c r="A64" s="101" t="s">
        <v>2622</v>
      </c>
      <c r="B64" s="101"/>
      <c r="C64" s="101"/>
      <c r="D64" s="101"/>
      <c r="E64" s="101"/>
      <c r="F64" s="103">
        <f t="shared" si="16"/>
        <v>0</v>
      </c>
      <c r="G64" s="104">
        <v>20</v>
      </c>
      <c r="H64" s="101" t="s">
        <v>2575</v>
      </c>
      <c r="I64" s="101">
        <f>F64*0.33</f>
        <v>0</v>
      </c>
      <c r="J64" s="121"/>
      <c r="K64" s="121"/>
      <c r="L64" s="121"/>
      <c r="M64" s="121"/>
      <c r="N64" s="121"/>
      <c r="O64" s="121"/>
      <c r="P64" s="121"/>
      <c r="Q64" s="121"/>
      <c r="R64" s="121"/>
      <c r="S64" s="121"/>
      <c r="T64" s="121"/>
      <c r="U64" s="126"/>
      <c r="V64" s="126"/>
      <c r="W64" s="126"/>
      <c r="X64" s="126"/>
      <c r="Y64" s="126"/>
      <c r="Z64" s="126"/>
    </row>
    <row r="65" ht="9.75" customHeight="1" spans="1:26">
      <c r="A65" s="101" t="s">
        <v>2623</v>
      </c>
      <c r="B65" s="101"/>
      <c r="C65" s="101"/>
      <c r="D65" s="101"/>
      <c r="E65" s="101"/>
      <c r="F65" s="103">
        <f t="shared" si="16"/>
        <v>0</v>
      </c>
      <c r="G65" s="104">
        <v>60</v>
      </c>
      <c r="H65" s="101" t="s">
        <v>2575</v>
      </c>
      <c r="I65" s="101">
        <f>F65*1</f>
        <v>0</v>
      </c>
      <c r="J65" s="121"/>
      <c r="K65" s="121"/>
      <c r="L65" s="121"/>
      <c r="M65" s="121"/>
      <c r="N65" s="121"/>
      <c r="O65" s="121"/>
      <c r="P65" s="121"/>
      <c r="Q65" s="121"/>
      <c r="R65" s="121"/>
      <c r="S65" s="121"/>
      <c r="T65" s="121"/>
      <c r="U65" s="126"/>
      <c r="V65" s="126"/>
      <c r="W65" s="126"/>
      <c r="X65" s="126"/>
      <c r="Y65" s="126"/>
      <c r="Z65" s="126"/>
    </row>
    <row r="66" ht="9.75" customHeight="1" spans="1:26">
      <c r="A66" s="101" t="s">
        <v>2624</v>
      </c>
      <c r="B66" s="101"/>
      <c r="C66" s="101"/>
      <c r="D66" s="101"/>
      <c r="E66" s="101"/>
      <c r="F66" s="103">
        <f t="shared" si="16"/>
        <v>0</v>
      </c>
      <c r="G66" s="104">
        <v>20</v>
      </c>
      <c r="H66" s="101" t="s">
        <v>2575</v>
      </c>
      <c r="I66" s="101">
        <f>F66*0.33</f>
        <v>0</v>
      </c>
      <c r="J66" s="121"/>
      <c r="K66" s="121"/>
      <c r="L66" s="121"/>
      <c r="M66" s="121"/>
      <c r="N66" s="121"/>
      <c r="O66" s="121"/>
      <c r="P66" s="121"/>
      <c r="Q66" s="121"/>
      <c r="R66" s="121"/>
      <c r="S66" s="121"/>
      <c r="T66" s="121"/>
      <c r="U66" s="126"/>
      <c r="V66" s="126"/>
      <c r="W66" s="126"/>
      <c r="X66" s="126"/>
      <c r="Y66" s="126"/>
      <c r="Z66" s="126"/>
    </row>
    <row r="67" ht="9.75" customHeight="1" spans="1:26">
      <c r="A67" s="101" t="s">
        <v>2625</v>
      </c>
      <c r="B67" s="101"/>
      <c r="C67" s="101"/>
      <c r="D67" s="101"/>
      <c r="E67" s="101"/>
      <c r="F67" s="103">
        <f t="shared" si="16"/>
        <v>0</v>
      </c>
      <c r="G67" s="104">
        <v>30</v>
      </c>
      <c r="H67" s="101" t="s">
        <v>2575</v>
      </c>
      <c r="I67" s="101">
        <f>F67*0.5</f>
        <v>0</v>
      </c>
      <c r="J67" s="121"/>
      <c r="K67" s="121"/>
      <c r="L67" s="121"/>
      <c r="M67" s="121"/>
      <c r="N67" s="121"/>
      <c r="O67" s="121"/>
      <c r="P67" s="121"/>
      <c r="Q67" s="121"/>
      <c r="R67" s="121"/>
      <c r="S67" s="121"/>
      <c r="T67" s="121"/>
      <c r="U67" s="126"/>
      <c r="V67" s="126"/>
      <c r="W67" s="126"/>
      <c r="X67" s="126"/>
      <c r="Y67" s="126"/>
      <c r="Z67" s="126"/>
    </row>
    <row r="68" ht="9.75" customHeight="1" spans="1:26">
      <c r="A68" s="159" t="s">
        <v>2626</v>
      </c>
      <c r="B68" s="160"/>
      <c r="C68" s="160"/>
      <c r="D68" s="160"/>
      <c r="E68" s="160"/>
      <c r="F68" s="160"/>
      <c r="G68" s="160"/>
      <c r="H68" s="161"/>
      <c r="I68" s="162">
        <f>SUM(I58:I67)</f>
        <v>0</v>
      </c>
      <c r="J68" s="121"/>
      <c r="K68" s="121"/>
      <c r="L68" s="121"/>
      <c r="M68" s="121"/>
      <c r="N68" s="121"/>
      <c r="O68" s="121"/>
      <c r="P68" s="121"/>
      <c r="Q68" s="121"/>
      <c r="R68" s="121"/>
      <c r="S68" s="121"/>
      <c r="T68" s="121"/>
      <c r="U68" s="126"/>
      <c r="V68" s="126"/>
      <c r="W68" s="126"/>
      <c r="X68" s="126"/>
      <c r="Y68" s="126"/>
      <c r="Z68" s="126"/>
    </row>
    <row r="69" ht="9.75" customHeight="1" spans="1:26">
      <c r="A69" s="126"/>
      <c r="B69" s="126"/>
      <c r="C69" s="126"/>
      <c r="D69" s="126"/>
      <c r="E69" s="126"/>
      <c r="F69" s="126"/>
      <c r="G69" s="126"/>
      <c r="H69" s="126"/>
      <c r="I69" s="163"/>
      <c r="J69" s="121"/>
      <c r="K69" s="121"/>
      <c r="L69" s="121"/>
      <c r="M69" s="121"/>
      <c r="N69" s="121"/>
      <c r="O69" s="121"/>
      <c r="P69" s="121"/>
      <c r="Q69" s="121"/>
      <c r="R69" s="121"/>
      <c r="S69" s="121"/>
      <c r="T69" s="121"/>
      <c r="U69" s="126"/>
      <c r="V69" s="126"/>
      <c r="W69" s="126"/>
      <c r="X69" s="126"/>
      <c r="Y69" s="126"/>
      <c r="Z69" s="126"/>
    </row>
    <row r="70" ht="9.75" customHeight="1" spans="1:26">
      <c r="A70" s="121" t="s">
        <v>2627</v>
      </c>
      <c r="B70" s="121"/>
      <c r="C70" s="121"/>
      <c r="D70" s="121"/>
      <c r="E70" s="121"/>
      <c r="F70" s="121"/>
      <c r="G70" s="121"/>
      <c r="H70" s="121"/>
      <c r="I70" s="121"/>
      <c r="J70" s="121"/>
      <c r="K70" s="121"/>
      <c r="L70" s="121"/>
      <c r="M70" s="121"/>
      <c r="N70" s="121"/>
      <c r="O70" s="121"/>
      <c r="P70" s="121"/>
      <c r="Q70" s="121"/>
      <c r="R70" s="121"/>
      <c r="S70" s="121"/>
      <c r="T70" s="121"/>
      <c r="U70" s="121"/>
      <c r="V70" s="121"/>
      <c r="W70" s="121"/>
      <c r="X70" s="121"/>
      <c r="Y70" s="121"/>
      <c r="Z70" s="121"/>
    </row>
    <row r="71" ht="9.75" customHeight="1" spans="1:26">
      <c r="A71" s="121" t="s">
        <v>2628</v>
      </c>
      <c r="B71" s="121"/>
      <c r="C71" s="121"/>
      <c r="D71" s="121"/>
      <c r="E71" s="121"/>
      <c r="F71" s="121"/>
      <c r="G71" s="121"/>
      <c r="H71" s="121"/>
      <c r="I71" s="121"/>
      <c r="J71" s="121"/>
      <c r="K71" s="121"/>
      <c r="L71" s="121"/>
      <c r="M71" s="121"/>
      <c r="N71" s="121"/>
      <c r="O71" s="121"/>
      <c r="P71" s="121"/>
      <c r="Q71" s="121"/>
      <c r="R71" s="121"/>
      <c r="S71" s="121"/>
      <c r="T71" s="121"/>
      <c r="U71" s="121"/>
      <c r="V71" s="121"/>
      <c r="W71" s="121"/>
      <c r="X71" s="121"/>
      <c r="Y71" s="121"/>
      <c r="Z71" s="121"/>
    </row>
    <row r="72" ht="9.75" customHeight="1" spans="1:26">
      <c r="A72" s="121" t="s">
        <v>2629</v>
      </c>
      <c r="B72" s="121"/>
      <c r="C72" s="121"/>
      <c r="D72" s="121"/>
      <c r="E72" s="121"/>
      <c r="F72" s="121"/>
      <c r="G72" s="121"/>
      <c r="H72" s="121"/>
      <c r="I72" s="121"/>
      <c r="J72" s="121"/>
      <c r="K72" s="121"/>
      <c r="L72" s="121"/>
      <c r="M72" s="121"/>
      <c r="N72" s="121"/>
      <c r="O72" s="121"/>
      <c r="P72" s="121"/>
      <c r="Q72" s="121"/>
      <c r="R72" s="121"/>
      <c r="S72" s="121"/>
      <c r="T72" s="121"/>
      <c r="U72" s="121"/>
      <c r="V72" s="121"/>
      <c r="W72" s="121"/>
      <c r="X72" s="121"/>
      <c r="Y72" s="121"/>
      <c r="Z72" s="121"/>
    </row>
    <row r="73" ht="9.75" customHeight="1" spans="1:26">
      <c r="A73" s="121" t="s">
        <v>2630</v>
      </c>
      <c r="B73" s="121"/>
      <c r="C73" s="121"/>
      <c r="D73" s="121"/>
      <c r="E73" s="121"/>
      <c r="F73" s="121"/>
      <c r="G73" s="121"/>
      <c r="H73" s="121"/>
      <c r="I73" s="121"/>
      <c r="J73" s="121"/>
      <c r="K73" s="121"/>
      <c r="L73" s="121"/>
      <c r="M73" s="121"/>
      <c r="N73" s="121"/>
      <c r="O73" s="121"/>
      <c r="P73" s="121"/>
      <c r="Q73" s="121"/>
      <c r="R73" s="121"/>
      <c r="S73" s="121"/>
      <c r="T73" s="121"/>
      <c r="U73" s="121"/>
      <c r="V73" s="121"/>
      <c r="W73" s="121"/>
      <c r="X73" s="121"/>
      <c r="Y73" s="121"/>
      <c r="Z73" s="121"/>
    </row>
    <row r="74" ht="9.75" customHeight="1" spans="1:26">
      <c r="A74" s="121" t="s">
        <v>2631</v>
      </c>
      <c r="B74" s="121"/>
      <c r="C74" s="121"/>
      <c r="D74" s="121"/>
      <c r="E74" s="121"/>
      <c r="F74" s="121"/>
      <c r="G74" s="121"/>
      <c r="H74" s="121"/>
      <c r="I74" s="121"/>
      <c r="J74" s="121"/>
      <c r="K74" s="121"/>
      <c r="L74" s="121"/>
      <c r="M74" s="121"/>
      <c r="N74" s="121"/>
      <c r="O74" s="121"/>
      <c r="P74" s="121"/>
      <c r="Q74" s="121"/>
      <c r="R74" s="121"/>
      <c r="S74" s="121"/>
      <c r="T74" s="121"/>
      <c r="U74" s="121"/>
      <c r="V74" s="121"/>
      <c r="W74" s="121"/>
      <c r="X74" s="121"/>
      <c r="Y74" s="121"/>
      <c r="Z74" s="121"/>
    </row>
    <row r="75" ht="9.75" customHeight="1" spans="1:26">
      <c r="A75" s="121" t="s">
        <v>2632</v>
      </c>
      <c r="B75" s="121"/>
      <c r="C75" s="121"/>
      <c r="D75" s="121"/>
      <c r="E75" s="121"/>
      <c r="F75" s="121"/>
      <c r="G75" s="121"/>
      <c r="H75" s="121"/>
      <c r="I75" s="121"/>
      <c r="J75" s="121"/>
      <c r="K75" s="121"/>
      <c r="L75" s="121"/>
      <c r="M75" s="121"/>
      <c r="N75" s="121"/>
      <c r="O75" s="121"/>
      <c r="P75" s="121"/>
      <c r="Q75" s="121"/>
      <c r="R75" s="121"/>
      <c r="S75" s="121"/>
      <c r="T75" s="121"/>
      <c r="U75" s="121"/>
      <c r="V75" s="121"/>
      <c r="W75" s="121"/>
      <c r="X75" s="121"/>
      <c r="Y75" s="121"/>
      <c r="Z75" s="121"/>
    </row>
    <row r="76" ht="9.75" customHeight="1" spans="1:26">
      <c r="A76" s="121" t="s">
        <v>2633</v>
      </c>
      <c r="B76" s="121"/>
      <c r="C76" s="121"/>
      <c r="D76" s="121"/>
      <c r="E76" s="121"/>
      <c r="F76" s="121"/>
      <c r="G76" s="121"/>
      <c r="H76" s="121"/>
      <c r="I76" s="121"/>
      <c r="J76" s="121"/>
      <c r="K76" s="121"/>
      <c r="L76" s="121"/>
      <c r="M76" s="121"/>
      <c r="N76" s="121"/>
      <c r="O76" s="121"/>
      <c r="P76" s="121"/>
      <c r="Q76" s="121"/>
      <c r="R76" s="121"/>
      <c r="S76" s="121"/>
      <c r="T76" s="121"/>
      <c r="U76" s="121"/>
      <c r="V76" s="121"/>
      <c r="W76" s="121"/>
      <c r="X76" s="121"/>
      <c r="Y76" s="121"/>
      <c r="Z76" s="121"/>
    </row>
    <row r="77" ht="9.75" customHeight="1" spans="1:26">
      <c r="A77" s="121"/>
      <c r="B77" s="121"/>
      <c r="C77" s="121"/>
      <c r="D77" s="121"/>
      <c r="E77" s="121"/>
      <c r="F77" s="121"/>
      <c r="G77" s="121"/>
      <c r="H77" s="121"/>
      <c r="I77" s="121"/>
      <c r="J77" s="121"/>
      <c r="K77" s="121"/>
      <c r="L77" s="121"/>
      <c r="M77" s="121"/>
      <c r="N77" s="121"/>
      <c r="O77" s="121"/>
      <c r="P77" s="121"/>
      <c r="Q77" s="121"/>
      <c r="R77" s="121"/>
      <c r="S77" s="121"/>
      <c r="T77" s="121"/>
      <c r="U77" s="121"/>
      <c r="V77" s="121"/>
      <c r="W77" s="121"/>
      <c r="X77" s="121"/>
      <c r="Y77" s="121"/>
      <c r="Z77" s="121"/>
    </row>
    <row r="78" ht="9.75" customHeight="1" spans="1:26">
      <c r="A78" s="121"/>
      <c r="B78" s="121"/>
      <c r="C78" s="121"/>
      <c r="D78" s="121"/>
      <c r="E78" s="121"/>
      <c r="F78" s="121"/>
      <c r="G78" s="121"/>
      <c r="H78" s="121"/>
      <c r="I78" s="121"/>
      <c r="J78" s="121"/>
      <c r="K78" s="121"/>
      <c r="L78" s="121"/>
      <c r="M78" s="121"/>
      <c r="N78" s="121"/>
      <c r="O78" s="121"/>
      <c r="P78" s="121"/>
      <c r="Q78" s="121"/>
      <c r="R78" s="121"/>
      <c r="S78" s="121"/>
      <c r="T78" s="121"/>
      <c r="U78" s="121"/>
      <c r="V78" s="121"/>
      <c r="W78" s="121"/>
      <c r="X78" s="121"/>
      <c r="Y78" s="121"/>
      <c r="Z78" s="121"/>
    </row>
    <row r="79" ht="9.75" customHeight="1" spans="1:26">
      <c r="A79" s="121"/>
      <c r="B79" s="121"/>
      <c r="C79" s="121"/>
      <c r="D79" s="121"/>
      <c r="E79" s="121"/>
      <c r="F79" s="121"/>
      <c r="G79" s="121"/>
      <c r="H79" s="121"/>
      <c r="I79" s="121"/>
      <c r="J79" s="121"/>
      <c r="K79" s="121"/>
      <c r="L79" s="121"/>
      <c r="M79" s="121"/>
      <c r="N79" s="121"/>
      <c r="O79" s="121"/>
      <c r="P79" s="121"/>
      <c r="Q79" s="121"/>
      <c r="R79" s="121"/>
      <c r="S79" s="121"/>
      <c r="T79" s="121"/>
      <c r="U79" s="121"/>
      <c r="V79" s="121"/>
      <c r="W79" s="121"/>
      <c r="X79" s="121"/>
      <c r="Y79" s="121"/>
      <c r="Z79" s="121"/>
    </row>
    <row r="80" ht="9.75" customHeight="1" spans="1:26">
      <c r="A80" s="121"/>
      <c r="B80" s="121"/>
      <c r="C80" s="121"/>
      <c r="D80" s="121"/>
      <c r="E80" s="121"/>
      <c r="F80" s="121"/>
      <c r="G80" s="121"/>
      <c r="H80" s="121"/>
      <c r="I80" s="121"/>
      <c r="J80" s="121"/>
      <c r="K80" s="121"/>
      <c r="L80" s="121"/>
      <c r="M80" s="121"/>
      <c r="N80" s="121"/>
      <c r="O80" s="121"/>
      <c r="P80" s="121"/>
      <c r="Q80" s="121"/>
      <c r="R80" s="121"/>
      <c r="S80" s="121"/>
      <c r="T80" s="121"/>
      <c r="U80" s="121"/>
      <c r="V80" s="121"/>
      <c r="W80" s="121"/>
      <c r="X80" s="121"/>
      <c r="Y80" s="121"/>
      <c r="Z80" s="121"/>
    </row>
    <row r="81" ht="9.75" customHeight="1" spans="1:26">
      <c r="A81" s="121"/>
      <c r="B81" s="121"/>
      <c r="C81" s="121"/>
      <c r="D81" s="121"/>
      <c r="E81" s="121"/>
      <c r="F81" s="121"/>
      <c r="G81" s="121"/>
      <c r="H81" s="121"/>
      <c r="I81" s="121"/>
      <c r="J81" s="121"/>
      <c r="K81" s="121"/>
      <c r="L81" s="121"/>
      <c r="M81" s="121"/>
      <c r="N81" s="121"/>
      <c r="O81" s="121"/>
      <c r="P81" s="121"/>
      <c r="Q81" s="121"/>
      <c r="R81" s="121"/>
      <c r="S81" s="121"/>
      <c r="T81" s="121"/>
      <c r="U81" s="121"/>
      <c r="V81" s="121"/>
      <c r="W81" s="121"/>
      <c r="X81" s="121"/>
      <c r="Y81" s="121"/>
      <c r="Z81" s="121"/>
    </row>
    <row r="82" ht="9.75" customHeight="1" spans="1:26">
      <c r="A82" s="121"/>
      <c r="B82" s="121"/>
      <c r="C82" s="121"/>
      <c r="D82" s="121"/>
      <c r="E82" s="121"/>
      <c r="F82" s="121"/>
      <c r="G82" s="121"/>
      <c r="H82" s="121"/>
      <c r="I82" s="121"/>
      <c r="J82" s="121"/>
      <c r="K82" s="121"/>
      <c r="L82" s="121"/>
      <c r="M82" s="121"/>
      <c r="N82" s="121"/>
      <c r="O82" s="121"/>
      <c r="P82" s="121"/>
      <c r="Q82" s="121"/>
      <c r="R82" s="121"/>
      <c r="S82" s="121"/>
      <c r="T82" s="121"/>
      <c r="U82" s="121"/>
      <c r="V82" s="121"/>
      <c r="W82" s="121"/>
      <c r="X82" s="121"/>
      <c r="Y82" s="121"/>
      <c r="Z82" s="121"/>
    </row>
    <row r="83" ht="9.75" customHeight="1" spans="1:26">
      <c r="A83" s="121"/>
      <c r="B83" s="121"/>
      <c r="C83" s="121"/>
      <c r="D83" s="121"/>
      <c r="E83" s="121"/>
      <c r="F83" s="121"/>
      <c r="G83" s="121"/>
      <c r="H83" s="121"/>
      <c r="I83" s="121"/>
      <c r="J83" s="121"/>
      <c r="K83" s="121"/>
      <c r="L83" s="121"/>
      <c r="M83" s="121"/>
      <c r="N83" s="121"/>
      <c r="O83" s="121"/>
      <c r="P83" s="121"/>
      <c r="Q83" s="121"/>
      <c r="R83" s="121"/>
      <c r="S83" s="121"/>
      <c r="T83" s="121"/>
      <c r="U83" s="121"/>
      <c r="V83" s="121"/>
      <c r="W83" s="121"/>
      <c r="X83" s="121"/>
      <c r="Y83" s="121"/>
      <c r="Z83" s="121"/>
    </row>
    <row r="84" ht="9.75" customHeight="1" spans="1:26">
      <c r="A84" s="121"/>
      <c r="B84" s="121"/>
      <c r="C84" s="121"/>
      <c r="D84" s="121"/>
      <c r="E84" s="121"/>
      <c r="F84" s="121"/>
      <c r="G84" s="121"/>
      <c r="H84" s="121"/>
      <c r="I84" s="121"/>
      <c r="J84" s="121"/>
      <c r="K84" s="121"/>
      <c r="L84" s="121"/>
      <c r="M84" s="121"/>
      <c r="N84" s="121"/>
      <c r="O84" s="121"/>
      <c r="P84" s="121"/>
      <c r="Q84" s="121"/>
      <c r="R84" s="121"/>
      <c r="S84" s="121"/>
      <c r="T84" s="121"/>
      <c r="U84" s="121"/>
      <c r="V84" s="121"/>
      <c r="W84" s="121"/>
      <c r="X84" s="121"/>
      <c r="Y84" s="121"/>
      <c r="Z84" s="121"/>
    </row>
    <row r="85" ht="9.75" customHeight="1" spans="1:26">
      <c r="A85" s="121"/>
      <c r="B85" s="121"/>
      <c r="C85" s="121"/>
      <c r="D85" s="121"/>
      <c r="E85" s="121"/>
      <c r="F85" s="121"/>
      <c r="G85" s="121"/>
      <c r="H85" s="121"/>
      <c r="I85" s="121"/>
      <c r="J85" s="121"/>
      <c r="K85" s="121"/>
      <c r="L85" s="121"/>
      <c r="M85" s="121"/>
      <c r="N85" s="121"/>
      <c r="O85" s="121"/>
      <c r="P85" s="121"/>
      <c r="Q85" s="121"/>
      <c r="R85" s="121"/>
      <c r="S85" s="121"/>
      <c r="T85" s="121"/>
      <c r="U85" s="121"/>
      <c r="V85" s="121"/>
      <c r="W85" s="121"/>
      <c r="X85" s="121"/>
      <c r="Y85" s="121"/>
      <c r="Z85" s="121"/>
    </row>
    <row r="86" ht="9.75" customHeight="1" spans="1:26">
      <c r="A86" s="121"/>
      <c r="B86" s="121"/>
      <c r="C86" s="121"/>
      <c r="D86" s="121"/>
      <c r="E86" s="121"/>
      <c r="F86" s="121"/>
      <c r="G86" s="121"/>
      <c r="H86" s="121"/>
      <c r="I86" s="121"/>
      <c r="J86" s="121"/>
      <c r="K86" s="121"/>
      <c r="L86" s="121"/>
      <c r="M86" s="121"/>
      <c r="N86" s="121"/>
      <c r="O86" s="121"/>
      <c r="P86" s="121"/>
      <c r="Q86" s="121"/>
      <c r="R86" s="121"/>
      <c r="S86" s="121"/>
      <c r="T86" s="121"/>
      <c r="U86" s="121"/>
      <c r="V86" s="121"/>
      <c r="W86" s="121"/>
      <c r="X86" s="121"/>
      <c r="Y86" s="121"/>
      <c r="Z86" s="121"/>
    </row>
    <row r="87" ht="9.75" customHeight="1" spans="1:26">
      <c r="A87" s="121"/>
      <c r="B87" s="121"/>
      <c r="C87" s="121"/>
      <c r="D87" s="121"/>
      <c r="E87" s="121"/>
      <c r="F87" s="121"/>
      <c r="G87" s="121"/>
      <c r="H87" s="121"/>
      <c r="I87" s="121"/>
      <c r="J87" s="121"/>
      <c r="K87" s="121"/>
      <c r="L87" s="121"/>
      <c r="M87" s="121"/>
      <c r="N87" s="121"/>
      <c r="O87" s="121"/>
      <c r="P87" s="121"/>
      <c r="Q87" s="121"/>
      <c r="R87" s="121"/>
      <c r="S87" s="121"/>
      <c r="T87" s="121"/>
      <c r="U87" s="121"/>
      <c r="V87" s="121"/>
      <c r="W87" s="121"/>
      <c r="X87" s="121"/>
      <c r="Y87" s="121"/>
      <c r="Z87" s="121"/>
    </row>
    <row r="88" ht="9.75" customHeight="1" spans="1:26">
      <c r="A88" s="121"/>
      <c r="B88" s="121"/>
      <c r="C88" s="121"/>
      <c r="D88" s="121"/>
      <c r="E88" s="121"/>
      <c r="F88" s="121"/>
      <c r="G88" s="121"/>
      <c r="H88" s="121"/>
      <c r="I88" s="121"/>
      <c r="J88" s="121"/>
      <c r="K88" s="121"/>
      <c r="L88" s="121"/>
      <c r="M88" s="121"/>
      <c r="N88" s="121"/>
      <c r="O88" s="121"/>
      <c r="P88" s="121"/>
      <c r="Q88" s="121"/>
      <c r="R88" s="121"/>
      <c r="S88" s="121"/>
      <c r="T88" s="121"/>
      <c r="U88" s="121"/>
      <c r="V88" s="121"/>
      <c r="W88" s="121"/>
      <c r="X88" s="121"/>
      <c r="Y88" s="121"/>
      <c r="Z88" s="121"/>
    </row>
    <row r="89" ht="9.75" customHeight="1" spans="1:26">
      <c r="A89" s="121"/>
      <c r="B89" s="121"/>
      <c r="C89" s="121"/>
      <c r="D89" s="121"/>
      <c r="E89" s="121"/>
      <c r="F89" s="121"/>
      <c r="G89" s="121"/>
      <c r="H89" s="121"/>
      <c r="I89" s="121"/>
      <c r="J89" s="121"/>
      <c r="K89" s="121"/>
      <c r="L89" s="121"/>
      <c r="M89" s="121"/>
      <c r="N89" s="121"/>
      <c r="O89" s="121"/>
      <c r="P89" s="121"/>
      <c r="Q89" s="121"/>
      <c r="R89" s="121"/>
      <c r="S89" s="121"/>
      <c r="T89" s="121"/>
      <c r="U89" s="121"/>
      <c r="V89" s="121"/>
      <c r="W89" s="121"/>
      <c r="X89" s="121"/>
      <c r="Y89" s="121"/>
      <c r="Z89" s="121"/>
    </row>
    <row r="90" ht="9.75" customHeight="1" spans="1:26">
      <c r="A90" s="121"/>
      <c r="B90" s="121"/>
      <c r="C90" s="121"/>
      <c r="D90" s="121"/>
      <c r="E90" s="121"/>
      <c r="F90" s="121"/>
      <c r="G90" s="121"/>
      <c r="H90" s="121"/>
      <c r="I90" s="121"/>
      <c r="J90" s="121"/>
      <c r="K90" s="121"/>
      <c r="L90" s="121"/>
      <c r="M90" s="121"/>
      <c r="N90" s="121"/>
      <c r="O90" s="121"/>
      <c r="P90" s="121"/>
      <c r="Q90" s="121"/>
      <c r="R90" s="121"/>
      <c r="S90" s="121"/>
      <c r="T90" s="121"/>
      <c r="U90" s="121"/>
      <c r="V90" s="121"/>
      <c r="W90" s="121"/>
      <c r="X90" s="121"/>
      <c r="Y90" s="121"/>
      <c r="Z90" s="121"/>
    </row>
    <row r="91" ht="9.75" customHeight="1" spans="1:26">
      <c r="A91" s="121"/>
      <c r="B91" s="121"/>
      <c r="C91" s="121"/>
      <c r="D91" s="121"/>
      <c r="E91" s="121"/>
      <c r="F91" s="121"/>
      <c r="G91" s="121"/>
      <c r="H91" s="121"/>
      <c r="I91" s="121"/>
      <c r="J91" s="121"/>
      <c r="K91" s="121"/>
      <c r="L91" s="121"/>
      <c r="M91" s="121"/>
      <c r="N91" s="121"/>
      <c r="O91" s="121"/>
      <c r="P91" s="121"/>
      <c r="Q91" s="121"/>
      <c r="R91" s="121"/>
      <c r="S91" s="121"/>
      <c r="T91" s="121"/>
      <c r="U91" s="121"/>
      <c r="V91" s="121"/>
      <c r="W91" s="121"/>
      <c r="X91" s="121"/>
      <c r="Y91" s="121"/>
      <c r="Z91" s="121"/>
    </row>
    <row r="92" ht="9.75" customHeight="1" spans="1:26">
      <c r="A92" s="121"/>
      <c r="B92" s="121"/>
      <c r="C92" s="121"/>
      <c r="D92" s="121"/>
      <c r="E92" s="121"/>
      <c r="F92" s="121"/>
      <c r="G92" s="121"/>
      <c r="H92" s="121"/>
      <c r="I92" s="121"/>
      <c r="J92" s="121"/>
      <c r="K92" s="121"/>
      <c r="L92" s="121"/>
      <c r="M92" s="121"/>
      <c r="N92" s="121"/>
      <c r="O92" s="121"/>
      <c r="P92" s="121"/>
      <c r="Q92" s="121"/>
      <c r="R92" s="121"/>
      <c r="S92" s="121"/>
      <c r="T92" s="121"/>
      <c r="U92" s="121"/>
      <c r="V92" s="121"/>
      <c r="W92" s="121"/>
      <c r="X92" s="121"/>
      <c r="Y92" s="121"/>
      <c r="Z92" s="121"/>
    </row>
    <row r="93" ht="9.75" customHeight="1" spans="1:26">
      <c r="A93" s="121"/>
      <c r="B93" s="121"/>
      <c r="C93" s="121"/>
      <c r="D93" s="121"/>
      <c r="E93" s="121"/>
      <c r="F93" s="121"/>
      <c r="G93" s="121"/>
      <c r="H93" s="121"/>
      <c r="I93" s="121"/>
      <c r="J93" s="121"/>
      <c r="K93" s="121"/>
      <c r="L93" s="121"/>
      <c r="M93" s="121"/>
      <c r="N93" s="121"/>
      <c r="O93" s="121"/>
      <c r="P93" s="121"/>
      <c r="Q93" s="121"/>
      <c r="R93" s="121"/>
      <c r="S93" s="121"/>
      <c r="T93" s="121"/>
      <c r="U93" s="121"/>
      <c r="V93" s="121"/>
      <c r="W93" s="121"/>
      <c r="X93" s="121"/>
      <c r="Y93" s="121"/>
      <c r="Z93" s="121"/>
    </row>
    <row r="94" ht="9.75" customHeight="1" spans="1:26">
      <c r="A94" s="121"/>
      <c r="B94" s="121"/>
      <c r="C94" s="121"/>
      <c r="D94" s="121"/>
      <c r="E94" s="121"/>
      <c r="F94" s="121"/>
      <c r="G94" s="121"/>
      <c r="H94" s="121"/>
      <c r="I94" s="121"/>
      <c r="J94" s="121"/>
      <c r="K94" s="121"/>
      <c r="L94" s="121"/>
      <c r="M94" s="121"/>
      <c r="N94" s="121"/>
      <c r="O94" s="121"/>
      <c r="P94" s="121"/>
      <c r="Q94" s="121"/>
      <c r="R94" s="121"/>
      <c r="S94" s="121"/>
      <c r="T94" s="121"/>
      <c r="U94" s="121"/>
      <c r="V94" s="121"/>
      <c r="W94" s="121"/>
      <c r="X94" s="121"/>
      <c r="Y94" s="121"/>
      <c r="Z94" s="121"/>
    </row>
    <row r="95" ht="9.75" customHeight="1" spans="1:26">
      <c r="A95" s="121"/>
      <c r="B95" s="121"/>
      <c r="C95" s="121"/>
      <c r="D95" s="121"/>
      <c r="E95" s="121"/>
      <c r="F95" s="121"/>
      <c r="G95" s="121"/>
      <c r="H95" s="121"/>
      <c r="I95" s="121"/>
      <c r="J95" s="121"/>
      <c r="K95" s="121"/>
      <c r="L95" s="121"/>
      <c r="M95" s="121"/>
      <c r="N95" s="121"/>
      <c r="O95" s="121"/>
      <c r="P95" s="121"/>
      <c r="Q95" s="121"/>
      <c r="R95" s="121"/>
      <c r="S95" s="121"/>
      <c r="T95" s="121"/>
      <c r="U95" s="121"/>
      <c r="V95" s="121"/>
      <c r="W95" s="121"/>
      <c r="X95" s="121"/>
      <c r="Y95" s="121"/>
      <c r="Z95" s="121"/>
    </row>
    <row r="96" ht="9.75" customHeight="1" spans="1:26">
      <c r="A96" s="121"/>
      <c r="B96" s="121"/>
      <c r="C96" s="121"/>
      <c r="D96" s="121"/>
      <c r="E96" s="121"/>
      <c r="F96" s="121"/>
      <c r="G96" s="121"/>
      <c r="H96" s="121"/>
      <c r="I96" s="121"/>
      <c r="J96" s="121"/>
      <c r="K96" s="121"/>
      <c r="L96" s="121"/>
      <c r="M96" s="121"/>
      <c r="N96" s="121"/>
      <c r="O96" s="121"/>
      <c r="P96" s="121"/>
      <c r="Q96" s="121"/>
      <c r="R96" s="121"/>
      <c r="S96" s="121"/>
      <c r="T96" s="121"/>
      <c r="U96" s="126"/>
      <c r="V96" s="126"/>
      <c r="W96" s="126"/>
      <c r="X96" s="126"/>
      <c r="Y96" s="126"/>
      <c r="Z96" s="126"/>
    </row>
    <row r="97" ht="9.75" customHeight="1" spans="1:26">
      <c r="A97" s="121"/>
      <c r="B97" s="121"/>
      <c r="C97" s="121"/>
      <c r="D97" s="121"/>
      <c r="E97" s="121"/>
      <c r="F97" s="121"/>
      <c r="G97" s="121"/>
      <c r="H97" s="121"/>
      <c r="I97" s="121"/>
      <c r="J97" s="121"/>
      <c r="K97" s="121"/>
      <c r="L97" s="121"/>
      <c r="M97" s="121"/>
      <c r="N97" s="121"/>
      <c r="O97" s="121"/>
      <c r="P97" s="121"/>
      <c r="Q97" s="121"/>
      <c r="R97" s="121"/>
      <c r="S97" s="121"/>
      <c r="T97" s="121"/>
      <c r="U97" s="126"/>
      <c r="V97" s="126"/>
      <c r="W97" s="126"/>
      <c r="X97" s="126"/>
      <c r="Y97" s="126"/>
      <c r="Z97" s="126"/>
    </row>
    <row r="98" ht="9.75" customHeight="1" spans="1:26">
      <c r="A98" s="121"/>
      <c r="B98" s="121"/>
      <c r="C98" s="121"/>
      <c r="D98" s="121"/>
      <c r="E98" s="121"/>
      <c r="F98" s="121"/>
      <c r="G98" s="121"/>
      <c r="H98" s="121"/>
      <c r="I98" s="121"/>
      <c r="J98" s="121"/>
      <c r="K98" s="121"/>
      <c r="L98" s="121"/>
      <c r="M98" s="121"/>
      <c r="N98" s="121"/>
      <c r="O98" s="121"/>
      <c r="P98" s="121"/>
      <c r="Q98" s="121"/>
      <c r="R98" s="121"/>
      <c r="S98" s="121"/>
      <c r="T98" s="121"/>
      <c r="U98" s="126"/>
      <c r="V98" s="126"/>
      <c r="W98" s="126"/>
      <c r="X98" s="126"/>
      <c r="Y98" s="126"/>
      <c r="Z98" s="126"/>
    </row>
    <row r="99" ht="9.75" customHeight="1" spans="1:26">
      <c r="A99" s="121"/>
      <c r="B99" s="121"/>
      <c r="C99" s="121"/>
      <c r="D99" s="121"/>
      <c r="E99" s="121"/>
      <c r="F99" s="121"/>
      <c r="G99" s="121"/>
      <c r="H99" s="121"/>
      <c r="I99" s="121"/>
      <c r="J99" s="121"/>
      <c r="K99" s="121"/>
      <c r="L99" s="121"/>
      <c r="M99" s="121"/>
      <c r="N99" s="121"/>
      <c r="O99" s="121"/>
      <c r="P99" s="121"/>
      <c r="Q99" s="121"/>
      <c r="R99" s="121"/>
      <c r="S99" s="121"/>
      <c r="T99" s="121"/>
      <c r="U99" s="126"/>
      <c r="V99" s="126"/>
      <c r="W99" s="126"/>
      <c r="X99" s="126"/>
      <c r="Y99" s="126"/>
      <c r="Z99" s="126"/>
    </row>
    <row r="100" ht="9.75" customHeight="1" spans="1:26">
      <c r="A100" s="121"/>
      <c r="B100" s="121"/>
      <c r="C100" s="121"/>
      <c r="D100" s="121"/>
      <c r="E100" s="121"/>
      <c r="F100" s="121"/>
      <c r="G100" s="121"/>
      <c r="H100" s="121"/>
      <c r="I100" s="121"/>
      <c r="J100" s="121"/>
      <c r="K100" s="121"/>
      <c r="L100" s="121"/>
      <c r="M100" s="121"/>
      <c r="N100" s="121"/>
      <c r="O100" s="121"/>
      <c r="P100" s="121"/>
      <c r="Q100" s="121"/>
      <c r="R100" s="121"/>
      <c r="S100" s="121"/>
      <c r="T100" s="121"/>
      <c r="U100" s="126"/>
      <c r="V100" s="126"/>
      <c r="W100" s="126"/>
      <c r="X100" s="126"/>
      <c r="Y100" s="126"/>
      <c r="Z100" s="126"/>
    </row>
    <row r="101" ht="9.75" customHeight="1" spans="1:26">
      <c r="A101" s="121"/>
      <c r="B101" s="121"/>
      <c r="C101" s="121"/>
      <c r="D101" s="121"/>
      <c r="E101" s="121"/>
      <c r="F101" s="121"/>
      <c r="G101" s="121"/>
      <c r="H101" s="121"/>
      <c r="I101" s="121"/>
      <c r="J101" s="121"/>
      <c r="K101" s="121"/>
      <c r="L101" s="121"/>
      <c r="M101" s="121"/>
      <c r="N101" s="121"/>
      <c r="O101" s="121"/>
      <c r="P101" s="121"/>
      <c r="Q101" s="121"/>
      <c r="R101" s="121"/>
      <c r="S101" s="121"/>
      <c r="T101" s="121"/>
      <c r="U101" s="126"/>
      <c r="V101" s="126"/>
      <c r="W101" s="126"/>
      <c r="X101" s="126"/>
      <c r="Y101" s="126"/>
      <c r="Z101" s="126"/>
    </row>
    <row r="102" ht="9.75" customHeight="1" spans="1:26">
      <c r="A102" s="121"/>
      <c r="B102" s="121"/>
      <c r="C102" s="121"/>
      <c r="D102" s="121"/>
      <c r="E102" s="121"/>
      <c r="F102" s="121"/>
      <c r="G102" s="121"/>
      <c r="H102" s="121"/>
      <c r="I102" s="121"/>
      <c r="J102" s="121"/>
      <c r="K102" s="121"/>
      <c r="L102" s="121"/>
      <c r="M102" s="121"/>
      <c r="N102" s="121"/>
      <c r="O102" s="121"/>
      <c r="P102" s="121"/>
      <c r="Q102" s="121"/>
      <c r="R102" s="121"/>
      <c r="S102" s="121"/>
      <c r="T102" s="121"/>
      <c r="U102" s="126"/>
      <c r="V102" s="126"/>
      <c r="W102" s="126"/>
      <c r="X102" s="126"/>
      <c r="Y102" s="126"/>
      <c r="Z102" s="126"/>
    </row>
    <row r="103" ht="9.75" customHeight="1" spans="1:26">
      <c r="A103" s="121"/>
      <c r="B103" s="121"/>
      <c r="C103" s="121"/>
      <c r="D103" s="121"/>
      <c r="E103" s="121"/>
      <c r="F103" s="121"/>
      <c r="G103" s="121"/>
      <c r="H103" s="121"/>
      <c r="I103" s="121"/>
      <c r="J103" s="121"/>
      <c r="K103" s="121"/>
      <c r="L103" s="121"/>
      <c r="M103" s="121"/>
      <c r="N103" s="121"/>
      <c r="O103" s="121"/>
      <c r="P103" s="121"/>
      <c r="Q103" s="121"/>
      <c r="R103" s="121"/>
      <c r="S103" s="121"/>
      <c r="T103" s="121"/>
      <c r="U103" s="126"/>
      <c r="V103" s="126"/>
      <c r="W103" s="126"/>
      <c r="X103" s="126"/>
      <c r="Y103" s="126"/>
      <c r="Z103" s="126"/>
    </row>
    <row r="104" ht="9.75" customHeight="1" spans="1:26">
      <c r="A104" s="121"/>
      <c r="B104" s="121"/>
      <c r="C104" s="121"/>
      <c r="D104" s="121"/>
      <c r="E104" s="121"/>
      <c r="F104" s="121"/>
      <c r="G104" s="121"/>
      <c r="H104" s="121"/>
      <c r="I104" s="121"/>
      <c r="J104" s="121"/>
      <c r="K104" s="121"/>
      <c r="L104" s="121"/>
      <c r="M104" s="121"/>
      <c r="N104" s="121"/>
      <c r="O104" s="121"/>
      <c r="P104" s="121"/>
      <c r="Q104" s="121"/>
      <c r="R104" s="121"/>
      <c r="S104" s="121"/>
      <c r="T104" s="121"/>
      <c r="U104" s="126"/>
      <c r="V104" s="126"/>
      <c r="W104" s="126"/>
      <c r="X104" s="126"/>
      <c r="Y104" s="126"/>
      <c r="Z104" s="126"/>
    </row>
    <row r="105" ht="9.75" customHeight="1" spans="1:26">
      <c r="A105" s="121"/>
      <c r="B105" s="121"/>
      <c r="C105" s="121"/>
      <c r="D105" s="121"/>
      <c r="E105" s="121"/>
      <c r="F105" s="121"/>
      <c r="G105" s="121"/>
      <c r="H105" s="121"/>
      <c r="I105" s="121"/>
      <c r="J105" s="121"/>
      <c r="K105" s="121"/>
      <c r="L105" s="121"/>
      <c r="M105" s="121"/>
      <c r="N105" s="121"/>
      <c r="O105" s="121"/>
      <c r="P105" s="121"/>
      <c r="Q105" s="121"/>
      <c r="R105" s="121"/>
      <c r="S105" s="121"/>
      <c r="T105" s="121"/>
      <c r="U105" s="126"/>
      <c r="V105" s="126"/>
      <c r="W105" s="126"/>
      <c r="X105" s="126"/>
      <c r="Y105" s="126"/>
      <c r="Z105" s="126"/>
    </row>
    <row r="106" ht="14.25" customHeight="1" spans="1:26">
      <c r="A106" s="121"/>
      <c r="B106" s="121"/>
      <c r="C106" s="121"/>
      <c r="D106" s="121"/>
      <c r="E106" s="121"/>
      <c r="F106" s="121"/>
      <c r="G106" s="121"/>
      <c r="H106" s="121"/>
      <c r="I106" s="121"/>
      <c r="J106" s="121"/>
      <c r="K106" s="121"/>
      <c r="L106" s="121"/>
      <c r="M106" s="121"/>
      <c r="N106" s="121"/>
      <c r="O106" s="121"/>
      <c r="P106" s="121"/>
      <c r="Q106" s="126"/>
      <c r="R106" s="126"/>
      <c r="S106" s="126"/>
      <c r="T106" s="126"/>
      <c r="U106" s="126"/>
      <c r="V106" s="126"/>
      <c r="W106" s="126"/>
      <c r="X106" s="126"/>
      <c r="Y106" s="126"/>
      <c r="Z106" s="126"/>
    </row>
    <row r="107" ht="14.25" customHeight="1" spans="1:26">
      <c r="A107" s="121"/>
      <c r="B107" s="121"/>
      <c r="C107" s="121"/>
      <c r="D107" s="121"/>
      <c r="E107" s="121"/>
      <c r="F107" s="121"/>
      <c r="G107" s="121"/>
      <c r="H107" s="121"/>
      <c r="I107" s="121"/>
      <c r="J107" s="121"/>
      <c r="K107" s="121"/>
      <c r="L107" s="121"/>
      <c r="M107" s="121"/>
      <c r="N107" s="121"/>
      <c r="O107" s="121"/>
      <c r="P107" s="121"/>
      <c r="Q107" s="126"/>
      <c r="R107" s="126"/>
      <c r="S107" s="126"/>
      <c r="T107" s="126"/>
      <c r="U107" s="126"/>
      <c r="V107" s="126"/>
      <c r="W107" s="126"/>
      <c r="X107" s="126"/>
      <c r="Y107" s="126"/>
      <c r="Z107" s="126"/>
    </row>
    <row r="108" ht="14.25" customHeight="1" spans="1:26">
      <c r="A108" s="121"/>
      <c r="B108" s="121"/>
      <c r="C108" s="121"/>
      <c r="D108" s="121"/>
      <c r="E108" s="121"/>
      <c r="F108" s="121"/>
      <c r="G108" s="121"/>
      <c r="H108" s="121"/>
      <c r="I108" s="121"/>
      <c r="J108" s="121"/>
      <c r="K108" s="121"/>
      <c r="L108" s="121"/>
      <c r="M108" s="121"/>
      <c r="N108" s="121"/>
      <c r="O108" s="121"/>
      <c r="P108" s="121"/>
      <c r="Q108" s="126"/>
      <c r="R108" s="126"/>
      <c r="S108" s="126"/>
      <c r="T108" s="126"/>
      <c r="U108" s="126"/>
      <c r="V108" s="126"/>
      <c r="W108" s="126"/>
      <c r="X108" s="126"/>
      <c r="Y108" s="126"/>
      <c r="Z108" s="126"/>
    </row>
    <row r="109" ht="14.25" customHeight="1" spans="1:26">
      <c r="A109" s="121"/>
      <c r="B109" s="121"/>
      <c r="C109" s="121"/>
      <c r="D109" s="121"/>
      <c r="E109" s="121"/>
      <c r="F109" s="121"/>
      <c r="G109" s="121"/>
      <c r="H109" s="121"/>
      <c r="I109" s="121"/>
      <c r="J109" s="121"/>
      <c r="K109" s="121"/>
      <c r="L109" s="121"/>
      <c r="M109" s="121"/>
      <c r="N109" s="121"/>
      <c r="O109" s="121"/>
      <c r="P109" s="121"/>
      <c r="Q109" s="126"/>
      <c r="R109" s="126"/>
      <c r="S109" s="126"/>
      <c r="T109" s="126"/>
      <c r="U109" s="126"/>
      <c r="V109" s="126"/>
      <c r="W109" s="126"/>
      <c r="X109" s="126"/>
      <c r="Y109" s="126"/>
      <c r="Z109" s="126"/>
    </row>
    <row r="110" ht="14.25" customHeight="1" spans="1:26">
      <c r="A110" s="121"/>
      <c r="B110" s="121"/>
      <c r="C110" s="121"/>
      <c r="D110" s="121"/>
      <c r="E110" s="121"/>
      <c r="F110" s="121"/>
      <c r="G110" s="121"/>
      <c r="H110" s="121"/>
      <c r="I110" s="121"/>
      <c r="J110" s="121"/>
      <c r="K110" s="121"/>
      <c r="L110" s="121"/>
      <c r="M110" s="121"/>
      <c r="N110" s="121"/>
      <c r="O110" s="121"/>
      <c r="P110" s="121"/>
      <c r="Q110" s="126"/>
      <c r="R110" s="126"/>
      <c r="S110" s="126"/>
      <c r="T110" s="126"/>
      <c r="U110" s="126"/>
      <c r="V110" s="126"/>
      <c r="W110" s="126"/>
      <c r="X110" s="126"/>
      <c r="Y110" s="126"/>
      <c r="Z110" s="126"/>
    </row>
    <row r="111" ht="14.25" customHeight="1" spans="1:26">
      <c r="A111" s="121"/>
      <c r="B111" s="121"/>
      <c r="C111" s="121"/>
      <c r="D111" s="121"/>
      <c r="E111" s="121"/>
      <c r="F111" s="121"/>
      <c r="G111" s="121"/>
      <c r="H111" s="121"/>
      <c r="I111" s="121"/>
      <c r="J111" s="121"/>
      <c r="K111" s="121"/>
      <c r="L111" s="121"/>
      <c r="M111" s="121"/>
      <c r="N111" s="121"/>
      <c r="O111" s="121"/>
      <c r="P111" s="121"/>
      <c r="Q111" s="126"/>
      <c r="R111" s="126"/>
      <c r="S111" s="126"/>
      <c r="T111" s="126"/>
      <c r="U111" s="126"/>
      <c r="V111" s="126"/>
      <c r="W111" s="126"/>
      <c r="X111" s="126"/>
      <c r="Y111" s="126"/>
      <c r="Z111" s="126"/>
    </row>
    <row r="112" ht="14.25" customHeight="1" spans="1:26">
      <c r="A112" s="121"/>
      <c r="B112" s="121"/>
      <c r="C112" s="121"/>
      <c r="D112" s="121"/>
      <c r="E112" s="121"/>
      <c r="F112" s="121"/>
      <c r="G112" s="121"/>
      <c r="H112" s="121"/>
      <c r="I112" s="121"/>
      <c r="J112" s="121"/>
      <c r="K112" s="121"/>
      <c r="L112" s="121"/>
      <c r="M112" s="121"/>
      <c r="N112" s="121"/>
      <c r="O112" s="121"/>
      <c r="P112" s="121"/>
      <c r="Q112" s="126"/>
      <c r="R112" s="126"/>
      <c r="S112" s="126"/>
      <c r="T112" s="126"/>
      <c r="U112" s="126"/>
      <c r="V112" s="126"/>
      <c r="W112" s="126"/>
      <c r="X112" s="126"/>
      <c r="Y112" s="126"/>
      <c r="Z112" s="126"/>
    </row>
    <row r="113" ht="14.25" customHeight="1" spans="1:26">
      <c r="A113" s="121"/>
      <c r="B113" s="121"/>
      <c r="C113" s="121"/>
      <c r="D113" s="121"/>
      <c r="E113" s="121"/>
      <c r="F113" s="121"/>
      <c r="G113" s="121"/>
      <c r="H113" s="121"/>
      <c r="I113" s="121"/>
      <c r="J113" s="121"/>
      <c r="K113" s="121"/>
      <c r="L113" s="121"/>
      <c r="M113" s="121"/>
      <c r="N113" s="121"/>
      <c r="O113" s="121"/>
      <c r="P113" s="121"/>
      <c r="Q113" s="126"/>
      <c r="R113" s="126"/>
      <c r="S113" s="126"/>
      <c r="T113" s="126"/>
      <c r="U113" s="126"/>
      <c r="V113" s="126"/>
      <c r="W113" s="126"/>
      <c r="X113" s="126"/>
      <c r="Y113" s="126"/>
      <c r="Z113" s="126"/>
    </row>
    <row r="114" ht="14.25" customHeight="1" spans="1:26">
      <c r="A114" s="121"/>
      <c r="B114" s="121"/>
      <c r="C114" s="121"/>
      <c r="D114" s="121"/>
      <c r="E114" s="121"/>
      <c r="F114" s="121"/>
      <c r="G114" s="121"/>
      <c r="H114" s="121"/>
      <c r="I114" s="121"/>
      <c r="J114" s="121"/>
      <c r="K114" s="121"/>
      <c r="L114" s="121"/>
      <c r="M114" s="121"/>
      <c r="N114" s="121"/>
      <c r="O114" s="121"/>
      <c r="P114" s="121"/>
      <c r="Q114" s="126"/>
      <c r="R114" s="126"/>
      <c r="S114" s="126"/>
      <c r="T114" s="126"/>
      <c r="U114" s="126"/>
      <c r="V114" s="126"/>
      <c r="W114" s="126"/>
      <c r="X114" s="126"/>
      <c r="Y114" s="126"/>
      <c r="Z114" s="126"/>
    </row>
    <row r="115" ht="14.25" customHeight="1" spans="1:26">
      <c r="A115" s="121"/>
      <c r="B115" s="121"/>
      <c r="C115" s="121"/>
      <c r="D115" s="121"/>
      <c r="E115" s="121"/>
      <c r="F115" s="121"/>
      <c r="G115" s="121"/>
      <c r="H115" s="121"/>
      <c r="I115" s="121"/>
      <c r="J115" s="121"/>
      <c r="K115" s="121"/>
      <c r="L115" s="121"/>
      <c r="M115" s="121"/>
      <c r="N115" s="121"/>
      <c r="O115" s="121"/>
      <c r="P115" s="121"/>
      <c r="Q115" s="126"/>
      <c r="R115" s="126"/>
      <c r="S115" s="126"/>
      <c r="T115" s="126"/>
      <c r="U115" s="126"/>
      <c r="V115" s="126"/>
      <c r="W115" s="126"/>
      <c r="X115" s="126"/>
      <c r="Y115" s="126"/>
      <c r="Z115" s="126"/>
    </row>
    <row r="116" ht="14.25" customHeight="1" spans="1:26">
      <c r="A116" s="121"/>
      <c r="B116" s="121"/>
      <c r="C116" s="121"/>
      <c r="D116" s="121"/>
      <c r="E116" s="121"/>
      <c r="F116" s="121"/>
      <c r="G116" s="121"/>
      <c r="H116" s="121"/>
      <c r="I116" s="121"/>
      <c r="J116" s="121"/>
      <c r="K116" s="121"/>
      <c r="L116" s="121"/>
      <c r="M116" s="121"/>
      <c r="N116" s="121"/>
      <c r="O116" s="121"/>
      <c r="P116" s="121"/>
      <c r="Q116" s="126"/>
      <c r="R116" s="126"/>
      <c r="S116" s="126"/>
      <c r="T116" s="126"/>
      <c r="U116" s="126"/>
      <c r="V116" s="126"/>
      <c r="W116" s="126"/>
      <c r="X116" s="126"/>
      <c r="Y116" s="126"/>
      <c r="Z116" s="126"/>
    </row>
    <row r="117" ht="14.25" customHeight="1" spans="1:26">
      <c r="A117" s="121"/>
      <c r="B117" s="121"/>
      <c r="C117" s="121"/>
      <c r="D117" s="121"/>
      <c r="E117" s="121"/>
      <c r="F117" s="121"/>
      <c r="G117" s="121"/>
      <c r="H117" s="121"/>
      <c r="I117" s="121"/>
      <c r="J117" s="121"/>
      <c r="K117" s="121"/>
      <c r="L117" s="121"/>
      <c r="M117" s="121"/>
      <c r="N117" s="121"/>
      <c r="O117" s="121"/>
      <c r="P117" s="121"/>
      <c r="Q117" s="126"/>
      <c r="R117" s="126"/>
      <c r="S117" s="126"/>
      <c r="T117" s="126"/>
      <c r="U117" s="126"/>
      <c r="V117" s="126"/>
      <c r="W117" s="126"/>
      <c r="X117" s="126"/>
      <c r="Y117" s="126"/>
      <c r="Z117" s="126"/>
    </row>
    <row r="118" ht="14.25" customHeight="1" spans="1:26">
      <c r="A118" s="121"/>
      <c r="B118" s="121"/>
      <c r="C118" s="121"/>
      <c r="D118" s="121"/>
      <c r="E118" s="121"/>
      <c r="F118" s="121"/>
      <c r="G118" s="121"/>
      <c r="H118" s="121"/>
      <c r="I118" s="121"/>
      <c r="J118" s="121"/>
      <c r="K118" s="121"/>
      <c r="L118" s="121"/>
      <c r="M118" s="121"/>
      <c r="N118" s="121"/>
      <c r="O118" s="121"/>
      <c r="P118" s="121"/>
      <c r="Q118" s="126"/>
      <c r="R118" s="126"/>
      <c r="S118" s="126"/>
      <c r="T118" s="126"/>
      <c r="U118" s="126"/>
      <c r="V118" s="126"/>
      <c r="W118" s="126"/>
      <c r="X118" s="126"/>
      <c r="Y118" s="126"/>
      <c r="Z118" s="126"/>
    </row>
    <row r="119" ht="14.25" customHeight="1" spans="1:26">
      <c r="A119" s="121"/>
      <c r="B119" s="121"/>
      <c r="C119" s="121"/>
      <c r="D119" s="121"/>
      <c r="E119" s="121"/>
      <c r="F119" s="121"/>
      <c r="G119" s="121"/>
      <c r="H119" s="121"/>
      <c r="I119" s="121"/>
      <c r="J119" s="121"/>
      <c r="K119" s="121"/>
      <c r="L119" s="121"/>
      <c r="M119" s="121"/>
      <c r="N119" s="121"/>
      <c r="O119" s="121"/>
      <c r="P119" s="121"/>
      <c r="Q119" s="126"/>
      <c r="R119" s="126"/>
      <c r="S119" s="126"/>
      <c r="T119" s="126"/>
      <c r="U119" s="126"/>
      <c r="V119" s="126"/>
      <c r="W119" s="126"/>
      <c r="X119" s="126"/>
      <c r="Y119" s="126"/>
      <c r="Z119" s="126"/>
    </row>
    <row r="120" ht="14.25" customHeight="1" spans="1:26">
      <c r="A120" s="121"/>
      <c r="B120" s="121"/>
      <c r="C120" s="121"/>
      <c r="D120" s="121"/>
      <c r="E120" s="121"/>
      <c r="F120" s="121"/>
      <c r="G120" s="121"/>
      <c r="H120" s="121"/>
      <c r="I120" s="121"/>
      <c r="J120" s="121"/>
      <c r="K120" s="121"/>
      <c r="L120" s="121"/>
      <c r="M120" s="121"/>
      <c r="N120" s="121"/>
      <c r="O120" s="121"/>
      <c r="P120" s="121"/>
      <c r="Q120" s="126"/>
      <c r="R120" s="126"/>
      <c r="S120" s="126"/>
      <c r="T120" s="126"/>
      <c r="U120" s="126"/>
      <c r="V120" s="126"/>
      <c r="W120" s="126"/>
      <c r="X120" s="126"/>
      <c r="Y120" s="126"/>
      <c r="Z120" s="126"/>
    </row>
    <row r="121" ht="14.25" customHeight="1" spans="1:26">
      <c r="A121" s="121"/>
      <c r="B121" s="121"/>
      <c r="C121" s="121"/>
      <c r="D121" s="121"/>
      <c r="E121" s="121"/>
      <c r="F121" s="121"/>
      <c r="G121" s="121"/>
      <c r="H121" s="121"/>
      <c r="I121" s="121"/>
      <c r="J121" s="121"/>
      <c r="K121" s="121"/>
      <c r="L121" s="121"/>
      <c r="M121" s="121"/>
      <c r="N121" s="121"/>
      <c r="O121" s="121"/>
      <c r="P121" s="121"/>
      <c r="Q121" s="126"/>
      <c r="R121" s="126"/>
      <c r="S121" s="126"/>
      <c r="T121" s="126"/>
      <c r="U121" s="126"/>
      <c r="V121" s="126"/>
      <c r="W121" s="126"/>
      <c r="X121" s="126"/>
      <c r="Y121" s="126"/>
      <c r="Z121" s="126"/>
    </row>
    <row r="122" ht="14.25" customHeight="1" spans="1:26">
      <c r="A122" s="121"/>
      <c r="B122" s="121"/>
      <c r="C122" s="121"/>
      <c r="D122" s="121"/>
      <c r="E122" s="121"/>
      <c r="F122" s="121"/>
      <c r="G122" s="121"/>
      <c r="H122" s="121"/>
      <c r="I122" s="121"/>
      <c r="J122" s="121"/>
      <c r="K122" s="121"/>
      <c r="L122" s="121"/>
      <c r="M122" s="121"/>
      <c r="N122" s="121"/>
      <c r="O122" s="121"/>
      <c r="P122" s="121"/>
      <c r="Q122" s="126"/>
      <c r="R122" s="126"/>
      <c r="S122" s="126"/>
      <c r="T122" s="126"/>
      <c r="U122" s="126"/>
      <c r="V122" s="126"/>
      <c r="W122" s="126"/>
      <c r="X122" s="126"/>
      <c r="Y122" s="126"/>
      <c r="Z122" s="126"/>
    </row>
    <row r="123" ht="14.25" customHeight="1" spans="1:26">
      <c r="A123" s="121"/>
      <c r="B123" s="121"/>
      <c r="C123" s="121"/>
      <c r="D123" s="121"/>
      <c r="E123" s="121"/>
      <c r="F123" s="121"/>
      <c r="G123" s="121"/>
      <c r="H123" s="121"/>
      <c r="I123" s="121"/>
      <c r="J123" s="121"/>
      <c r="K123" s="121"/>
      <c r="L123" s="121"/>
      <c r="M123" s="121"/>
      <c r="N123" s="121"/>
      <c r="O123" s="121"/>
      <c r="P123" s="121"/>
      <c r="Q123" s="126"/>
      <c r="R123" s="126"/>
      <c r="S123" s="126"/>
      <c r="T123" s="126"/>
      <c r="U123" s="126"/>
      <c r="V123" s="126"/>
      <c r="W123" s="126"/>
      <c r="X123" s="126"/>
      <c r="Y123" s="126"/>
      <c r="Z123" s="126"/>
    </row>
    <row r="124" ht="14.25" customHeight="1" spans="1:26">
      <c r="A124" s="121"/>
      <c r="B124" s="121"/>
      <c r="C124" s="121"/>
      <c r="D124" s="121"/>
      <c r="E124" s="121"/>
      <c r="F124" s="121"/>
      <c r="G124" s="121"/>
      <c r="H124" s="121"/>
      <c r="I124" s="121"/>
      <c r="J124" s="121"/>
      <c r="K124" s="121"/>
      <c r="L124" s="121"/>
      <c r="M124" s="121"/>
      <c r="N124" s="121"/>
      <c r="O124" s="121"/>
      <c r="P124" s="121"/>
      <c r="Q124" s="126"/>
      <c r="R124" s="126"/>
      <c r="S124" s="126"/>
      <c r="T124" s="126"/>
      <c r="U124" s="126"/>
      <c r="V124" s="126"/>
      <c r="W124" s="126"/>
      <c r="X124" s="126"/>
      <c r="Y124" s="126"/>
      <c r="Z124" s="126"/>
    </row>
    <row r="125" ht="14.25" customHeight="1" spans="1:26">
      <c r="A125" s="121"/>
      <c r="B125" s="121"/>
      <c r="C125" s="121"/>
      <c r="D125" s="121"/>
      <c r="E125" s="121"/>
      <c r="F125" s="121"/>
      <c r="G125" s="121"/>
      <c r="H125" s="121"/>
      <c r="I125" s="121"/>
      <c r="J125" s="121"/>
      <c r="K125" s="121"/>
      <c r="L125" s="121"/>
      <c r="M125" s="121"/>
      <c r="N125" s="121"/>
      <c r="O125" s="121"/>
      <c r="P125" s="121"/>
      <c r="Q125" s="126"/>
      <c r="R125" s="126"/>
      <c r="S125" s="126"/>
      <c r="T125" s="126"/>
      <c r="U125" s="126"/>
      <c r="V125" s="126"/>
      <c r="W125" s="126"/>
      <c r="X125" s="126"/>
      <c r="Y125" s="126"/>
      <c r="Z125" s="126"/>
    </row>
    <row r="126" ht="14.25" customHeight="1" spans="1:26">
      <c r="A126" s="121"/>
      <c r="B126" s="121"/>
      <c r="C126" s="121"/>
      <c r="D126" s="121"/>
      <c r="E126" s="121"/>
      <c r="F126" s="121"/>
      <c r="G126" s="121"/>
      <c r="H126" s="121"/>
      <c r="I126" s="121"/>
      <c r="J126" s="121"/>
      <c r="K126" s="121"/>
      <c r="L126" s="121"/>
      <c r="M126" s="121"/>
      <c r="N126" s="121"/>
      <c r="O126" s="121"/>
      <c r="P126" s="121"/>
      <c r="Q126" s="126"/>
      <c r="R126" s="126"/>
      <c r="S126" s="126"/>
      <c r="T126" s="126"/>
      <c r="U126" s="126"/>
      <c r="V126" s="126"/>
      <c r="W126" s="126"/>
      <c r="X126" s="126"/>
      <c r="Y126" s="126"/>
      <c r="Z126" s="126"/>
    </row>
    <row r="127" ht="14.25" customHeight="1" spans="1:26">
      <c r="A127" s="121"/>
      <c r="B127" s="121"/>
      <c r="C127" s="121"/>
      <c r="D127" s="121"/>
      <c r="E127" s="121"/>
      <c r="F127" s="121"/>
      <c r="G127" s="121"/>
      <c r="H127" s="121"/>
      <c r="I127" s="121"/>
      <c r="J127" s="121"/>
      <c r="K127" s="121"/>
      <c r="L127" s="121"/>
      <c r="M127" s="121"/>
      <c r="N127" s="121"/>
      <c r="O127" s="121"/>
      <c r="P127" s="121"/>
      <c r="Q127" s="126"/>
      <c r="R127" s="126"/>
      <c r="S127" s="126"/>
      <c r="T127" s="126"/>
      <c r="U127" s="126"/>
      <c r="V127" s="126"/>
      <c r="W127" s="126"/>
      <c r="X127" s="126"/>
      <c r="Y127" s="126"/>
      <c r="Z127" s="126"/>
    </row>
    <row r="128" ht="14.25" customHeight="1" spans="1:26">
      <c r="A128" s="121"/>
      <c r="B128" s="121"/>
      <c r="C128" s="121"/>
      <c r="D128" s="121"/>
      <c r="E128" s="121"/>
      <c r="F128" s="121"/>
      <c r="G128" s="121"/>
      <c r="H128" s="121"/>
      <c r="I128" s="121"/>
      <c r="J128" s="121"/>
      <c r="K128" s="121"/>
      <c r="L128" s="121"/>
      <c r="M128" s="121"/>
      <c r="N128" s="121"/>
      <c r="O128" s="121"/>
      <c r="P128" s="121"/>
      <c r="Q128" s="126"/>
      <c r="R128" s="126"/>
      <c r="S128" s="126"/>
      <c r="T128" s="126"/>
      <c r="U128" s="126"/>
      <c r="V128" s="126"/>
      <c r="W128" s="126"/>
      <c r="X128" s="126"/>
      <c r="Y128" s="126"/>
      <c r="Z128" s="126"/>
    </row>
    <row r="129" ht="14.25" customHeight="1" spans="1:26">
      <c r="A129" s="121"/>
      <c r="B129" s="121"/>
      <c r="C129" s="121"/>
      <c r="D129" s="121"/>
      <c r="E129" s="121"/>
      <c r="F129" s="121"/>
      <c r="G129" s="121"/>
      <c r="H129" s="121"/>
      <c r="I129" s="121"/>
      <c r="J129" s="121"/>
      <c r="K129" s="121"/>
      <c r="L129" s="121"/>
      <c r="M129" s="121"/>
      <c r="N129" s="121"/>
      <c r="O129" s="121"/>
      <c r="P129" s="121"/>
      <c r="Q129" s="126"/>
      <c r="R129" s="126"/>
      <c r="S129" s="126"/>
      <c r="T129" s="126"/>
      <c r="U129" s="126"/>
      <c r="V129" s="126"/>
      <c r="W129" s="126"/>
      <c r="X129" s="126"/>
      <c r="Y129" s="126"/>
      <c r="Z129" s="126"/>
    </row>
    <row r="130" ht="14.25" customHeight="1" spans="1:26">
      <c r="A130" s="121"/>
      <c r="B130" s="121"/>
      <c r="C130" s="121"/>
      <c r="D130" s="121"/>
      <c r="E130" s="121"/>
      <c r="F130" s="121"/>
      <c r="G130" s="121"/>
      <c r="H130" s="121"/>
      <c r="I130" s="121"/>
      <c r="J130" s="121"/>
      <c r="K130" s="121"/>
      <c r="L130" s="121"/>
      <c r="M130" s="121"/>
      <c r="N130" s="121"/>
      <c r="O130" s="121"/>
      <c r="P130" s="121"/>
      <c r="Q130" s="126"/>
      <c r="R130" s="126"/>
      <c r="S130" s="126"/>
      <c r="T130" s="126"/>
      <c r="U130" s="126"/>
      <c r="V130" s="126"/>
      <c r="W130" s="126"/>
      <c r="X130" s="126"/>
      <c r="Y130" s="126"/>
      <c r="Z130" s="126"/>
    </row>
    <row r="131" ht="14.25" customHeight="1" spans="1:26">
      <c r="A131" s="121"/>
      <c r="B131" s="121"/>
      <c r="C131" s="121"/>
      <c r="D131" s="121"/>
      <c r="E131" s="121"/>
      <c r="F131" s="121"/>
      <c r="G131" s="121"/>
      <c r="H131" s="121"/>
      <c r="I131" s="121"/>
      <c r="J131" s="121"/>
      <c r="K131" s="121"/>
      <c r="L131" s="121"/>
      <c r="M131" s="121"/>
      <c r="N131" s="121"/>
      <c r="O131" s="121"/>
      <c r="P131" s="121"/>
      <c r="Q131" s="126"/>
      <c r="R131" s="126"/>
      <c r="S131" s="126"/>
      <c r="T131" s="126"/>
      <c r="U131" s="126"/>
      <c r="V131" s="126"/>
      <c r="W131" s="126"/>
      <c r="X131" s="126"/>
      <c r="Y131" s="126"/>
      <c r="Z131" s="126"/>
    </row>
    <row r="132" ht="14.25" customHeight="1" spans="1:26">
      <c r="A132" s="121"/>
      <c r="B132" s="121"/>
      <c r="C132" s="121"/>
      <c r="D132" s="121"/>
      <c r="E132" s="121"/>
      <c r="F132" s="121"/>
      <c r="G132" s="121"/>
      <c r="H132" s="121"/>
      <c r="I132" s="121"/>
      <c r="J132" s="121"/>
      <c r="K132" s="121"/>
      <c r="L132" s="121"/>
      <c r="M132" s="121"/>
      <c r="N132" s="121"/>
      <c r="O132" s="121"/>
      <c r="P132" s="121"/>
      <c r="Q132" s="126"/>
      <c r="R132" s="126"/>
      <c r="S132" s="126"/>
      <c r="T132" s="126"/>
      <c r="U132" s="126"/>
      <c r="V132" s="126"/>
      <c r="W132" s="126"/>
      <c r="X132" s="126"/>
      <c r="Y132" s="126"/>
      <c r="Z132" s="126"/>
    </row>
    <row r="133" ht="14.25" customHeight="1" spans="1:26">
      <c r="A133" s="121"/>
      <c r="B133" s="121"/>
      <c r="C133" s="121"/>
      <c r="D133" s="121"/>
      <c r="E133" s="121"/>
      <c r="F133" s="121"/>
      <c r="G133" s="121"/>
      <c r="H133" s="121"/>
      <c r="I133" s="121"/>
      <c r="J133" s="121"/>
      <c r="K133" s="121"/>
      <c r="L133" s="121"/>
      <c r="M133" s="121"/>
      <c r="N133" s="121"/>
      <c r="O133" s="121"/>
      <c r="P133" s="121"/>
      <c r="Q133" s="126"/>
      <c r="R133" s="126"/>
      <c r="S133" s="126"/>
      <c r="T133" s="126"/>
      <c r="U133" s="126"/>
      <c r="V133" s="126"/>
      <c r="W133" s="126"/>
      <c r="X133" s="126"/>
      <c r="Y133" s="126"/>
      <c r="Z133" s="126"/>
    </row>
    <row r="134" ht="14.25" customHeight="1" spans="1:26">
      <c r="A134" s="121"/>
      <c r="B134" s="121"/>
      <c r="C134" s="121"/>
      <c r="D134" s="121"/>
      <c r="E134" s="121"/>
      <c r="F134" s="121"/>
      <c r="G134" s="121"/>
      <c r="H134" s="121"/>
      <c r="I134" s="121"/>
      <c r="J134" s="121"/>
      <c r="K134" s="121"/>
      <c r="L134" s="121"/>
      <c r="M134" s="121"/>
      <c r="N134" s="121"/>
      <c r="O134" s="121"/>
      <c r="P134" s="121"/>
      <c r="Q134" s="126"/>
      <c r="R134" s="126"/>
      <c r="S134" s="126"/>
      <c r="T134" s="126"/>
      <c r="U134" s="126"/>
      <c r="V134" s="126"/>
      <c r="W134" s="126"/>
      <c r="X134" s="126"/>
      <c r="Y134" s="126"/>
      <c r="Z134" s="126"/>
    </row>
    <row r="135" ht="14.25" customHeight="1" spans="1:26">
      <c r="A135" s="121"/>
      <c r="B135" s="121"/>
      <c r="C135" s="121"/>
      <c r="D135" s="121"/>
      <c r="E135" s="121"/>
      <c r="F135" s="121"/>
      <c r="G135" s="121"/>
      <c r="H135" s="121"/>
      <c r="I135" s="121"/>
      <c r="J135" s="121"/>
      <c r="K135" s="121"/>
      <c r="L135" s="121"/>
      <c r="M135" s="121"/>
      <c r="N135" s="121"/>
      <c r="O135" s="121"/>
      <c r="P135" s="121"/>
      <c r="Q135" s="126"/>
      <c r="R135" s="126"/>
      <c r="S135" s="126"/>
      <c r="T135" s="126"/>
      <c r="U135" s="126"/>
      <c r="V135" s="126"/>
      <c r="W135" s="126"/>
      <c r="X135" s="126"/>
      <c r="Y135" s="126"/>
      <c r="Z135" s="126"/>
    </row>
    <row r="136" ht="14.25" customHeight="1" spans="1:26">
      <c r="A136" s="121"/>
      <c r="B136" s="121"/>
      <c r="C136" s="121"/>
      <c r="D136" s="121"/>
      <c r="E136" s="121"/>
      <c r="F136" s="121"/>
      <c r="G136" s="121"/>
      <c r="H136" s="121"/>
      <c r="I136" s="121"/>
      <c r="J136" s="121"/>
      <c r="K136" s="121"/>
      <c r="L136" s="121"/>
      <c r="M136" s="121"/>
      <c r="N136" s="121"/>
      <c r="O136" s="121"/>
      <c r="P136" s="121"/>
      <c r="Q136" s="126"/>
      <c r="R136" s="126"/>
      <c r="S136" s="126"/>
      <c r="T136" s="126"/>
      <c r="U136" s="126"/>
      <c r="V136" s="126"/>
      <c r="W136" s="126"/>
      <c r="X136" s="126"/>
      <c r="Y136" s="126"/>
      <c r="Z136" s="126"/>
    </row>
    <row r="137" ht="14.25" customHeight="1" spans="1:26">
      <c r="A137" s="121"/>
      <c r="B137" s="121"/>
      <c r="C137" s="121"/>
      <c r="D137" s="121"/>
      <c r="E137" s="121"/>
      <c r="F137" s="121"/>
      <c r="G137" s="121"/>
      <c r="H137" s="121"/>
      <c r="I137" s="121"/>
      <c r="J137" s="121"/>
      <c r="K137" s="121"/>
      <c r="L137" s="121"/>
      <c r="M137" s="121"/>
      <c r="N137" s="121"/>
      <c r="O137" s="121"/>
      <c r="P137" s="121"/>
      <c r="Q137" s="126"/>
      <c r="R137" s="126"/>
      <c r="S137" s="126"/>
      <c r="T137" s="126"/>
      <c r="U137" s="126"/>
      <c r="V137" s="126"/>
      <c r="W137" s="126"/>
      <c r="X137" s="126"/>
      <c r="Y137" s="126"/>
      <c r="Z137" s="126"/>
    </row>
    <row r="138" ht="14.25" customHeight="1" spans="1:26">
      <c r="A138" s="121"/>
      <c r="B138" s="121"/>
      <c r="C138" s="121"/>
      <c r="D138" s="121"/>
      <c r="E138" s="121"/>
      <c r="F138" s="121"/>
      <c r="G138" s="121"/>
      <c r="H138" s="121"/>
      <c r="I138" s="121"/>
      <c r="J138" s="121"/>
      <c r="K138" s="121"/>
      <c r="L138" s="121"/>
      <c r="M138" s="121"/>
      <c r="N138" s="121"/>
      <c r="O138" s="121"/>
      <c r="P138" s="121"/>
      <c r="Q138" s="126"/>
      <c r="R138" s="126"/>
      <c r="S138" s="126"/>
      <c r="T138" s="126"/>
      <c r="U138" s="126"/>
      <c r="V138" s="126"/>
      <c r="W138" s="126"/>
      <c r="X138" s="126"/>
      <c r="Y138" s="126"/>
      <c r="Z138" s="126"/>
    </row>
    <row r="139" ht="14.25" customHeight="1" spans="1:26">
      <c r="A139" s="121"/>
      <c r="B139" s="121"/>
      <c r="C139" s="121"/>
      <c r="D139" s="121"/>
      <c r="E139" s="121"/>
      <c r="F139" s="121"/>
      <c r="G139" s="121"/>
      <c r="H139" s="121"/>
      <c r="I139" s="121"/>
      <c r="J139" s="121"/>
      <c r="K139" s="121"/>
      <c r="L139" s="121"/>
      <c r="M139" s="121"/>
      <c r="N139" s="121"/>
      <c r="O139" s="121"/>
      <c r="P139" s="121"/>
      <c r="Q139" s="126"/>
      <c r="R139" s="126"/>
      <c r="S139" s="126"/>
      <c r="T139" s="126"/>
      <c r="U139" s="126"/>
      <c r="V139" s="126"/>
      <c r="W139" s="126"/>
      <c r="X139" s="126"/>
      <c r="Y139" s="126"/>
      <c r="Z139" s="126"/>
    </row>
    <row r="140" ht="14.25" customHeight="1" spans="1:26">
      <c r="A140" s="121"/>
      <c r="B140" s="121"/>
      <c r="C140" s="121"/>
      <c r="D140" s="121"/>
      <c r="E140" s="121"/>
      <c r="F140" s="121"/>
      <c r="G140" s="121"/>
      <c r="H140" s="121"/>
      <c r="I140" s="121"/>
      <c r="J140" s="121"/>
      <c r="K140" s="121"/>
      <c r="L140" s="121"/>
      <c r="M140" s="121"/>
      <c r="N140" s="121"/>
      <c r="O140" s="121"/>
      <c r="P140" s="121"/>
      <c r="Q140" s="126"/>
      <c r="R140" s="126"/>
      <c r="S140" s="126"/>
      <c r="T140" s="126"/>
      <c r="U140" s="126"/>
      <c r="V140" s="126"/>
      <c r="W140" s="126"/>
      <c r="X140" s="126"/>
      <c r="Y140" s="126"/>
      <c r="Z140" s="126"/>
    </row>
    <row r="141" ht="14.25" customHeight="1" spans="1:26">
      <c r="A141" s="121"/>
      <c r="B141" s="121"/>
      <c r="C141" s="121"/>
      <c r="D141" s="121"/>
      <c r="E141" s="121"/>
      <c r="F141" s="121"/>
      <c r="G141" s="121"/>
      <c r="H141" s="121"/>
      <c r="I141" s="121"/>
      <c r="J141" s="121"/>
      <c r="K141" s="121"/>
      <c r="L141" s="121"/>
      <c r="M141" s="121"/>
      <c r="N141" s="121"/>
      <c r="O141" s="121"/>
      <c r="P141" s="121"/>
      <c r="Q141" s="126"/>
      <c r="R141" s="126"/>
      <c r="S141" s="126"/>
      <c r="T141" s="126"/>
      <c r="U141" s="126"/>
      <c r="V141" s="126"/>
      <c r="W141" s="126"/>
      <c r="X141" s="126"/>
      <c r="Y141" s="126"/>
      <c r="Z141" s="126"/>
    </row>
    <row r="142" ht="14.25" customHeight="1" spans="1:26">
      <c r="A142" s="121"/>
      <c r="B142" s="121"/>
      <c r="C142" s="121"/>
      <c r="D142" s="121"/>
      <c r="E142" s="121"/>
      <c r="F142" s="121"/>
      <c r="G142" s="121"/>
      <c r="H142" s="121"/>
      <c r="I142" s="121"/>
      <c r="J142" s="121"/>
      <c r="K142" s="121"/>
      <c r="L142" s="121"/>
      <c r="M142" s="121"/>
      <c r="N142" s="121"/>
      <c r="O142" s="121"/>
      <c r="P142" s="121"/>
      <c r="Q142" s="126"/>
      <c r="R142" s="126"/>
      <c r="S142" s="126"/>
      <c r="T142" s="126"/>
      <c r="U142" s="126"/>
      <c r="V142" s="126"/>
      <c r="W142" s="126"/>
      <c r="X142" s="126"/>
      <c r="Y142" s="126"/>
      <c r="Z142" s="126"/>
    </row>
    <row r="143" ht="14.25" customHeight="1" spans="1:26">
      <c r="A143" s="121"/>
      <c r="B143" s="121"/>
      <c r="C143" s="121"/>
      <c r="D143" s="121"/>
      <c r="E143" s="121"/>
      <c r="F143" s="121"/>
      <c r="G143" s="121"/>
      <c r="H143" s="121"/>
      <c r="I143" s="121"/>
      <c r="J143" s="121"/>
      <c r="K143" s="121"/>
      <c r="L143" s="121"/>
      <c r="M143" s="121"/>
      <c r="N143" s="121"/>
      <c r="O143" s="121"/>
      <c r="P143" s="121"/>
      <c r="Q143" s="126"/>
      <c r="R143" s="126"/>
      <c r="S143" s="126"/>
      <c r="T143" s="126"/>
      <c r="U143" s="126"/>
      <c r="V143" s="126"/>
      <c r="W143" s="126"/>
      <c r="X143" s="126"/>
      <c r="Y143" s="126"/>
      <c r="Z143" s="126"/>
    </row>
    <row r="144" ht="14.25" customHeight="1" spans="1:26">
      <c r="A144" s="121"/>
      <c r="B144" s="121"/>
      <c r="C144" s="121"/>
      <c r="D144" s="121"/>
      <c r="E144" s="121"/>
      <c r="F144" s="121"/>
      <c r="G144" s="121"/>
      <c r="H144" s="121"/>
      <c r="I144" s="121"/>
      <c r="J144" s="121"/>
      <c r="K144" s="121"/>
      <c r="L144" s="121"/>
      <c r="M144" s="121"/>
      <c r="N144" s="121"/>
      <c r="O144" s="121"/>
      <c r="P144" s="121"/>
      <c r="Q144" s="126"/>
      <c r="R144" s="126"/>
      <c r="S144" s="126"/>
      <c r="T144" s="126"/>
      <c r="U144" s="126"/>
      <c r="V144" s="126"/>
      <c r="W144" s="126"/>
      <c r="X144" s="126"/>
      <c r="Y144" s="126"/>
      <c r="Z144" s="126"/>
    </row>
    <row r="145" ht="14.25" customHeight="1" spans="1:26">
      <c r="A145" s="121"/>
      <c r="B145" s="121"/>
      <c r="C145" s="121"/>
      <c r="D145" s="121"/>
      <c r="E145" s="121"/>
      <c r="F145" s="121"/>
      <c r="G145" s="121"/>
      <c r="H145" s="121"/>
      <c r="I145" s="121"/>
      <c r="J145" s="121"/>
      <c r="K145" s="121"/>
      <c r="L145" s="121"/>
      <c r="M145" s="121"/>
      <c r="N145" s="121"/>
      <c r="O145" s="121"/>
      <c r="P145" s="121"/>
      <c r="Q145" s="126"/>
      <c r="R145" s="126"/>
      <c r="S145" s="126"/>
      <c r="T145" s="126"/>
      <c r="U145" s="126"/>
      <c r="V145" s="126"/>
      <c r="W145" s="126"/>
      <c r="X145" s="126"/>
      <c r="Y145" s="126"/>
      <c r="Z145" s="126"/>
    </row>
    <row r="146" ht="14.25" customHeight="1" spans="1:26">
      <c r="A146" s="121"/>
      <c r="B146" s="121"/>
      <c r="C146" s="121"/>
      <c r="D146" s="121"/>
      <c r="E146" s="121"/>
      <c r="F146" s="121"/>
      <c r="G146" s="121"/>
      <c r="H146" s="121"/>
      <c r="I146" s="121"/>
      <c r="J146" s="121"/>
      <c r="K146" s="121"/>
      <c r="L146" s="121"/>
      <c r="M146" s="121"/>
      <c r="N146" s="121"/>
      <c r="O146" s="121"/>
      <c r="P146" s="121"/>
      <c r="Q146" s="126"/>
      <c r="R146" s="126"/>
      <c r="S146" s="126"/>
      <c r="T146" s="126"/>
      <c r="U146" s="126"/>
      <c r="V146" s="126"/>
      <c r="W146" s="126"/>
      <c r="X146" s="126"/>
      <c r="Y146" s="126"/>
      <c r="Z146" s="126"/>
    </row>
    <row r="147" ht="14.25" customHeight="1" spans="1:26">
      <c r="A147" s="121"/>
      <c r="B147" s="121"/>
      <c r="C147" s="121"/>
      <c r="D147" s="121"/>
      <c r="E147" s="121"/>
      <c r="F147" s="121"/>
      <c r="G147" s="121"/>
      <c r="H147" s="121"/>
      <c r="I147" s="121"/>
      <c r="J147" s="121"/>
      <c r="K147" s="121"/>
      <c r="L147" s="121"/>
      <c r="M147" s="121"/>
      <c r="N147" s="121"/>
      <c r="O147" s="121"/>
      <c r="P147" s="121"/>
      <c r="Q147" s="126"/>
      <c r="R147" s="126"/>
      <c r="S147" s="126"/>
      <c r="T147" s="126"/>
      <c r="U147" s="126"/>
      <c r="V147" s="126"/>
      <c r="W147" s="126"/>
      <c r="X147" s="126"/>
      <c r="Y147" s="126"/>
      <c r="Z147" s="126"/>
    </row>
    <row r="148" ht="14.25" customHeight="1" spans="1:26">
      <c r="A148" s="121"/>
      <c r="B148" s="121"/>
      <c r="C148" s="121"/>
      <c r="D148" s="121"/>
      <c r="E148" s="121"/>
      <c r="F148" s="121"/>
      <c r="G148" s="121"/>
      <c r="H148" s="121"/>
      <c r="I148" s="121"/>
      <c r="J148" s="121"/>
      <c r="K148" s="121"/>
      <c r="L148" s="121"/>
      <c r="M148" s="121"/>
      <c r="N148" s="121"/>
      <c r="O148" s="121"/>
      <c r="P148" s="121"/>
      <c r="Q148" s="126"/>
      <c r="R148" s="126"/>
      <c r="S148" s="126"/>
      <c r="T148" s="126"/>
      <c r="U148" s="126"/>
      <c r="V148" s="126"/>
      <c r="W148" s="126"/>
      <c r="X148" s="126"/>
      <c r="Y148" s="126"/>
      <c r="Z148" s="126"/>
    </row>
    <row r="149" ht="14.25" customHeight="1" spans="1:26">
      <c r="A149" s="121"/>
      <c r="B149" s="121"/>
      <c r="C149" s="121"/>
      <c r="D149" s="121"/>
      <c r="E149" s="121"/>
      <c r="F149" s="121"/>
      <c r="G149" s="121"/>
      <c r="H149" s="121"/>
      <c r="I149" s="121"/>
      <c r="J149" s="121"/>
      <c r="K149" s="121"/>
      <c r="L149" s="121"/>
      <c r="M149" s="121"/>
      <c r="N149" s="121"/>
      <c r="O149" s="121"/>
      <c r="P149" s="121"/>
      <c r="Q149" s="126"/>
      <c r="R149" s="126"/>
      <c r="S149" s="126"/>
      <c r="T149" s="126"/>
      <c r="U149" s="126"/>
      <c r="V149" s="126"/>
      <c r="W149" s="126"/>
      <c r="X149" s="126"/>
      <c r="Y149" s="126"/>
      <c r="Z149" s="126"/>
    </row>
    <row r="150" ht="14.25" customHeight="1" spans="1:26">
      <c r="A150" s="121"/>
      <c r="B150" s="121"/>
      <c r="C150" s="121"/>
      <c r="D150" s="121"/>
      <c r="E150" s="121"/>
      <c r="F150" s="121"/>
      <c r="G150" s="121"/>
      <c r="H150" s="121"/>
      <c r="I150" s="121"/>
      <c r="J150" s="121"/>
      <c r="K150" s="121"/>
      <c r="L150" s="121"/>
      <c r="M150" s="121"/>
      <c r="N150" s="121"/>
      <c r="O150" s="121"/>
      <c r="P150" s="121"/>
      <c r="Q150" s="126"/>
      <c r="R150" s="126"/>
      <c r="S150" s="126"/>
      <c r="T150" s="126"/>
      <c r="U150" s="126"/>
      <c r="V150" s="126"/>
      <c r="W150" s="126"/>
      <c r="X150" s="126"/>
      <c r="Y150" s="126"/>
      <c r="Z150" s="126"/>
    </row>
    <row r="151" ht="14.25" customHeight="1" spans="1:26">
      <c r="A151" s="121"/>
      <c r="B151" s="121"/>
      <c r="C151" s="121"/>
      <c r="D151" s="121"/>
      <c r="E151" s="121"/>
      <c r="F151" s="121"/>
      <c r="G151" s="121"/>
      <c r="H151" s="121"/>
      <c r="I151" s="121"/>
      <c r="J151" s="121"/>
      <c r="K151" s="121"/>
      <c r="L151" s="121"/>
      <c r="M151" s="121"/>
      <c r="N151" s="121"/>
      <c r="O151" s="121"/>
      <c r="P151" s="121"/>
      <c r="Q151" s="126"/>
      <c r="R151" s="126"/>
      <c r="S151" s="126"/>
      <c r="T151" s="126"/>
      <c r="U151" s="126"/>
      <c r="V151" s="126"/>
      <c r="W151" s="126"/>
      <c r="X151" s="126"/>
      <c r="Y151" s="126"/>
      <c r="Z151" s="126"/>
    </row>
    <row r="152" ht="14.25" customHeight="1" spans="1:26">
      <c r="A152" s="121"/>
      <c r="B152" s="121"/>
      <c r="C152" s="121"/>
      <c r="D152" s="121"/>
      <c r="E152" s="121"/>
      <c r="F152" s="121"/>
      <c r="G152" s="121"/>
      <c r="H152" s="121"/>
      <c r="I152" s="121"/>
      <c r="J152" s="121"/>
      <c r="K152" s="121"/>
      <c r="L152" s="121"/>
      <c r="M152" s="121"/>
      <c r="N152" s="121"/>
      <c r="O152" s="121"/>
      <c r="P152" s="121"/>
      <c r="Q152" s="126"/>
      <c r="R152" s="126"/>
      <c r="S152" s="126"/>
      <c r="T152" s="126"/>
      <c r="U152" s="126"/>
      <c r="V152" s="126"/>
      <c r="W152" s="126"/>
      <c r="X152" s="126"/>
      <c r="Y152" s="126"/>
      <c r="Z152" s="126"/>
    </row>
    <row r="153" ht="14.25" customHeight="1" spans="1:26">
      <c r="A153" s="121"/>
      <c r="B153" s="121"/>
      <c r="C153" s="121"/>
      <c r="D153" s="121"/>
      <c r="E153" s="121"/>
      <c r="F153" s="121"/>
      <c r="G153" s="121"/>
      <c r="H153" s="121"/>
      <c r="I153" s="121"/>
      <c r="J153" s="121"/>
      <c r="K153" s="121"/>
      <c r="L153" s="121"/>
      <c r="M153" s="121"/>
      <c r="N153" s="121"/>
      <c r="O153" s="121"/>
      <c r="P153" s="121"/>
      <c r="Q153" s="126"/>
      <c r="R153" s="126"/>
      <c r="S153" s="126"/>
      <c r="T153" s="126"/>
      <c r="U153" s="126"/>
      <c r="V153" s="126"/>
      <c r="W153" s="126"/>
      <c r="X153" s="126"/>
      <c r="Y153" s="126"/>
      <c r="Z153" s="126"/>
    </row>
    <row r="154" ht="14.25" customHeight="1" spans="1:26">
      <c r="A154" s="121"/>
      <c r="B154" s="121"/>
      <c r="C154" s="121"/>
      <c r="D154" s="121"/>
      <c r="E154" s="121"/>
      <c r="F154" s="121"/>
      <c r="G154" s="121"/>
      <c r="H154" s="121"/>
      <c r="I154" s="121"/>
      <c r="J154" s="121"/>
      <c r="K154" s="121"/>
      <c r="L154" s="121"/>
      <c r="M154" s="121"/>
      <c r="N154" s="121"/>
      <c r="O154" s="121"/>
      <c r="P154" s="121"/>
      <c r="Q154" s="126"/>
      <c r="R154" s="126"/>
      <c r="S154" s="126"/>
      <c r="T154" s="126"/>
      <c r="U154" s="126"/>
      <c r="V154" s="126"/>
      <c r="W154" s="126"/>
      <c r="X154" s="126"/>
      <c r="Y154" s="126"/>
      <c r="Z154" s="126"/>
    </row>
    <row r="155" ht="14.25" customHeight="1" spans="1:26">
      <c r="A155" s="121"/>
      <c r="B155" s="121"/>
      <c r="C155" s="121"/>
      <c r="D155" s="121"/>
      <c r="E155" s="121"/>
      <c r="F155" s="121"/>
      <c r="G155" s="121"/>
      <c r="H155" s="121"/>
      <c r="I155" s="121"/>
      <c r="J155" s="121"/>
      <c r="K155" s="121"/>
      <c r="L155" s="121"/>
      <c r="M155" s="121"/>
      <c r="N155" s="121"/>
      <c r="O155" s="121"/>
      <c r="P155" s="121"/>
      <c r="Q155" s="126"/>
      <c r="R155" s="126"/>
      <c r="S155" s="126"/>
      <c r="T155" s="126"/>
      <c r="U155" s="126"/>
      <c r="V155" s="126"/>
      <c r="W155" s="126"/>
      <c r="X155" s="126"/>
      <c r="Y155" s="126"/>
      <c r="Z155" s="126"/>
    </row>
    <row r="156" ht="14.25" customHeight="1" spans="1:26">
      <c r="A156" s="121"/>
      <c r="B156" s="121"/>
      <c r="C156" s="121"/>
      <c r="D156" s="121"/>
      <c r="E156" s="121"/>
      <c r="F156" s="121"/>
      <c r="G156" s="121"/>
      <c r="H156" s="121"/>
      <c r="I156" s="121"/>
      <c r="J156" s="121"/>
      <c r="K156" s="121"/>
      <c r="L156" s="121"/>
      <c r="M156" s="121"/>
      <c r="N156" s="121"/>
      <c r="O156" s="121"/>
      <c r="P156" s="121"/>
      <c r="Q156" s="126"/>
      <c r="R156" s="126"/>
      <c r="S156" s="126"/>
      <c r="T156" s="126"/>
      <c r="U156" s="126"/>
      <c r="V156" s="126"/>
      <c r="W156" s="126"/>
      <c r="X156" s="126"/>
      <c r="Y156" s="126"/>
      <c r="Z156" s="126"/>
    </row>
    <row r="157" ht="14.25" customHeight="1" spans="1:26">
      <c r="A157" s="121"/>
      <c r="B157" s="121"/>
      <c r="C157" s="121"/>
      <c r="D157" s="121"/>
      <c r="E157" s="121"/>
      <c r="F157" s="121"/>
      <c r="G157" s="121"/>
      <c r="H157" s="121"/>
      <c r="I157" s="121"/>
      <c r="J157" s="121"/>
      <c r="K157" s="121"/>
      <c r="L157" s="121"/>
      <c r="M157" s="121"/>
      <c r="N157" s="121"/>
      <c r="O157" s="121"/>
      <c r="P157" s="121"/>
      <c r="Q157" s="126"/>
      <c r="R157" s="126"/>
      <c r="S157" s="126"/>
      <c r="T157" s="126"/>
      <c r="U157" s="126"/>
      <c r="V157" s="126"/>
      <c r="W157" s="126"/>
      <c r="X157" s="126"/>
      <c r="Y157" s="126"/>
      <c r="Z157" s="126"/>
    </row>
    <row r="158" ht="14.25" customHeight="1" spans="1:26">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row>
    <row r="159" ht="14.25" customHeight="1" spans="1:26">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row>
    <row r="160" ht="14.25" customHeight="1" spans="1:26">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row>
    <row r="161" ht="14.25" customHeight="1" spans="1:26">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row>
    <row r="162" ht="14.25" customHeight="1" spans="1:26">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row>
    <row r="163" ht="14.25" customHeight="1" spans="1:26">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row>
    <row r="164" ht="14.25" customHeight="1" spans="1:26">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row>
    <row r="165" ht="14.25" customHeight="1" spans="1:26">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row>
    <row r="166" ht="14.25" customHeight="1" spans="1:26">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row>
    <row r="167" ht="14.25" customHeight="1" spans="1:26">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row>
    <row r="168" ht="14.25" customHeight="1" spans="1:26">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row>
    <row r="169" ht="14.25" customHeight="1" spans="1:26">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row>
    <row r="170" ht="14.25" customHeight="1" spans="1:26">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row>
    <row r="171" ht="14.25" customHeight="1" spans="1:26">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row>
    <row r="172" ht="14.25" customHeight="1" spans="1:26">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row>
    <row r="173" ht="14.25" customHeight="1" spans="1:26">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row>
    <row r="174" ht="14.25" customHeight="1" spans="1:26">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row>
    <row r="175" ht="14.25" customHeight="1" spans="1:26">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row>
    <row r="176" ht="14.25" customHeight="1" spans="1:26">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row>
    <row r="177" ht="14.25" customHeight="1" spans="1:26">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row>
    <row r="178" ht="14.25" customHeight="1" spans="1:26">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row>
    <row r="179" ht="14.25" customHeight="1" spans="1:26">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row>
    <row r="180" ht="14.25" customHeight="1" spans="1:26">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row>
    <row r="181" ht="14.25" customHeight="1" spans="1:26">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row>
    <row r="182" ht="14.25" customHeight="1" spans="1:26">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row>
    <row r="183" ht="14.25" customHeight="1" spans="1:26">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row>
    <row r="184" ht="14.25" customHeight="1" spans="1:26">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row>
    <row r="185" ht="14.25" customHeight="1" spans="1:26">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row>
    <row r="186" ht="14.25" customHeight="1" spans="1:26">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row>
    <row r="187" ht="14.25" customHeight="1" spans="1:26">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row>
    <row r="188" ht="14.25" customHeight="1" spans="1:26">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row>
    <row r="189" ht="14.25" customHeight="1" spans="1:26">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row>
    <row r="190" ht="14.25" customHeight="1" spans="1:26">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row>
    <row r="191" ht="14.25" customHeight="1" spans="1:26">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row>
    <row r="192" ht="14.25" customHeight="1" spans="1:26">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row>
    <row r="193" ht="14.25" customHeight="1" spans="1:26">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row>
    <row r="194" ht="14.25" customHeight="1" spans="1:26">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row>
    <row r="195" ht="14.25" customHeight="1" spans="1:26">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row>
    <row r="196" ht="14.25" customHeight="1" spans="1:26">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row>
    <row r="197" ht="14.25" customHeight="1" spans="1:26">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row>
    <row r="198" ht="14.25" customHeight="1" spans="1:26">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row>
    <row r="199" ht="14.25" customHeight="1" spans="1:26">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row>
    <row r="200" ht="14.25" customHeight="1" spans="1:26">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row>
    <row r="201" ht="14.25" customHeight="1" spans="1:26">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row>
    <row r="202" ht="14.25" customHeight="1" spans="1:26">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row>
    <row r="203" ht="14.25" customHeight="1" spans="1:26">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row>
    <row r="204" ht="14.25" customHeight="1" spans="1:26">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row>
    <row r="205" ht="14.25" customHeight="1" spans="1:26">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row>
    <row r="206" ht="14.25" customHeight="1" spans="1:26">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row>
    <row r="207" ht="14.25" customHeight="1" spans="1:26">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row>
    <row r="208" ht="14.25" customHeight="1" spans="1:26">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row>
    <row r="209" ht="14.25" customHeight="1" spans="1:26">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row>
    <row r="210" ht="14.25" customHeight="1" spans="1:26">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row>
    <row r="211" ht="14.25" customHeight="1" spans="1:26">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row>
    <row r="212" ht="14.25" customHeight="1" spans="1:26">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row>
    <row r="213" ht="14.25" customHeight="1" spans="1:26">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row>
    <row r="214" ht="14.25" customHeight="1" spans="1:26">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row>
    <row r="215" ht="14.25" customHeight="1" spans="1:26">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row>
    <row r="216" ht="14.25" customHeight="1" spans="1:26">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row>
    <row r="217" ht="14.25" customHeight="1" spans="1:26">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row>
    <row r="218" ht="14.25" customHeight="1" spans="1:26">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row>
    <row r="219" ht="14.25" customHeight="1" spans="1:26">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row>
    <row r="220" ht="14.25" customHeight="1" spans="1:26">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row>
    <row r="221" ht="14.25" customHeight="1" spans="1:26">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row>
    <row r="222" ht="14.25" customHeight="1" spans="1:26">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row>
    <row r="223" ht="14.25" customHeight="1" spans="1:26">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row>
    <row r="224" ht="14.25" customHeight="1" spans="1:26">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row>
    <row r="225" ht="14.25" customHeight="1" spans="1:26">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row>
    <row r="226" ht="14.25" customHeight="1" spans="1:26">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row>
    <row r="227" ht="14.25" customHeight="1" spans="1:26">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row>
    <row r="228" ht="14.25" customHeight="1" spans="1:26">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row>
    <row r="229" ht="14.25" customHeight="1" spans="1:26">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row>
    <row r="230" ht="14.25" customHeight="1" spans="1:26">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row>
    <row r="231" ht="14.25" customHeight="1" spans="1:26">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row>
    <row r="232" ht="14.25" customHeight="1" spans="1:26">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row>
    <row r="233" ht="14.25" customHeight="1" spans="1:26">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row>
    <row r="234" ht="14.25" customHeight="1" spans="1:26">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row>
    <row r="235" ht="14.25" customHeight="1" spans="1:26">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row>
    <row r="236" ht="14.25" customHeight="1" spans="1:26">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row>
    <row r="237" ht="14.25" customHeight="1" spans="1:26">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row>
    <row r="238" ht="14.25" customHeight="1" spans="1:26">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row>
    <row r="239" ht="14.25" customHeight="1" spans="1:26">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row>
    <row r="240" ht="14.25" customHeight="1" spans="1:26">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row>
    <row r="241" ht="14.25" customHeight="1" spans="1:26">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row>
    <row r="242" ht="14.25" customHeight="1" spans="1:26">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row>
    <row r="243" ht="14.25" customHeight="1" spans="1:26">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row>
    <row r="244" ht="14.25" customHeight="1" spans="1:26">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row>
    <row r="245" ht="14.25" customHeight="1" spans="1:26">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row>
    <row r="246" ht="14.25" customHeight="1" spans="1:26">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row>
    <row r="247" ht="14.25" customHeight="1" spans="1:26">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row>
    <row r="248" ht="14.25" customHeight="1" spans="1:26">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row>
    <row r="249" ht="14.25" customHeight="1" spans="1:26">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row>
    <row r="250" ht="14.25" customHeight="1" spans="1:26">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row>
    <row r="251" ht="14.25" customHeight="1" spans="1:26">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row>
    <row r="252" ht="14.25" customHeight="1" spans="1:26">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row>
    <row r="253" ht="14.25" customHeight="1" spans="1:26">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row>
    <row r="254" ht="14.25" customHeight="1" spans="1:26">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row>
    <row r="255" ht="14.25" customHeight="1" spans="1:26">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row>
    <row r="256" ht="14.25" customHeight="1" spans="1:26">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row>
    <row r="257" ht="14.25" customHeight="1" spans="1:26">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row>
    <row r="258" ht="14.25" customHeight="1" spans="1:26">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row>
    <row r="259" ht="14.25" customHeight="1" spans="1:26">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row>
    <row r="260" ht="14.25" customHeight="1" spans="1:26">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row>
    <row r="261" ht="14.25" customHeight="1" spans="1:26">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row>
    <row r="262" ht="14.25" customHeight="1" spans="1:26">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row>
    <row r="263" ht="14.25" customHeight="1" spans="1:26">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row>
    <row r="264" ht="14.25" customHeight="1" spans="1:26">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row>
    <row r="265" ht="14.25" customHeight="1" spans="1:26">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row>
    <row r="266" ht="14.25" customHeight="1" spans="1:26">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row>
    <row r="267" ht="14.25" customHeight="1" spans="1:26">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row>
    <row r="268" ht="14.25" customHeight="1" spans="1:26">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row>
    <row r="269" ht="14.25" customHeight="1" spans="1:26">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row>
    <row r="270" ht="14.25" customHeight="1" spans="1:26">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row>
    <row r="271" ht="14.25" customHeight="1" spans="1:26">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row>
    <row r="272" ht="14.25" customHeight="1" spans="1:26">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row>
    <row r="273" ht="14.25" customHeight="1" spans="1:26">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row>
    <row r="274" ht="14.25" customHeight="1" spans="1:26">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row>
    <row r="275" ht="14.25" customHeight="1" spans="1:26">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row>
    <row r="276" ht="14.25" customHeight="1" spans="1:26">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row>
    <row r="277" ht="14.25" customHeight="1" spans="1:26">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row>
    <row r="278" ht="14.25" customHeight="1" spans="1:26">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row>
    <row r="279" ht="14.25" customHeight="1" spans="1:26">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row>
    <row r="280" ht="14.25" customHeight="1" spans="1:26">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row>
    <row r="281" ht="14.25" customHeight="1" spans="1:26">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row>
    <row r="282" ht="14.25" customHeight="1" spans="1:26">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row>
    <row r="283" ht="14.25" customHeight="1" spans="1:26">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row>
    <row r="284" ht="14.25" customHeight="1" spans="1:26">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row>
    <row r="285" ht="14.25" customHeight="1" spans="1:26">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row>
    <row r="286" ht="14.25" customHeight="1" spans="1:26">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row>
    <row r="287" ht="14.25" customHeight="1" spans="1:26">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row>
    <row r="288" ht="14.25" customHeight="1" spans="1:26">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row>
    <row r="289" ht="14.25" customHeight="1" spans="1:26">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row>
    <row r="290" ht="14.25" customHeight="1" spans="1:26">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row>
    <row r="291" ht="14.25" customHeight="1" spans="1:26">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row>
    <row r="292" ht="14.25" customHeight="1" spans="1:26">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row>
    <row r="293" ht="14.25" customHeight="1" spans="1:26">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row>
    <row r="294" ht="14.25" customHeight="1" spans="1:26">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row>
    <row r="295" ht="14.25" customHeight="1" spans="1:26">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row>
    <row r="296" ht="14.25" customHeight="1" spans="1:26">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row>
    <row r="297" ht="14.25" customHeight="1" spans="1:26">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row>
    <row r="298" ht="14.25" customHeight="1" spans="1:26">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row>
    <row r="299" ht="14.25" customHeight="1" spans="1:26">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row>
    <row r="300" ht="14.25" customHeight="1" spans="1:26">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row>
    <row r="301" ht="14.25" customHeight="1" spans="1:26">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row>
    <row r="302" ht="14.25" customHeight="1" spans="1:26">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row>
    <row r="303" ht="14.25" customHeight="1" spans="1:26">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row>
    <row r="304" ht="14.25" customHeight="1" spans="1:26">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row>
    <row r="305" ht="14.25" customHeight="1" spans="1:26">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row>
    <row r="306" ht="14.25" customHeight="1" spans="1:26">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row>
    <row r="307" ht="14.25" customHeight="1" spans="1:26">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row>
    <row r="308" ht="14.25" customHeight="1" spans="1:26">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row>
    <row r="309" ht="14.25" customHeight="1" spans="1:26">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row>
    <row r="310" ht="14.25" customHeight="1" spans="1:26">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row>
    <row r="311" ht="14.25" customHeight="1" spans="1:26">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row>
    <row r="312" ht="14.25" customHeight="1" spans="1:26">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row>
    <row r="313" ht="14.25" customHeight="1" spans="1:26">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row>
    <row r="314" ht="14.25" customHeight="1" spans="1:26">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row>
    <row r="315" ht="14.25" customHeight="1" spans="1:26">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row>
    <row r="316" ht="14.25" customHeight="1" spans="1:26">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row>
    <row r="317" ht="14.25" customHeight="1" spans="1:26">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row>
    <row r="318" ht="14.25" customHeight="1" spans="1:26">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row>
    <row r="319" ht="14.25" customHeight="1" spans="1:26">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row>
    <row r="320" ht="14.25" customHeight="1" spans="1:26">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row>
    <row r="321" ht="14.25" customHeight="1" spans="1:26">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row>
    <row r="322" ht="14.25" customHeight="1" spans="1:26">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row>
    <row r="323" ht="14.25" customHeight="1" spans="1:26">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row>
    <row r="324" ht="14.25" customHeight="1" spans="1:26">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row>
    <row r="325" ht="14.25" customHeight="1" spans="1:26">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row>
    <row r="326" ht="14.25" customHeight="1" spans="1:26">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row>
    <row r="327" ht="14.25" customHeight="1" spans="1:26">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row>
    <row r="328" ht="14.25" customHeight="1" spans="1:26">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row>
    <row r="329" ht="14.25" customHeight="1" spans="1:26">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row>
    <row r="330" ht="14.25" customHeight="1" spans="1:26">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row>
    <row r="331" ht="14.25" customHeight="1" spans="1:26">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row>
    <row r="332" ht="14.25" customHeight="1" spans="1:26">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row>
    <row r="333" ht="14.25" customHeight="1" spans="1:26">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row>
    <row r="334" ht="14.25" customHeight="1" spans="1:26">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row>
    <row r="335" ht="14.25" customHeight="1" spans="1:26">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row>
    <row r="336" ht="14.25" customHeight="1" spans="1:26">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row>
    <row r="337" ht="14.25" customHeight="1" spans="1:26">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row>
    <row r="338" ht="14.25" customHeight="1" spans="1:26">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row>
    <row r="339" ht="14.25" customHeight="1" spans="1:26">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row>
    <row r="340" ht="14.25" customHeight="1" spans="1:26">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row>
    <row r="341" ht="14.25" customHeight="1" spans="1:26">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row>
    <row r="342" ht="14.25" customHeight="1" spans="1:26">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row>
    <row r="343" ht="14.25" customHeight="1" spans="1:26">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row>
    <row r="344" ht="14.25" customHeight="1" spans="1:26">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row>
    <row r="345" ht="14.25" customHeight="1" spans="1:26">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row>
    <row r="346" ht="14.25" customHeight="1" spans="1:26">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row>
    <row r="347" ht="14.25" customHeight="1" spans="1:26">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row>
    <row r="348" ht="14.25" customHeight="1" spans="1:26">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row>
    <row r="349" ht="14.25" customHeight="1" spans="1:26">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row>
    <row r="350" ht="14.25" customHeight="1" spans="1:26">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row>
    <row r="351" ht="14.25" customHeight="1" spans="1:26">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row>
    <row r="352" ht="14.25" customHeight="1" spans="1:26">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row>
    <row r="353" ht="14.25" customHeight="1" spans="1:26">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row>
    <row r="354" ht="14.25" customHeight="1" spans="1:26">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row>
    <row r="355" ht="14.25" customHeight="1" spans="1:26">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row>
    <row r="356" ht="14.25" customHeight="1" spans="1:26">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row>
    <row r="357" ht="14.25" customHeight="1" spans="1:26">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row>
    <row r="358" ht="14.25" customHeight="1" spans="1:26">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row>
    <row r="359" ht="14.25" customHeight="1" spans="1:26">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row>
    <row r="360" ht="14.25" customHeight="1" spans="1:26">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row>
    <row r="361" ht="14.25" customHeight="1" spans="1:26">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row>
    <row r="362" ht="14.25" customHeight="1" spans="1:26">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row>
    <row r="363" ht="14.25" customHeight="1" spans="1:26">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row>
    <row r="364" ht="14.25" customHeight="1" spans="1:26">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row>
    <row r="365" ht="14.25" customHeight="1" spans="1:26">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row>
    <row r="366" ht="14.25" customHeight="1" spans="1:26">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row>
    <row r="367" ht="14.25" customHeight="1" spans="1:26">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row>
    <row r="368" ht="14.25" customHeight="1" spans="1:26">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row>
    <row r="369" ht="14.25" customHeight="1" spans="1:26">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row>
    <row r="370" ht="14.25" customHeight="1" spans="1:26">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row>
    <row r="371" ht="14.25" customHeight="1" spans="1:26">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row>
    <row r="372" ht="14.25" customHeight="1" spans="1:26">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row>
    <row r="373" ht="14.25" customHeight="1" spans="1:26">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row>
    <row r="374" ht="14.25" customHeight="1" spans="1:26">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row>
    <row r="375" ht="14.25" customHeight="1" spans="1:26">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row>
    <row r="376" ht="14.25" customHeight="1" spans="1:26">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row>
    <row r="377" ht="14.25" customHeight="1" spans="1:26">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row>
    <row r="378" ht="14.25" customHeight="1" spans="1:26">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row>
    <row r="379" ht="14.25" customHeight="1" spans="1:26">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row>
    <row r="380" ht="14.25" customHeight="1" spans="1:26">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row>
    <row r="381" ht="14.25" customHeight="1" spans="1:26">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row>
    <row r="382" ht="14.25" customHeight="1" spans="1:26">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row>
    <row r="383" ht="14.25" customHeight="1" spans="1:26">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row>
    <row r="384" ht="14.25" customHeight="1" spans="1:26">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row>
    <row r="385" ht="14.25" customHeight="1" spans="1:26">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row>
    <row r="386" ht="14.25" customHeight="1" spans="1:26">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row>
    <row r="387" ht="14.25" customHeight="1" spans="1:26">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row>
    <row r="388" ht="14.25" customHeight="1" spans="1:26">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row>
    <row r="389" ht="14.25" customHeight="1" spans="1:26">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row>
    <row r="390" ht="14.25" customHeight="1" spans="1:26">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row>
    <row r="391" ht="14.25" customHeight="1" spans="1:26">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row>
    <row r="392" ht="14.25" customHeight="1" spans="1:26">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row>
    <row r="393" ht="14.25" customHeight="1" spans="1:26">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row>
    <row r="394" ht="14.25" customHeight="1" spans="1:26">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row>
    <row r="395" ht="14.25" customHeight="1" spans="1:26">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row>
    <row r="396" ht="14.25" customHeight="1" spans="1:26">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row>
    <row r="397" ht="14.25" customHeight="1" spans="1:26">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row>
    <row r="398" ht="14.25" customHeight="1" spans="1:26">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row>
    <row r="399" ht="14.25" customHeight="1" spans="1:26">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row>
    <row r="400" ht="14.25" customHeight="1" spans="1:26">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row>
    <row r="401" ht="14.25" customHeight="1" spans="1:26">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row>
    <row r="402" ht="14.25" customHeight="1" spans="1:26">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row>
    <row r="403" ht="14.25" customHeight="1" spans="1:26">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row>
    <row r="404" ht="14.25" customHeight="1" spans="1:26">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row>
    <row r="405" ht="14.25" customHeight="1" spans="1:26">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row>
    <row r="406" ht="14.25" customHeight="1" spans="1:26">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row>
    <row r="407" ht="14.25" customHeight="1" spans="1:26">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row>
    <row r="408" ht="14.25" customHeight="1" spans="1:26">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row>
    <row r="409" ht="14.25" customHeight="1" spans="1:26">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row>
    <row r="410" ht="14.25" customHeight="1" spans="1:26">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row>
    <row r="411" ht="14.25" customHeight="1" spans="1:26">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row>
    <row r="412" ht="14.25" customHeight="1" spans="1:26">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row>
    <row r="413" ht="14.25" customHeight="1" spans="1:26">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row>
    <row r="414" ht="14.25" customHeight="1" spans="1:26">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row>
    <row r="415" ht="14.25" customHeight="1" spans="1:26">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row>
    <row r="416" ht="14.25" customHeight="1" spans="1:26">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row>
    <row r="417" ht="14.25" customHeight="1" spans="1:26">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row>
    <row r="418" ht="14.25" customHeight="1" spans="1:26">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row>
    <row r="419" ht="14.25" customHeight="1" spans="1:26">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row>
    <row r="420" ht="14.25" customHeight="1" spans="1:26">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row>
    <row r="421" ht="14.25" customHeight="1" spans="1:26">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row>
    <row r="422" ht="14.25" customHeight="1" spans="1:26">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row>
    <row r="423" ht="14.25" customHeight="1" spans="1:26">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row>
    <row r="424" ht="14.25" customHeight="1" spans="1:26">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row>
    <row r="425" ht="14.25" customHeight="1" spans="1:26">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row>
    <row r="426" ht="14.25" customHeight="1" spans="1:26">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row>
    <row r="427" ht="14.25" customHeight="1" spans="1:26">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row>
    <row r="428" ht="14.25" customHeight="1" spans="1:26">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row>
    <row r="429" ht="14.25" customHeight="1" spans="1:26">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row>
    <row r="430" ht="14.25" customHeight="1" spans="1:26">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row>
    <row r="431" ht="14.25" customHeight="1" spans="1:26">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row>
    <row r="432" ht="14.25" customHeight="1" spans="1:26">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row>
    <row r="433" ht="14.25" customHeight="1" spans="1:26">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row>
    <row r="434" ht="14.25" customHeight="1" spans="1:26">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row>
    <row r="435" ht="14.25" customHeight="1" spans="1:26">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row>
    <row r="436" ht="14.25" customHeight="1" spans="1:26">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row>
    <row r="437" ht="14.25" customHeight="1" spans="1:26">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row>
    <row r="438" ht="14.25" customHeight="1" spans="1:26">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row>
    <row r="439" ht="14.25" customHeight="1" spans="1:26">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row>
    <row r="440" ht="14.25" customHeight="1" spans="1:26">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row>
    <row r="441" ht="14.25" customHeight="1" spans="1:26">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row>
    <row r="442" ht="14.25" customHeight="1" spans="1:26">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row>
    <row r="443" ht="14.25" customHeight="1" spans="1:26">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row>
    <row r="444" ht="14.25" customHeight="1" spans="1:26">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row>
    <row r="445" ht="14.25" customHeight="1" spans="1:26">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row>
    <row r="446" ht="14.25" customHeight="1" spans="1:26">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row>
    <row r="447" ht="14.25" customHeight="1" spans="1:26">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row>
    <row r="448" ht="14.25" customHeight="1" spans="1:26">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row>
    <row r="449" ht="14.25" customHeight="1" spans="1:26">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row>
    <row r="450" ht="14.25" customHeight="1" spans="1:26">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row>
    <row r="451" ht="14.25" customHeight="1" spans="1:26">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row>
    <row r="452" ht="14.25" customHeight="1" spans="1:26">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row>
    <row r="453" ht="14.25" customHeight="1" spans="1:26">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row>
    <row r="454" ht="14.25" customHeight="1" spans="1:26">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row>
    <row r="455" ht="14.25" customHeight="1" spans="1:26">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row>
    <row r="456" ht="14.25" customHeight="1" spans="1:26">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row>
    <row r="457" ht="14.25" customHeight="1" spans="1:26">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row>
    <row r="458" ht="14.25" customHeight="1" spans="1:26">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row>
    <row r="459" ht="14.25" customHeight="1" spans="1:26">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row>
    <row r="460" ht="14.25" customHeight="1" spans="1:26">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row>
    <row r="461" ht="14.25" customHeight="1" spans="1:26">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row>
    <row r="462" ht="14.25" customHeight="1" spans="1:26">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row>
    <row r="463" ht="14.25" customHeight="1" spans="1:26">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row>
    <row r="464" ht="14.25" customHeight="1" spans="1:26">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row>
    <row r="465" ht="14.25" customHeight="1" spans="1:26">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row>
    <row r="466" ht="14.25" customHeight="1" spans="1:26">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row>
    <row r="467" ht="14.25" customHeight="1" spans="1:26">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row>
    <row r="468" ht="14.25" customHeight="1" spans="1:26">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row>
    <row r="469" ht="14.25" customHeight="1" spans="1:26">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row>
    <row r="470" ht="14.25" customHeight="1" spans="1:26">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row>
    <row r="471" ht="14.25" customHeight="1" spans="1:26">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row>
    <row r="472" ht="14.25" customHeight="1" spans="1:26">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row>
    <row r="473" ht="14.25" customHeight="1" spans="1:26">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row>
    <row r="474" ht="14.25" customHeight="1" spans="1:26">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row>
    <row r="475" ht="14.25" customHeight="1" spans="1:26">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row>
    <row r="476" ht="14.25" customHeight="1" spans="1:26">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row>
    <row r="477" ht="14.25" customHeight="1" spans="1:26">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row>
    <row r="478" ht="14.25" customHeight="1" spans="1:26">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row>
    <row r="479" ht="14.25" customHeight="1" spans="1:26">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row>
    <row r="480" ht="14.25" customHeight="1" spans="1:26">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row>
    <row r="481" ht="14.25" customHeight="1" spans="1:26">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row>
    <row r="482" ht="14.25" customHeight="1" spans="1:26">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row>
    <row r="483" ht="14.25" customHeight="1" spans="1:26">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row>
    <row r="484" ht="14.25" customHeight="1" spans="1:26">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row>
    <row r="485" ht="14.25" customHeight="1" spans="1:26">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row>
    <row r="486" ht="14.25" customHeight="1" spans="1:26">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row>
    <row r="487" ht="14.25" customHeight="1" spans="1:26">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row>
    <row r="488" ht="14.25" customHeight="1" spans="1:26">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row>
    <row r="489" ht="14.25" customHeight="1" spans="1:26">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row>
    <row r="490" ht="14.25" customHeight="1" spans="1:26">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row>
    <row r="491" ht="14.25" customHeight="1" spans="1:26">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row>
    <row r="492" ht="14.25" customHeight="1" spans="1:26">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row>
    <row r="493" ht="14.25" customHeight="1" spans="1:26">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row>
    <row r="494" ht="14.25" customHeight="1" spans="1:26">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row>
    <row r="495" ht="14.25" customHeight="1" spans="1:26">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row>
    <row r="496" ht="14.25" customHeight="1" spans="1:26">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row>
    <row r="497" ht="14.25" customHeight="1" spans="1:26">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row>
    <row r="498" ht="14.25" customHeight="1" spans="1:26">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row>
    <row r="499" ht="14.25" customHeight="1" spans="1:26">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row>
    <row r="500" ht="14.25" customHeight="1" spans="1:26">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row>
    <row r="501" ht="14.25" customHeight="1" spans="1:26">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row>
    <row r="502" ht="14.25" customHeight="1" spans="1:26">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row>
    <row r="503" ht="14.25" customHeight="1" spans="1:26">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row>
    <row r="504" ht="14.25" customHeight="1" spans="1:26">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row>
    <row r="505" ht="14.25" customHeight="1" spans="1:26">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row>
    <row r="506" ht="14.25" customHeight="1" spans="1:26">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row>
    <row r="507" ht="14.25" customHeight="1" spans="1:26">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row>
    <row r="508" ht="14.25" customHeight="1" spans="1:26">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row>
    <row r="509" ht="14.25" customHeight="1" spans="1:26">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row>
    <row r="510" ht="14.25" customHeight="1" spans="1:26">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row>
    <row r="511" ht="14.25" customHeight="1" spans="1:26">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row>
    <row r="512" ht="14.25" customHeight="1" spans="1:26">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row>
    <row r="513" ht="14.25" customHeight="1" spans="1:26">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row>
    <row r="514" ht="14.25" customHeight="1" spans="1:26">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row>
    <row r="515" ht="14.25" customHeight="1" spans="1:26">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row>
    <row r="516" ht="14.25" customHeight="1" spans="1:26">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row>
    <row r="517" ht="14.25" customHeight="1" spans="1:26">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row>
    <row r="518" ht="14.25" customHeight="1" spans="1:26">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row>
    <row r="519" ht="14.25" customHeight="1" spans="1:26">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row>
    <row r="520" ht="14.25" customHeight="1" spans="1:26">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row>
    <row r="521" ht="14.25" customHeight="1" spans="1:26">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row>
    <row r="522" ht="14.25" customHeight="1" spans="1:26">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row>
    <row r="523" ht="14.25" customHeight="1" spans="1:26">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row>
    <row r="524" ht="14.25" customHeight="1" spans="1:26">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row>
    <row r="525" ht="14.25" customHeight="1" spans="1:26">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row>
    <row r="526" ht="14.25" customHeight="1" spans="1:26">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row>
    <row r="527" ht="14.25" customHeight="1" spans="1:26">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row>
    <row r="528" ht="14.25" customHeight="1" spans="1:26">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row>
    <row r="529" ht="14.25" customHeight="1" spans="1:26">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row>
    <row r="530" ht="14.25" customHeight="1" spans="1:26">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row>
    <row r="531" ht="14.25" customHeight="1" spans="1:26">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row>
    <row r="532" ht="14.25" customHeight="1" spans="1:26">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row>
    <row r="533" ht="14.25" customHeight="1" spans="1:26">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row>
    <row r="534" ht="14.25" customHeight="1" spans="1:26">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row>
    <row r="535" ht="14.25" customHeight="1" spans="1:26">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row>
    <row r="536" ht="14.25" customHeight="1" spans="1:26">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row>
    <row r="537" ht="14.25" customHeight="1" spans="1:26">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row>
    <row r="538" ht="14.25" customHeight="1" spans="1:26">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row>
    <row r="539" ht="14.25" customHeight="1" spans="1:26">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row>
    <row r="540" ht="14.25" customHeight="1" spans="1:26">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row>
    <row r="541" ht="14.25" customHeight="1" spans="1:26">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row>
    <row r="542" ht="14.25" customHeight="1" spans="1:26">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row>
    <row r="543" ht="14.25" customHeight="1" spans="1:26">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row>
    <row r="544" ht="14.25" customHeight="1" spans="1:26">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row>
    <row r="545" ht="14.25" customHeight="1" spans="1:26">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row>
    <row r="546" ht="14.25" customHeight="1" spans="1:26">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row>
    <row r="547" ht="14.25" customHeight="1" spans="1:26">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row>
    <row r="548" ht="14.25" customHeight="1" spans="1:26">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row>
    <row r="549" ht="14.25" customHeight="1" spans="1:26">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row>
    <row r="550" ht="14.25" customHeight="1" spans="1:26">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row>
    <row r="551" ht="14.25" customHeight="1" spans="1:26">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row>
    <row r="552" ht="14.25" customHeight="1" spans="1:26">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row>
    <row r="553" ht="14.25" customHeight="1" spans="1:26">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row>
    <row r="554" ht="14.25" customHeight="1" spans="1:26">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row>
    <row r="555" ht="14.25" customHeight="1" spans="1:26">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row>
    <row r="556" ht="14.25" customHeight="1" spans="1:26">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row>
    <row r="557" ht="14.25" customHeight="1" spans="1:26">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row>
    <row r="558" ht="14.25" customHeight="1" spans="1:26">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row>
    <row r="559" ht="14.25" customHeight="1" spans="1:26">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row>
    <row r="560" ht="14.25" customHeight="1" spans="1:26">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row>
    <row r="561" ht="14.25" customHeight="1" spans="1:26">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row>
    <row r="562" ht="14.25" customHeight="1" spans="1:26">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row>
    <row r="563" ht="14.25" customHeight="1" spans="1:26">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row>
    <row r="564" ht="14.25" customHeight="1" spans="1:26">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row>
    <row r="565" ht="14.25" customHeight="1" spans="1:26">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row>
    <row r="566" ht="14.25" customHeight="1" spans="1:26">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row>
    <row r="567" ht="14.25" customHeight="1" spans="1:26">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row>
    <row r="568" ht="14.25" customHeight="1" spans="1:26">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row>
    <row r="569" ht="14.25" customHeight="1" spans="1:26">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row>
    <row r="570" ht="14.25" customHeight="1" spans="1:26">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row>
    <row r="571" ht="14.25" customHeight="1" spans="1:26">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row>
    <row r="572" ht="14.25" customHeight="1" spans="1:26">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row>
    <row r="573" ht="14.25" customHeight="1" spans="1:26">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row>
    <row r="574" ht="14.25" customHeight="1" spans="1:26">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row>
    <row r="575" ht="14.25" customHeight="1" spans="1:26">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row>
    <row r="576" ht="14.25" customHeight="1" spans="1:26">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row>
    <row r="577" ht="14.25" customHeight="1" spans="1:26">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row>
    <row r="578" ht="14.25" customHeight="1" spans="1:26">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row>
    <row r="579" ht="14.25" customHeight="1" spans="1:26">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row>
    <row r="580" ht="14.25" customHeight="1" spans="1:26">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row>
    <row r="581" ht="14.25" customHeight="1" spans="1:26">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row>
    <row r="582" ht="14.25" customHeight="1" spans="1:26">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row>
    <row r="583" ht="14.25" customHeight="1" spans="1:26">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row>
    <row r="584" ht="14.25" customHeight="1" spans="1:26">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row>
    <row r="585" ht="14.25" customHeight="1" spans="1:26">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row>
    <row r="586" ht="14.25" customHeight="1" spans="1:26">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row>
    <row r="587" ht="14.25" customHeight="1" spans="1:26">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row>
    <row r="588" ht="14.25" customHeight="1" spans="1:26">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row>
    <row r="589" ht="14.25" customHeight="1" spans="1:26">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row>
    <row r="590" ht="14.25" customHeight="1" spans="1:26">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row>
    <row r="591" ht="14.25" customHeight="1" spans="1:26">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row>
    <row r="592" ht="14.25" customHeight="1" spans="1:26">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row>
    <row r="593" ht="14.25" customHeight="1" spans="1:26">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row>
    <row r="594" ht="14.25" customHeight="1" spans="1:26">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row>
    <row r="595" ht="14.25" customHeight="1" spans="1:26">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row>
    <row r="596" ht="14.25" customHeight="1" spans="1:26">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row>
    <row r="597" ht="14.25" customHeight="1" spans="1:26">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row>
    <row r="598" ht="14.25" customHeight="1" spans="1:26">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row>
    <row r="599" ht="14.25" customHeight="1" spans="1:26">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row>
    <row r="600" ht="14.25" customHeight="1" spans="1:26">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row>
    <row r="601" ht="14.25" customHeight="1" spans="1:26">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row>
    <row r="602" ht="14.25" customHeight="1" spans="1:26">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row>
    <row r="603" ht="14.25" customHeight="1" spans="1:26">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row>
    <row r="604" ht="14.25" customHeight="1" spans="1:26">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row>
    <row r="605" ht="14.25" customHeight="1" spans="1:26">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row>
    <row r="606" ht="14.25" customHeight="1" spans="1:26">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row>
    <row r="607" ht="14.25" customHeight="1" spans="1:26">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row>
    <row r="608" ht="14.25" customHeight="1" spans="1:26">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row>
    <row r="609" ht="14.25" customHeight="1" spans="1:26">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row>
    <row r="610" ht="14.25" customHeight="1" spans="1:26">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row>
    <row r="611" ht="14.25" customHeight="1" spans="1:26">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row>
    <row r="612" ht="14.25" customHeight="1" spans="1:26">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row>
    <row r="613" ht="14.25" customHeight="1" spans="1:26">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row>
    <row r="614" ht="14.25" customHeight="1" spans="1:26">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row>
    <row r="615" ht="14.25" customHeight="1" spans="1:26">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row>
    <row r="616" ht="14.25" customHeight="1" spans="1:26">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row>
    <row r="617" ht="14.25" customHeight="1" spans="1:26">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row>
    <row r="618" ht="14.25" customHeight="1" spans="1:26">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row>
    <row r="619" ht="14.25" customHeight="1" spans="1:26">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row>
    <row r="620" ht="14.25" customHeight="1" spans="1:26">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row>
    <row r="621" ht="14.25" customHeight="1" spans="1:26">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row>
    <row r="622" ht="14.25" customHeight="1" spans="1:26">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row>
    <row r="623" ht="14.25" customHeight="1" spans="1:26">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row>
    <row r="624" ht="14.25" customHeight="1" spans="1:26">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row>
    <row r="625" ht="14.25" customHeight="1" spans="1:26">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row>
    <row r="626" ht="14.25" customHeight="1" spans="1:26">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row>
    <row r="627" ht="14.25" customHeight="1" spans="1:26">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row>
    <row r="628" ht="14.25" customHeight="1" spans="1:26">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row>
    <row r="629" ht="14.25" customHeight="1" spans="1:26">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row>
    <row r="630" ht="14.25" customHeight="1" spans="1:26">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row>
    <row r="631" ht="14.25" customHeight="1" spans="1:26">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row>
    <row r="632" ht="14.25" customHeight="1" spans="1:26">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row>
    <row r="633" ht="14.25" customHeight="1" spans="1:26">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row>
    <row r="634" ht="14.25" customHeight="1" spans="1:26">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row>
    <row r="635" ht="14.25" customHeight="1" spans="1:26">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row>
    <row r="636" ht="14.25" customHeight="1" spans="1:26">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row>
    <row r="637" ht="14.25" customHeight="1" spans="1:26">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row>
    <row r="638" ht="14.25" customHeight="1" spans="1:26">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row>
    <row r="639" ht="14.25" customHeight="1" spans="1:26">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row>
    <row r="640" ht="14.25" customHeight="1" spans="1:26">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row>
    <row r="641" ht="14.25" customHeight="1" spans="1:26">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row>
    <row r="642" ht="14.25" customHeight="1" spans="1:26">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row>
    <row r="643" ht="14.25" customHeight="1" spans="1:26">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row>
    <row r="644" ht="14.25" customHeight="1" spans="1:26">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row>
    <row r="645" ht="14.25" customHeight="1" spans="1:26">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row>
    <row r="646" ht="14.25" customHeight="1" spans="1:26">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row>
    <row r="647" ht="14.25" customHeight="1" spans="1:26">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row>
    <row r="648" ht="14.25" customHeight="1" spans="1:26">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row>
    <row r="649" ht="14.25" customHeight="1" spans="1:26">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row>
    <row r="650" ht="14.25" customHeight="1" spans="1:26">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row>
    <row r="651" ht="14.25" customHeight="1" spans="1:26">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row>
    <row r="652" ht="14.25" customHeight="1" spans="1:26">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row>
    <row r="653" ht="14.25" customHeight="1" spans="1:26">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row>
    <row r="654" ht="14.25" customHeight="1" spans="1:26">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row>
    <row r="655" ht="14.25" customHeight="1" spans="1:26">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row>
    <row r="656" ht="14.25" customHeight="1" spans="1:26">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row>
    <row r="657" ht="14.25" customHeight="1" spans="1:26">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row>
    <row r="658" ht="14.25" customHeight="1" spans="1:26">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row>
    <row r="659" ht="14.25" customHeight="1" spans="1:26">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row>
    <row r="660" ht="14.25" customHeight="1" spans="1:26">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row>
    <row r="661" ht="14.25" customHeight="1" spans="1:26">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row>
    <row r="662" ht="14.25" customHeight="1" spans="1:26">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row>
    <row r="663" ht="14.25" customHeight="1" spans="1:26">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row>
    <row r="664" ht="14.25" customHeight="1" spans="1:26">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row>
    <row r="665" ht="14.25" customHeight="1" spans="1:26">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row>
    <row r="666" ht="14.25" customHeight="1" spans="1:26">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row>
    <row r="667" ht="14.25" customHeight="1" spans="1:26">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row>
    <row r="668" ht="14.25" customHeight="1" spans="1:26">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row>
    <row r="669" ht="14.25" customHeight="1" spans="1:26">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row>
    <row r="670" ht="14.25" customHeight="1" spans="1:26">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row>
    <row r="671" ht="14.25" customHeight="1" spans="1:26">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row>
    <row r="672" ht="14.25" customHeight="1" spans="1:26">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row>
    <row r="673" ht="14.25" customHeight="1" spans="1:26">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row>
    <row r="674" ht="14.25" customHeight="1" spans="1:26">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row>
    <row r="675" ht="14.25" customHeight="1" spans="1:26">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row>
    <row r="676" ht="14.25" customHeight="1" spans="1:26">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row>
    <row r="677" ht="14.25" customHeight="1" spans="1:26">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row>
    <row r="678" ht="14.25" customHeight="1" spans="1:26">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row>
    <row r="679" ht="14.25" customHeight="1" spans="1:26">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row>
    <row r="680" ht="14.25" customHeight="1" spans="1:26">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row>
    <row r="681" ht="14.25" customHeight="1" spans="1:26">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row>
    <row r="682" ht="14.25" customHeight="1" spans="1:26">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row>
    <row r="683" ht="14.25" customHeight="1" spans="1:26">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row>
    <row r="684" ht="14.25" customHeight="1" spans="1:26">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row>
    <row r="685" ht="14.25" customHeight="1" spans="1:26">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row>
    <row r="686" ht="14.25" customHeight="1" spans="1:26">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row>
    <row r="687" ht="14.25" customHeight="1" spans="1:26">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row>
    <row r="688" ht="14.25" customHeight="1" spans="1:26">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row>
    <row r="689" ht="14.25" customHeight="1" spans="1:26">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row>
    <row r="690" ht="14.25" customHeight="1" spans="1:26">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row>
    <row r="691" ht="14.25" customHeight="1" spans="1:26">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row>
    <row r="692" ht="14.25" customHeight="1" spans="1:26">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row>
    <row r="693" ht="14.25" customHeight="1" spans="1:26">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row>
    <row r="694" ht="14.25" customHeight="1" spans="1:26">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row>
    <row r="695" ht="14.25" customHeight="1" spans="1:26">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row>
    <row r="696" ht="14.25" customHeight="1" spans="1:26">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row>
    <row r="697" ht="14.25" customHeight="1" spans="1:26">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row>
    <row r="698" ht="14.25" customHeight="1" spans="1:26">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row>
    <row r="699" ht="14.25" customHeight="1" spans="1:26">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row>
    <row r="700" ht="14.25" customHeight="1" spans="1:26">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row>
    <row r="701" ht="14.25" customHeight="1" spans="1:26">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row>
    <row r="702" ht="14.25" customHeight="1" spans="1:26">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row>
    <row r="703" ht="14.25" customHeight="1" spans="1:26">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row>
    <row r="704" ht="14.25" customHeight="1" spans="1:26">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row>
    <row r="705" ht="14.25" customHeight="1" spans="1:26">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row>
    <row r="706" ht="14.25" customHeight="1" spans="1:26">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row>
    <row r="707" ht="14.25" customHeight="1" spans="1:26">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row>
    <row r="708" ht="14.25" customHeight="1" spans="1:26">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row>
    <row r="709" ht="14.25" customHeight="1" spans="1:26">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row>
    <row r="710" ht="14.25" customHeight="1" spans="1:26">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row>
    <row r="711" ht="14.25" customHeight="1" spans="1:26">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row>
    <row r="712" ht="14.25" customHeight="1" spans="1:26">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row>
    <row r="713" ht="14.25" customHeight="1" spans="1:26">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row>
    <row r="714" ht="14.25" customHeight="1" spans="1:26">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row>
    <row r="715" ht="14.25" customHeight="1" spans="1:26">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row>
    <row r="716" ht="14.25" customHeight="1" spans="1:26">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row>
    <row r="717" ht="14.25" customHeight="1" spans="1:26">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row>
    <row r="718" ht="14.25" customHeight="1" spans="1:26">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row>
    <row r="719" ht="14.25" customHeight="1" spans="1:26">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row>
    <row r="720" ht="14.25" customHeight="1" spans="1:26">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row>
    <row r="721" ht="14.25" customHeight="1" spans="1:26">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row>
    <row r="722" ht="14.25" customHeight="1" spans="1:26">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row>
    <row r="723" ht="14.25" customHeight="1" spans="1:26">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row>
    <row r="724" ht="14.25" customHeight="1" spans="1:26">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row>
    <row r="725" ht="14.25" customHeight="1" spans="1:26">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row>
    <row r="726" ht="14.25" customHeight="1" spans="1:26">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row>
    <row r="727" ht="14.25" customHeight="1" spans="1:26">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row>
    <row r="728" ht="14.25" customHeight="1" spans="1:26">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row>
    <row r="729" ht="14.25" customHeight="1" spans="1:26">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row>
    <row r="730" ht="14.25" customHeight="1" spans="1:26">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row>
    <row r="731" ht="14.25" customHeight="1" spans="1:26">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row>
    <row r="732" ht="14.25" customHeight="1" spans="1:26">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row>
    <row r="733" ht="14.25" customHeight="1" spans="1:26">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row>
    <row r="734" ht="14.25" customHeight="1" spans="1:26">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row>
    <row r="735" ht="14.25" customHeight="1" spans="1:26">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row>
    <row r="736" ht="14.25" customHeight="1" spans="1:26">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row>
    <row r="737" ht="14.25" customHeight="1" spans="1:26">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row>
    <row r="738" ht="14.25" customHeight="1" spans="1:26">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row>
    <row r="739" ht="14.25" customHeight="1" spans="1:26">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row>
    <row r="740" ht="14.25" customHeight="1" spans="1:26">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row>
    <row r="741" ht="14.25" customHeight="1" spans="1:26">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row>
    <row r="742" ht="14.25" customHeight="1" spans="1:26">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row>
    <row r="743" ht="14.25" customHeight="1" spans="1:26">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row>
    <row r="744" ht="14.25" customHeight="1" spans="1:26">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row>
    <row r="745" ht="14.25" customHeight="1" spans="1:26">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row>
    <row r="746" ht="14.25" customHeight="1" spans="1:26">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row>
    <row r="747" ht="14.25" customHeight="1" spans="1:26">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row>
    <row r="748" ht="14.25" customHeight="1" spans="1:26">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row>
    <row r="749" ht="14.25" customHeight="1" spans="1:26">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row>
    <row r="750" ht="14.25" customHeight="1" spans="1:26">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row>
    <row r="751" ht="14.25" customHeight="1" spans="1:26">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row>
    <row r="752" ht="14.25" customHeight="1" spans="1:26">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row>
    <row r="753" ht="14.25" customHeight="1" spans="1:26">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row>
    <row r="754" ht="14.25" customHeight="1" spans="1:26">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row>
    <row r="755" ht="14.25" customHeight="1" spans="1:26">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row>
    <row r="756" ht="14.25" customHeight="1" spans="1:26">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row>
    <row r="757" ht="14.25" customHeight="1" spans="1:26">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row>
    <row r="758" ht="14.25" customHeight="1" spans="1:26">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row>
    <row r="759" ht="14.25" customHeight="1" spans="1:26">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row>
    <row r="760" ht="14.25" customHeight="1" spans="1:26">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row>
    <row r="761" ht="14.25" customHeight="1" spans="1:26">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row>
    <row r="762" ht="14.25" customHeight="1" spans="1:26">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row>
    <row r="763" ht="14.25" customHeight="1" spans="1:26">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row>
    <row r="764" ht="14.25" customHeight="1" spans="1:26">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row>
    <row r="765" ht="14.25" customHeight="1" spans="1:26">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row>
    <row r="766" ht="14.25" customHeight="1" spans="1:26">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row>
    <row r="767" ht="14.25" customHeight="1" spans="1:26">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row>
    <row r="768" ht="14.25" customHeight="1" spans="1:26">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row>
    <row r="769" ht="14.25" customHeight="1" spans="1:26">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row>
    <row r="770" ht="14.25" customHeight="1" spans="1:26">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row>
    <row r="771" ht="14.25" customHeight="1" spans="1:26">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row>
    <row r="772" ht="14.25" customHeight="1" spans="1:26">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row>
    <row r="773" ht="14.25" customHeight="1" spans="1:26">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row>
    <row r="774" ht="14.25" customHeight="1" spans="1:26">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row>
    <row r="775" ht="14.25" customHeight="1" spans="1:26">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row>
    <row r="776" ht="14.25" customHeight="1" spans="1:26">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row>
    <row r="777" ht="14.25" customHeight="1" spans="1:26">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row>
    <row r="778" ht="14.25" customHeight="1" spans="1:26">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row>
    <row r="779" ht="14.25" customHeight="1" spans="1:26">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row>
    <row r="780" ht="14.25" customHeight="1" spans="1:26">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row>
    <row r="781" ht="14.25" customHeight="1" spans="1:26">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row>
    <row r="782" ht="14.25" customHeight="1" spans="1:26">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row>
    <row r="783" ht="14.25" customHeight="1" spans="1:26">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row>
    <row r="784" ht="14.25" customHeight="1" spans="1:26">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row>
    <row r="785" ht="14.25" customHeight="1" spans="1:26">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row>
    <row r="786" ht="14.25" customHeight="1" spans="1:26">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row>
    <row r="787" ht="14.25" customHeight="1" spans="1:26">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row>
    <row r="788" ht="14.25" customHeight="1" spans="1:26">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row>
    <row r="789" ht="14.25" customHeight="1" spans="1:26">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row>
    <row r="790" ht="14.25" customHeight="1" spans="1:26">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row>
    <row r="791" ht="14.25" customHeight="1" spans="1:26">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row>
    <row r="792" ht="14.25" customHeight="1" spans="1:26">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row>
    <row r="793" ht="14.25" customHeight="1" spans="1:26">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row>
    <row r="794" ht="14.25" customHeight="1" spans="1:26">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row>
    <row r="795" ht="14.25" customHeight="1" spans="1:26">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row>
    <row r="796" ht="14.25" customHeight="1" spans="1:26">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row>
    <row r="797" ht="14.25" customHeight="1" spans="1:26">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row>
    <row r="798" ht="14.25" customHeight="1" spans="1:26">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row>
    <row r="799" ht="14.25" customHeight="1" spans="1:26">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row>
    <row r="800" ht="14.25" customHeight="1" spans="1:26">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row>
    <row r="801" ht="14.25" customHeight="1" spans="1:26">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row>
    <row r="802" ht="14.25" customHeight="1" spans="1:26">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row>
    <row r="803" ht="14.25" customHeight="1" spans="1:26">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row>
    <row r="804" ht="14.25" customHeight="1" spans="1:26">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row>
    <row r="805" ht="14.25" customHeight="1" spans="1:26">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row>
    <row r="806" ht="14.25" customHeight="1" spans="1:26">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row>
    <row r="807" ht="14.25" customHeight="1" spans="1:26">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row>
    <row r="808" ht="14.25" customHeight="1" spans="1:26">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row>
    <row r="809" ht="14.25" customHeight="1" spans="1:26">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row>
    <row r="810" ht="14.25" customHeight="1" spans="1:26">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row>
    <row r="811" ht="14.25" customHeight="1" spans="1:26">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row>
    <row r="812" ht="14.25" customHeight="1" spans="1:26">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row>
    <row r="813" ht="14.25" customHeight="1" spans="1:26">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row>
    <row r="814" ht="14.25" customHeight="1" spans="1:26">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row>
    <row r="815" ht="14.25" customHeight="1" spans="1:26">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row>
    <row r="816" ht="14.25" customHeight="1" spans="1:26">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row>
    <row r="817" ht="14.25" customHeight="1" spans="1:26">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row>
    <row r="818" ht="14.25" customHeight="1" spans="1:26">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row>
    <row r="819" ht="14.25" customHeight="1" spans="1:26">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row>
    <row r="820" ht="14.25" customHeight="1" spans="1:26">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row>
    <row r="821" ht="14.25" customHeight="1" spans="1:26">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row>
    <row r="822" ht="14.25" customHeight="1" spans="1:26">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row>
    <row r="823" ht="14.25" customHeight="1" spans="1:26">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row>
    <row r="824" ht="14.25" customHeight="1" spans="1:26">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row>
    <row r="825" ht="14.25" customHeight="1" spans="1:26">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row>
    <row r="826" ht="14.25" customHeight="1" spans="1:26">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row>
    <row r="827" ht="14.25" customHeight="1" spans="1:26">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row>
    <row r="828" ht="14.25" customHeight="1" spans="1:26">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row>
    <row r="829" ht="14.25" customHeight="1" spans="1:26">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row>
    <row r="830" ht="14.25" customHeight="1" spans="1:26">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row>
    <row r="831" ht="14.25" customHeight="1" spans="1:26">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row>
    <row r="832" ht="14.25" customHeight="1" spans="1:26">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row>
    <row r="833" ht="14.25" customHeight="1" spans="1:26">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row>
    <row r="834" ht="14.25" customHeight="1" spans="1:26">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row>
    <row r="835" ht="14.25" customHeight="1" spans="1:26">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row>
    <row r="836" ht="14.25" customHeight="1" spans="1:26">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row>
    <row r="837" ht="14.25" customHeight="1" spans="1:26">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row>
    <row r="838" ht="14.25" customHeight="1" spans="1:26">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row>
    <row r="839" ht="14.25" customHeight="1" spans="1:26">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row>
    <row r="840" ht="14.25" customHeight="1" spans="1:26">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row>
    <row r="841" ht="14.25" customHeight="1" spans="1:26">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row>
    <row r="842" ht="14.25" customHeight="1" spans="1:26">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row>
    <row r="843" ht="14.25" customHeight="1" spans="1:26">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row>
    <row r="844" ht="14.25" customHeight="1" spans="1:26">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row>
    <row r="845" ht="14.25" customHeight="1" spans="1:26">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row>
    <row r="846" ht="14.25" customHeight="1" spans="1:26">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row>
    <row r="847" ht="14.25" customHeight="1" spans="1:26">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row>
    <row r="848" ht="14.25" customHeight="1" spans="1:26">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row>
    <row r="849" ht="14.25" customHeight="1" spans="1:26">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row>
    <row r="850" ht="14.25" customHeight="1" spans="1:26">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row>
    <row r="851" ht="14.25" customHeight="1" spans="1:26">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row>
    <row r="852" ht="14.25" customHeight="1" spans="1:26">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row>
    <row r="853" ht="14.25" customHeight="1" spans="1:26">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row>
    <row r="854" ht="14.25" customHeight="1" spans="1:26">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row>
    <row r="855" ht="14.25" customHeight="1" spans="1:26">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row>
    <row r="856" ht="14.25" customHeight="1" spans="1:26">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row>
    <row r="857" ht="14.25" customHeight="1" spans="1:26">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row>
    <row r="858" ht="14.25" customHeight="1" spans="1:26">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row>
    <row r="859" ht="14.25" customHeight="1" spans="1:26">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row>
    <row r="860" ht="14.25" customHeight="1" spans="1:26">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row>
    <row r="861" ht="14.25" customHeight="1" spans="1:26">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row>
    <row r="862" ht="14.25" customHeight="1" spans="1:26">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row>
    <row r="863" ht="14.25" customHeight="1" spans="1:26">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row>
    <row r="864" ht="14.25" customHeight="1" spans="1:26">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row>
    <row r="865" ht="14.25" customHeight="1" spans="1:26">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row>
    <row r="866" ht="14.25" customHeight="1" spans="1:26">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row>
    <row r="867" ht="14.25" customHeight="1" spans="1:26">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row>
    <row r="868" ht="14.25" customHeight="1" spans="1:26">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row>
    <row r="869" ht="14.25" customHeight="1" spans="1:26">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row>
    <row r="870" ht="14.25" customHeight="1" spans="1:26">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row>
    <row r="871" ht="14.25" customHeight="1" spans="1:26">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row>
    <row r="872" ht="14.25" customHeight="1" spans="1:26">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row>
    <row r="873" ht="14.25" customHeight="1" spans="1:26">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row>
    <row r="874" ht="14.25" customHeight="1" spans="1:26">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row>
    <row r="875" ht="14.25" customHeight="1" spans="1:26">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row>
    <row r="876" ht="14.25" customHeight="1" spans="1:26">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row>
    <row r="877" ht="14.25" customHeight="1" spans="1:26">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row>
    <row r="878" ht="14.25" customHeight="1" spans="1:26">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row>
    <row r="879" ht="14.25" customHeight="1" spans="1:26">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row>
    <row r="880" ht="14.25" customHeight="1" spans="1:26">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row>
    <row r="881" ht="14.25" customHeight="1" spans="1:26">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row>
    <row r="882" ht="14.25" customHeight="1" spans="1:26">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row>
    <row r="883" ht="14.25" customHeight="1" spans="1:26">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row>
    <row r="884" ht="14.25" customHeight="1" spans="1:26">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row>
    <row r="885" ht="14.25" customHeight="1" spans="1:26">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row>
    <row r="886" ht="14.25" customHeight="1" spans="1:26">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row>
    <row r="887" ht="14.25" customHeight="1" spans="1:26">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row>
    <row r="888" ht="14.25" customHeight="1" spans="1:26">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row>
    <row r="889" ht="14.25" customHeight="1" spans="1:26">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row>
    <row r="890" ht="14.25" customHeight="1" spans="1:26">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row>
    <row r="891" ht="14.25" customHeight="1" spans="1:26">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row>
    <row r="892" ht="14.25" customHeight="1" spans="1:26">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row>
    <row r="893" ht="14.25" customHeight="1" spans="1:26">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row>
    <row r="894" ht="14.25" customHeight="1" spans="1:26">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row>
    <row r="895" ht="14.25" customHeight="1" spans="1:26">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row>
    <row r="896" ht="14.25" customHeight="1" spans="1:26">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row>
    <row r="897" ht="14.25" customHeight="1" spans="1:26">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row>
    <row r="898" ht="14.25" customHeight="1" spans="1:26">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row>
    <row r="899" ht="14.25" customHeight="1" spans="1:26">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row>
    <row r="900" ht="14.25" customHeight="1" spans="1:26">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row>
    <row r="901" ht="14.25" customHeight="1" spans="1:26">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row>
    <row r="902" ht="14.25" customHeight="1" spans="1:26">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row>
    <row r="903" ht="14.25" customHeight="1" spans="1:26">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row>
    <row r="904" ht="14.25" customHeight="1" spans="1:26">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row>
    <row r="905" ht="14.25" customHeight="1" spans="1:26">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row>
    <row r="906" ht="14.25" customHeight="1" spans="1:26">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row>
    <row r="907" ht="14.25" customHeight="1" spans="1:26">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row>
    <row r="908" ht="14.25" customHeight="1" spans="1:26">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row>
    <row r="909" ht="14.25" customHeight="1" spans="1:26">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row>
    <row r="910" ht="14.25" customHeight="1" spans="1:26">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row>
    <row r="911" ht="14.25" customHeight="1" spans="1:26">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row>
    <row r="912" ht="14.25" customHeight="1" spans="1:26">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row>
    <row r="913" ht="14.25" customHeight="1" spans="1:26">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row>
    <row r="914" ht="14.25" customHeight="1" spans="1:26">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row>
    <row r="915" ht="14.25" customHeight="1" spans="1:26">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row>
    <row r="916" ht="14.25" customHeight="1" spans="1:26">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row>
    <row r="917" ht="14.25" customHeight="1" spans="1:26">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row>
    <row r="918" ht="14.25" customHeight="1" spans="1:26">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row>
    <row r="919" ht="14.25" customHeight="1" spans="1:26">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row>
    <row r="920" ht="14.25" customHeight="1" spans="1:26">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row>
    <row r="921" ht="14.25" customHeight="1" spans="1:26">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row>
    <row r="922" ht="14.25" customHeight="1" spans="1:26">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row>
    <row r="923" ht="14.25" customHeight="1" spans="1:26">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row>
    <row r="924" ht="14.25" customHeight="1" spans="1:26">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row>
    <row r="925" ht="14.25" customHeight="1" spans="1:26">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row>
    <row r="926" ht="14.25" customHeight="1" spans="1:26">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row>
    <row r="927" ht="14.25" customHeight="1" spans="1:26">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row>
    <row r="928" ht="14.25" customHeight="1" spans="1:26">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row>
    <row r="929" ht="14.25" customHeight="1" spans="1:26">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row>
    <row r="930" ht="14.25" customHeight="1" spans="1:26">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row>
    <row r="931" ht="14.25" customHeight="1" spans="1:26">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row>
    <row r="932" ht="14.25" customHeight="1" spans="1:26">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row>
    <row r="933" ht="14.25" customHeight="1" spans="1:26">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row>
    <row r="934" ht="14.25" customHeight="1" spans="1:26">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row>
    <row r="935" ht="14.25" customHeight="1" spans="1:26">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row>
    <row r="936" ht="14.25" customHeight="1" spans="1:26">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row>
    <row r="937" ht="14.25" customHeight="1" spans="1:26">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row>
    <row r="938" ht="14.25" customHeight="1" spans="1:26">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row>
    <row r="939" ht="14.25" customHeight="1" spans="1:26">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row>
    <row r="940" ht="14.25" customHeight="1" spans="1:26">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row>
    <row r="941" ht="14.25" customHeight="1" spans="1:26">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row>
    <row r="942" ht="14.25" customHeight="1" spans="1:26">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row>
    <row r="943" ht="14.25" customHeight="1" spans="1:26">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row>
    <row r="944" ht="14.25" customHeight="1" spans="1:26">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row>
    <row r="945" ht="14.25" customHeight="1" spans="1:26">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row>
    <row r="946" ht="14.25" customHeight="1" spans="1:26">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row>
    <row r="947" ht="14.25" customHeight="1" spans="1:26">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row>
    <row r="948" ht="14.25" customHeight="1" spans="1:26">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row>
    <row r="949" ht="14.25" customHeight="1" spans="1:26">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row>
    <row r="950" ht="14.25" customHeight="1" spans="1:26">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row>
    <row r="951" ht="14.25" customHeight="1" spans="1:26">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row>
    <row r="952" ht="14.25" customHeight="1" spans="1:26">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row>
    <row r="953" ht="14.25" customHeight="1" spans="1:26">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row>
    <row r="954" ht="14.25" customHeight="1" spans="1:26">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row>
    <row r="955" ht="14.25" customHeight="1" spans="1:26">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row>
    <row r="956" ht="14.25" customHeight="1" spans="1:26">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row>
    <row r="957" ht="14.25" customHeight="1" spans="1:26">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row>
    <row r="958" ht="14.25" customHeight="1" spans="1:26">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row>
    <row r="959" ht="14.25" customHeight="1" spans="1:26">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row>
    <row r="960" ht="14.25" customHeight="1" spans="1:26">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row>
    <row r="961" ht="14.25" customHeight="1" spans="1:26">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row>
    <row r="962" ht="14.25" customHeight="1" spans="1:26">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row>
    <row r="963" ht="14.25" customHeight="1" spans="1:26">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row>
    <row r="964" ht="14.25" customHeight="1" spans="1:26">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row>
    <row r="965" ht="14.25" customHeight="1" spans="1:26">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row>
    <row r="966" ht="14.25" customHeight="1" spans="1:26">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row>
    <row r="967" ht="14.25" customHeight="1" spans="1:26">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row>
    <row r="968" ht="14.25" customHeight="1" spans="1:26">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row>
    <row r="969" ht="14.25" customHeight="1" spans="1:26">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row>
    <row r="970" ht="14.25" customHeight="1" spans="1:26">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row>
    <row r="971" ht="14.25" customHeight="1" spans="1:26">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row>
    <row r="972" ht="14.25" customHeight="1" spans="1:26">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row>
    <row r="973" ht="14.25" customHeight="1" spans="1:26">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row>
    <row r="974" ht="14.25" customHeight="1" spans="1:26">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row>
    <row r="975" ht="14.25" customHeight="1" spans="1:26">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row>
    <row r="976" ht="14.25" customHeight="1" spans="1:26">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row>
    <row r="977" ht="14.25" customHeight="1" spans="1:26">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row>
    <row r="978" ht="14.25" customHeight="1" spans="1:26">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row>
    <row r="979" ht="14.25" customHeight="1" spans="1:26">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row>
    <row r="980" ht="14.25" customHeight="1" spans="1:26">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row>
    <row r="981" ht="14.25" customHeight="1" spans="1:26">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row>
    <row r="982" ht="14.25" customHeight="1" spans="1:26">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row>
    <row r="983" ht="14.25" customHeight="1" spans="1:26">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row>
    <row r="984" ht="14.25" customHeight="1" spans="1:26">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row>
    <row r="985" ht="14.25" customHeight="1" spans="1:26">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row>
    <row r="986" ht="14.25" customHeight="1" spans="1:26">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row>
    <row r="987" ht="14.25" customHeight="1" spans="1:26">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row>
    <row r="988" ht="14.25" customHeight="1" spans="1:26">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row>
    <row r="989" ht="14.25" customHeight="1" spans="1:26">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row>
    <row r="990" ht="14.25" customHeight="1" spans="1:26">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row>
    <row r="991" ht="14.25" customHeight="1" spans="1:26">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row>
    <row r="992" ht="14.25" customHeight="1" spans="1:26">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row>
    <row r="993" ht="14.25" customHeight="1" spans="1:26">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row>
    <row r="994" ht="14.25" customHeight="1" spans="1:26">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row>
    <row r="995" ht="14.25" customHeight="1" spans="1:26">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row>
    <row r="996" ht="14.25" customHeight="1" spans="1:26">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row>
    <row r="997" ht="14.25" customHeight="1" spans="1:26">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row>
    <row r="998" ht="14.25" customHeight="1" spans="1:26">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row>
    <row r="999" ht="14.25" customHeight="1" spans="1:26">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row>
    <row r="1000" ht="14.25" customHeight="1" spans="1:26">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row>
  </sheetData>
  <mergeCells count="9">
    <mergeCell ref="G1:Q1"/>
    <mergeCell ref="A8:H8"/>
    <mergeCell ref="L20:S20"/>
    <mergeCell ref="A26:H26"/>
    <mergeCell ref="A41:H41"/>
    <mergeCell ref="J42:M42"/>
    <mergeCell ref="A49:H49"/>
    <mergeCell ref="A56:H56"/>
    <mergeCell ref="A68:H68"/>
  </mergeCells>
  <pageMargins left="0.25" right="0.25" top="0.75" bottom="0.75" header="0" footer="0"/>
  <pageSetup paperSize="1" orientation="portrait"/>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O1"/>
    </sheetView>
  </sheetViews>
  <sheetFormatPr defaultColWidth="12.6285714285714" defaultRowHeight="15.75" customHeight="1"/>
  <cols>
    <col min="1" max="1" width="14.6285714285714" customWidth="1"/>
    <col min="2" max="4" width="4" customWidth="1"/>
    <col min="5" max="5" width="3" customWidth="1"/>
    <col min="6" max="6" width="4.38095238095238" customWidth="1"/>
    <col min="7" max="7" width="4" customWidth="1"/>
    <col min="8" max="8" width="4.24761904761905" customWidth="1"/>
    <col min="9" max="9" width="21.752380952381" customWidth="1"/>
    <col min="10" max="13" width="4" customWidth="1"/>
    <col min="14" max="15" width="5.13333333333333" customWidth="1"/>
    <col min="16" max="26" width="7.62857142857143" customWidth="1"/>
  </cols>
  <sheetData>
    <row r="1" ht="14.25" customHeight="1" spans="1:15">
      <c r="A1" s="95" t="s">
        <v>2635</v>
      </c>
      <c r="B1" s="96"/>
      <c r="C1" s="96"/>
      <c r="D1" s="96"/>
      <c r="E1" s="96"/>
      <c r="F1" s="96"/>
      <c r="G1" s="96"/>
      <c r="H1" s="96"/>
      <c r="I1" s="96"/>
      <c r="J1" s="96"/>
      <c r="K1" s="96"/>
      <c r="L1" s="96"/>
      <c r="M1" s="96"/>
      <c r="N1" s="96"/>
      <c r="O1" s="117"/>
    </row>
    <row r="2" ht="9.75" customHeight="1" spans="1:26">
      <c r="A2" s="97" t="s">
        <v>2636</v>
      </c>
      <c r="B2" s="98" t="s">
        <v>2637</v>
      </c>
      <c r="C2" s="98" t="s">
        <v>2638</v>
      </c>
      <c r="D2" s="98" t="s">
        <v>2639</v>
      </c>
      <c r="E2" s="98" t="s">
        <v>2640</v>
      </c>
      <c r="F2" s="99" t="s">
        <v>2561</v>
      </c>
      <c r="G2" s="99" t="s">
        <v>1064</v>
      </c>
      <c r="H2" s="100">
        <v>50</v>
      </c>
      <c r="I2" s="100" t="s">
        <v>2641</v>
      </c>
      <c r="J2" s="98" t="s">
        <v>2642</v>
      </c>
      <c r="K2" s="99" t="s">
        <v>2643</v>
      </c>
      <c r="L2" s="99" t="s">
        <v>2644</v>
      </c>
      <c r="M2" s="98" t="s">
        <v>2645</v>
      </c>
      <c r="N2" s="98" t="s">
        <v>2646</v>
      </c>
      <c r="O2" s="98" t="s">
        <v>2647</v>
      </c>
      <c r="P2" s="118"/>
      <c r="Q2" s="118"/>
      <c r="R2" s="118"/>
      <c r="S2" s="118"/>
      <c r="T2" s="118"/>
      <c r="U2" s="118"/>
      <c r="V2" s="118"/>
      <c r="W2" s="118"/>
      <c r="X2" s="118"/>
      <c r="Y2" s="118"/>
      <c r="Z2" s="118"/>
    </row>
    <row r="3" ht="9.75" customHeight="1" spans="1:23">
      <c r="A3" s="101" t="s">
        <v>2564</v>
      </c>
      <c r="B3" s="102"/>
      <c r="C3" s="102"/>
      <c r="D3" s="103"/>
      <c r="E3" s="104">
        <v>250</v>
      </c>
      <c r="F3" s="101" t="s">
        <v>2565</v>
      </c>
      <c r="G3" s="105"/>
      <c r="H3" s="101"/>
      <c r="I3" s="101"/>
      <c r="J3" s="101"/>
      <c r="K3" s="102"/>
      <c r="L3" s="102"/>
      <c r="M3" s="101"/>
      <c r="N3" s="101"/>
      <c r="O3" s="101"/>
      <c r="P3" s="118"/>
      <c r="Q3" s="118"/>
      <c r="R3" s="118"/>
      <c r="S3" s="118"/>
      <c r="T3" s="118"/>
      <c r="U3" s="118"/>
      <c r="V3" s="118"/>
      <c r="W3" s="118"/>
    </row>
    <row r="4" ht="9.75" customHeight="1" spans="1:23">
      <c r="A4" s="101" t="s">
        <v>2567</v>
      </c>
      <c r="B4" s="102"/>
      <c r="C4" s="102"/>
      <c r="D4" s="103"/>
      <c r="E4" s="104">
        <v>500</v>
      </c>
      <c r="F4" s="101" t="s">
        <v>2568</v>
      </c>
      <c r="G4" s="105"/>
      <c r="H4" s="101"/>
      <c r="I4" s="101"/>
      <c r="J4" s="101"/>
      <c r="K4" s="102"/>
      <c r="L4" s="102"/>
      <c r="M4" s="101"/>
      <c r="N4" s="101"/>
      <c r="O4" s="101"/>
      <c r="P4" s="118"/>
      <c r="Q4" s="118"/>
      <c r="R4" s="118"/>
      <c r="S4" s="118"/>
      <c r="T4" s="118"/>
      <c r="U4" s="118"/>
      <c r="V4" s="118"/>
      <c r="W4" s="118"/>
    </row>
    <row r="5" ht="9.75" customHeight="1" spans="1:23">
      <c r="A5" s="101" t="s">
        <v>2570</v>
      </c>
      <c r="B5" s="102"/>
      <c r="C5" s="102"/>
      <c r="D5" s="103"/>
      <c r="E5" s="104">
        <v>100</v>
      </c>
      <c r="F5" s="101" t="s">
        <v>2566</v>
      </c>
      <c r="G5" s="105"/>
      <c r="H5" s="101"/>
      <c r="I5" s="101"/>
      <c r="J5" s="101"/>
      <c r="K5" s="102"/>
      <c r="L5" s="102"/>
      <c r="M5" s="101"/>
      <c r="N5" s="101"/>
      <c r="O5" s="101"/>
      <c r="P5" s="118"/>
      <c r="Q5" s="118"/>
      <c r="R5" s="118"/>
      <c r="S5" s="118"/>
      <c r="T5" s="118"/>
      <c r="U5" s="118"/>
      <c r="V5" s="118"/>
      <c r="W5" s="118"/>
    </row>
    <row r="6" ht="9.75" customHeight="1" spans="1:23">
      <c r="A6" s="101" t="s">
        <v>2572</v>
      </c>
      <c r="B6" s="102"/>
      <c r="C6" s="102"/>
      <c r="D6" s="103"/>
      <c r="E6" s="104">
        <v>10</v>
      </c>
      <c r="F6" s="101" t="s">
        <v>2573</v>
      </c>
      <c r="G6" s="105"/>
      <c r="H6" s="101"/>
      <c r="I6" s="101"/>
      <c r="J6" s="101"/>
      <c r="K6" s="102"/>
      <c r="L6" s="102"/>
      <c r="M6" s="101"/>
      <c r="N6" s="101"/>
      <c r="O6" s="101"/>
      <c r="P6" s="118"/>
      <c r="Q6" s="118"/>
      <c r="R6" s="118"/>
      <c r="S6" s="118"/>
      <c r="T6" s="118"/>
      <c r="U6" s="118"/>
      <c r="V6" s="118"/>
      <c r="W6" s="118"/>
    </row>
    <row r="7" ht="9.75" customHeight="1" spans="1:23">
      <c r="A7" s="106" t="s">
        <v>2578</v>
      </c>
      <c r="B7" s="98" t="s">
        <v>2637</v>
      </c>
      <c r="C7" s="98" t="s">
        <v>2638</v>
      </c>
      <c r="D7" s="98" t="s">
        <v>2639</v>
      </c>
      <c r="E7" s="98" t="s">
        <v>2640</v>
      </c>
      <c r="F7" s="99" t="s">
        <v>2561</v>
      </c>
      <c r="G7" s="99" t="s">
        <v>1064</v>
      </c>
      <c r="H7" s="100">
        <v>50</v>
      </c>
      <c r="I7" s="100"/>
      <c r="J7" s="98" t="s">
        <v>2642</v>
      </c>
      <c r="K7" s="99" t="s">
        <v>2643</v>
      </c>
      <c r="L7" s="99" t="s">
        <v>2644</v>
      </c>
      <c r="M7" s="98" t="s">
        <v>2645</v>
      </c>
      <c r="N7" s="98" t="s">
        <v>2646</v>
      </c>
      <c r="O7" s="98" t="s">
        <v>2647</v>
      </c>
      <c r="P7" s="118"/>
      <c r="Q7" s="118"/>
      <c r="R7" s="118"/>
      <c r="S7" s="118"/>
      <c r="T7" s="118"/>
      <c r="U7" s="118"/>
      <c r="V7" s="118"/>
      <c r="W7" s="118"/>
    </row>
    <row r="8" ht="9.75" customHeight="1" spans="1:23">
      <c r="A8" s="101" t="s">
        <v>505</v>
      </c>
      <c r="B8" s="102"/>
      <c r="C8" s="102"/>
      <c r="D8" s="103"/>
      <c r="E8" s="104">
        <v>10</v>
      </c>
      <c r="F8" s="101" t="s">
        <v>2573</v>
      </c>
      <c r="G8" s="105"/>
      <c r="H8" s="101"/>
      <c r="I8" s="101"/>
      <c r="J8" s="101"/>
      <c r="K8" s="102"/>
      <c r="L8" s="102"/>
      <c r="M8" s="101"/>
      <c r="N8" s="101"/>
      <c r="O8" s="101"/>
      <c r="P8" s="118"/>
      <c r="Q8" s="118"/>
      <c r="R8" s="118"/>
      <c r="S8" s="118"/>
      <c r="T8" s="118"/>
      <c r="U8" s="118"/>
      <c r="V8" s="118"/>
      <c r="W8" s="118"/>
    </row>
    <row r="9" ht="9.75" customHeight="1" spans="1:23">
      <c r="A9" s="101" t="s">
        <v>506</v>
      </c>
      <c r="B9" s="102"/>
      <c r="C9" s="102"/>
      <c r="D9" s="103"/>
      <c r="E9" s="104">
        <v>20</v>
      </c>
      <c r="F9" s="101" t="s">
        <v>2573</v>
      </c>
      <c r="G9" s="105"/>
      <c r="H9" s="101"/>
      <c r="I9" s="101"/>
      <c r="J9" s="101"/>
      <c r="K9" s="102"/>
      <c r="L9" s="102"/>
      <c r="M9" s="101"/>
      <c r="N9" s="101"/>
      <c r="O9" s="101"/>
      <c r="P9" s="118"/>
      <c r="Q9" s="118"/>
      <c r="R9" s="118"/>
      <c r="S9" s="118"/>
      <c r="T9" s="118"/>
      <c r="U9" s="118"/>
      <c r="V9" s="118"/>
      <c r="W9" s="118"/>
    </row>
    <row r="10" ht="9.75" customHeight="1" spans="1:23">
      <c r="A10" s="101" t="s">
        <v>507</v>
      </c>
      <c r="B10" s="102"/>
      <c r="C10" s="102"/>
      <c r="D10" s="103"/>
      <c r="E10" s="104">
        <v>15</v>
      </c>
      <c r="F10" s="101" t="s">
        <v>2566</v>
      </c>
      <c r="G10" s="105"/>
      <c r="H10" s="101"/>
      <c r="I10" s="101"/>
      <c r="J10" s="101"/>
      <c r="K10" s="102"/>
      <c r="L10" s="102"/>
      <c r="M10" s="101"/>
      <c r="N10" s="101"/>
      <c r="O10" s="101"/>
      <c r="P10" s="118"/>
      <c r="Q10" s="118"/>
      <c r="R10" s="118"/>
      <c r="S10" s="118"/>
      <c r="T10" s="118"/>
      <c r="U10" s="118"/>
      <c r="V10" s="118"/>
      <c r="W10" s="118"/>
    </row>
    <row r="11" ht="9.75" customHeight="1" spans="1:23">
      <c r="A11" s="101" t="s">
        <v>508</v>
      </c>
      <c r="B11" s="102"/>
      <c r="C11" s="102"/>
      <c r="D11" s="103"/>
      <c r="E11" s="104">
        <v>9</v>
      </c>
      <c r="F11" s="101" t="s">
        <v>2566</v>
      </c>
      <c r="G11" s="105"/>
      <c r="H11" s="101"/>
      <c r="I11" s="101"/>
      <c r="J11" s="101"/>
      <c r="K11" s="102"/>
      <c r="L11" s="102"/>
      <c r="M11" s="101"/>
      <c r="N11" s="101"/>
      <c r="O11" s="101"/>
      <c r="P11" s="118"/>
      <c r="Q11" s="118"/>
      <c r="R11" s="118"/>
      <c r="S11" s="118"/>
      <c r="T11" s="118"/>
      <c r="U11" s="118"/>
      <c r="V11" s="118"/>
      <c r="W11" s="118"/>
    </row>
    <row r="12" ht="9.75" customHeight="1" spans="1:23">
      <c r="A12" s="101" t="s">
        <v>509</v>
      </c>
      <c r="B12" s="102"/>
      <c r="C12" s="102"/>
      <c r="D12" s="103"/>
      <c r="E12" s="104">
        <v>70</v>
      </c>
      <c r="F12" s="101" t="s">
        <v>2568</v>
      </c>
      <c r="G12" s="105"/>
      <c r="H12" s="101"/>
      <c r="I12" s="101"/>
      <c r="J12" s="101"/>
      <c r="K12" s="102"/>
      <c r="L12" s="102"/>
      <c r="M12" s="101"/>
      <c r="N12" s="101"/>
      <c r="O12" s="101"/>
      <c r="P12" s="118"/>
      <c r="Q12" s="118"/>
      <c r="R12" s="118"/>
      <c r="S12" s="118"/>
      <c r="T12" s="118"/>
      <c r="U12" s="118"/>
      <c r="V12" s="118"/>
      <c r="W12" s="118"/>
    </row>
    <row r="13" ht="9.75" customHeight="1" spans="1:23">
      <c r="A13" s="101" t="s">
        <v>510</v>
      </c>
      <c r="B13" s="102"/>
      <c r="C13" s="102"/>
      <c r="D13" s="103"/>
      <c r="E13" s="104">
        <v>50</v>
      </c>
      <c r="F13" s="101" t="s">
        <v>2568</v>
      </c>
      <c r="G13" s="105"/>
      <c r="H13" s="101"/>
      <c r="I13" s="101"/>
      <c r="J13" s="101"/>
      <c r="K13" s="102"/>
      <c r="L13" s="102"/>
      <c r="M13" s="101"/>
      <c r="N13" s="101"/>
      <c r="O13" s="101"/>
      <c r="P13" s="118"/>
      <c r="Q13" s="118"/>
      <c r="R13" s="118"/>
      <c r="S13" s="118"/>
      <c r="T13" s="118"/>
      <c r="U13" s="118"/>
      <c r="V13" s="118"/>
      <c r="W13" s="118"/>
    </row>
    <row r="14" ht="9.75" customHeight="1" spans="1:23">
      <c r="A14" s="101" t="s">
        <v>511</v>
      </c>
      <c r="B14" s="102"/>
      <c r="C14" s="102"/>
      <c r="D14" s="103"/>
      <c r="E14" s="104">
        <v>35</v>
      </c>
      <c r="F14" s="101" t="s">
        <v>2568</v>
      </c>
      <c r="G14" s="105"/>
      <c r="H14" s="101"/>
      <c r="I14" s="101"/>
      <c r="J14" s="101"/>
      <c r="K14" s="102"/>
      <c r="L14" s="102"/>
      <c r="M14" s="101"/>
      <c r="N14" s="101"/>
      <c r="O14" s="101"/>
      <c r="P14" s="118"/>
      <c r="Q14" s="118"/>
      <c r="R14" s="118"/>
      <c r="S14" s="118"/>
      <c r="T14" s="118"/>
      <c r="U14" s="118"/>
      <c r="V14" s="118"/>
      <c r="W14" s="118"/>
    </row>
    <row r="15" ht="9.75" customHeight="1" spans="1:23">
      <c r="A15" s="101" t="s">
        <v>512</v>
      </c>
      <c r="B15" s="102"/>
      <c r="C15" s="102"/>
      <c r="D15" s="103"/>
      <c r="E15" s="104">
        <v>60</v>
      </c>
      <c r="F15" s="101" t="s">
        <v>2568</v>
      </c>
      <c r="G15" s="105"/>
      <c r="H15" s="101"/>
      <c r="I15" s="101"/>
      <c r="J15" s="101"/>
      <c r="K15" s="102"/>
      <c r="L15" s="102"/>
      <c r="M15" s="101"/>
      <c r="N15" s="101"/>
      <c r="O15" s="101"/>
      <c r="P15" s="118"/>
      <c r="Q15" s="118"/>
      <c r="R15" s="118"/>
      <c r="S15" s="118"/>
      <c r="T15" s="118"/>
      <c r="U15" s="118"/>
      <c r="V15" s="118"/>
      <c r="W15" s="118"/>
    </row>
    <row r="16" ht="9.75" customHeight="1" spans="1:23">
      <c r="A16" s="101" t="s">
        <v>513</v>
      </c>
      <c r="B16" s="102"/>
      <c r="C16" s="102"/>
      <c r="D16" s="103"/>
      <c r="E16" s="104">
        <v>20</v>
      </c>
      <c r="F16" s="101" t="s">
        <v>2573</v>
      </c>
      <c r="G16" s="105"/>
      <c r="H16" s="101"/>
      <c r="I16" s="101"/>
      <c r="J16" s="101"/>
      <c r="K16" s="102"/>
      <c r="L16" s="102"/>
      <c r="M16" s="101"/>
      <c r="N16" s="101"/>
      <c r="O16" s="101"/>
      <c r="P16" s="118"/>
      <c r="Q16" s="118"/>
      <c r="R16" s="118"/>
      <c r="S16" s="118"/>
      <c r="T16" s="118"/>
      <c r="U16" s="118"/>
      <c r="V16" s="118"/>
      <c r="W16" s="118"/>
    </row>
    <row r="17" ht="9.75" customHeight="1" spans="1:23">
      <c r="A17" s="101" t="s">
        <v>514</v>
      </c>
      <c r="B17" s="102"/>
      <c r="C17" s="102"/>
      <c r="D17" s="103"/>
      <c r="E17" s="104">
        <v>10</v>
      </c>
      <c r="F17" s="101" t="s">
        <v>2566</v>
      </c>
      <c r="G17" s="105"/>
      <c r="H17" s="101"/>
      <c r="I17" s="101"/>
      <c r="J17" s="101"/>
      <c r="K17" s="102">
        <v>24</v>
      </c>
      <c r="L17" s="119" t="s">
        <v>2648</v>
      </c>
      <c r="M17" s="120"/>
      <c r="N17" s="101"/>
      <c r="O17" s="101"/>
      <c r="P17" s="118"/>
      <c r="Q17" s="118"/>
      <c r="R17" s="118"/>
      <c r="S17" s="118"/>
      <c r="T17" s="118"/>
      <c r="U17" s="118"/>
      <c r="V17" s="118"/>
      <c r="W17" s="118"/>
    </row>
    <row r="18" ht="9.75" customHeight="1" spans="1:23">
      <c r="A18" s="101" t="s">
        <v>515</v>
      </c>
      <c r="B18" s="102"/>
      <c r="C18" s="102"/>
      <c r="D18" s="103"/>
      <c r="E18" s="104">
        <v>60</v>
      </c>
      <c r="F18" s="101" t="s">
        <v>2566</v>
      </c>
      <c r="G18" s="105"/>
      <c r="H18" s="101"/>
      <c r="I18" s="101"/>
      <c r="J18" s="101"/>
      <c r="K18" s="102"/>
      <c r="L18" s="102"/>
      <c r="M18" s="101"/>
      <c r="N18" s="101"/>
      <c r="O18" s="101"/>
      <c r="P18" s="118"/>
      <c r="Q18" s="118"/>
      <c r="R18" s="118"/>
      <c r="S18" s="118"/>
      <c r="T18" s="118"/>
      <c r="U18" s="118"/>
      <c r="V18" s="118"/>
      <c r="W18" s="118"/>
    </row>
    <row r="19" ht="9.75" customHeight="1" spans="1:23">
      <c r="A19" s="101" t="s">
        <v>516</v>
      </c>
      <c r="B19" s="102"/>
      <c r="C19" s="102"/>
      <c r="D19" s="103"/>
      <c r="E19" s="104">
        <v>15</v>
      </c>
      <c r="F19" s="101" t="s">
        <v>2575</v>
      </c>
      <c r="G19" s="105"/>
      <c r="H19" s="101"/>
      <c r="I19" s="101"/>
      <c r="J19" s="101"/>
      <c r="K19" s="102"/>
      <c r="L19" s="102"/>
      <c r="M19" s="101"/>
      <c r="N19" s="101"/>
      <c r="O19" s="101"/>
      <c r="P19" s="118"/>
      <c r="Q19" s="118"/>
      <c r="R19" s="118"/>
      <c r="S19" s="118"/>
      <c r="T19" s="118"/>
      <c r="U19" s="118"/>
      <c r="V19" s="118"/>
      <c r="W19" s="118"/>
    </row>
    <row r="20" ht="9.75" customHeight="1" spans="1:23">
      <c r="A20" s="101" t="s">
        <v>251</v>
      </c>
      <c r="B20" s="102"/>
      <c r="C20" s="102"/>
      <c r="D20" s="103"/>
      <c r="E20" s="104">
        <v>15</v>
      </c>
      <c r="F20" s="101" t="s">
        <v>2575</v>
      </c>
      <c r="G20" s="105"/>
      <c r="H20" s="101"/>
      <c r="I20" s="101"/>
      <c r="J20" s="101"/>
      <c r="K20" s="102"/>
      <c r="L20" s="102"/>
      <c r="M20" s="101"/>
      <c r="N20" s="101"/>
      <c r="O20" s="101"/>
      <c r="P20" s="118"/>
      <c r="Q20" s="118"/>
      <c r="R20" s="118"/>
      <c r="S20" s="118"/>
      <c r="T20" s="118"/>
      <c r="U20" s="118"/>
      <c r="V20" s="118"/>
      <c r="W20" s="118"/>
    </row>
    <row r="21" ht="9.75" customHeight="1" spans="1:23">
      <c r="A21" s="101" t="s">
        <v>252</v>
      </c>
      <c r="B21" s="102"/>
      <c r="C21" s="102"/>
      <c r="D21" s="103"/>
      <c r="E21" s="104">
        <v>15</v>
      </c>
      <c r="F21" s="101" t="s">
        <v>2575</v>
      </c>
      <c r="G21" s="105"/>
      <c r="H21" s="101"/>
      <c r="I21" s="101"/>
      <c r="J21" s="101"/>
      <c r="K21" s="102"/>
      <c r="L21" s="102"/>
      <c r="M21" s="101"/>
      <c r="N21" s="101"/>
      <c r="O21" s="101"/>
      <c r="P21" s="118"/>
      <c r="Q21" s="118"/>
      <c r="R21" s="118"/>
      <c r="S21" s="118"/>
      <c r="T21" s="118"/>
      <c r="U21" s="118"/>
      <c r="V21" s="118"/>
      <c r="W21" s="118"/>
    </row>
    <row r="22" ht="9.75" customHeight="1" spans="1:23">
      <c r="A22" s="101" t="s">
        <v>253</v>
      </c>
      <c r="B22" s="102"/>
      <c r="C22" s="102"/>
      <c r="D22" s="103"/>
      <c r="E22" s="104">
        <v>15</v>
      </c>
      <c r="F22" s="101" t="s">
        <v>2575</v>
      </c>
      <c r="G22" s="105"/>
      <c r="H22" s="101"/>
      <c r="I22" s="101"/>
      <c r="J22" s="101"/>
      <c r="K22" s="102"/>
      <c r="L22" s="102"/>
      <c r="M22" s="101"/>
      <c r="N22" s="101"/>
      <c r="O22" s="101"/>
      <c r="P22" s="118"/>
      <c r="Q22" s="118"/>
      <c r="R22" s="118"/>
      <c r="S22" s="118"/>
      <c r="T22" s="118"/>
      <c r="U22" s="118"/>
      <c r="V22" s="118"/>
      <c r="W22" s="118"/>
    </row>
    <row r="23" ht="9.75" customHeight="1" spans="1:25">
      <c r="A23" s="107" t="s">
        <v>2591</v>
      </c>
      <c r="B23" s="98" t="s">
        <v>2637</v>
      </c>
      <c r="C23" s="98" t="s">
        <v>2638</v>
      </c>
      <c r="D23" s="98" t="s">
        <v>2639</v>
      </c>
      <c r="E23" s="98" t="s">
        <v>2640</v>
      </c>
      <c r="F23" s="99" t="s">
        <v>2561</v>
      </c>
      <c r="G23" s="99" t="s">
        <v>1064</v>
      </c>
      <c r="H23" s="100">
        <v>50</v>
      </c>
      <c r="I23" s="100"/>
      <c r="J23" s="98" t="s">
        <v>2642</v>
      </c>
      <c r="K23" s="99" t="s">
        <v>2643</v>
      </c>
      <c r="L23" s="99" t="s">
        <v>2644</v>
      </c>
      <c r="M23" s="98" t="s">
        <v>2645</v>
      </c>
      <c r="N23" s="98" t="s">
        <v>2646</v>
      </c>
      <c r="O23" s="98" t="s">
        <v>2647</v>
      </c>
      <c r="P23" s="118"/>
      <c r="Q23" s="118"/>
      <c r="R23" s="118"/>
      <c r="S23" s="118"/>
      <c r="T23" s="118"/>
      <c r="U23" s="118"/>
      <c r="V23" s="118"/>
      <c r="W23" s="118"/>
      <c r="X23" s="118"/>
      <c r="Y23" s="118"/>
    </row>
    <row r="24" ht="9.75" customHeight="1" spans="1:23">
      <c r="A24" s="101" t="s">
        <v>2592</v>
      </c>
      <c r="B24" s="102"/>
      <c r="C24" s="102"/>
      <c r="D24" s="103"/>
      <c r="E24" s="104">
        <v>15</v>
      </c>
      <c r="F24" s="101" t="s">
        <v>2575</v>
      </c>
      <c r="G24" s="105"/>
      <c r="H24" s="101"/>
      <c r="I24" s="101"/>
      <c r="J24" s="101"/>
      <c r="K24" s="102"/>
      <c r="L24" s="102"/>
      <c r="M24" s="101"/>
      <c r="N24" s="101"/>
      <c r="O24" s="101"/>
      <c r="P24" s="118"/>
      <c r="Q24" s="118"/>
      <c r="R24" s="118"/>
      <c r="S24" s="118"/>
      <c r="T24" s="118"/>
      <c r="U24" s="118"/>
      <c r="V24" s="118"/>
      <c r="W24" s="118"/>
    </row>
    <row r="25" ht="9.75" customHeight="1" spans="1:23">
      <c r="A25" s="101" t="s">
        <v>2593</v>
      </c>
      <c r="B25" s="102"/>
      <c r="C25" s="102"/>
      <c r="D25" s="103"/>
      <c r="E25" s="104">
        <v>150</v>
      </c>
      <c r="F25" s="101" t="s">
        <v>2566</v>
      </c>
      <c r="G25" s="105"/>
      <c r="H25" s="101"/>
      <c r="I25" s="101"/>
      <c r="J25" s="101"/>
      <c r="K25" s="102"/>
      <c r="L25" s="102"/>
      <c r="M25" s="101"/>
      <c r="N25" s="101"/>
      <c r="O25" s="101"/>
      <c r="P25" s="118"/>
      <c r="Q25" s="118"/>
      <c r="R25" s="118"/>
      <c r="S25" s="118"/>
      <c r="T25" s="118"/>
      <c r="U25" s="118"/>
      <c r="V25" s="118"/>
      <c r="W25" s="118"/>
    </row>
    <row r="26" ht="9.75" customHeight="1" spans="1:25">
      <c r="A26" s="108" t="s">
        <v>2595</v>
      </c>
      <c r="B26" s="98" t="s">
        <v>2637</v>
      </c>
      <c r="C26" s="98" t="s">
        <v>2638</v>
      </c>
      <c r="D26" s="98" t="s">
        <v>2639</v>
      </c>
      <c r="E26" s="98" t="s">
        <v>2640</v>
      </c>
      <c r="F26" s="99" t="s">
        <v>2561</v>
      </c>
      <c r="G26" s="99" t="s">
        <v>1064</v>
      </c>
      <c r="H26" s="100">
        <v>50</v>
      </c>
      <c r="I26" s="100"/>
      <c r="J26" s="98" t="s">
        <v>2642</v>
      </c>
      <c r="K26" s="99" t="s">
        <v>2643</v>
      </c>
      <c r="L26" s="99" t="s">
        <v>2644</v>
      </c>
      <c r="M26" s="98" t="s">
        <v>2645</v>
      </c>
      <c r="N26" s="98" t="s">
        <v>2646</v>
      </c>
      <c r="O26" s="98" t="s">
        <v>2647</v>
      </c>
      <c r="P26" s="118"/>
      <c r="Q26" s="118"/>
      <c r="R26" s="118"/>
      <c r="S26" s="118"/>
      <c r="T26" s="118"/>
      <c r="U26" s="118"/>
      <c r="V26" s="118"/>
      <c r="W26" s="118"/>
      <c r="X26" s="118"/>
      <c r="Y26" s="118"/>
    </row>
    <row r="27" ht="9.75" customHeight="1" spans="1:25">
      <c r="A27" s="109" t="s">
        <v>517</v>
      </c>
      <c r="B27" s="109"/>
      <c r="C27" s="109"/>
      <c r="D27" s="109"/>
      <c r="E27" s="110">
        <v>15</v>
      </c>
      <c r="F27" s="111" t="s">
        <v>2575</v>
      </c>
      <c r="G27" s="111"/>
      <c r="H27" s="111"/>
      <c r="I27" s="111"/>
      <c r="J27" s="101"/>
      <c r="K27" s="102">
        <v>300</v>
      </c>
      <c r="L27" s="102" t="s">
        <v>2649</v>
      </c>
      <c r="M27" s="101"/>
      <c r="N27" s="101"/>
      <c r="O27" s="101"/>
      <c r="P27" s="118"/>
      <c r="Q27" s="118"/>
      <c r="R27" s="118"/>
      <c r="S27" s="118"/>
      <c r="T27" s="118"/>
      <c r="U27" s="118"/>
      <c r="V27" s="118"/>
      <c r="W27" s="118"/>
      <c r="X27" s="118"/>
      <c r="Y27" s="118"/>
    </row>
    <row r="28" ht="9.75" customHeight="1" spans="1:25">
      <c r="A28" s="101" t="s">
        <v>518</v>
      </c>
      <c r="B28" s="101"/>
      <c r="C28" s="101"/>
      <c r="D28" s="101"/>
      <c r="E28" s="104">
        <v>150</v>
      </c>
      <c r="F28" s="102" t="s">
        <v>2568</v>
      </c>
      <c r="G28" s="102"/>
      <c r="H28" s="102"/>
      <c r="I28" s="102"/>
      <c r="J28" s="101"/>
      <c r="K28" s="102">
        <v>350</v>
      </c>
      <c r="L28" s="102" t="s">
        <v>2650</v>
      </c>
      <c r="M28" s="101"/>
      <c r="N28" s="101"/>
      <c r="O28" s="101"/>
      <c r="P28" s="118"/>
      <c r="Q28" s="118"/>
      <c r="R28" s="118"/>
      <c r="S28" s="118"/>
      <c r="T28" s="118"/>
      <c r="U28" s="118"/>
      <c r="V28" s="118"/>
      <c r="W28" s="118"/>
      <c r="X28" s="118"/>
      <c r="Y28" s="118"/>
    </row>
    <row r="29" ht="9.75" customHeight="1" spans="1:25">
      <c r="A29" s="101" t="s">
        <v>519</v>
      </c>
      <c r="B29" s="101"/>
      <c r="C29" s="101"/>
      <c r="D29" s="101"/>
      <c r="E29" s="104">
        <v>100</v>
      </c>
      <c r="F29" s="102" t="s">
        <v>2568</v>
      </c>
      <c r="G29" s="102"/>
      <c r="H29" s="102"/>
      <c r="I29" s="102"/>
      <c r="J29" s="101"/>
      <c r="K29" s="102">
        <v>350</v>
      </c>
      <c r="L29" s="102" t="s">
        <v>2650</v>
      </c>
      <c r="M29" s="101"/>
      <c r="N29" s="101"/>
      <c r="O29" s="101"/>
      <c r="P29" s="118"/>
      <c r="Q29" s="118"/>
      <c r="R29" s="118"/>
      <c r="S29" s="118"/>
      <c r="T29" s="118"/>
      <c r="U29" s="118"/>
      <c r="V29" s="118"/>
      <c r="W29" s="118"/>
      <c r="X29" s="118"/>
      <c r="Y29" s="118"/>
    </row>
    <row r="30" ht="9.75" customHeight="1" spans="1:25">
      <c r="A30" s="101" t="s">
        <v>520</v>
      </c>
      <c r="B30" s="101"/>
      <c r="C30" s="101"/>
      <c r="D30" s="101"/>
      <c r="E30" s="104">
        <v>70</v>
      </c>
      <c r="F30" s="102" t="s">
        <v>2568</v>
      </c>
      <c r="G30" s="102"/>
      <c r="H30" s="102"/>
      <c r="I30" s="102"/>
      <c r="J30" s="101"/>
      <c r="K30" s="102">
        <v>350</v>
      </c>
      <c r="L30" s="102" t="s">
        <v>2650</v>
      </c>
      <c r="M30" s="101"/>
      <c r="N30" s="101"/>
      <c r="O30" s="101"/>
      <c r="P30" s="118"/>
      <c r="Q30" s="118"/>
      <c r="R30" s="118"/>
      <c r="S30" s="118"/>
      <c r="T30" s="118"/>
      <c r="U30" s="118"/>
      <c r="V30" s="118"/>
      <c r="W30" s="118"/>
      <c r="X30" s="118"/>
      <c r="Y30" s="118"/>
    </row>
    <row r="31" ht="9.75" customHeight="1" spans="1:25">
      <c r="A31" s="101" t="s">
        <v>254</v>
      </c>
      <c r="B31" s="101"/>
      <c r="C31" s="101"/>
      <c r="D31" s="101"/>
      <c r="E31" s="104">
        <v>50</v>
      </c>
      <c r="F31" s="102" t="s">
        <v>2568</v>
      </c>
      <c r="G31" s="102"/>
      <c r="H31" s="102"/>
      <c r="I31" s="102"/>
      <c r="J31" s="101"/>
      <c r="K31" s="102">
        <v>300</v>
      </c>
      <c r="L31" s="102" t="s">
        <v>2650</v>
      </c>
      <c r="M31" s="101"/>
      <c r="N31" s="101"/>
      <c r="O31" s="101"/>
      <c r="P31" s="118"/>
      <c r="Q31" s="118"/>
      <c r="R31" s="118"/>
      <c r="S31" s="118"/>
      <c r="T31" s="118"/>
      <c r="U31" s="118"/>
      <c r="V31" s="118"/>
      <c r="W31" s="118"/>
      <c r="X31" s="118"/>
      <c r="Y31" s="118"/>
    </row>
    <row r="32" ht="9.75" customHeight="1" spans="1:25">
      <c r="A32" s="101" t="s">
        <v>2596</v>
      </c>
      <c r="B32" s="101"/>
      <c r="C32" s="101"/>
      <c r="D32" s="101"/>
      <c r="E32" s="104">
        <v>200</v>
      </c>
      <c r="F32" s="102" t="s">
        <v>2568</v>
      </c>
      <c r="G32" s="102"/>
      <c r="H32" s="102"/>
      <c r="I32" s="102"/>
      <c r="J32" s="101"/>
      <c r="K32" s="102">
        <v>300</v>
      </c>
      <c r="L32" s="102" t="s">
        <v>2650</v>
      </c>
      <c r="M32" s="101"/>
      <c r="N32" s="101"/>
      <c r="O32" s="101"/>
      <c r="P32" s="118"/>
      <c r="Q32" s="118"/>
      <c r="R32" s="118"/>
      <c r="S32" s="118"/>
      <c r="T32" s="118"/>
      <c r="U32" s="118"/>
      <c r="V32" s="118"/>
      <c r="W32" s="118"/>
      <c r="X32" s="118"/>
      <c r="Y32" s="118"/>
    </row>
    <row r="33" ht="9.75" customHeight="1" spans="1:25">
      <c r="A33" s="101" t="s">
        <v>2597</v>
      </c>
      <c r="B33" s="101"/>
      <c r="C33" s="101"/>
      <c r="D33" s="101"/>
      <c r="E33" s="112">
        <v>300</v>
      </c>
      <c r="F33" s="102" t="s">
        <v>2568</v>
      </c>
      <c r="G33" s="102"/>
      <c r="H33" s="102"/>
      <c r="I33" s="102"/>
      <c r="J33" s="101"/>
      <c r="K33" s="102">
        <v>300</v>
      </c>
      <c r="L33" s="102" t="s">
        <v>2650</v>
      </c>
      <c r="M33" s="101"/>
      <c r="N33" s="101"/>
      <c r="O33" s="101"/>
      <c r="P33" s="118"/>
      <c r="Q33" s="118"/>
      <c r="R33" s="118"/>
      <c r="S33" s="118"/>
      <c r="T33" s="118"/>
      <c r="U33" s="118"/>
      <c r="V33" s="118"/>
      <c r="W33" s="118"/>
      <c r="X33" s="118"/>
      <c r="Y33" s="118"/>
    </row>
    <row r="34" ht="9.75" customHeight="1" spans="1:25">
      <c r="A34" s="101" t="s">
        <v>2598</v>
      </c>
      <c r="B34" s="101"/>
      <c r="C34" s="101"/>
      <c r="D34" s="101"/>
      <c r="E34" s="104">
        <v>150</v>
      </c>
      <c r="F34" s="102" t="s">
        <v>2568</v>
      </c>
      <c r="G34" s="102"/>
      <c r="H34" s="102"/>
      <c r="I34" s="102"/>
      <c r="J34" s="101"/>
      <c r="K34" s="102">
        <v>300</v>
      </c>
      <c r="L34" s="102" t="s">
        <v>2650</v>
      </c>
      <c r="M34" s="101"/>
      <c r="N34" s="101"/>
      <c r="O34" s="101"/>
      <c r="P34" s="118"/>
      <c r="Q34" s="118"/>
      <c r="R34" s="118"/>
      <c r="S34" s="118"/>
      <c r="T34" s="118"/>
      <c r="U34" s="118"/>
      <c r="V34" s="118"/>
      <c r="W34" s="118"/>
      <c r="X34" s="118"/>
      <c r="Y34" s="118"/>
    </row>
    <row r="35" ht="9.75" customHeight="1" spans="1:25">
      <c r="A35" s="113" t="s">
        <v>2600</v>
      </c>
      <c r="B35" s="98" t="s">
        <v>2637</v>
      </c>
      <c r="C35" s="98" t="s">
        <v>2638</v>
      </c>
      <c r="D35" s="98" t="s">
        <v>2639</v>
      </c>
      <c r="E35" s="98" t="s">
        <v>2640</v>
      </c>
      <c r="F35" s="99" t="s">
        <v>2561</v>
      </c>
      <c r="G35" s="99" t="s">
        <v>1064</v>
      </c>
      <c r="H35" s="100">
        <v>50</v>
      </c>
      <c r="I35" s="100"/>
      <c r="J35" s="98" t="s">
        <v>2642</v>
      </c>
      <c r="K35" s="99" t="s">
        <v>2643</v>
      </c>
      <c r="L35" s="99" t="s">
        <v>2644</v>
      </c>
      <c r="M35" s="98" t="s">
        <v>2645</v>
      </c>
      <c r="N35" s="98" t="s">
        <v>2646</v>
      </c>
      <c r="O35" s="98" t="s">
        <v>2647</v>
      </c>
      <c r="P35" s="118"/>
      <c r="Q35" s="118"/>
      <c r="R35" s="118"/>
      <c r="S35" s="118"/>
      <c r="T35" s="118"/>
      <c r="U35" s="118"/>
      <c r="V35" s="118"/>
      <c r="W35" s="118"/>
      <c r="X35" s="118"/>
      <c r="Y35" s="118"/>
    </row>
    <row r="36" ht="9.75" customHeight="1" spans="1:25">
      <c r="A36" s="101" t="s">
        <v>2601</v>
      </c>
      <c r="B36" s="101"/>
      <c r="C36" s="101"/>
      <c r="D36" s="101"/>
      <c r="E36" s="104">
        <v>12.5</v>
      </c>
      <c r="F36" s="102" t="s">
        <v>2568</v>
      </c>
      <c r="G36" s="102"/>
      <c r="H36" s="102"/>
      <c r="I36" s="102"/>
      <c r="J36" s="101"/>
      <c r="K36" s="102"/>
      <c r="L36" s="102" t="s">
        <v>2650</v>
      </c>
      <c r="M36" s="101"/>
      <c r="N36" s="101"/>
      <c r="O36" s="101"/>
      <c r="P36" s="118"/>
      <c r="Q36" s="118"/>
      <c r="R36" s="118"/>
      <c r="S36" s="118"/>
      <c r="T36" s="118"/>
      <c r="U36" s="118"/>
      <c r="V36" s="118"/>
      <c r="W36" s="118"/>
      <c r="X36" s="118"/>
      <c r="Y36" s="118"/>
    </row>
    <row r="37" ht="9.75" customHeight="1" spans="1:25">
      <c r="A37" s="101" t="s">
        <v>2602</v>
      </c>
      <c r="B37" s="101"/>
      <c r="C37" s="101"/>
      <c r="D37" s="101"/>
      <c r="E37" s="104">
        <v>10</v>
      </c>
      <c r="F37" s="102" t="s">
        <v>2568</v>
      </c>
      <c r="G37" s="102"/>
      <c r="H37" s="102"/>
      <c r="I37" s="102"/>
      <c r="J37" s="101"/>
      <c r="K37" s="102"/>
      <c r="L37" s="102" t="s">
        <v>2650</v>
      </c>
      <c r="M37" s="101"/>
      <c r="N37" s="101"/>
      <c r="O37" s="101"/>
      <c r="P37" s="118"/>
      <c r="Q37" s="118"/>
      <c r="R37" s="118"/>
      <c r="S37" s="118"/>
      <c r="T37" s="118"/>
      <c r="U37" s="118"/>
      <c r="V37" s="118"/>
      <c r="W37" s="118"/>
      <c r="X37" s="118"/>
      <c r="Y37" s="118"/>
    </row>
    <row r="38" ht="9.75" customHeight="1" spans="1:25">
      <c r="A38" s="101" t="s">
        <v>2603</v>
      </c>
      <c r="B38" s="101"/>
      <c r="C38" s="101"/>
      <c r="D38" s="101"/>
      <c r="E38" s="104">
        <v>7.5</v>
      </c>
      <c r="F38" s="102" t="s">
        <v>2568</v>
      </c>
      <c r="G38" s="102"/>
      <c r="H38" s="102"/>
      <c r="I38" s="102"/>
      <c r="J38" s="101"/>
      <c r="K38" s="102"/>
      <c r="L38" s="102" t="s">
        <v>2650</v>
      </c>
      <c r="M38" s="101"/>
      <c r="N38" s="101"/>
      <c r="O38" s="101"/>
      <c r="P38" s="118"/>
      <c r="Q38" s="118"/>
      <c r="R38" s="118"/>
      <c r="S38" s="118"/>
      <c r="T38" s="118"/>
      <c r="U38" s="118"/>
      <c r="V38" s="118"/>
      <c r="W38" s="118"/>
      <c r="X38" s="118"/>
      <c r="Y38" s="118"/>
    </row>
    <row r="39" ht="9.75" customHeight="1" spans="1:25">
      <c r="A39" s="101" t="s">
        <v>2604</v>
      </c>
      <c r="B39" s="101"/>
      <c r="C39" s="101"/>
      <c r="D39" s="101"/>
      <c r="E39" s="104">
        <v>6</v>
      </c>
      <c r="F39" s="102" t="s">
        <v>2568</v>
      </c>
      <c r="G39" s="102"/>
      <c r="H39" s="102"/>
      <c r="I39" s="102"/>
      <c r="J39" s="101"/>
      <c r="K39" s="102"/>
      <c r="L39" s="102" t="s">
        <v>2650</v>
      </c>
      <c r="M39" s="101"/>
      <c r="N39" s="101"/>
      <c r="O39" s="101"/>
      <c r="P39" s="118"/>
      <c r="Q39" s="118"/>
      <c r="R39" s="118"/>
      <c r="S39" s="118"/>
      <c r="T39" s="118"/>
      <c r="U39" s="118"/>
      <c r="V39" s="118"/>
      <c r="W39" s="118"/>
      <c r="X39" s="118"/>
      <c r="Y39" s="118"/>
    </row>
    <row r="40" ht="9.75" customHeight="1" spans="1:25">
      <c r="A40" s="101" t="s">
        <v>2605</v>
      </c>
      <c r="B40" s="101"/>
      <c r="C40" s="101"/>
      <c r="D40" s="101"/>
      <c r="E40" s="104">
        <v>4.5</v>
      </c>
      <c r="F40" s="102" t="s">
        <v>2568</v>
      </c>
      <c r="G40" s="102"/>
      <c r="H40" s="102"/>
      <c r="I40" s="102"/>
      <c r="J40" s="101"/>
      <c r="K40" s="102"/>
      <c r="L40" s="102" t="s">
        <v>2650</v>
      </c>
      <c r="M40" s="101"/>
      <c r="N40" s="101"/>
      <c r="O40" s="101"/>
      <c r="P40" s="118"/>
      <c r="Q40" s="118"/>
      <c r="R40" s="118"/>
      <c r="S40" s="118"/>
      <c r="T40" s="118"/>
      <c r="U40" s="118"/>
      <c r="V40" s="118"/>
      <c r="W40" s="118"/>
      <c r="X40" s="118"/>
      <c r="Y40" s="118"/>
    </row>
    <row r="41" ht="9.75" customHeight="1" spans="1:25">
      <c r="A41" s="101" t="s">
        <v>2606</v>
      </c>
      <c r="B41" s="101"/>
      <c r="C41" s="101"/>
      <c r="D41" s="101"/>
      <c r="E41" s="104">
        <v>3</v>
      </c>
      <c r="F41" s="102" t="s">
        <v>2568</v>
      </c>
      <c r="G41" s="102"/>
      <c r="H41" s="102"/>
      <c r="I41" s="102"/>
      <c r="J41" s="101"/>
      <c r="K41" s="102"/>
      <c r="L41" s="102" t="s">
        <v>2650</v>
      </c>
      <c r="M41" s="101"/>
      <c r="N41" s="101"/>
      <c r="O41" s="101"/>
      <c r="P41" s="118"/>
      <c r="Q41" s="118"/>
      <c r="R41" s="118"/>
      <c r="S41" s="118"/>
      <c r="T41" s="118"/>
      <c r="U41" s="118"/>
      <c r="V41" s="118"/>
      <c r="W41" s="118"/>
      <c r="X41" s="118"/>
      <c r="Y41" s="118"/>
    </row>
    <row r="42" ht="9.75" customHeight="1" spans="1:25">
      <c r="A42" s="114" t="s">
        <v>2608</v>
      </c>
      <c r="B42" s="98" t="s">
        <v>2637</v>
      </c>
      <c r="C42" s="98" t="s">
        <v>2638</v>
      </c>
      <c r="D42" s="98" t="s">
        <v>2639</v>
      </c>
      <c r="E42" s="98" t="s">
        <v>2640</v>
      </c>
      <c r="F42" s="99" t="s">
        <v>2561</v>
      </c>
      <c r="G42" s="99" t="s">
        <v>1064</v>
      </c>
      <c r="H42" s="100">
        <v>50</v>
      </c>
      <c r="I42" s="100"/>
      <c r="J42" s="98" t="s">
        <v>2642</v>
      </c>
      <c r="K42" s="99" t="s">
        <v>2643</v>
      </c>
      <c r="L42" s="99" t="s">
        <v>2644</v>
      </c>
      <c r="M42" s="98" t="s">
        <v>2645</v>
      </c>
      <c r="N42" s="98" t="s">
        <v>2646</v>
      </c>
      <c r="O42" s="98" t="s">
        <v>2647</v>
      </c>
      <c r="P42" s="118"/>
      <c r="Q42" s="118"/>
      <c r="R42" s="118"/>
      <c r="S42" s="118"/>
      <c r="T42" s="118"/>
      <c r="U42" s="118"/>
      <c r="V42" s="118"/>
      <c r="W42" s="118"/>
      <c r="X42" s="118"/>
      <c r="Y42" s="118"/>
    </row>
    <row r="43" ht="9.75" customHeight="1" spans="1:25">
      <c r="A43" s="101" t="s">
        <v>2609</v>
      </c>
      <c r="B43" s="101"/>
      <c r="C43" s="101"/>
      <c r="D43" s="101"/>
      <c r="E43" s="104">
        <v>15</v>
      </c>
      <c r="F43" s="102" t="s">
        <v>2575</v>
      </c>
      <c r="G43" s="102"/>
      <c r="H43" s="102"/>
      <c r="I43" s="102"/>
      <c r="J43" s="101"/>
      <c r="K43" s="102">
        <v>25</v>
      </c>
      <c r="L43" s="102" t="s">
        <v>2651</v>
      </c>
      <c r="M43" s="101"/>
      <c r="N43" s="101"/>
      <c r="O43" s="101"/>
      <c r="P43" s="118"/>
      <c r="Q43" s="118"/>
      <c r="R43" s="118"/>
      <c r="S43" s="118"/>
      <c r="T43" s="118"/>
      <c r="U43" s="118"/>
      <c r="V43" s="118"/>
      <c r="W43" s="118"/>
      <c r="X43" s="118"/>
      <c r="Y43" s="118"/>
    </row>
    <row r="44" ht="9.75" customHeight="1" spans="1:25">
      <c r="A44" s="101" t="s">
        <v>2610</v>
      </c>
      <c r="B44" s="101"/>
      <c r="C44" s="101"/>
      <c r="D44" s="101"/>
      <c r="E44" s="104">
        <v>30</v>
      </c>
      <c r="F44" s="102" t="s">
        <v>2575</v>
      </c>
      <c r="G44" s="102"/>
      <c r="H44" s="102"/>
      <c r="I44" s="102"/>
      <c r="J44" s="101"/>
      <c r="K44" s="102">
        <v>25</v>
      </c>
      <c r="L44" s="102" t="s">
        <v>2651</v>
      </c>
      <c r="M44" s="101"/>
      <c r="N44" s="101"/>
      <c r="O44" s="101"/>
      <c r="P44" s="118"/>
      <c r="Q44" s="118"/>
      <c r="R44" s="118"/>
      <c r="S44" s="118"/>
      <c r="T44" s="118"/>
      <c r="U44" s="118"/>
      <c r="V44" s="118"/>
      <c r="W44" s="118"/>
      <c r="X44" s="118"/>
      <c r="Y44" s="118"/>
    </row>
    <row r="45" ht="9.75" customHeight="1" spans="1:25">
      <c r="A45" s="101" t="s">
        <v>2611</v>
      </c>
      <c r="B45" s="101"/>
      <c r="C45" s="101"/>
      <c r="D45" s="101"/>
      <c r="E45" s="104">
        <v>45</v>
      </c>
      <c r="F45" s="102" t="s">
        <v>2575</v>
      </c>
      <c r="G45" s="102"/>
      <c r="H45" s="102"/>
      <c r="I45" s="102"/>
      <c r="J45" s="101"/>
      <c r="K45" s="102">
        <v>25</v>
      </c>
      <c r="L45" s="102" t="s">
        <v>2651</v>
      </c>
      <c r="M45" s="101"/>
      <c r="N45" s="101"/>
      <c r="O45" s="101"/>
      <c r="P45" s="118"/>
      <c r="Q45" s="118"/>
      <c r="R45" s="118"/>
      <c r="S45" s="118"/>
      <c r="T45" s="118"/>
      <c r="U45" s="118"/>
      <c r="V45" s="118"/>
      <c r="W45" s="118"/>
      <c r="X45" s="118"/>
      <c r="Y45" s="118"/>
    </row>
    <row r="46" ht="9.75" customHeight="1" spans="1:25">
      <c r="A46" s="101" t="s">
        <v>2612</v>
      </c>
      <c r="B46" s="101"/>
      <c r="C46" s="101"/>
      <c r="D46" s="101"/>
      <c r="E46" s="104">
        <v>60</v>
      </c>
      <c r="F46" s="102" t="s">
        <v>2575</v>
      </c>
      <c r="G46" s="102"/>
      <c r="H46" s="102"/>
      <c r="I46" s="102"/>
      <c r="J46" s="101"/>
      <c r="K46" s="102">
        <v>25</v>
      </c>
      <c r="L46" s="102" t="s">
        <v>2651</v>
      </c>
      <c r="M46" s="101"/>
      <c r="N46" s="101"/>
      <c r="O46" s="101"/>
      <c r="P46" s="118"/>
      <c r="Q46" s="118"/>
      <c r="R46" s="118"/>
      <c r="S46" s="118"/>
      <c r="T46" s="118"/>
      <c r="U46" s="118"/>
      <c r="V46" s="118"/>
      <c r="W46" s="118"/>
      <c r="X46" s="118"/>
      <c r="Y46" s="118"/>
    </row>
    <row r="47" ht="9.75" customHeight="1" spans="1:25">
      <c r="A47" s="101" t="s">
        <v>2613</v>
      </c>
      <c r="B47" s="101"/>
      <c r="C47" s="101"/>
      <c r="D47" s="101"/>
      <c r="E47" s="104">
        <v>75</v>
      </c>
      <c r="F47" s="102" t="s">
        <v>2575</v>
      </c>
      <c r="G47" s="102"/>
      <c r="H47" s="102"/>
      <c r="I47" s="102"/>
      <c r="J47" s="101"/>
      <c r="K47" s="102">
        <v>25</v>
      </c>
      <c r="L47" s="102" t="s">
        <v>2651</v>
      </c>
      <c r="M47" s="101"/>
      <c r="N47" s="101"/>
      <c r="O47" s="101"/>
      <c r="P47" s="118"/>
      <c r="Q47" s="118"/>
      <c r="R47" s="118"/>
      <c r="S47" s="118"/>
      <c r="T47" s="118"/>
      <c r="U47" s="118"/>
      <c r="V47" s="118"/>
      <c r="W47" s="118"/>
      <c r="X47" s="118"/>
      <c r="Y47" s="118"/>
    </row>
    <row r="48" ht="9.75" customHeight="1" spans="1:25">
      <c r="A48" s="107" t="s">
        <v>2615</v>
      </c>
      <c r="B48" s="98" t="s">
        <v>2637</v>
      </c>
      <c r="C48" s="98" t="s">
        <v>2638</v>
      </c>
      <c r="D48" s="98" t="s">
        <v>2639</v>
      </c>
      <c r="E48" s="98" t="s">
        <v>2640</v>
      </c>
      <c r="F48" s="99" t="s">
        <v>2561</v>
      </c>
      <c r="G48" s="99" t="s">
        <v>1064</v>
      </c>
      <c r="H48" s="100">
        <v>50</v>
      </c>
      <c r="I48" s="100"/>
      <c r="J48" s="98" t="s">
        <v>2642</v>
      </c>
      <c r="K48" s="99" t="s">
        <v>2643</v>
      </c>
      <c r="L48" s="99" t="s">
        <v>2644</v>
      </c>
      <c r="M48" s="98" t="s">
        <v>2645</v>
      </c>
      <c r="N48" s="98" t="s">
        <v>2646</v>
      </c>
      <c r="O48" s="98" t="s">
        <v>2647</v>
      </c>
      <c r="P48" s="118"/>
      <c r="Q48" s="118"/>
      <c r="R48" s="118"/>
      <c r="S48" s="118"/>
      <c r="T48" s="118"/>
      <c r="U48" s="118"/>
      <c r="V48" s="118"/>
      <c r="W48" s="118"/>
      <c r="X48" s="118"/>
      <c r="Y48" s="118"/>
    </row>
    <row r="49" ht="9.75" customHeight="1" spans="1:15">
      <c r="A49" s="101" t="s">
        <v>2616</v>
      </c>
      <c r="B49" s="101"/>
      <c r="C49" s="101"/>
      <c r="D49" s="101"/>
      <c r="E49" s="104">
        <v>20</v>
      </c>
      <c r="F49" s="102" t="s">
        <v>2575</v>
      </c>
      <c r="G49" s="102"/>
      <c r="H49" s="102"/>
      <c r="I49" s="102"/>
      <c r="J49" s="101"/>
      <c r="K49" s="102"/>
      <c r="L49" s="102"/>
      <c r="M49" s="101"/>
      <c r="N49" s="101"/>
      <c r="O49" s="101"/>
    </row>
    <row r="50" ht="9.75" customHeight="1" spans="1:15">
      <c r="A50" s="101" t="s">
        <v>2617</v>
      </c>
      <c r="B50" s="101"/>
      <c r="C50" s="101"/>
      <c r="D50" s="101"/>
      <c r="E50" s="104">
        <v>30</v>
      </c>
      <c r="F50" s="102" t="s">
        <v>2575</v>
      </c>
      <c r="G50" s="102"/>
      <c r="H50" s="102"/>
      <c r="I50" s="102"/>
      <c r="J50" s="101"/>
      <c r="K50" s="102"/>
      <c r="L50" s="102"/>
      <c r="M50" s="101"/>
      <c r="N50" s="101"/>
      <c r="O50" s="101"/>
    </row>
    <row r="51" ht="9.75" customHeight="1" spans="1:15">
      <c r="A51" s="101" t="s">
        <v>2618</v>
      </c>
      <c r="B51" s="101"/>
      <c r="C51" s="101"/>
      <c r="D51" s="101"/>
      <c r="E51" s="104">
        <v>45</v>
      </c>
      <c r="F51" s="102" t="s">
        <v>2575</v>
      </c>
      <c r="G51" s="102"/>
      <c r="H51" s="102"/>
      <c r="I51" s="102"/>
      <c r="J51" s="101"/>
      <c r="K51" s="102"/>
      <c r="L51" s="102"/>
      <c r="M51" s="101"/>
      <c r="N51" s="101"/>
      <c r="O51" s="101"/>
    </row>
    <row r="52" ht="9.75" customHeight="1" spans="1:15">
      <c r="A52" s="101" t="s">
        <v>2619</v>
      </c>
      <c r="B52" s="101"/>
      <c r="C52" s="101"/>
      <c r="D52" s="101"/>
      <c r="E52" s="104">
        <v>60</v>
      </c>
      <c r="F52" s="102" t="s">
        <v>2575</v>
      </c>
      <c r="G52" s="102"/>
      <c r="H52" s="102"/>
      <c r="I52" s="102"/>
      <c r="J52" s="101"/>
      <c r="K52" s="102"/>
      <c r="L52" s="102"/>
      <c r="M52" s="101"/>
      <c r="N52" s="101"/>
      <c r="O52" s="101"/>
    </row>
    <row r="53" ht="9.75" customHeight="1" spans="1:15">
      <c r="A53" s="115" t="s">
        <v>2620</v>
      </c>
      <c r="B53" s="115"/>
      <c r="C53" s="115"/>
      <c r="D53" s="115"/>
      <c r="E53" s="104">
        <v>90</v>
      </c>
      <c r="F53" s="102" t="s">
        <v>2575</v>
      </c>
      <c r="G53" s="102"/>
      <c r="H53" s="102"/>
      <c r="I53" s="102"/>
      <c r="J53" s="101"/>
      <c r="K53" s="102"/>
      <c r="L53" s="102"/>
      <c r="M53" s="101"/>
      <c r="N53" s="101"/>
      <c r="O53" s="101"/>
    </row>
    <row r="54" ht="9.75" customHeight="1" spans="1:15">
      <c r="A54" s="101" t="s">
        <v>2621</v>
      </c>
      <c r="B54" s="101"/>
      <c r="C54" s="101"/>
      <c r="D54" s="101"/>
      <c r="E54" s="104">
        <v>6</v>
      </c>
      <c r="F54" s="102" t="s">
        <v>2581</v>
      </c>
      <c r="G54" s="102"/>
      <c r="H54" s="102"/>
      <c r="I54" s="102"/>
      <c r="J54" s="101"/>
      <c r="K54" s="102"/>
      <c r="L54" s="102"/>
      <c r="M54" s="101"/>
      <c r="N54" s="101"/>
      <c r="O54" s="101"/>
    </row>
    <row r="55" ht="9.75" customHeight="1" spans="1:15">
      <c r="A55" s="101" t="s">
        <v>2622</v>
      </c>
      <c r="B55" s="101"/>
      <c r="C55" s="101"/>
      <c r="D55" s="101"/>
      <c r="E55" s="104">
        <v>20</v>
      </c>
      <c r="F55" s="102" t="s">
        <v>2575</v>
      </c>
      <c r="G55" s="102"/>
      <c r="H55" s="102"/>
      <c r="I55" s="102"/>
      <c r="J55" s="101"/>
      <c r="K55" s="102"/>
      <c r="L55" s="102"/>
      <c r="M55" s="101"/>
      <c r="N55" s="101"/>
      <c r="O55" s="101"/>
    </row>
    <row r="56" ht="9.75" customHeight="1" spans="1:15">
      <c r="A56" s="101" t="s">
        <v>2623</v>
      </c>
      <c r="B56" s="101"/>
      <c r="C56" s="101"/>
      <c r="D56" s="101"/>
      <c r="E56" s="104">
        <v>60</v>
      </c>
      <c r="F56" s="102" t="s">
        <v>2575</v>
      </c>
      <c r="G56" s="102"/>
      <c r="H56" s="102"/>
      <c r="I56" s="102"/>
      <c r="J56" s="101"/>
      <c r="K56" s="102"/>
      <c r="L56" s="102"/>
      <c r="M56" s="101"/>
      <c r="N56" s="101"/>
      <c r="O56" s="101"/>
    </row>
    <row r="57" ht="9.75" customHeight="1" spans="1:15">
      <c r="A57" s="101" t="s">
        <v>2624</v>
      </c>
      <c r="B57" s="101"/>
      <c r="C57" s="101"/>
      <c r="D57" s="101"/>
      <c r="E57" s="104">
        <v>20</v>
      </c>
      <c r="F57" s="102" t="s">
        <v>2575</v>
      </c>
      <c r="G57" s="102"/>
      <c r="H57" s="102"/>
      <c r="I57" s="102"/>
      <c r="J57" s="101"/>
      <c r="K57" s="102"/>
      <c r="L57" s="102"/>
      <c r="M57" s="101"/>
      <c r="N57" s="101"/>
      <c r="O57" s="101"/>
    </row>
    <row r="58" ht="9.75" customHeight="1" spans="1:15">
      <c r="A58" s="101" t="s">
        <v>2625</v>
      </c>
      <c r="B58" s="101"/>
      <c r="C58" s="101"/>
      <c r="D58" s="101"/>
      <c r="E58" s="104">
        <v>30</v>
      </c>
      <c r="F58" s="102" t="s">
        <v>2575</v>
      </c>
      <c r="G58" s="102"/>
      <c r="H58" s="102"/>
      <c r="I58" s="102"/>
      <c r="J58" s="101"/>
      <c r="K58" s="102"/>
      <c r="L58" s="102"/>
      <c r="M58" s="101"/>
      <c r="N58" s="101"/>
      <c r="O58" s="101"/>
    </row>
    <row r="59" ht="9.75" customHeight="1" spans="1:15">
      <c r="A59" s="116" t="s">
        <v>2562</v>
      </c>
      <c r="B59" s="98" t="s">
        <v>2637</v>
      </c>
      <c r="C59" s="98" t="s">
        <v>2638</v>
      </c>
      <c r="D59" s="98" t="s">
        <v>2639</v>
      </c>
      <c r="E59" s="98" t="s">
        <v>2640</v>
      </c>
      <c r="F59" s="99" t="s">
        <v>2561</v>
      </c>
      <c r="G59" s="99" t="s">
        <v>1064</v>
      </c>
      <c r="H59" s="100">
        <v>50</v>
      </c>
      <c r="I59" s="100"/>
      <c r="J59" s="98" t="s">
        <v>2642</v>
      </c>
      <c r="K59" s="99" t="s">
        <v>2643</v>
      </c>
      <c r="L59" s="99" t="s">
        <v>2644</v>
      </c>
      <c r="M59" s="98" t="s">
        <v>2645</v>
      </c>
      <c r="N59" s="98" t="s">
        <v>2646</v>
      </c>
      <c r="O59" s="98" t="s">
        <v>2647</v>
      </c>
    </row>
    <row r="60" ht="9.75" customHeight="1" spans="1:15">
      <c r="A60" s="101" t="s">
        <v>2392</v>
      </c>
      <c r="B60" s="101"/>
      <c r="C60" s="101"/>
      <c r="D60" s="101"/>
      <c r="E60" s="104">
        <v>40</v>
      </c>
      <c r="F60" s="102" t="s">
        <v>2566</v>
      </c>
      <c r="G60" s="102"/>
      <c r="H60" s="102"/>
      <c r="I60" s="102"/>
      <c r="J60" s="101"/>
      <c r="K60" s="102"/>
      <c r="L60" s="102"/>
      <c r="M60" s="101"/>
      <c r="N60" s="101"/>
      <c r="O60" s="101"/>
    </row>
    <row r="61" ht="9.75" customHeight="1" spans="1:15">
      <c r="A61" s="101" t="s">
        <v>2569</v>
      </c>
      <c r="B61" s="101"/>
      <c r="C61" s="101"/>
      <c r="D61" s="101"/>
      <c r="E61" s="104">
        <v>60</v>
      </c>
      <c r="F61" s="102" t="s">
        <v>2566</v>
      </c>
      <c r="G61" s="102"/>
      <c r="H61" s="102"/>
      <c r="I61" s="102"/>
      <c r="J61" s="101"/>
      <c r="K61" s="102"/>
      <c r="L61" s="102"/>
      <c r="M61" s="101"/>
      <c r="N61" s="101"/>
      <c r="O61" s="101"/>
    </row>
    <row r="62" ht="9.75" customHeight="1" spans="1:15">
      <c r="A62" s="101" t="s">
        <v>2571</v>
      </c>
      <c r="B62" s="101"/>
      <c r="C62" s="101"/>
      <c r="D62" s="101"/>
      <c r="E62" s="104">
        <v>30</v>
      </c>
      <c r="F62" s="102" t="s">
        <v>2566</v>
      </c>
      <c r="G62" s="102"/>
      <c r="H62" s="102"/>
      <c r="I62" s="102"/>
      <c r="J62" s="101"/>
      <c r="K62" s="102"/>
      <c r="L62" s="102"/>
      <c r="M62" s="101"/>
      <c r="N62" s="101"/>
      <c r="O62" s="101"/>
    </row>
    <row r="63" ht="9.75" customHeight="1" spans="1:15">
      <c r="A63" s="101" t="s">
        <v>2574</v>
      </c>
      <c r="B63" s="101"/>
      <c r="C63" s="101"/>
      <c r="D63" s="101"/>
      <c r="E63" s="104">
        <v>15</v>
      </c>
      <c r="F63" s="102" t="s">
        <v>2575</v>
      </c>
      <c r="G63" s="102"/>
      <c r="H63" s="102"/>
      <c r="I63" s="102"/>
      <c r="J63" s="101"/>
      <c r="K63" s="102"/>
      <c r="L63" s="102"/>
      <c r="M63" s="101"/>
      <c r="N63" s="101"/>
      <c r="O63" s="101"/>
    </row>
    <row r="64" ht="9.75" customHeight="1" spans="1:15">
      <c r="A64" s="101" t="s">
        <v>2577</v>
      </c>
      <c r="B64" s="101"/>
      <c r="C64" s="101"/>
      <c r="D64" s="101"/>
      <c r="E64" s="104">
        <v>20</v>
      </c>
      <c r="F64" s="102" t="s">
        <v>2575</v>
      </c>
      <c r="G64" s="102"/>
      <c r="H64" s="102"/>
      <c r="I64" s="102"/>
      <c r="J64" s="101"/>
      <c r="K64" s="102"/>
      <c r="L64" s="102"/>
      <c r="M64" s="101"/>
      <c r="N64" s="101"/>
      <c r="O64" s="101"/>
    </row>
    <row r="65" ht="9.75" customHeight="1" spans="1:15">
      <c r="A65" s="101" t="s">
        <v>2579</v>
      </c>
      <c r="B65" s="101"/>
      <c r="C65" s="101"/>
      <c r="D65" s="101"/>
      <c r="E65" s="104">
        <v>30</v>
      </c>
      <c r="F65" s="102" t="s">
        <v>2575</v>
      </c>
      <c r="G65" s="102"/>
      <c r="H65" s="102"/>
      <c r="I65" s="102"/>
      <c r="J65" s="101"/>
      <c r="K65" s="102"/>
      <c r="L65" s="102"/>
      <c r="M65" s="101"/>
      <c r="N65" s="101"/>
      <c r="O65" s="101"/>
    </row>
    <row r="66" ht="9.75" customHeight="1" spans="1:15">
      <c r="A66" s="101" t="s">
        <v>2580</v>
      </c>
      <c r="B66" s="101"/>
      <c r="C66" s="101"/>
      <c r="D66" s="101"/>
      <c r="E66" s="104">
        <v>4</v>
      </c>
      <c r="F66" s="102" t="s">
        <v>2581</v>
      </c>
      <c r="G66" s="102"/>
      <c r="H66" s="102"/>
      <c r="I66" s="102"/>
      <c r="J66" s="101"/>
      <c r="K66" s="102"/>
      <c r="L66" s="102"/>
      <c r="M66" s="101"/>
      <c r="N66" s="101"/>
      <c r="O66" s="101"/>
    </row>
    <row r="67" ht="9.75" customHeight="1" spans="1:15">
      <c r="A67" s="101" t="s">
        <v>2582</v>
      </c>
      <c r="B67" s="101"/>
      <c r="C67" s="101"/>
      <c r="D67" s="101"/>
      <c r="E67" s="104">
        <v>25</v>
      </c>
      <c r="F67" s="102" t="s">
        <v>2566</v>
      </c>
      <c r="G67" s="102"/>
      <c r="H67" s="102"/>
      <c r="I67" s="102"/>
      <c r="J67" s="101"/>
      <c r="K67" s="102"/>
      <c r="L67" s="102"/>
      <c r="M67" s="101"/>
      <c r="N67" s="101"/>
      <c r="O67" s="101"/>
    </row>
    <row r="68" ht="9.75" customHeight="1" spans="1:15">
      <c r="A68" s="101" t="s">
        <v>2583</v>
      </c>
      <c r="B68" s="101"/>
      <c r="C68" s="101"/>
      <c r="D68" s="101"/>
      <c r="E68" s="104">
        <v>10</v>
      </c>
      <c r="F68" s="102" t="s">
        <v>2566</v>
      </c>
      <c r="G68" s="102"/>
      <c r="H68" s="102"/>
      <c r="I68" s="102"/>
      <c r="J68" s="101"/>
      <c r="K68" s="102"/>
      <c r="L68" s="102"/>
      <c r="M68" s="101"/>
      <c r="N68" s="101"/>
      <c r="O68" s="101"/>
    </row>
    <row r="69" ht="9.75" customHeight="1" spans="1:15">
      <c r="A69" s="101" t="s">
        <v>2584</v>
      </c>
      <c r="B69" s="101"/>
      <c r="C69" s="101"/>
      <c r="D69" s="101"/>
      <c r="E69" s="104">
        <v>50</v>
      </c>
      <c r="F69" s="102" t="s">
        <v>2568</v>
      </c>
      <c r="G69" s="102"/>
      <c r="H69" s="102"/>
      <c r="I69" s="102"/>
      <c r="J69" s="101"/>
      <c r="K69" s="102"/>
      <c r="L69" s="102"/>
      <c r="M69" s="101"/>
      <c r="N69" s="101"/>
      <c r="O69" s="101"/>
    </row>
    <row r="70" ht="9.75" customHeight="1" spans="1:15">
      <c r="A70" s="101" t="s">
        <v>2585</v>
      </c>
      <c r="B70" s="101"/>
      <c r="C70" s="101"/>
      <c r="D70" s="101"/>
      <c r="E70" s="104">
        <v>30</v>
      </c>
      <c r="F70" s="102" t="s">
        <v>2575</v>
      </c>
      <c r="G70" s="102"/>
      <c r="H70" s="102"/>
      <c r="I70" s="102"/>
      <c r="J70" s="101"/>
      <c r="K70" s="102"/>
      <c r="L70" s="102"/>
      <c r="M70" s="101"/>
      <c r="N70" s="101"/>
      <c r="O70" s="101"/>
    </row>
    <row r="71" ht="9.75" customHeight="1" spans="1:15">
      <c r="A71" s="101" t="s">
        <v>2586</v>
      </c>
      <c r="B71" s="101"/>
      <c r="C71" s="101"/>
      <c r="D71" s="101"/>
      <c r="E71" s="104">
        <v>40</v>
      </c>
      <c r="F71" s="102" t="s">
        <v>2566</v>
      </c>
      <c r="G71" s="102"/>
      <c r="H71" s="102"/>
      <c r="I71" s="102"/>
      <c r="J71" s="101"/>
      <c r="K71" s="102"/>
      <c r="L71" s="102"/>
      <c r="M71" s="101"/>
      <c r="N71" s="101"/>
      <c r="O71" s="101"/>
    </row>
    <row r="72" ht="9.75" customHeight="1" spans="1:15">
      <c r="A72" s="101" t="s">
        <v>2587</v>
      </c>
      <c r="B72" s="101"/>
      <c r="C72" s="101"/>
      <c r="D72" s="101"/>
      <c r="E72" s="104">
        <v>8</v>
      </c>
      <c r="F72" s="102" t="s">
        <v>2566</v>
      </c>
      <c r="G72" s="102"/>
      <c r="H72" s="102"/>
      <c r="I72" s="102"/>
      <c r="J72" s="101"/>
      <c r="K72" s="102"/>
      <c r="L72" s="102"/>
      <c r="M72" s="101"/>
      <c r="N72" s="101"/>
      <c r="O72" s="101"/>
    </row>
    <row r="73" ht="9.75" customHeight="1" spans="1:15">
      <c r="A73" s="101" t="s">
        <v>2588</v>
      </c>
      <c r="B73" s="101"/>
      <c r="C73" s="101"/>
      <c r="D73" s="101"/>
      <c r="E73" s="104">
        <v>8</v>
      </c>
      <c r="F73" s="102" t="s">
        <v>2566</v>
      </c>
      <c r="G73" s="102"/>
      <c r="H73" s="102"/>
      <c r="I73" s="102"/>
      <c r="J73" s="101"/>
      <c r="K73" s="102"/>
      <c r="L73" s="102"/>
      <c r="M73" s="101"/>
      <c r="N73" s="101"/>
      <c r="O73" s="101" t="str">
        <f ca="1">A1:O73</f>
        <v>#REF!</v>
      </c>
    </row>
    <row r="74" ht="14.25" customHeight="1" spans="1:1">
      <c r="A74" s="121"/>
    </row>
    <row r="75" ht="14.25" customHeight="1" spans="1:1">
      <c r="A75" s="121"/>
    </row>
    <row r="76" ht="14.25" customHeight="1"/>
    <row r="77" ht="14.25" customHeight="1"/>
    <row r="78" ht="14.25" customHeight="1"/>
    <row r="79" ht="14.25" customHeight="1"/>
    <row r="80" ht="14.25" customHeight="1"/>
    <row r="81" ht="14.25" customHeight="1"/>
    <row r="82" ht="14.25" customHeight="1" spans="1:12">
      <c r="A82" s="121"/>
      <c r="B82" s="121"/>
      <c r="C82" s="121"/>
      <c r="D82" s="121"/>
      <c r="E82" s="121"/>
      <c r="F82" s="122"/>
      <c r="G82" s="122"/>
      <c r="H82" s="122"/>
      <c r="I82" s="122"/>
      <c r="K82" s="122"/>
      <c r="L82" s="123"/>
    </row>
    <row r="83" ht="14.25" customHeight="1" spans="1:12">
      <c r="A83" s="121"/>
      <c r="B83" s="121"/>
      <c r="C83" s="121"/>
      <c r="D83" s="121"/>
      <c r="E83" s="121"/>
      <c r="F83" s="122"/>
      <c r="G83" s="122"/>
      <c r="H83" s="122"/>
      <c r="I83" s="122"/>
      <c r="K83" s="122"/>
      <c r="L83" s="123"/>
    </row>
    <row r="84" ht="14.25" customHeight="1" spans="1:12">
      <c r="A84" s="121"/>
      <c r="B84" s="121"/>
      <c r="C84" s="121"/>
      <c r="D84" s="121"/>
      <c r="E84" s="121"/>
      <c r="F84" s="122"/>
      <c r="G84" s="122"/>
      <c r="H84" s="122"/>
      <c r="I84" s="122"/>
      <c r="K84" s="122"/>
      <c r="L84" s="123"/>
    </row>
    <row r="85" ht="14.25" customHeight="1" spans="1:12">
      <c r="A85" s="121"/>
      <c r="B85" s="121"/>
      <c r="C85" s="121"/>
      <c r="D85" s="121"/>
      <c r="E85" s="121"/>
      <c r="F85" s="122"/>
      <c r="G85" s="122"/>
      <c r="H85" s="122"/>
      <c r="I85" s="122"/>
      <c r="K85" s="122"/>
      <c r="L85" s="123"/>
    </row>
    <row r="86" ht="14.25" customHeight="1" spans="1:12">
      <c r="A86" s="121"/>
      <c r="B86" s="121"/>
      <c r="C86" s="121"/>
      <c r="D86" s="121"/>
      <c r="E86" s="121"/>
      <c r="F86" s="122"/>
      <c r="G86" s="122"/>
      <c r="H86" s="122"/>
      <c r="I86" s="122"/>
      <c r="K86" s="122"/>
      <c r="L86" s="123"/>
    </row>
    <row r="87" ht="14.25" customHeight="1" spans="1:12">
      <c r="A87" s="121"/>
      <c r="B87" s="121"/>
      <c r="C87" s="121"/>
      <c r="D87" s="121"/>
      <c r="E87" s="121"/>
      <c r="F87" s="122"/>
      <c r="G87" s="122"/>
      <c r="H87" s="122"/>
      <c r="I87" s="122"/>
      <c r="K87" s="122"/>
      <c r="L87" s="123"/>
    </row>
    <row r="88" ht="14.25" customHeight="1" spans="1:12">
      <c r="A88" s="121"/>
      <c r="B88" s="121"/>
      <c r="C88" s="121"/>
      <c r="D88" s="121"/>
      <c r="E88" s="121"/>
      <c r="F88" s="122"/>
      <c r="G88" s="122"/>
      <c r="H88" s="122"/>
      <c r="I88" s="122"/>
      <c r="K88" s="122"/>
      <c r="L88" s="123"/>
    </row>
    <row r="89" ht="14.25" customHeight="1" spans="1:12">
      <c r="A89" s="121"/>
      <c r="B89" s="121"/>
      <c r="C89" s="121"/>
      <c r="D89" s="121"/>
      <c r="E89" s="121"/>
      <c r="F89" s="122"/>
      <c r="G89" s="122"/>
      <c r="H89" s="122"/>
      <c r="I89" s="122"/>
      <c r="K89" s="122"/>
      <c r="L89" s="123"/>
    </row>
    <row r="90" ht="14.25" customHeight="1" spans="1:12">
      <c r="A90" s="121"/>
      <c r="B90" s="121"/>
      <c r="C90" s="121"/>
      <c r="D90" s="121"/>
      <c r="E90" s="121"/>
      <c r="F90" s="122"/>
      <c r="G90" s="122"/>
      <c r="H90" s="122"/>
      <c r="I90" s="122"/>
      <c r="K90" s="122"/>
      <c r="L90" s="123"/>
    </row>
    <row r="91" ht="14.25" customHeight="1" spans="1:12">
      <c r="A91" s="121"/>
      <c r="B91" s="121"/>
      <c r="C91" s="121"/>
      <c r="D91" s="121"/>
      <c r="E91" s="121"/>
      <c r="F91" s="122"/>
      <c r="G91" s="122"/>
      <c r="H91" s="122"/>
      <c r="I91" s="122"/>
      <c r="K91" s="122"/>
      <c r="L91" s="123"/>
    </row>
    <row r="92" ht="14.25" customHeight="1" spans="1:12">
      <c r="A92" s="121"/>
      <c r="B92" s="121"/>
      <c r="C92" s="121"/>
      <c r="D92" s="121"/>
      <c r="E92" s="121"/>
      <c r="F92" s="122"/>
      <c r="G92" s="122"/>
      <c r="H92" s="122"/>
      <c r="I92" s="122"/>
      <c r="K92" s="122"/>
      <c r="L92" s="123"/>
    </row>
    <row r="93" ht="14.25" customHeight="1" spans="1:12">
      <c r="A93" s="121"/>
      <c r="B93" s="121"/>
      <c r="C93" s="121"/>
      <c r="D93" s="121"/>
      <c r="E93" s="121"/>
      <c r="F93" s="122"/>
      <c r="G93" s="122"/>
      <c r="H93" s="122"/>
      <c r="I93" s="122"/>
      <c r="K93" s="122"/>
      <c r="L93" s="123"/>
    </row>
    <row r="94" ht="14.25" customHeight="1" spans="1:12">
      <c r="A94" s="121"/>
      <c r="B94" s="121"/>
      <c r="C94" s="121"/>
      <c r="D94" s="121"/>
      <c r="E94" s="121"/>
      <c r="F94" s="122"/>
      <c r="G94" s="122"/>
      <c r="H94" s="122"/>
      <c r="I94" s="122"/>
      <c r="K94" s="122"/>
      <c r="L94" s="123"/>
    </row>
    <row r="95" ht="14.25" customHeight="1" spans="1:12">
      <c r="A95" s="121"/>
      <c r="B95" s="121"/>
      <c r="C95" s="121"/>
      <c r="D95" s="121"/>
      <c r="E95" s="121"/>
      <c r="F95" s="122"/>
      <c r="G95" s="122"/>
      <c r="H95" s="122"/>
      <c r="I95" s="122"/>
      <c r="K95" s="122"/>
      <c r="L95" s="123"/>
    </row>
    <row r="96" ht="14.25" customHeight="1" spans="1:12">
      <c r="A96" s="121"/>
      <c r="B96" s="121"/>
      <c r="C96" s="121"/>
      <c r="D96" s="121"/>
      <c r="E96" s="121"/>
      <c r="F96" s="122"/>
      <c r="G96" s="122"/>
      <c r="H96" s="122"/>
      <c r="I96" s="122"/>
      <c r="K96" s="122"/>
      <c r="L96" s="123"/>
    </row>
    <row r="97" ht="14.25" customHeight="1" spans="1:12">
      <c r="A97" s="121"/>
      <c r="B97" s="121"/>
      <c r="C97" s="121"/>
      <c r="D97" s="121"/>
      <c r="E97" s="121"/>
      <c r="F97" s="122"/>
      <c r="G97" s="122"/>
      <c r="H97" s="122"/>
      <c r="I97" s="122"/>
      <c r="K97" s="122"/>
      <c r="L97" s="123"/>
    </row>
    <row r="98" ht="14.25" customHeight="1" spans="1:12">
      <c r="A98" s="121"/>
      <c r="B98" s="121"/>
      <c r="C98" s="121"/>
      <c r="D98" s="121"/>
      <c r="E98" s="121"/>
      <c r="F98" s="122"/>
      <c r="G98" s="122"/>
      <c r="H98" s="122"/>
      <c r="I98" s="122"/>
      <c r="K98" s="122"/>
      <c r="L98" s="123"/>
    </row>
    <row r="99" ht="14.25" customHeight="1" spans="1:12">
      <c r="A99" s="121"/>
      <c r="B99" s="121"/>
      <c r="C99" s="121"/>
      <c r="D99" s="121"/>
      <c r="E99" s="121"/>
      <c r="F99" s="122"/>
      <c r="G99" s="122"/>
      <c r="H99" s="122"/>
      <c r="I99" s="122"/>
      <c r="K99" s="122"/>
      <c r="L99" s="123"/>
    </row>
    <row r="100" ht="14.25" customHeight="1" spans="1:12">
      <c r="A100" s="121"/>
      <c r="B100" s="121"/>
      <c r="C100" s="121"/>
      <c r="D100" s="121"/>
      <c r="E100" s="121"/>
      <c r="F100" s="122"/>
      <c r="G100" s="122"/>
      <c r="H100" s="122"/>
      <c r="I100" s="122"/>
      <c r="K100" s="122"/>
      <c r="L100" s="123"/>
    </row>
    <row r="101" ht="14.25" customHeight="1" spans="1:12">
      <c r="A101" s="121"/>
      <c r="B101" s="121"/>
      <c r="C101" s="121"/>
      <c r="D101" s="121"/>
      <c r="E101" s="121"/>
      <c r="F101" s="122"/>
      <c r="G101" s="122"/>
      <c r="H101" s="122"/>
      <c r="I101" s="122"/>
      <c r="K101" s="122"/>
      <c r="L101" s="123"/>
    </row>
    <row r="102" ht="14.25" customHeight="1" spans="1:12">
      <c r="A102" s="121"/>
      <c r="B102" s="121"/>
      <c r="C102" s="121"/>
      <c r="D102" s="121"/>
      <c r="E102" s="121"/>
      <c r="F102" s="122"/>
      <c r="G102" s="122"/>
      <c r="H102" s="122"/>
      <c r="I102" s="122"/>
      <c r="K102" s="122"/>
      <c r="L102" s="123"/>
    </row>
    <row r="103" ht="14.25" customHeight="1" spans="1:12">
      <c r="A103" s="121"/>
      <c r="B103" s="121"/>
      <c r="C103" s="121"/>
      <c r="D103" s="121"/>
      <c r="E103" s="121"/>
      <c r="F103" s="122"/>
      <c r="G103" s="122"/>
      <c r="H103" s="122"/>
      <c r="I103" s="122"/>
      <c r="K103" s="122"/>
      <c r="L103" s="123"/>
    </row>
    <row r="104" ht="14.25" customHeight="1" spans="6:12">
      <c r="F104" s="123"/>
      <c r="G104" s="123"/>
      <c r="H104" s="123"/>
      <c r="I104" s="123"/>
      <c r="K104" s="123"/>
      <c r="L104" s="123"/>
    </row>
    <row r="105" ht="14.25" customHeight="1" spans="6:12">
      <c r="F105" s="123"/>
      <c r="G105" s="123"/>
      <c r="H105" s="123"/>
      <c r="I105" s="123"/>
      <c r="K105" s="123"/>
      <c r="L105" s="123"/>
    </row>
    <row r="106" ht="14.25" customHeight="1" spans="6:12">
      <c r="F106" s="123"/>
      <c r="G106" s="123"/>
      <c r="H106" s="123"/>
      <c r="I106" s="123"/>
      <c r="K106" s="123"/>
      <c r="L106" s="123"/>
    </row>
    <row r="107" ht="14.25" customHeight="1" spans="6:12">
      <c r="F107" s="123"/>
      <c r="G107" s="123"/>
      <c r="H107" s="123"/>
      <c r="I107" s="123"/>
      <c r="K107" s="123"/>
      <c r="L107" s="123"/>
    </row>
    <row r="108" ht="14.25" customHeight="1" spans="6:12">
      <c r="F108" s="123"/>
      <c r="G108" s="123"/>
      <c r="H108" s="123"/>
      <c r="I108" s="123"/>
      <c r="K108" s="123"/>
      <c r="L108" s="123"/>
    </row>
    <row r="109" ht="14.25" customHeight="1" spans="6:12">
      <c r="F109" s="123"/>
      <c r="G109" s="123"/>
      <c r="H109" s="123"/>
      <c r="I109" s="123"/>
      <c r="K109" s="123"/>
      <c r="L109" s="123"/>
    </row>
    <row r="110" ht="14.25" customHeight="1" spans="6:12">
      <c r="F110" s="123"/>
      <c r="G110" s="123"/>
      <c r="H110" s="123"/>
      <c r="I110" s="123"/>
      <c r="K110" s="123"/>
      <c r="L110" s="123"/>
    </row>
    <row r="111" ht="14.25" customHeight="1" spans="6:12">
      <c r="F111" s="123"/>
      <c r="G111" s="123"/>
      <c r="H111" s="123"/>
      <c r="I111" s="123"/>
      <c r="K111" s="123"/>
      <c r="L111" s="123"/>
    </row>
    <row r="112" ht="14.25" customHeight="1" spans="6:12">
      <c r="F112" s="123"/>
      <c r="G112" s="123"/>
      <c r="H112" s="123"/>
      <c r="I112" s="123"/>
      <c r="K112" s="123"/>
      <c r="L112" s="123"/>
    </row>
    <row r="113" ht="14.25" customHeight="1" spans="6:12">
      <c r="F113" s="123"/>
      <c r="G113" s="123"/>
      <c r="H113" s="123"/>
      <c r="I113" s="123"/>
      <c r="K113" s="123"/>
      <c r="L113" s="123"/>
    </row>
    <row r="114" ht="14.25" customHeight="1" spans="6:12">
      <c r="F114" s="123"/>
      <c r="G114" s="123"/>
      <c r="H114" s="123"/>
      <c r="I114" s="123"/>
      <c r="K114" s="123"/>
      <c r="L114" s="123"/>
    </row>
    <row r="115" ht="14.25" customHeight="1" spans="6:12">
      <c r="F115" s="123"/>
      <c r="G115" s="123"/>
      <c r="H115" s="123"/>
      <c r="I115" s="123"/>
      <c r="K115" s="123"/>
      <c r="L115" s="123"/>
    </row>
    <row r="116" ht="14.25" customHeight="1" spans="6:12">
      <c r="F116" s="123"/>
      <c r="G116" s="123"/>
      <c r="H116" s="123"/>
      <c r="I116" s="123"/>
      <c r="K116" s="123"/>
      <c r="L116" s="123"/>
    </row>
    <row r="117" ht="14.25" customHeight="1" spans="6:12">
      <c r="F117" s="123"/>
      <c r="G117" s="123"/>
      <c r="H117" s="123"/>
      <c r="I117" s="123"/>
      <c r="K117" s="123"/>
      <c r="L117" s="123"/>
    </row>
    <row r="118" ht="14.25" customHeight="1" spans="6:12">
      <c r="F118" s="123"/>
      <c r="G118" s="123"/>
      <c r="H118" s="123"/>
      <c r="I118" s="123"/>
      <c r="K118" s="123"/>
      <c r="L118" s="123"/>
    </row>
    <row r="119" ht="14.25" customHeight="1" spans="6:12">
      <c r="F119" s="123"/>
      <c r="G119" s="123"/>
      <c r="H119" s="123"/>
      <c r="I119" s="123"/>
      <c r="K119" s="123"/>
      <c r="L119" s="123"/>
    </row>
    <row r="120" ht="14.25" customHeight="1" spans="6:12">
      <c r="F120" s="123"/>
      <c r="G120" s="123"/>
      <c r="H120" s="123"/>
      <c r="I120" s="123"/>
      <c r="K120" s="123"/>
      <c r="L120" s="123"/>
    </row>
    <row r="121" ht="14.25" customHeight="1" spans="6:12">
      <c r="F121" s="123"/>
      <c r="G121" s="123"/>
      <c r="H121" s="123"/>
      <c r="I121" s="123"/>
      <c r="K121" s="123"/>
      <c r="L121" s="123"/>
    </row>
    <row r="122" ht="14.25" customHeight="1" spans="6:12">
      <c r="F122" s="123"/>
      <c r="G122" s="123"/>
      <c r="H122" s="123"/>
      <c r="I122" s="123"/>
      <c r="K122" s="123"/>
      <c r="L122" s="123"/>
    </row>
    <row r="123" ht="14.25" customHeight="1" spans="6:12">
      <c r="F123" s="123"/>
      <c r="G123" s="123"/>
      <c r="H123" s="123"/>
      <c r="I123" s="123"/>
      <c r="K123" s="123"/>
      <c r="L123" s="123"/>
    </row>
    <row r="124" ht="14.25" customHeight="1" spans="6:12">
      <c r="F124" s="123"/>
      <c r="G124" s="123"/>
      <c r="H124" s="123"/>
      <c r="I124" s="123"/>
      <c r="K124" s="123"/>
      <c r="L124" s="123"/>
    </row>
    <row r="125" ht="14.25" customHeight="1" spans="6:12">
      <c r="F125" s="123"/>
      <c r="G125" s="123"/>
      <c r="H125" s="123"/>
      <c r="I125" s="123"/>
      <c r="K125" s="123"/>
      <c r="L125" s="123"/>
    </row>
    <row r="126" ht="14.25" customHeight="1" spans="6:12">
      <c r="F126" s="123"/>
      <c r="G126" s="123"/>
      <c r="H126" s="123"/>
      <c r="I126" s="123"/>
      <c r="K126" s="123"/>
      <c r="L126" s="123"/>
    </row>
    <row r="127" ht="14.25" customHeight="1" spans="6:12">
      <c r="F127" s="123"/>
      <c r="G127" s="123"/>
      <c r="H127" s="123"/>
      <c r="I127" s="123"/>
      <c r="K127" s="123"/>
      <c r="L127" s="123"/>
    </row>
    <row r="128" ht="14.25" customHeight="1" spans="6:12">
      <c r="F128" s="123"/>
      <c r="G128" s="123"/>
      <c r="H128" s="123"/>
      <c r="I128" s="123"/>
      <c r="K128" s="123"/>
      <c r="L128" s="123"/>
    </row>
    <row r="129" ht="14.25" customHeight="1" spans="6:12">
      <c r="F129" s="123"/>
      <c r="G129" s="123"/>
      <c r="H129" s="123"/>
      <c r="I129" s="123"/>
      <c r="K129" s="123"/>
      <c r="L129" s="123"/>
    </row>
    <row r="130" ht="14.25" customHeight="1" spans="6:12">
      <c r="F130" s="123"/>
      <c r="G130" s="123"/>
      <c r="H130" s="123"/>
      <c r="I130" s="123"/>
      <c r="K130" s="123"/>
      <c r="L130" s="123"/>
    </row>
    <row r="131" ht="14.25" customHeight="1" spans="6:12">
      <c r="F131" s="123"/>
      <c r="G131" s="123"/>
      <c r="H131" s="123"/>
      <c r="I131" s="123"/>
      <c r="K131" s="123"/>
      <c r="L131" s="123"/>
    </row>
    <row r="132" ht="14.25" customHeight="1" spans="6:12">
      <c r="F132" s="123"/>
      <c r="G132" s="123"/>
      <c r="H132" s="123"/>
      <c r="I132" s="123"/>
      <c r="K132" s="123"/>
      <c r="L132" s="123"/>
    </row>
    <row r="133" ht="14.25" customHeight="1" spans="6:12">
      <c r="F133" s="123"/>
      <c r="G133" s="123"/>
      <c r="H133" s="123"/>
      <c r="I133" s="123"/>
      <c r="K133" s="123"/>
      <c r="L133" s="123"/>
    </row>
    <row r="134" ht="14.25" customHeight="1" spans="6:12">
      <c r="F134" s="123"/>
      <c r="G134" s="123"/>
      <c r="H134" s="123"/>
      <c r="I134" s="123"/>
      <c r="K134" s="123"/>
      <c r="L134" s="123"/>
    </row>
    <row r="135" ht="14.25" customHeight="1" spans="6:12">
      <c r="F135" s="123"/>
      <c r="G135" s="123"/>
      <c r="H135" s="123"/>
      <c r="I135" s="123"/>
      <c r="K135" s="123"/>
      <c r="L135" s="123"/>
    </row>
    <row r="136" ht="14.25" customHeight="1" spans="6:12">
      <c r="F136" s="123"/>
      <c r="G136" s="123"/>
      <c r="H136" s="123"/>
      <c r="I136" s="123"/>
      <c r="K136" s="123"/>
      <c r="L136" s="123"/>
    </row>
    <row r="137" ht="14.25" customHeight="1" spans="6:12">
      <c r="F137" s="123"/>
      <c r="G137" s="123"/>
      <c r="H137" s="123"/>
      <c r="I137" s="123"/>
      <c r="K137" s="123"/>
      <c r="L137" s="123"/>
    </row>
    <row r="138" ht="14.25" customHeight="1" spans="6:12">
      <c r="F138" s="123"/>
      <c r="G138" s="123"/>
      <c r="H138" s="123"/>
      <c r="I138" s="123"/>
      <c r="K138" s="123"/>
      <c r="L138" s="123"/>
    </row>
    <row r="139" ht="14.25" customHeight="1" spans="6:12">
      <c r="F139" s="123"/>
      <c r="G139" s="123"/>
      <c r="H139" s="123"/>
      <c r="I139" s="123"/>
      <c r="K139" s="123"/>
      <c r="L139" s="123"/>
    </row>
    <row r="140" ht="14.25" customHeight="1" spans="6:12">
      <c r="F140" s="123"/>
      <c r="G140" s="123"/>
      <c r="H140" s="123"/>
      <c r="I140" s="123"/>
      <c r="K140" s="123"/>
      <c r="L140" s="123"/>
    </row>
    <row r="141" ht="14.25" customHeight="1" spans="6:12">
      <c r="F141" s="123"/>
      <c r="G141" s="123"/>
      <c r="H141" s="123"/>
      <c r="I141" s="123"/>
      <c r="K141" s="123"/>
      <c r="L141" s="123"/>
    </row>
    <row r="142" ht="14.25" customHeight="1" spans="6:12">
      <c r="F142" s="123"/>
      <c r="G142" s="123"/>
      <c r="H142" s="123"/>
      <c r="I142" s="123"/>
      <c r="K142" s="123"/>
      <c r="L142" s="123"/>
    </row>
    <row r="143" ht="14.25" customHeight="1" spans="6:12">
      <c r="F143" s="123"/>
      <c r="G143" s="123"/>
      <c r="H143" s="123"/>
      <c r="I143" s="123"/>
      <c r="K143" s="123"/>
      <c r="L143" s="123"/>
    </row>
    <row r="144" ht="14.25" customHeight="1" spans="6:12">
      <c r="F144" s="123"/>
      <c r="G144" s="123"/>
      <c r="H144" s="123"/>
      <c r="I144" s="123"/>
      <c r="K144" s="123"/>
      <c r="L144" s="123"/>
    </row>
    <row r="145" ht="14.25" customHeight="1" spans="6:12">
      <c r="F145" s="123"/>
      <c r="G145" s="123"/>
      <c r="H145" s="123"/>
      <c r="I145" s="123"/>
      <c r="K145" s="123"/>
      <c r="L145" s="123"/>
    </row>
    <row r="146" ht="14.25" customHeight="1" spans="6:12">
      <c r="F146" s="123"/>
      <c r="G146" s="123"/>
      <c r="H146" s="123"/>
      <c r="I146" s="123"/>
      <c r="K146" s="123"/>
      <c r="L146" s="123"/>
    </row>
    <row r="147" ht="14.25" customHeight="1" spans="6:12">
      <c r="F147" s="123"/>
      <c r="G147" s="123"/>
      <c r="H147" s="123"/>
      <c r="I147" s="123"/>
      <c r="K147" s="123"/>
      <c r="L147" s="123"/>
    </row>
    <row r="148" ht="14.25" customHeight="1" spans="6:12">
      <c r="F148" s="123"/>
      <c r="G148" s="123"/>
      <c r="H148" s="123"/>
      <c r="I148" s="123"/>
      <c r="K148" s="123"/>
      <c r="L148" s="123"/>
    </row>
    <row r="149" ht="14.25" customHeight="1" spans="6:12">
      <c r="F149" s="123"/>
      <c r="G149" s="123"/>
      <c r="H149" s="123"/>
      <c r="I149" s="123"/>
      <c r="K149" s="123"/>
      <c r="L149" s="123"/>
    </row>
    <row r="150" ht="14.25" customHeight="1" spans="6:12">
      <c r="F150" s="123"/>
      <c r="G150" s="123"/>
      <c r="H150" s="123"/>
      <c r="I150" s="123"/>
      <c r="K150" s="123"/>
      <c r="L150" s="123"/>
    </row>
    <row r="151" ht="14.25" customHeight="1" spans="6:12">
      <c r="F151" s="123"/>
      <c r="G151" s="123"/>
      <c r="H151" s="123"/>
      <c r="I151" s="123"/>
      <c r="K151" s="123"/>
      <c r="L151" s="123"/>
    </row>
    <row r="152" ht="14.25" customHeight="1" spans="6:12">
      <c r="F152" s="123"/>
      <c r="G152" s="123"/>
      <c r="H152" s="123"/>
      <c r="I152" s="123"/>
      <c r="K152" s="123"/>
      <c r="L152" s="123"/>
    </row>
    <row r="153" ht="14.25" customHeight="1" spans="6:12">
      <c r="F153" s="123"/>
      <c r="G153" s="123"/>
      <c r="H153" s="123"/>
      <c r="I153" s="123"/>
      <c r="K153" s="123"/>
      <c r="L153" s="123"/>
    </row>
    <row r="154" ht="14.25" customHeight="1" spans="6:12">
      <c r="F154" s="123"/>
      <c r="G154" s="123"/>
      <c r="H154" s="123"/>
      <c r="I154" s="123"/>
      <c r="K154" s="123"/>
      <c r="L154" s="123"/>
    </row>
    <row r="155" ht="14.25" customHeight="1" spans="6:12">
      <c r="F155" s="123"/>
      <c r="G155" s="123"/>
      <c r="H155" s="123"/>
      <c r="I155" s="123"/>
      <c r="K155" s="123"/>
      <c r="L155" s="123"/>
    </row>
    <row r="156" ht="14.25" customHeight="1" spans="6:12">
      <c r="F156" s="123"/>
      <c r="G156" s="123"/>
      <c r="H156" s="123"/>
      <c r="I156" s="123"/>
      <c r="K156" s="123"/>
      <c r="L156" s="123"/>
    </row>
    <row r="157" ht="14.25" customHeight="1" spans="6:12">
      <c r="F157" s="123"/>
      <c r="G157" s="123"/>
      <c r="H157" s="123"/>
      <c r="I157" s="123"/>
      <c r="K157" s="123"/>
      <c r="L157" s="123"/>
    </row>
    <row r="158" ht="14.25" customHeight="1" spans="6:12">
      <c r="F158" s="123"/>
      <c r="G158" s="123"/>
      <c r="H158" s="123"/>
      <c r="I158" s="123"/>
      <c r="K158" s="123"/>
      <c r="L158" s="123"/>
    </row>
    <row r="159" ht="14.25" customHeight="1" spans="6:12">
      <c r="F159" s="123"/>
      <c r="G159" s="123"/>
      <c r="H159" s="123"/>
      <c r="I159" s="123"/>
      <c r="K159" s="123"/>
      <c r="L159" s="123"/>
    </row>
    <row r="160" ht="14.25" customHeight="1" spans="6:12">
      <c r="F160" s="123"/>
      <c r="G160" s="123"/>
      <c r="H160" s="123"/>
      <c r="I160" s="123"/>
      <c r="K160" s="123"/>
      <c r="L160" s="123"/>
    </row>
    <row r="161" ht="14.25" customHeight="1" spans="6:12">
      <c r="F161" s="123"/>
      <c r="G161" s="123"/>
      <c r="H161" s="123"/>
      <c r="I161" s="123"/>
      <c r="K161" s="123"/>
      <c r="L161" s="123"/>
    </row>
    <row r="162" ht="14.25" customHeight="1" spans="6:12">
      <c r="F162" s="123"/>
      <c r="G162" s="123"/>
      <c r="H162" s="123"/>
      <c r="I162" s="123"/>
      <c r="K162" s="123"/>
      <c r="L162" s="123"/>
    </row>
    <row r="163" ht="14.25" customHeight="1" spans="6:12">
      <c r="F163" s="123"/>
      <c r="G163" s="123"/>
      <c r="H163" s="123"/>
      <c r="I163" s="123"/>
      <c r="K163" s="123"/>
      <c r="L163" s="123"/>
    </row>
    <row r="164" ht="14.25" customHeight="1" spans="6:12">
      <c r="F164" s="123"/>
      <c r="G164" s="123"/>
      <c r="H164" s="123"/>
      <c r="I164" s="123"/>
      <c r="K164" s="123"/>
      <c r="L164" s="123"/>
    </row>
    <row r="165" ht="14.25" customHeight="1" spans="6:12">
      <c r="F165" s="123"/>
      <c r="G165" s="123"/>
      <c r="H165" s="123"/>
      <c r="I165" s="123"/>
      <c r="K165" s="123"/>
      <c r="L165" s="123"/>
    </row>
    <row r="166" ht="14.25" customHeight="1" spans="6:12">
      <c r="F166" s="123"/>
      <c r="G166" s="123"/>
      <c r="H166" s="123"/>
      <c r="I166" s="123"/>
      <c r="K166" s="123"/>
      <c r="L166" s="123"/>
    </row>
    <row r="167" ht="14.25" customHeight="1" spans="6:12">
      <c r="F167" s="123"/>
      <c r="G167" s="123"/>
      <c r="H167" s="123"/>
      <c r="I167" s="123"/>
      <c r="K167" s="123"/>
      <c r="L167" s="123"/>
    </row>
    <row r="168" ht="14.25" customHeight="1" spans="6:12">
      <c r="F168" s="123"/>
      <c r="G168" s="123"/>
      <c r="H168" s="123"/>
      <c r="I168" s="123"/>
      <c r="K168" s="123"/>
      <c r="L168" s="123"/>
    </row>
    <row r="169" ht="14.25" customHeight="1" spans="6:12">
      <c r="F169" s="123"/>
      <c r="G169" s="123"/>
      <c r="H169" s="123"/>
      <c r="I169" s="123"/>
      <c r="K169" s="123"/>
      <c r="L169" s="123"/>
    </row>
    <row r="170" ht="14.25" customHeight="1" spans="6:12">
      <c r="F170" s="123"/>
      <c r="G170" s="123"/>
      <c r="H170" s="123"/>
      <c r="I170" s="123"/>
      <c r="K170" s="123"/>
      <c r="L170" s="123"/>
    </row>
    <row r="171" ht="14.25" customHeight="1" spans="6:12">
      <c r="F171" s="123"/>
      <c r="G171" s="123"/>
      <c r="H171" s="123"/>
      <c r="I171" s="123"/>
      <c r="K171" s="123"/>
      <c r="L171" s="123"/>
    </row>
    <row r="172" ht="14.25" customHeight="1" spans="6:12">
      <c r="F172" s="123"/>
      <c r="G172" s="123"/>
      <c r="H172" s="123"/>
      <c r="I172" s="123"/>
      <c r="K172" s="123"/>
      <c r="L172" s="123"/>
    </row>
    <row r="173" ht="14.25" customHeight="1" spans="6:12">
      <c r="F173" s="123"/>
      <c r="G173" s="123"/>
      <c r="H173" s="123"/>
      <c r="I173" s="123"/>
      <c r="K173" s="123"/>
      <c r="L173" s="123"/>
    </row>
    <row r="174" ht="14.25" customHeight="1" spans="6:12">
      <c r="F174" s="123"/>
      <c r="G174" s="123"/>
      <c r="H174" s="123"/>
      <c r="I174" s="123"/>
      <c r="K174" s="123"/>
      <c r="L174" s="123"/>
    </row>
    <row r="175" ht="14.25" customHeight="1" spans="6:12">
      <c r="F175" s="123"/>
      <c r="G175" s="123"/>
      <c r="H175" s="123"/>
      <c r="I175" s="123"/>
      <c r="K175" s="123"/>
      <c r="L175" s="123"/>
    </row>
    <row r="176" ht="14.25" customHeight="1" spans="6:12">
      <c r="F176" s="123"/>
      <c r="G176" s="123"/>
      <c r="H176" s="123"/>
      <c r="I176" s="123"/>
      <c r="K176" s="123"/>
      <c r="L176" s="123"/>
    </row>
    <row r="177" ht="14.25" customHeight="1" spans="6:12">
      <c r="F177" s="123"/>
      <c r="G177" s="123"/>
      <c r="H177" s="123"/>
      <c r="I177" s="123"/>
      <c r="K177" s="123"/>
      <c r="L177" s="123"/>
    </row>
    <row r="178" ht="14.25" customHeight="1" spans="6:12">
      <c r="F178" s="123"/>
      <c r="G178" s="123"/>
      <c r="H178" s="123"/>
      <c r="I178" s="123"/>
      <c r="K178" s="123"/>
      <c r="L178" s="123"/>
    </row>
    <row r="179" ht="14.25" customHeight="1" spans="6:12">
      <c r="F179" s="123"/>
      <c r="G179" s="123"/>
      <c r="H179" s="123"/>
      <c r="I179" s="123"/>
      <c r="K179" s="123"/>
      <c r="L179" s="123"/>
    </row>
    <row r="180" ht="14.25" customHeight="1" spans="6:12">
      <c r="F180" s="123"/>
      <c r="G180" s="123"/>
      <c r="H180" s="123"/>
      <c r="I180" s="123"/>
      <c r="K180" s="123"/>
      <c r="L180" s="123"/>
    </row>
    <row r="181" ht="14.25" customHeight="1" spans="6:12">
      <c r="F181" s="123"/>
      <c r="G181" s="123"/>
      <c r="H181" s="123"/>
      <c r="I181" s="123"/>
      <c r="K181" s="123"/>
      <c r="L181" s="123"/>
    </row>
    <row r="182" ht="14.25" customHeight="1" spans="6:12">
      <c r="F182" s="123"/>
      <c r="G182" s="123"/>
      <c r="H182" s="123"/>
      <c r="I182" s="123"/>
      <c r="K182" s="123"/>
      <c r="L182" s="123"/>
    </row>
    <row r="183" ht="14.25" customHeight="1" spans="6:12">
      <c r="F183" s="123"/>
      <c r="G183" s="123"/>
      <c r="H183" s="123"/>
      <c r="I183" s="123"/>
      <c r="K183" s="123"/>
      <c r="L183" s="123"/>
    </row>
    <row r="184" ht="14.25" customHeight="1" spans="6:12">
      <c r="F184" s="123"/>
      <c r="G184" s="123"/>
      <c r="H184" s="123"/>
      <c r="I184" s="123"/>
      <c r="K184" s="123"/>
      <c r="L184" s="123"/>
    </row>
    <row r="185" ht="14.25" customHeight="1" spans="6:12">
      <c r="F185" s="123"/>
      <c r="G185" s="123"/>
      <c r="H185" s="123"/>
      <c r="I185" s="123"/>
      <c r="K185" s="123"/>
      <c r="L185" s="123"/>
    </row>
    <row r="186" ht="14.25" customHeight="1" spans="6:12">
      <c r="F186" s="123"/>
      <c r="G186" s="123"/>
      <c r="H186" s="123"/>
      <c r="I186" s="123"/>
      <c r="K186" s="123"/>
      <c r="L186" s="123"/>
    </row>
    <row r="187" ht="14.25" customHeight="1" spans="6:12">
      <c r="F187" s="123"/>
      <c r="G187" s="123"/>
      <c r="H187" s="123"/>
      <c r="I187" s="123"/>
      <c r="K187" s="123"/>
      <c r="L187" s="123"/>
    </row>
    <row r="188" ht="14.25" customHeight="1" spans="6:12">
      <c r="F188" s="123"/>
      <c r="G188" s="123"/>
      <c r="H188" s="123"/>
      <c r="I188" s="123"/>
      <c r="K188" s="123"/>
      <c r="L188" s="123"/>
    </row>
    <row r="189" ht="14.25" customHeight="1" spans="6:12">
      <c r="F189" s="123"/>
      <c r="G189" s="123"/>
      <c r="H189" s="123"/>
      <c r="I189" s="123"/>
      <c r="K189" s="123"/>
      <c r="L189" s="123"/>
    </row>
    <row r="190" ht="14.25" customHeight="1" spans="6:12">
      <c r="F190" s="123"/>
      <c r="G190" s="123"/>
      <c r="H190" s="123"/>
      <c r="I190" s="123"/>
      <c r="K190" s="123"/>
      <c r="L190" s="123"/>
    </row>
    <row r="191" ht="14.25" customHeight="1" spans="6:12">
      <c r="F191" s="123"/>
      <c r="G191" s="123"/>
      <c r="H191" s="123"/>
      <c r="I191" s="123"/>
      <c r="K191" s="123"/>
      <c r="L191" s="123"/>
    </row>
    <row r="192" ht="14.25" customHeight="1" spans="6:12">
      <c r="F192" s="123"/>
      <c r="G192" s="123"/>
      <c r="H192" s="123"/>
      <c r="I192" s="123"/>
      <c r="K192" s="123"/>
      <c r="L192" s="123"/>
    </row>
    <row r="193" ht="14.25" customHeight="1" spans="6:12">
      <c r="F193" s="123"/>
      <c r="G193" s="123"/>
      <c r="H193" s="123"/>
      <c r="I193" s="123"/>
      <c r="K193" s="123"/>
      <c r="L193" s="123"/>
    </row>
    <row r="194" ht="14.25" customHeight="1" spans="6:12">
      <c r="F194" s="123"/>
      <c r="G194" s="123"/>
      <c r="H194" s="123"/>
      <c r="I194" s="123"/>
      <c r="K194" s="123"/>
      <c r="L194" s="123"/>
    </row>
    <row r="195" ht="14.25" customHeight="1" spans="6:12">
      <c r="F195" s="123"/>
      <c r="G195" s="123"/>
      <c r="H195" s="123"/>
      <c r="I195" s="123"/>
      <c r="K195" s="123"/>
      <c r="L195" s="123"/>
    </row>
    <row r="196" ht="14.25" customHeight="1" spans="6:12">
      <c r="F196" s="123"/>
      <c r="G196" s="123"/>
      <c r="H196" s="123"/>
      <c r="I196" s="123"/>
      <c r="K196" s="123"/>
      <c r="L196" s="123"/>
    </row>
    <row r="197" ht="14.25" customHeight="1" spans="6:12">
      <c r="F197" s="123"/>
      <c r="G197" s="123"/>
      <c r="H197" s="123"/>
      <c r="I197" s="123"/>
      <c r="K197" s="123"/>
      <c r="L197" s="123"/>
    </row>
    <row r="198" ht="14.25" customHeight="1" spans="6:12">
      <c r="F198" s="123"/>
      <c r="G198" s="123"/>
      <c r="H198" s="123"/>
      <c r="I198" s="123"/>
      <c r="K198" s="123"/>
      <c r="L198" s="123"/>
    </row>
    <row r="199" ht="14.25" customHeight="1" spans="6:12">
      <c r="F199" s="123"/>
      <c r="G199" s="123"/>
      <c r="H199" s="123"/>
      <c r="I199" s="123"/>
      <c r="K199" s="123"/>
      <c r="L199" s="123"/>
    </row>
    <row r="200" ht="14.25" customHeight="1" spans="6:12">
      <c r="F200" s="123"/>
      <c r="G200" s="123"/>
      <c r="H200" s="123"/>
      <c r="I200" s="123"/>
      <c r="K200" s="123"/>
      <c r="L200" s="123"/>
    </row>
    <row r="201" ht="14.25" customHeight="1" spans="6:12">
      <c r="F201" s="123"/>
      <c r="G201" s="123"/>
      <c r="H201" s="123"/>
      <c r="I201" s="123"/>
      <c r="K201" s="123"/>
      <c r="L201" s="123"/>
    </row>
    <row r="202" ht="14.25" customHeight="1" spans="6:12">
      <c r="F202" s="123"/>
      <c r="G202" s="123"/>
      <c r="H202" s="123"/>
      <c r="I202" s="123"/>
      <c r="K202" s="123"/>
      <c r="L202" s="123"/>
    </row>
    <row r="203" ht="14.25" customHeight="1" spans="6:12">
      <c r="F203" s="123"/>
      <c r="G203" s="123"/>
      <c r="H203" s="123"/>
      <c r="I203" s="123"/>
      <c r="K203" s="123"/>
      <c r="L203" s="123"/>
    </row>
    <row r="204" ht="14.25" customHeight="1" spans="6:12">
      <c r="F204" s="123"/>
      <c r="G204" s="123"/>
      <c r="H204" s="123"/>
      <c r="I204" s="123"/>
      <c r="K204" s="123"/>
      <c r="L204" s="123"/>
    </row>
    <row r="205" ht="14.25" customHeight="1" spans="6:12">
      <c r="F205" s="123"/>
      <c r="G205" s="123"/>
      <c r="H205" s="123"/>
      <c r="I205" s="123"/>
      <c r="K205" s="123"/>
      <c r="L205" s="123"/>
    </row>
    <row r="206" ht="14.25" customHeight="1" spans="6:12">
      <c r="F206" s="123"/>
      <c r="G206" s="123"/>
      <c r="H206" s="123"/>
      <c r="I206" s="123"/>
      <c r="K206" s="123"/>
      <c r="L206" s="123"/>
    </row>
    <row r="207" ht="14.25" customHeight="1" spans="6:12">
      <c r="F207" s="123"/>
      <c r="G207" s="123"/>
      <c r="H207" s="123"/>
      <c r="I207" s="123"/>
      <c r="K207" s="123"/>
      <c r="L207" s="123"/>
    </row>
    <row r="208" ht="14.25" customHeight="1" spans="6:12">
      <c r="F208" s="123"/>
      <c r="G208" s="123"/>
      <c r="H208" s="123"/>
      <c r="I208" s="123"/>
      <c r="K208" s="123"/>
      <c r="L208" s="123"/>
    </row>
    <row r="209" ht="14.25" customHeight="1" spans="6:12">
      <c r="F209" s="123"/>
      <c r="G209" s="123"/>
      <c r="H209" s="123"/>
      <c r="I209" s="123"/>
      <c r="K209" s="123"/>
      <c r="L209" s="123"/>
    </row>
    <row r="210" ht="14.25" customHeight="1" spans="6:12">
      <c r="F210" s="123"/>
      <c r="G210" s="123"/>
      <c r="H210" s="123"/>
      <c r="I210" s="123"/>
      <c r="K210" s="123"/>
      <c r="L210" s="123"/>
    </row>
    <row r="211" ht="14.25" customHeight="1" spans="6:12">
      <c r="F211" s="123"/>
      <c r="G211" s="123"/>
      <c r="H211" s="123"/>
      <c r="I211" s="123"/>
      <c r="K211" s="123"/>
      <c r="L211" s="123"/>
    </row>
    <row r="212" ht="14.25" customHeight="1" spans="6:12">
      <c r="F212" s="123"/>
      <c r="G212" s="123"/>
      <c r="H212" s="123"/>
      <c r="I212" s="123"/>
      <c r="K212" s="123"/>
      <c r="L212" s="123"/>
    </row>
    <row r="213" ht="14.25" customHeight="1" spans="6:12">
      <c r="F213" s="123"/>
      <c r="G213" s="123"/>
      <c r="H213" s="123"/>
      <c r="I213" s="123"/>
      <c r="K213" s="123"/>
      <c r="L213" s="123"/>
    </row>
    <row r="214" ht="14.25" customHeight="1" spans="6:12">
      <c r="F214" s="123"/>
      <c r="G214" s="123"/>
      <c r="H214" s="123"/>
      <c r="I214" s="123"/>
      <c r="K214" s="123"/>
      <c r="L214" s="123"/>
    </row>
    <row r="215" ht="14.25" customHeight="1" spans="6:12">
      <c r="F215" s="123"/>
      <c r="G215" s="123"/>
      <c r="H215" s="123"/>
      <c r="I215" s="123"/>
      <c r="K215" s="123"/>
      <c r="L215" s="123"/>
    </row>
    <row r="216" ht="14.25" customHeight="1" spans="6:12">
      <c r="F216" s="123"/>
      <c r="G216" s="123"/>
      <c r="H216" s="123"/>
      <c r="I216" s="123"/>
      <c r="K216" s="123"/>
      <c r="L216" s="123"/>
    </row>
    <row r="217" ht="14.25" customHeight="1" spans="6:12">
      <c r="F217" s="123"/>
      <c r="G217" s="123"/>
      <c r="H217" s="123"/>
      <c r="I217" s="123"/>
      <c r="K217" s="123"/>
      <c r="L217" s="123"/>
    </row>
    <row r="218" ht="14.25" customHeight="1" spans="6:12">
      <c r="F218" s="123"/>
      <c r="G218" s="123"/>
      <c r="H218" s="123"/>
      <c r="I218" s="123"/>
      <c r="K218" s="123"/>
      <c r="L218" s="123"/>
    </row>
    <row r="219" ht="14.25" customHeight="1" spans="6:12">
      <c r="F219" s="123"/>
      <c r="G219" s="123"/>
      <c r="H219" s="123"/>
      <c r="I219" s="123"/>
      <c r="K219" s="123"/>
      <c r="L219" s="123"/>
    </row>
    <row r="220" ht="14.25" customHeight="1" spans="6:12">
      <c r="F220" s="123"/>
      <c r="G220" s="123"/>
      <c r="H220" s="123"/>
      <c r="I220" s="123"/>
      <c r="K220" s="123"/>
      <c r="L220" s="123"/>
    </row>
    <row r="221" ht="14.25" customHeight="1" spans="6:12">
      <c r="F221" s="123"/>
      <c r="G221" s="123"/>
      <c r="H221" s="123"/>
      <c r="I221" s="123"/>
      <c r="K221" s="123"/>
      <c r="L221" s="123"/>
    </row>
    <row r="222" ht="14.25" customHeight="1" spans="6:12">
      <c r="F222" s="123"/>
      <c r="G222" s="123"/>
      <c r="H222" s="123"/>
      <c r="I222" s="123"/>
      <c r="K222" s="123"/>
      <c r="L222" s="123"/>
    </row>
    <row r="223" ht="14.25" customHeight="1" spans="6:12">
      <c r="F223" s="123"/>
      <c r="G223" s="123"/>
      <c r="H223" s="123"/>
      <c r="I223" s="123"/>
      <c r="K223" s="123"/>
      <c r="L223" s="123"/>
    </row>
    <row r="224" ht="14.25" customHeight="1" spans="6:12">
      <c r="F224" s="123"/>
      <c r="G224" s="123"/>
      <c r="H224" s="123"/>
      <c r="I224" s="123"/>
      <c r="K224" s="123"/>
      <c r="L224" s="123"/>
    </row>
    <row r="225" ht="14.25" customHeight="1" spans="6:12">
      <c r="F225" s="123"/>
      <c r="G225" s="123"/>
      <c r="H225" s="123"/>
      <c r="I225" s="123"/>
      <c r="K225" s="123"/>
      <c r="L225" s="123"/>
    </row>
    <row r="226" ht="14.25" customHeight="1" spans="6:12">
      <c r="F226" s="123"/>
      <c r="G226" s="123"/>
      <c r="H226" s="123"/>
      <c r="I226" s="123"/>
      <c r="K226" s="123"/>
      <c r="L226" s="123"/>
    </row>
    <row r="227" ht="14.25" customHeight="1" spans="6:12">
      <c r="F227" s="123"/>
      <c r="G227" s="123"/>
      <c r="H227" s="123"/>
      <c r="I227" s="123"/>
      <c r="K227" s="123"/>
      <c r="L227" s="123"/>
    </row>
    <row r="228" ht="14.25" customHeight="1" spans="6:12">
      <c r="F228" s="123"/>
      <c r="G228" s="123"/>
      <c r="H228" s="123"/>
      <c r="I228" s="123"/>
      <c r="K228" s="123"/>
      <c r="L228" s="123"/>
    </row>
    <row r="229" ht="14.25" customHeight="1" spans="6:12">
      <c r="F229" s="123"/>
      <c r="G229" s="123"/>
      <c r="H229" s="123"/>
      <c r="I229" s="123"/>
      <c r="K229" s="123"/>
      <c r="L229" s="123"/>
    </row>
    <row r="230" ht="14.25" customHeight="1" spans="6:12">
      <c r="F230" s="123"/>
      <c r="G230" s="123"/>
      <c r="H230" s="123"/>
      <c r="I230" s="123"/>
      <c r="K230" s="123"/>
      <c r="L230" s="123"/>
    </row>
    <row r="231" ht="14.25" customHeight="1" spans="6:12">
      <c r="F231" s="123"/>
      <c r="G231" s="123"/>
      <c r="H231" s="123"/>
      <c r="I231" s="123"/>
      <c r="K231" s="123"/>
      <c r="L231" s="123"/>
    </row>
    <row r="232" ht="14.25" customHeight="1" spans="6:12">
      <c r="F232" s="123"/>
      <c r="G232" s="123"/>
      <c r="H232" s="123"/>
      <c r="I232" s="123"/>
      <c r="K232" s="123"/>
      <c r="L232" s="123"/>
    </row>
    <row r="233" ht="14.25" customHeight="1" spans="6:12">
      <c r="F233" s="123"/>
      <c r="G233" s="123"/>
      <c r="H233" s="123"/>
      <c r="I233" s="123"/>
      <c r="K233" s="123"/>
      <c r="L233" s="123"/>
    </row>
    <row r="234" ht="14.25" customHeight="1" spans="6:12">
      <c r="F234" s="123"/>
      <c r="G234" s="123"/>
      <c r="H234" s="123"/>
      <c r="I234" s="123"/>
      <c r="K234" s="123"/>
      <c r="L234" s="123"/>
    </row>
    <row r="235" ht="14.25" customHeight="1" spans="6:12">
      <c r="F235" s="123"/>
      <c r="G235" s="123"/>
      <c r="H235" s="123"/>
      <c r="I235" s="123"/>
      <c r="K235" s="123"/>
      <c r="L235" s="123"/>
    </row>
    <row r="236" ht="14.25" customHeight="1" spans="6:12">
      <c r="F236" s="123"/>
      <c r="G236" s="123"/>
      <c r="H236" s="123"/>
      <c r="I236" s="123"/>
      <c r="K236" s="123"/>
      <c r="L236" s="123"/>
    </row>
    <row r="237" ht="14.25" customHeight="1" spans="6:12">
      <c r="F237" s="123"/>
      <c r="G237" s="123"/>
      <c r="H237" s="123"/>
      <c r="I237" s="123"/>
      <c r="K237" s="123"/>
      <c r="L237" s="123"/>
    </row>
    <row r="238" ht="14.25" customHeight="1" spans="6:12">
      <c r="F238" s="123"/>
      <c r="G238" s="123"/>
      <c r="H238" s="123"/>
      <c r="I238" s="123"/>
      <c r="K238" s="123"/>
      <c r="L238" s="123"/>
    </row>
    <row r="239" ht="14.25" customHeight="1" spans="6:12">
      <c r="F239" s="123"/>
      <c r="G239" s="123"/>
      <c r="H239" s="123"/>
      <c r="I239" s="123"/>
      <c r="K239" s="123"/>
      <c r="L239" s="123"/>
    </row>
    <row r="240" ht="14.25" customHeight="1" spans="6:12">
      <c r="F240" s="123"/>
      <c r="G240" s="123"/>
      <c r="H240" s="123"/>
      <c r="I240" s="123"/>
      <c r="K240" s="123"/>
      <c r="L240" s="123"/>
    </row>
    <row r="241" ht="14.25" customHeight="1" spans="6:12">
      <c r="F241" s="123"/>
      <c r="G241" s="123"/>
      <c r="H241" s="123"/>
      <c r="I241" s="123"/>
      <c r="K241" s="123"/>
      <c r="L241" s="123"/>
    </row>
    <row r="242" ht="14.25" customHeight="1" spans="6:12">
      <c r="F242" s="123"/>
      <c r="G242" s="123"/>
      <c r="H242" s="123"/>
      <c r="I242" s="123"/>
      <c r="K242" s="123"/>
      <c r="L242" s="123"/>
    </row>
    <row r="243" ht="14.25" customHeight="1" spans="6:12">
      <c r="F243" s="123"/>
      <c r="G243" s="123"/>
      <c r="H243" s="123"/>
      <c r="I243" s="123"/>
      <c r="K243" s="123"/>
      <c r="L243" s="123"/>
    </row>
    <row r="244" ht="14.25" customHeight="1" spans="6:12">
      <c r="F244" s="123"/>
      <c r="G244" s="123"/>
      <c r="H244" s="123"/>
      <c r="I244" s="123"/>
      <c r="K244" s="123"/>
      <c r="L244" s="123"/>
    </row>
    <row r="245" ht="14.25" customHeight="1" spans="6:12">
      <c r="F245" s="123"/>
      <c r="G245" s="123"/>
      <c r="H245" s="123"/>
      <c r="I245" s="123"/>
      <c r="K245" s="123"/>
      <c r="L245" s="123"/>
    </row>
    <row r="246" ht="14.25" customHeight="1" spans="6:12">
      <c r="F246" s="123"/>
      <c r="G246" s="123"/>
      <c r="H246" s="123"/>
      <c r="I246" s="123"/>
      <c r="K246" s="123"/>
      <c r="L246" s="123"/>
    </row>
    <row r="247" ht="14.25" customHeight="1" spans="6:12">
      <c r="F247" s="123"/>
      <c r="G247" s="123"/>
      <c r="H247" s="123"/>
      <c r="I247" s="123"/>
      <c r="K247" s="123"/>
      <c r="L247" s="123"/>
    </row>
    <row r="248" ht="14.25" customHeight="1" spans="6:12">
      <c r="F248" s="123"/>
      <c r="G248" s="123"/>
      <c r="H248" s="123"/>
      <c r="I248" s="123"/>
      <c r="K248" s="123"/>
      <c r="L248" s="123"/>
    </row>
    <row r="249" ht="14.25" customHeight="1" spans="6:12">
      <c r="F249" s="123"/>
      <c r="G249" s="123"/>
      <c r="H249" s="123"/>
      <c r="I249" s="123"/>
      <c r="K249" s="123"/>
      <c r="L249" s="123"/>
    </row>
    <row r="250" ht="14.25" customHeight="1" spans="6:12">
      <c r="F250" s="123"/>
      <c r="G250" s="123"/>
      <c r="H250" s="123"/>
      <c r="I250" s="123"/>
      <c r="K250" s="123"/>
      <c r="L250" s="123"/>
    </row>
    <row r="251" ht="14.25" customHeight="1" spans="6:12">
      <c r="F251" s="123"/>
      <c r="G251" s="123"/>
      <c r="H251" s="123"/>
      <c r="I251" s="123"/>
      <c r="K251" s="123"/>
      <c r="L251" s="123"/>
    </row>
    <row r="252" ht="14.25" customHeight="1" spans="6:12">
      <c r="F252" s="123"/>
      <c r="G252" s="123"/>
      <c r="H252" s="123"/>
      <c r="I252" s="123"/>
      <c r="K252" s="123"/>
      <c r="L252" s="123"/>
    </row>
    <row r="253" ht="14.25" customHeight="1" spans="6:12">
      <c r="F253" s="123"/>
      <c r="G253" s="123"/>
      <c r="H253" s="123"/>
      <c r="I253" s="123"/>
      <c r="K253" s="123"/>
      <c r="L253" s="123"/>
    </row>
    <row r="254" ht="14.25" customHeight="1" spans="6:12">
      <c r="F254" s="123"/>
      <c r="G254" s="123"/>
      <c r="H254" s="123"/>
      <c r="I254" s="123"/>
      <c r="K254" s="123"/>
      <c r="L254" s="123"/>
    </row>
    <row r="255" ht="14.25" customHeight="1" spans="6:12">
      <c r="F255" s="123"/>
      <c r="G255" s="123"/>
      <c r="H255" s="123"/>
      <c r="I255" s="123"/>
      <c r="K255" s="123"/>
      <c r="L255" s="123"/>
    </row>
    <row r="256" ht="14.25" customHeight="1" spans="6:12">
      <c r="F256" s="123"/>
      <c r="G256" s="123"/>
      <c r="H256" s="123"/>
      <c r="I256" s="123"/>
      <c r="K256" s="123"/>
      <c r="L256" s="123"/>
    </row>
    <row r="257" ht="14.25" customHeight="1" spans="6:12">
      <c r="F257" s="123"/>
      <c r="G257" s="123"/>
      <c r="H257" s="123"/>
      <c r="I257" s="123"/>
      <c r="K257" s="123"/>
      <c r="L257" s="123"/>
    </row>
    <row r="258" ht="14.25" customHeight="1" spans="6:12">
      <c r="F258" s="123"/>
      <c r="G258" s="123"/>
      <c r="H258" s="123"/>
      <c r="I258" s="123"/>
      <c r="K258" s="123"/>
      <c r="L258" s="123"/>
    </row>
    <row r="259" ht="14.25" customHeight="1" spans="6:12">
      <c r="F259" s="123"/>
      <c r="G259" s="123"/>
      <c r="H259" s="123"/>
      <c r="I259" s="123"/>
      <c r="K259" s="123"/>
      <c r="L259" s="123"/>
    </row>
    <row r="260" ht="14.25" customHeight="1" spans="6:12">
      <c r="F260" s="123"/>
      <c r="G260" s="123"/>
      <c r="H260" s="123"/>
      <c r="I260" s="123"/>
      <c r="K260" s="123"/>
      <c r="L260" s="123"/>
    </row>
    <row r="261" ht="14.25" customHeight="1" spans="6:12">
      <c r="F261" s="123"/>
      <c r="G261" s="123"/>
      <c r="H261" s="123"/>
      <c r="I261" s="123"/>
      <c r="K261" s="123"/>
      <c r="L261" s="123"/>
    </row>
    <row r="262" ht="14.25" customHeight="1" spans="6:12">
      <c r="F262" s="123"/>
      <c r="G262" s="123"/>
      <c r="H262" s="123"/>
      <c r="I262" s="123"/>
      <c r="K262" s="123"/>
      <c r="L262" s="123"/>
    </row>
    <row r="263" ht="14.25" customHeight="1" spans="6:12">
      <c r="F263" s="123"/>
      <c r="G263" s="123"/>
      <c r="H263" s="123"/>
      <c r="I263" s="123"/>
      <c r="K263" s="123"/>
      <c r="L263" s="123"/>
    </row>
    <row r="264" ht="14.25" customHeight="1" spans="6:12">
      <c r="F264" s="123"/>
      <c r="G264" s="123"/>
      <c r="H264" s="123"/>
      <c r="I264" s="123"/>
      <c r="K264" s="123"/>
      <c r="L264" s="123"/>
    </row>
    <row r="265" ht="14.25" customHeight="1" spans="6:12">
      <c r="F265" s="123"/>
      <c r="G265" s="123"/>
      <c r="H265" s="123"/>
      <c r="I265" s="123"/>
      <c r="K265" s="123"/>
      <c r="L265" s="123"/>
    </row>
    <row r="266" ht="14.25" customHeight="1" spans="6:12">
      <c r="F266" s="123"/>
      <c r="G266" s="123"/>
      <c r="H266" s="123"/>
      <c r="I266" s="123"/>
      <c r="K266" s="123"/>
      <c r="L266" s="123"/>
    </row>
    <row r="267" ht="14.25" customHeight="1" spans="6:12">
      <c r="F267" s="123"/>
      <c r="G267" s="123"/>
      <c r="H267" s="123"/>
      <c r="I267" s="123"/>
      <c r="K267" s="123"/>
      <c r="L267" s="123"/>
    </row>
    <row r="268" ht="14.25" customHeight="1" spans="6:12">
      <c r="F268" s="123"/>
      <c r="G268" s="123"/>
      <c r="H268" s="123"/>
      <c r="I268" s="123"/>
      <c r="K268" s="123"/>
      <c r="L268" s="123"/>
    </row>
    <row r="269" ht="14.25" customHeight="1" spans="6:12">
      <c r="F269" s="123"/>
      <c r="G269" s="123"/>
      <c r="H269" s="123"/>
      <c r="I269" s="123"/>
      <c r="K269" s="123"/>
      <c r="L269" s="123"/>
    </row>
    <row r="270" ht="14.25" customHeight="1" spans="6:12">
      <c r="F270" s="123"/>
      <c r="G270" s="123"/>
      <c r="H270" s="123"/>
      <c r="I270" s="123"/>
      <c r="K270" s="123"/>
      <c r="L270" s="123"/>
    </row>
    <row r="271" ht="14.25" customHeight="1" spans="6:12">
      <c r="F271" s="123"/>
      <c r="G271" s="123"/>
      <c r="H271" s="123"/>
      <c r="I271" s="123"/>
      <c r="K271" s="123"/>
      <c r="L271" s="123"/>
    </row>
    <row r="272" ht="14.25" customHeight="1" spans="6:12">
      <c r="F272" s="123"/>
      <c r="G272" s="123"/>
      <c r="H272" s="123"/>
      <c r="I272" s="123"/>
      <c r="K272" s="123"/>
      <c r="L272" s="123"/>
    </row>
    <row r="273" ht="14.25" customHeight="1" spans="6:12">
      <c r="F273" s="123"/>
      <c r="G273" s="123"/>
      <c r="H273" s="123"/>
      <c r="I273" s="123"/>
      <c r="K273" s="123"/>
      <c r="L273" s="123"/>
    </row>
    <row r="274" ht="14.25" customHeight="1" spans="6:12">
      <c r="F274" s="123"/>
      <c r="G274" s="123"/>
      <c r="H274" s="123"/>
      <c r="I274" s="123"/>
      <c r="K274" s="123"/>
      <c r="L274" s="123"/>
    </row>
    <row r="275" ht="14.25" customHeight="1" spans="6:12">
      <c r="F275" s="123"/>
      <c r="G275" s="123"/>
      <c r="H275" s="123"/>
      <c r="I275" s="123"/>
      <c r="K275" s="123"/>
      <c r="L275" s="123"/>
    </row>
    <row r="276" ht="14.25" customHeight="1" spans="6:12">
      <c r="F276" s="123"/>
      <c r="G276" s="123"/>
      <c r="H276" s="123"/>
      <c r="I276" s="123"/>
      <c r="K276" s="123"/>
      <c r="L276" s="123"/>
    </row>
    <row r="277" ht="14.25" customHeight="1" spans="6:12">
      <c r="F277" s="123"/>
      <c r="G277" s="123"/>
      <c r="H277" s="123"/>
      <c r="I277" s="123"/>
      <c r="K277" s="123"/>
      <c r="L277" s="123"/>
    </row>
    <row r="278" ht="14.25" customHeight="1" spans="6:12">
      <c r="F278" s="123"/>
      <c r="G278" s="123"/>
      <c r="H278" s="123"/>
      <c r="I278" s="123"/>
      <c r="K278" s="123"/>
      <c r="L278" s="123"/>
    </row>
    <row r="279" ht="14.25" customHeight="1" spans="6:12">
      <c r="F279" s="123"/>
      <c r="G279" s="123"/>
      <c r="H279" s="123"/>
      <c r="I279" s="123"/>
      <c r="K279" s="123"/>
      <c r="L279" s="123"/>
    </row>
    <row r="280" ht="14.25" customHeight="1" spans="6:12">
      <c r="F280" s="123"/>
      <c r="G280" s="123"/>
      <c r="H280" s="123"/>
      <c r="I280" s="123"/>
      <c r="K280" s="123"/>
      <c r="L280" s="123"/>
    </row>
    <row r="281" ht="14.25" customHeight="1" spans="6:12">
      <c r="F281" s="123"/>
      <c r="G281" s="123"/>
      <c r="H281" s="123"/>
      <c r="I281" s="123"/>
      <c r="K281" s="123"/>
      <c r="L281" s="123"/>
    </row>
    <row r="282" ht="14.25" customHeight="1" spans="6:12">
      <c r="F282" s="123"/>
      <c r="G282" s="123"/>
      <c r="H282" s="123"/>
      <c r="I282" s="123"/>
      <c r="K282" s="123"/>
      <c r="L282" s="123"/>
    </row>
    <row r="283" ht="14.25" customHeight="1" spans="6:12">
      <c r="F283" s="123"/>
      <c r="G283" s="123"/>
      <c r="H283" s="123"/>
      <c r="I283" s="123"/>
      <c r="K283" s="123"/>
      <c r="L283" s="123"/>
    </row>
    <row r="284" ht="14.25" customHeight="1" spans="6:12">
      <c r="F284" s="123"/>
      <c r="G284" s="123"/>
      <c r="H284" s="123"/>
      <c r="I284" s="123"/>
      <c r="K284" s="123"/>
      <c r="L284" s="123"/>
    </row>
    <row r="285" ht="14.25" customHeight="1" spans="6:12">
      <c r="F285" s="123"/>
      <c r="G285" s="123"/>
      <c r="H285" s="123"/>
      <c r="I285" s="123"/>
      <c r="K285" s="123"/>
      <c r="L285" s="123"/>
    </row>
    <row r="286" ht="14.25" customHeight="1" spans="6:12">
      <c r="F286" s="123"/>
      <c r="G286" s="123"/>
      <c r="H286" s="123"/>
      <c r="I286" s="123"/>
      <c r="K286" s="123"/>
      <c r="L286" s="123"/>
    </row>
    <row r="287" ht="14.25" customHeight="1" spans="6:12">
      <c r="F287" s="123"/>
      <c r="G287" s="123"/>
      <c r="H287" s="123"/>
      <c r="I287" s="123"/>
      <c r="K287" s="123"/>
      <c r="L287" s="123"/>
    </row>
    <row r="288" ht="14.25" customHeight="1" spans="6:12">
      <c r="F288" s="123"/>
      <c r="G288" s="123"/>
      <c r="H288" s="123"/>
      <c r="I288" s="123"/>
      <c r="K288" s="123"/>
      <c r="L288" s="123"/>
    </row>
    <row r="289" ht="14.25" customHeight="1" spans="6:12">
      <c r="F289" s="123"/>
      <c r="G289" s="123"/>
      <c r="H289" s="123"/>
      <c r="I289" s="123"/>
      <c r="K289" s="123"/>
      <c r="L289" s="123"/>
    </row>
    <row r="290" ht="14.25" customHeight="1" spans="6:12">
      <c r="F290" s="123"/>
      <c r="G290" s="123"/>
      <c r="H290" s="123"/>
      <c r="I290" s="123"/>
      <c r="K290" s="123"/>
      <c r="L290" s="123"/>
    </row>
    <row r="291" ht="14.25" customHeight="1" spans="6:12">
      <c r="F291" s="123"/>
      <c r="G291" s="123"/>
      <c r="H291" s="123"/>
      <c r="I291" s="123"/>
      <c r="K291" s="123"/>
      <c r="L291" s="123"/>
    </row>
    <row r="292" ht="14.25" customHeight="1" spans="6:12">
      <c r="F292" s="123"/>
      <c r="G292" s="123"/>
      <c r="H292" s="123"/>
      <c r="I292" s="123"/>
      <c r="K292" s="123"/>
      <c r="L292" s="123"/>
    </row>
    <row r="293" ht="14.25" customHeight="1" spans="6:12">
      <c r="F293" s="123"/>
      <c r="G293" s="123"/>
      <c r="H293" s="123"/>
      <c r="I293" s="123"/>
      <c r="K293" s="123"/>
      <c r="L293" s="123"/>
    </row>
    <row r="294" ht="14.25" customHeight="1" spans="6:12">
      <c r="F294" s="123"/>
      <c r="G294" s="123"/>
      <c r="H294" s="123"/>
      <c r="I294" s="123"/>
      <c r="K294" s="123"/>
      <c r="L294" s="123"/>
    </row>
    <row r="295" ht="14.25" customHeight="1" spans="6:12">
      <c r="F295" s="123"/>
      <c r="G295" s="123"/>
      <c r="H295" s="123"/>
      <c r="I295" s="123"/>
      <c r="K295" s="123"/>
      <c r="L295" s="123"/>
    </row>
    <row r="296" ht="14.25" customHeight="1" spans="6:12">
      <c r="F296" s="123"/>
      <c r="G296" s="123"/>
      <c r="H296" s="123"/>
      <c r="I296" s="123"/>
      <c r="K296" s="123"/>
      <c r="L296" s="123"/>
    </row>
    <row r="297" ht="14.25" customHeight="1" spans="6:12">
      <c r="F297" s="123"/>
      <c r="G297" s="123"/>
      <c r="H297" s="123"/>
      <c r="I297" s="123"/>
      <c r="K297" s="123"/>
      <c r="L297" s="123"/>
    </row>
    <row r="298" ht="14.25" customHeight="1" spans="6:12">
      <c r="F298" s="123"/>
      <c r="G298" s="123"/>
      <c r="H298" s="123"/>
      <c r="I298" s="123"/>
      <c r="K298" s="123"/>
      <c r="L298" s="123"/>
    </row>
    <row r="299" ht="14.25" customHeight="1" spans="6:12">
      <c r="F299" s="123"/>
      <c r="G299" s="123"/>
      <c r="H299" s="123"/>
      <c r="I299" s="123"/>
      <c r="K299" s="123"/>
      <c r="L299" s="123"/>
    </row>
    <row r="300" ht="14.25" customHeight="1" spans="6:12">
      <c r="F300" s="123"/>
      <c r="G300" s="123"/>
      <c r="H300" s="123"/>
      <c r="I300" s="123"/>
      <c r="K300" s="123"/>
      <c r="L300" s="123"/>
    </row>
    <row r="301" ht="14.25" customHeight="1" spans="6:12">
      <c r="F301" s="123"/>
      <c r="G301" s="123"/>
      <c r="H301" s="123"/>
      <c r="I301" s="123"/>
      <c r="K301" s="123"/>
      <c r="L301" s="123"/>
    </row>
    <row r="302" ht="14.25" customHeight="1" spans="6:12">
      <c r="F302" s="123"/>
      <c r="G302" s="123"/>
      <c r="H302" s="123"/>
      <c r="I302" s="123"/>
      <c r="K302" s="123"/>
      <c r="L302" s="123"/>
    </row>
    <row r="303" ht="14.25" customHeight="1" spans="6:12">
      <c r="F303" s="123"/>
      <c r="G303" s="123"/>
      <c r="H303" s="123"/>
      <c r="I303" s="123"/>
      <c r="K303" s="123"/>
      <c r="L303" s="123"/>
    </row>
    <row r="304" ht="14.25" customHeight="1" spans="6:12">
      <c r="F304" s="123"/>
      <c r="G304" s="123"/>
      <c r="H304" s="123"/>
      <c r="I304" s="123"/>
      <c r="K304" s="123"/>
      <c r="L304" s="123"/>
    </row>
    <row r="305" ht="14.25" customHeight="1" spans="6:12">
      <c r="F305" s="123"/>
      <c r="G305" s="123"/>
      <c r="H305" s="123"/>
      <c r="I305" s="123"/>
      <c r="K305" s="123"/>
      <c r="L305" s="123"/>
    </row>
    <row r="306" ht="14.25" customHeight="1" spans="6:12">
      <c r="F306" s="123"/>
      <c r="G306" s="123"/>
      <c r="H306" s="123"/>
      <c r="I306" s="123"/>
      <c r="K306" s="123"/>
      <c r="L306" s="123"/>
    </row>
    <row r="307" ht="14.25" customHeight="1" spans="6:12">
      <c r="F307" s="123"/>
      <c r="G307" s="123"/>
      <c r="H307" s="123"/>
      <c r="I307" s="123"/>
      <c r="K307" s="123"/>
      <c r="L307" s="123"/>
    </row>
    <row r="308" ht="14.25" customHeight="1" spans="6:12">
      <c r="F308" s="123"/>
      <c r="G308" s="123"/>
      <c r="H308" s="123"/>
      <c r="I308" s="123"/>
      <c r="K308" s="123"/>
      <c r="L308" s="123"/>
    </row>
    <row r="309" ht="14.25" customHeight="1" spans="6:12">
      <c r="F309" s="123"/>
      <c r="G309" s="123"/>
      <c r="H309" s="123"/>
      <c r="I309" s="123"/>
      <c r="K309" s="123"/>
      <c r="L309" s="123"/>
    </row>
    <row r="310" ht="14.25" customHeight="1" spans="6:12">
      <c r="F310" s="123"/>
      <c r="G310" s="123"/>
      <c r="H310" s="123"/>
      <c r="I310" s="123"/>
      <c r="K310" s="123"/>
      <c r="L310" s="123"/>
    </row>
    <row r="311" ht="14.25" customHeight="1" spans="6:12">
      <c r="F311" s="123"/>
      <c r="G311" s="123"/>
      <c r="H311" s="123"/>
      <c r="I311" s="123"/>
      <c r="K311" s="123"/>
      <c r="L311" s="123"/>
    </row>
    <row r="312" ht="14.25" customHeight="1" spans="6:12">
      <c r="F312" s="123"/>
      <c r="G312" s="123"/>
      <c r="H312" s="123"/>
      <c r="I312" s="123"/>
      <c r="K312" s="123"/>
      <c r="L312" s="123"/>
    </row>
    <row r="313" ht="14.25" customHeight="1" spans="6:12">
      <c r="F313" s="123"/>
      <c r="G313" s="123"/>
      <c r="H313" s="123"/>
      <c r="I313" s="123"/>
      <c r="K313" s="123"/>
      <c r="L313" s="123"/>
    </row>
    <row r="314" ht="14.25" customHeight="1" spans="6:12">
      <c r="F314" s="123"/>
      <c r="G314" s="123"/>
      <c r="H314" s="123"/>
      <c r="I314" s="123"/>
      <c r="K314" s="123"/>
      <c r="L314" s="123"/>
    </row>
    <row r="315" ht="14.25" customHeight="1" spans="6:12">
      <c r="F315" s="123"/>
      <c r="G315" s="123"/>
      <c r="H315" s="123"/>
      <c r="I315" s="123"/>
      <c r="K315" s="123"/>
      <c r="L315" s="123"/>
    </row>
    <row r="316" ht="14.25" customHeight="1" spans="6:12">
      <c r="F316" s="123"/>
      <c r="G316" s="123"/>
      <c r="H316" s="123"/>
      <c r="I316" s="123"/>
      <c r="K316" s="123"/>
      <c r="L316" s="123"/>
    </row>
    <row r="317" ht="14.25" customHeight="1" spans="6:12">
      <c r="F317" s="123"/>
      <c r="G317" s="123"/>
      <c r="H317" s="123"/>
      <c r="I317" s="123"/>
      <c r="K317" s="123"/>
      <c r="L317" s="123"/>
    </row>
    <row r="318" ht="14.25" customHeight="1" spans="6:12">
      <c r="F318" s="123"/>
      <c r="G318" s="123"/>
      <c r="H318" s="123"/>
      <c r="I318" s="123"/>
      <c r="K318" s="123"/>
      <c r="L318" s="123"/>
    </row>
    <row r="319" ht="14.25" customHeight="1" spans="6:12">
      <c r="F319" s="123"/>
      <c r="G319" s="123"/>
      <c r="H319" s="123"/>
      <c r="I319" s="123"/>
      <c r="K319" s="123"/>
      <c r="L319" s="123"/>
    </row>
    <row r="320" ht="14.25" customHeight="1" spans="6:12">
      <c r="F320" s="123"/>
      <c r="G320" s="123"/>
      <c r="H320" s="123"/>
      <c r="I320" s="123"/>
      <c r="K320" s="123"/>
      <c r="L320" s="123"/>
    </row>
    <row r="321" ht="14.25" customHeight="1" spans="6:12">
      <c r="F321" s="123"/>
      <c r="G321" s="123"/>
      <c r="H321" s="123"/>
      <c r="I321" s="123"/>
      <c r="K321" s="123"/>
      <c r="L321" s="123"/>
    </row>
    <row r="322" ht="14.25" customHeight="1" spans="6:12">
      <c r="F322" s="123"/>
      <c r="G322" s="123"/>
      <c r="H322" s="123"/>
      <c r="I322" s="123"/>
      <c r="K322" s="123"/>
      <c r="L322" s="123"/>
    </row>
    <row r="323" ht="14.25" customHeight="1" spans="6:12">
      <c r="F323" s="123"/>
      <c r="G323" s="123"/>
      <c r="H323" s="123"/>
      <c r="I323" s="123"/>
      <c r="K323" s="123"/>
      <c r="L323" s="123"/>
    </row>
    <row r="324" ht="14.25" customHeight="1" spans="6:12">
      <c r="F324" s="123"/>
      <c r="G324" s="123"/>
      <c r="H324" s="123"/>
      <c r="I324" s="123"/>
      <c r="K324" s="123"/>
      <c r="L324" s="123"/>
    </row>
    <row r="325" ht="14.25" customHeight="1" spans="6:12">
      <c r="F325" s="123"/>
      <c r="G325" s="123"/>
      <c r="H325" s="123"/>
      <c r="I325" s="123"/>
      <c r="K325" s="123"/>
      <c r="L325" s="123"/>
    </row>
    <row r="326" ht="14.25" customHeight="1" spans="6:12">
      <c r="F326" s="123"/>
      <c r="G326" s="123"/>
      <c r="H326" s="123"/>
      <c r="I326" s="123"/>
      <c r="K326" s="123"/>
      <c r="L326" s="123"/>
    </row>
    <row r="327" ht="14.25" customHeight="1" spans="6:12">
      <c r="F327" s="123"/>
      <c r="G327" s="123"/>
      <c r="H327" s="123"/>
      <c r="I327" s="123"/>
      <c r="K327" s="123"/>
      <c r="L327" s="123"/>
    </row>
    <row r="328" ht="14.25" customHeight="1" spans="6:12">
      <c r="F328" s="123"/>
      <c r="G328" s="123"/>
      <c r="H328" s="123"/>
      <c r="I328" s="123"/>
      <c r="K328" s="123"/>
      <c r="L328" s="123"/>
    </row>
    <row r="329" ht="14.25" customHeight="1" spans="6:12">
      <c r="F329" s="123"/>
      <c r="G329" s="123"/>
      <c r="H329" s="123"/>
      <c r="I329" s="123"/>
      <c r="K329" s="123"/>
      <c r="L329" s="123"/>
    </row>
    <row r="330" ht="14.25" customHeight="1" spans="6:12">
      <c r="F330" s="123"/>
      <c r="G330" s="123"/>
      <c r="H330" s="123"/>
      <c r="I330" s="123"/>
      <c r="K330" s="123"/>
      <c r="L330" s="123"/>
    </row>
    <row r="331" ht="14.25" customHeight="1" spans="6:12">
      <c r="F331" s="123"/>
      <c r="G331" s="123"/>
      <c r="H331" s="123"/>
      <c r="I331" s="123"/>
      <c r="K331" s="123"/>
      <c r="L331" s="123"/>
    </row>
    <row r="332" ht="14.25" customHeight="1" spans="6:12">
      <c r="F332" s="123"/>
      <c r="G332" s="123"/>
      <c r="H332" s="123"/>
      <c r="I332" s="123"/>
      <c r="K332" s="123"/>
      <c r="L332" s="123"/>
    </row>
    <row r="333" ht="14.25" customHeight="1" spans="6:12">
      <c r="F333" s="123"/>
      <c r="G333" s="123"/>
      <c r="H333" s="123"/>
      <c r="I333" s="123"/>
      <c r="K333" s="123"/>
      <c r="L333" s="123"/>
    </row>
    <row r="334" ht="14.25" customHeight="1" spans="6:12">
      <c r="F334" s="123"/>
      <c r="G334" s="123"/>
      <c r="H334" s="123"/>
      <c r="I334" s="123"/>
      <c r="K334" s="123"/>
      <c r="L334" s="123"/>
    </row>
    <row r="335" ht="14.25" customHeight="1" spans="6:12">
      <c r="F335" s="123"/>
      <c r="G335" s="123"/>
      <c r="H335" s="123"/>
      <c r="I335" s="123"/>
      <c r="K335" s="123"/>
      <c r="L335" s="123"/>
    </row>
    <row r="336" ht="14.25" customHeight="1" spans="6:12">
      <c r="F336" s="123"/>
      <c r="G336" s="123"/>
      <c r="H336" s="123"/>
      <c r="I336" s="123"/>
      <c r="K336" s="123"/>
      <c r="L336" s="123"/>
    </row>
    <row r="337" ht="14.25" customHeight="1" spans="6:12">
      <c r="F337" s="123"/>
      <c r="G337" s="123"/>
      <c r="H337" s="123"/>
      <c r="I337" s="123"/>
      <c r="K337" s="123"/>
      <c r="L337" s="123"/>
    </row>
    <row r="338" ht="14.25" customHeight="1" spans="6:12">
      <c r="F338" s="123"/>
      <c r="G338" s="123"/>
      <c r="H338" s="123"/>
      <c r="I338" s="123"/>
      <c r="K338" s="123"/>
      <c r="L338" s="123"/>
    </row>
    <row r="339" ht="14.25" customHeight="1" spans="6:12">
      <c r="F339" s="123"/>
      <c r="G339" s="123"/>
      <c r="H339" s="123"/>
      <c r="I339" s="123"/>
      <c r="K339" s="123"/>
      <c r="L339" s="123"/>
    </row>
    <row r="340" ht="14.25" customHeight="1" spans="6:12">
      <c r="F340" s="123"/>
      <c r="G340" s="123"/>
      <c r="H340" s="123"/>
      <c r="I340" s="123"/>
      <c r="K340" s="123"/>
      <c r="L340" s="123"/>
    </row>
    <row r="341" ht="14.25" customHeight="1" spans="6:12">
      <c r="F341" s="123"/>
      <c r="G341" s="123"/>
      <c r="H341" s="123"/>
      <c r="I341" s="123"/>
      <c r="K341" s="123"/>
      <c r="L341" s="123"/>
    </row>
    <row r="342" ht="14.25" customHeight="1" spans="6:12">
      <c r="F342" s="123"/>
      <c r="G342" s="123"/>
      <c r="H342" s="123"/>
      <c r="I342" s="123"/>
      <c r="K342" s="123"/>
      <c r="L342" s="123"/>
    </row>
    <row r="343" ht="14.25" customHeight="1" spans="6:12">
      <c r="F343" s="123"/>
      <c r="G343" s="123"/>
      <c r="H343" s="123"/>
      <c r="I343" s="123"/>
      <c r="K343" s="123"/>
      <c r="L343" s="123"/>
    </row>
    <row r="344" ht="14.25" customHeight="1" spans="6:12">
      <c r="F344" s="123"/>
      <c r="G344" s="123"/>
      <c r="H344" s="123"/>
      <c r="I344" s="123"/>
      <c r="K344" s="123"/>
      <c r="L344" s="123"/>
    </row>
    <row r="345" ht="14.25" customHeight="1" spans="6:12">
      <c r="F345" s="123"/>
      <c r="G345" s="123"/>
      <c r="H345" s="123"/>
      <c r="I345" s="123"/>
      <c r="K345" s="123"/>
      <c r="L345" s="123"/>
    </row>
    <row r="346" ht="14.25" customHeight="1" spans="6:12">
      <c r="F346" s="123"/>
      <c r="G346" s="123"/>
      <c r="H346" s="123"/>
      <c r="I346" s="123"/>
      <c r="K346" s="123"/>
      <c r="L346" s="123"/>
    </row>
    <row r="347" ht="14.25" customHeight="1" spans="6:12">
      <c r="F347" s="123"/>
      <c r="G347" s="123"/>
      <c r="H347" s="123"/>
      <c r="I347" s="123"/>
      <c r="K347" s="123"/>
      <c r="L347" s="123"/>
    </row>
    <row r="348" ht="14.25" customHeight="1" spans="6:12">
      <c r="F348" s="123"/>
      <c r="G348" s="123"/>
      <c r="H348" s="123"/>
      <c r="I348" s="123"/>
      <c r="K348" s="123"/>
      <c r="L348" s="123"/>
    </row>
    <row r="349" ht="14.25" customHeight="1" spans="6:12">
      <c r="F349" s="123"/>
      <c r="G349" s="123"/>
      <c r="H349" s="123"/>
      <c r="I349" s="123"/>
      <c r="K349" s="123"/>
      <c r="L349" s="123"/>
    </row>
    <row r="350" ht="14.25" customHeight="1" spans="6:12">
      <c r="F350" s="123"/>
      <c r="G350" s="123"/>
      <c r="H350" s="123"/>
      <c r="I350" s="123"/>
      <c r="K350" s="123"/>
      <c r="L350" s="123"/>
    </row>
    <row r="351" ht="14.25" customHeight="1" spans="6:12">
      <c r="F351" s="123"/>
      <c r="G351" s="123"/>
      <c r="H351" s="123"/>
      <c r="I351" s="123"/>
      <c r="K351" s="123"/>
      <c r="L351" s="123"/>
    </row>
    <row r="352" ht="14.25" customHeight="1" spans="6:12">
      <c r="F352" s="123"/>
      <c r="G352" s="123"/>
      <c r="H352" s="123"/>
      <c r="I352" s="123"/>
      <c r="K352" s="123"/>
      <c r="L352" s="123"/>
    </row>
    <row r="353" ht="14.25" customHeight="1" spans="6:12">
      <c r="F353" s="123"/>
      <c r="G353" s="123"/>
      <c r="H353" s="123"/>
      <c r="I353" s="123"/>
      <c r="K353" s="123"/>
      <c r="L353" s="123"/>
    </row>
    <row r="354" ht="14.25" customHeight="1" spans="6:12">
      <c r="F354" s="123"/>
      <c r="G354" s="123"/>
      <c r="H354" s="123"/>
      <c r="I354" s="123"/>
      <c r="K354" s="123"/>
      <c r="L354" s="123"/>
    </row>
    <row r="355" ht="14.25" customHeight="1" spans="6:12">
      <c r="F355" s="123"/>
      <c r="G355" s="123"/>
      <c r="H355" s="123"/>
      <c r="I355" s="123"/>
      <c r="K355" s="123"/>
      <c r="L355" s="123"/>
    </row>
    <row r="356" ht="14.25" customHeight="1" spans="6:12">
      <c r="F356" s="123"/>
      <c r="G356" s="123"/>
      <c r="H356" s="123"/>
      <c r="I356" s="123"/>
      <c r="K356" s="123"/>
      <c r="L356" s="123"/>
    </row>
    <row r="357" ht="14.25" customHeight="1" spans="6:12">
      <c r="F357" s="123"/>
      <c r="G357" s="123"/>
      <c r="H357" s="123"/>
      <c r="I357" s="123"/>
      <c r="K357" s="123"/>
      <c r="L357" s="123"/>
    </row>
    <row r="358" ht="14.25" customHeight="1" spans="6:12">
      <c r="F358" s="123"/>
      <c r="G358" s="123"/>
      <c r="H358" s="123"/>
      <c r="I358" s="123"/>
      <c r="K358" s="123"/>
      <c r="L358" s="123"/>
    </row>
    <row r="359" ht="14.25" customHeight="1" spans="6:12">
      <c r="F359" s="123"/>
      <c r="G359" s="123"/>
      <c r="H359" s="123"/>
      <c r="I359" s="123"/>
      <c r="K359" s="123"/>
      <c r="L359" s="123"/>
    </row>
    <row r="360" ht="14.25" customHeight="1" spans="6:12">
      <c r="F360" s="123"/>
      <c r="G360" s="123"/>
      <c r="H360" s="123"/>
      <c r="I360" s="123"/>
      <c r="K360" s="123"/>
      <c r="L360" s="123"/>
    </row>
    <row r="361" ht="14.25" customHeight="1" spans="6:12">
      <c r="F361" s="123"/>
      <c r="G361" s="123"/>
      <c r="H361" s="123"/>
      <c r="I361" s="123"/>
      <c r="K361" s="123"/>
      <c r="L361" s="123"/>
    </row>
    <row r="362" ht="14.25" customHeight="1" spans="6:12">
      <c r="F362" s="123"/>
      <c r="G362" s="123"/>
      <c r="H362" s="123"/>
      <c r="I362" s="123"/>
      <c r="K362" s="123"/>
      <c r="L362" s="123"/>
    </row>
    <row r="363" ht="14.25" customHeight="1" spans="6:12">
      <c r="F363" s="123"/>
      <c r="G363" s="123"/>
      <c r="H363" s="123"/>
      <c r="I363" s="123"/>
      <c r="K363" s="123"/>
      <c r="L363" s="123"/>
    </row>
    <row r="364" ht="14.25" customHeight="1" spans="6:12">
      <c r="F364" s="123"/>
      <c r="G364" s="123"/>
      <c r="H364" s="123"/>
      <c r="I364" s="123"/>
      <c r="K364" s="123"/>
      <c r="L364" s="123"/>
    </row>
    <row r="365" ht="14.25" customHeight="1" spans="6:12">
      <c r="F365" s="123"/>
      <c r="G365" s="123"/>
      <c r="H365" s="123"/>
      <c r="I365" s="123"/>
      <c r="K365" s="123"/>
      <c r="L365" s="123"/>
    </row>
    <row r="366" ht="14.25" customHeight="1" spans="6:12">
      <c r="F366" s="123"/>
      <c r="G366" s="123"/>
      <c r="H366" s="123"/>
      <c r="I366" s="123"/>
      <c r="K366" s="123"/>
      <c r="L366" s="123"/>
    </row>
    <row r="367" ht="14.25" customHeight="1" spans="6:12">
      <c r="F367" s="123"/>
      <c r="G367" s="123"/>
      <c r="H367" s="123"/>
      <c r="I367" s="123"/>
      <c r="K367" s="123"/>
      <c r="L367" s="123"/>
    </row>
    <row r="368" ht="14.25" customHeight="1" spans="6:12">
      <c r="F368" s="123"/>
      <c r="G368" s="123"/>
      <c r="H368" s="123"/>
      <c r="I368" s="123"/>
      <c r="K368" s="123"/>
      <c r="L368" s="123"/>
    </row>
    <row r="369" ht="14.25" customHeight="1" spans="6:12">
      <c r="F369" s="123"/>
      <c r="G369" s="123"/>
      <c r="H369" s="123"/>
      <c r="I369" s="123"/>
      <c r="K369" s="123"/>
      <c r="L369" s="123"/>
    </row>
    <row r="370" ht="14.25" customHeight="1" spans="6:12">
      <c r="F370" s="123"/>
      <c r="G370" s="123"/>
      <c r="H370" s="123"/>
      <c r="I370" s="123"/>
      <c r="K370" s="123"/>
      <c r="L370" s="123"/>
    </row>
    <row r="371" ht="14.25" customHeight="1" spans="6:12">
      <c r="F371" s="123"/>
      <c r="G371" s="123"/>
      <c r="H371" s="123"/>
      <c r="I371" s="123"/>
      <c r="K371" s="123"/>
      <c r="L371" s="123"/>
    </row>
    <row r="372" ht="14.25" customHeight="1" spans="6:12">
      <c r="F372" s="123"/>
      <c r="G372" s="123"/>
      <c r="H372" s="123"/>
      <c r="I372" s="123"/>
      <c r="K372" s="123"/>
      <c r="L372" s="123"/>
    </row>
    <row r="373" ht="14.25" customHeight="1" spans="6:12">
      <c r="F373" s="123"/>
      <c r="G373" s="123"/>
      <c r="H373" s="123"/>
      <c r="I373" s="123"/>
      <c r="K373" s="123"/>
      <c r="L373" s="123"/>
    </row>
    <row r="374" ht="14.25" customHeight="1" spans="6:12">
      <c r="F374" s="123"/>
      <c r="G374" s="123"/>
      <c r="H374" s="123"/>
      <c r="I374" s="123"/>
      <c r="K374" s="123"/>
      <c r="L374" s="123"/>
    </row>
    <row r="375" ht="14.25" customHeight="1" spans="6:12">
      <c r="F375" s="123"/>
      <c r="G375" s="123"/>
      <c r="H375" s="123"/>
      <c r="I375" s="123"/>
      <c r="K375" s="123"/>
      <c r="L375" s="123"/>
    </row>
    <row r="376" ht="14.25" customHeight="1" spans="6:12">
      <c r="F376" s="123"/>
      <c r="G376" s="123"/>
      <c r="H376" s="123"/>
      <c r="I376" s="123"/>
      <c r="K376" s="123"/>
      <c r="L376" s="123"/>
    </row>
    <row r="377" ht="14.25" customHeight="1" spans="6:12">
      <c r="F377" s="123"/>
      <c r="G377" s="123"/>
      <c r="H377" s="123"/>
      <c r="I377" s="123"/>
      <c r="K377" s="123"/>
      <c r="L377" s="123"/>
    </row>
    <row r="378" ht="14.25" customHeight="1" spans="6:12">
      <c r="F378" s="123"/>
      <c r="G378" s="123"/>
      <c r="H378" s="123"/>
      <c r="I378" s="123"/>
      <c r="K378" s="123"/>
      <c r="L378" s="123"/>
    </row>
    <row r="379" ht="14.25" customHeight="1" spans="6:12">
      <c r="F379" s="123"/>
      <c r="G379" s="123"/>
      <c r="H379" s="123"/>
      <c r="I379" s="123"/>
      <c r="K379" s="123"/>
      <c r="L379" s="123"/>
    </row>
    <row r="380" ht="14.25" customHeight="1" spans="6:12">
      <c r="F380" s="123"/>
      <c r="G380" s="123"/>
      <c r="H380" s="123"/>
      <c r="I380" s="123"/>
      <c r="K380" s="123"/>
      <c r="L380" s="123"/>
    </row>
    <row r="381" ht="14.25" customHeight="1" spans="6:12">
      <c r="F381" s="123"/>
      <c r="G381" s="123"/>
      <c r="H381" s="123"/>
      <c r="I381" s="123"/>
      <c r="K381" s="123"/>
      <c r="L381" s="123"/>
    </row>
    <row r="382" ht="14.25" customHeight="1" spans="6:12">
      <c r="F382" s="123"/>
      <c r="G382" s="123"/>
      <c r="H382" s="123"/>
      <c r="I382" s="123"/>
      <c r="K382" s="123"/>
      <c r="L382" s="123"/>
    </row>
    <row r="383" ht="14.25" customHeight="1" spans="6:12">
      <c r="F383" s="123"/>
      <c r="G383" s="123"/>
      <c r="H383" s="123"/>
      <c r="I383" s="123"/>
      <c r="K383" s="123"/>
      <c r="L383" s="123"/>
    </row>
    <row r="384" ht="14.25" customHeight="1" spans="6:12">
      <c r="F384" s="123"/>
      <c r="G384" s="123"/>
      <c r="H384" s="123"/>
      <c r="I384" s="123"/>
      <c r="K384" s="123"/>
      <c r="L384" s="123"/>
    </row>
    <row r="385" ht="14.25" customHeight="1" spans="6:12">
      <c r="F385" s="123"/>
      <c r="G385" s="123"/>
      <c r="H385" s="123"/>
      <c r="I385" s="123"/>
      <c r="K385" s="123"/>
      <c r="L385" s="123"/>
    </row>
    <row r="386" ht="14.25" customHeight="1" spans="6:12">
      <c r="F386" s="123"/>
      <c r="G386" s="123"/>
      <c r="H386" s="123"/>
      <c r="I386" s="123"/>
      <c r="K386" s="123"/>
      <c r="L386" s="123"/>
    </row>
    <row r="387" ht="14.25" customHeight="1" spans="6:12">
      <c r="F387" s="123"/>
      <c r="G387" s="123"/>
      <c r="H387" s="123"/>
      <c r="I387" s="123"/>
      <c r="K387" s="123"/>
      <c r="L387" s="123"/>
    </row>
    <row r="388" ht="14.25" customHeight="1" spans="6:12">
      <c r="F388" s="123"/>
      <c r="G388" s="123"/>
      <c r="H388" s="123"/>
      <c r="I388" s="123"/>
      <c r="K388" s="123"/>
      <c r="L388" s="123"/>
    </row>
    <row r="389" ht="14.25" customHeight="1" spans="6:12">
      <c r="F389" s="123"/>
      <c r="G389" s="123"/>
      <c r="H389" s="123"/>
      <c r="I389" s="123"/>
      <c r="K389" s="123"/>
      <c r="L389" s="123"/>
    </row>
    <row r="390" ht="14.25" customHeight="1" spans="6:12">
      <c r="F390" s="123"/>
      <c r="G390" s="123"/>
      <c r="H390" s="123"/>
      <c r="I390" s="123"/>
      <c r="K390" s="123"/>
      <c r="L390" s="123"/>
    </row>
    <row r="391" ht="14.25" customHeight="1" spans="6:12">
      <c r="F391" s="123"/>
      <c r="G391" s="123"/>
      <c r="H391" s="123"/>
      <c r="I391" s="123"/>
      <c r="K391" s="123"/>
      <c r="L391" s="123"/>
    </row>
    <row r="392" ht="14.25" customHeight="1" spans="6:12">
      <c r="F392" s="123"/>
      <c r="G392" s="123"/>
      <c r="H392" s="123"/>
      <c r="I392" s="123"/>
      <c r="K392" s="123"/>
      <c r="L392" s="123"/>
    </row>
    <row r="393" ht="14.25" customHeight="1" spans="6:12">
      <c r="F393" s="123"/>
      <c r="G393" s="123"/>
      <c r="H393" s="123"/>
      <c r="I393" s="123"/>
      <c r="K393" s="123"/>
      <c r="L393" s="123"/>
    </row>
    <row r="394" ht="14.25" customHeight="1" spans="6:12">
      <c r="F394" s="123"/>
      <c r="G394" s="123"/>
      <c r="H394" s="123"/>
      <c r="I394" s="123"/>
      <c r="K394" s="123"/>
      <c r="L394" s="123"/>
    </row>
    <row r="395" ht="14.25" customHeight="1" spans="6:12">
      <c r="F395" s="123"/>
      <c r="G395" s="123"/>
      <c r="H395" s="123"/>
      <c r="I395" s="123"/>
      <c r="K395" s="123"/>
      <c r="L395" s="123"/>
    </row>
    <row r="396" ht="14.25" customHeight="1" spans="6:12">
      <c r="F396" s="123"/>
      <c r="G396" s="123"/>
      <c r="H396" s="123"/>
      <c r="I396" s="123"/>
      <c r="K396" s="123"/>
      <c r="L396" s="123"/>
    </row>
    <row r="397" ht="14.25" customHeight="1" spans="6:12">
      <c r="F397" s="123"/>
      <c r="G397" s="123"/>
      <c r="H397" s="123"/>
      <c r="I397" s="123"/>
      <c r="K397" s="123"/>
      <c r="L397" s="123"/>
    </row>
    <row r="398" ht="14.25" customHeight="1" spans="6:12">
      <c r="F398" s="123"/>
      <c r="G398" s="123"/>
      <c r="H398" s="123"/>
      <c r="I398" s="123"/>
      <c r="K398" s="123"/>
      <c r="L398" s="123"/>
    </row>
    <row r="399" ht="14.25" customHeight="1" spans="6:12">
      <c r="F399" s="123"/>
      <c r="G399" s="123"/>
      <c r="H399" s="123"/>
      <c r="I399" s="123"/>
      <c r="K399" s="123"/>
      <c r="L399" s="123"/>
    </row>
    <row r="400" ht="14.25" customHeight="1" spans="6:12">
      <c r="F400" s="123"/>
      <c r="G400" s="123"/>
      <c r="H400" s="123"/>
      <c r="I400" s="123"/>
      <c r="K400" s="123"/>
      <c r="L400" s="123"/>
    </row>
    <row r="401" ht="14.25" customHeight="1" spans="6:12">
      <c r="F401" s="123"/>
      <c r="G401" s="123"/>
      <c r="H401" s="123"/>
      <c r="I401" s="123"/>
      <c r="K401" s="123"/>
      <c r="L401" s="123"/>
    </row>
    <row r="402" ht="14.25" customHeight="1" spans="6:12">
      <c r="F402" s="123"/>
      <c r="G402" s="123"/>
      <c r="H402" s="123"/>
      <c r="I402" s="123"/>
      <c r="K402" s="123"/>
      <c r="L402" s="123"/>
    </row>
    <row r="403" ht="14.25" customHeight="1" spans="6:12">
      <c r="F403" s="123"/>
      <c r="G403" s="123"/>
      <c r="H403" s="123"/>
      <c r="I403" s="123"/>
      <c r="K403" s="123"/>
      <c r="L403" s="123"/>
    </row>
    <row r="404" ht="14.25" customHeight="1" spans="6:12">
      <c r="F404" s="123"/>
      <c r="G404" s="123"/>
      <c r="H404" s="123"/>
      <c r="I404" s="123"/>
      <c r="K404" s="123"/>
      <c r="L404" s="123"/>
    </row>
    <row r="405" ht="14.25" customHeight="1" spans="6:12">
      <c r="F405" s="123"/>
      <c r="G405" s="123"/>
      <c r="H405" s="123"/>
      <c r="I405" s="123"/>
      <c r="K405" s="123"/>
      <c r="L405" s="123"/>
    </row>
    <row r="406" ht="14.25" customHeight="1" spans="6:12">
      <c r="F406" s="123"/>
      <c r="G406" s="123"/>
      <c r="H406" s="123"/>
      <c r="I406" s="123"/>
      <c r="K406" s="123"/>
      <c r="L406" s="123"/>
    </row>
    <row r="407" ht="14.25" customHeight="1" spans="6:12">
      <c r="F407" s="123"/>
      <c r="G407" s="123"/>
      <c r="H407" s="123"/>
      <c r="I407" s="123"/>
      <c r="K407" s="123"/>
      <c r="L407" s="123"/>
    </row>
    <row r="408" ht="14.25" customHeight="1" spans="6:12">
      <c r="F408" s="123"/>
      <c r="G408" s="123"/>
      <c r="H408" s="123"/>
      <c r="I408" s="123"/>
      <c r="K408" s="123"/>
      <c r="L408" s="123"/>
    </row>
    <row r="409" ht="14.25" customHeight="1" spans="6:12">
      <c r="F409" s="123"/>
      <c r="G409" s="123"/>
      <c r="H409" s="123"/>
      <c r="I409" s="123"/>
      <c r="K409" s="123"/>
      <c r="L409" s="123"/>
    </row>
    <row r="410" ht="14.25" customHeight="1" spans="6:12">
      <c r="F410" s="123"/>
      <c r="G410" s="123"/>
      <c r="H410" s="123"/>
      <c r="I410" s="123"/>
      <c r="K410" s="123"/>
      <c r="L410" s="123"/>
    </row>
    <row r="411" ht="14.25" customHeight="1" spans="6:12">
      <c r="F411" s="123"/>
      <c r="G411" s="123"/>
      <c r="H411" s="123"/>
      <c r="I411" s="123"/>
      <c r="K411" s="123"/>
      <c r="L411" s="123"/>
    </row>
    <row r="412" ht="14.25" customHeight="1" spans="6:12">
      <c r="F412" s="123"/>
      <c r="G412" s="123"/>
      <c r="H412" s="123"/>
      <c r="I412" s="123"/>
      <c r="K412" s="123"/>
      <c r="L412" s="123"/>
    </row>
    <row r="413" ht="14.25" customHeight="1" spans="6:12">
      <c r="F413" s="123"/>
      <c r="G413" s="123"/>
      <c r="H413" s="123"/>
      <c r="I413" s="123"/>
      <c r="K413" s="123"/>
      <c r="L413" s="123"/>
    </row>
    <row r="414" ht="14.25" customHeight="1" spans="6:12">
      <c r="F414" s="123"/>
      <c r="G414" s="123"/>
      <c r="H414" s="123"/>
      <c r="I414" s="123"/>
      <c r="K414" s="123"/>
      <c r="L414" s="123"/>
    </row>
    <row r="415" ht="14.25" customHeight="1" spans="6:12">
      <c r="F415" s="123"/>
      <c r="G415" s="123"/>
      <c r="H415" s="123"/>
      <c r="I415" s="123"/>
      <c r="K415" s="123"/>
      <c r="L415" s="123"/>
    </row>
    <row r="416" ht="14.25" customHeight="1" spans="6:12">
      <c r="F416" s="123"/>
      <c r="G416" s="123"/>
      <c r="H416" s="123"/>
      <c r="I416" s="123"/>
      <c r="K416" s="123"/>
      <c r="L416" s="123"/>
    </row>
    <row r="417" ht="14.25" customHeight="1" spans="6:12">
      <c r="F417" s="123"/>
      <c r="G417" s="123"/>
      <c r="H417" s="123"/>
      <c r="I417" s="123"/>
      <c r="K417" s="123"/>
      <c r="L417" s="123"/>
    </row>
    <row r="418" ht="14.25" customHeight="1" spans="6:12">
      <c r="F418" s="123"/>
      <c r="G418" s="123"/>
      <c r="H418" s="123"/>
      <c r="I418" s="123"/>
      <c r="K418" s="123"/>
      <c r="L418" s="123"/>
    </row>
    <row r="419" ht="14.25" customHeight="1" spans="6:12">
      <c r="F419" s="123"/>
      <c r="G419" s="123"/>
      <c r="H419" s="123"/>
      <c r="I419" s="123"/>
      <c r="K419" s="123"/>
      <c r="L419" s="123"/>
    </row>
    <row r="420" ht="14.25" customHeight="1" spans="6:12">
      <c r="F420" s="123"/>
      <c r="G420" s="123"/>
      <c r="H420" s="123"/>
      <c r="I420" s="123"/>
      <c r="K420" s="123"/>
      <c r="L420" s="123"/>
    </row>
    <row r="421" ht="14.25" customHeight="1" spans="6:12">
      <c r="F421" s="123"/>
      <c r="G421" s="123"/>
      <c r="H421" s="123"/>
      <c r="I421" s="123"/>
      <c r="K421" s="123"/>
      <c r="L421" s="123"/>
    </row>
    <row r="422" ht="14.25" customHeight="1" spans="6:12">
      <c r="F422" s="123"/>
      <c r="G422" s="123"/>
      <c r="H422" s="123"/>
      <c r="I422" s="123"/>
      <c r="K422" s="123"/>
      <c r="L422" s="123"/>
    </row>
    <row r="423" ht="14.25" customHeight="1" spans="6:12">
      <c r="F423" s="123"/>
      <c r="G423" s="123"/>
      <c r="H423" s="123"/>
      <c r="I423" s="123"/>
      <c r="K423" s="123"/>
      <c r="L423" s="123"/>
    </row>
    <row r="424" ht="14.25" customHeight="1" spans="6:12">
      <c r="F424" s="123"/>
      <c r="G424" s="123"/>
      <c r="H424" s="123"/>
      <c r="I424" s="123"/>
      <c r="K424" s="123"/>
      <c r="L424" s="123"/>
    </row>
    <row r="425" ht="14.25" customHeight="1" spans="6:12">
      <c r="F425" s="123"/>
      <c r="G425" s="123"/>
      <c r="H425" s="123"/>
      <c r="I425" s="123"/>
      <c r="K425" s="123"/>
      <c r="L425" s="123"/>
    </row>
    <row r="426" ht="14.25" customHeight="1" spans="6:12">
      <c r="F426" s="123"/>
      <c r="G426" s="123"/>
      <c r="H426" s="123"/>
      <c r="I426" s="123"/>
      <c r="K426" s="123"/>
      <c r="L426" s="123"/>
    </row>
    <row r="427" ht="14.25" customHeight="1" spans="6:12">
      <c r="F427" s="123"/>
      <c r="G427" s="123"/>
      <c r="H427" s="123"/>
      <c r="I427" s="123"/>
      <c r="K427" s="123"/>
      <c r="L427" s="123"/>
    </row>
    <row r="428" ht="14.25" customHeight="1" spans="6:12">
      <c r="F428" s="123"/>
      <c r="G428" s="123"/>
      <c r="H428" s="123"/>
      <c r="I428" s="123"/>
      <c r="K428" s="123"/>
      <c r="L428" s="123"/>
    </row>
    <row r="429" ht="14.25" customHeight="1" spans="6:12">
      <c r="F429" s="123"/>
      <c r="G429" s="123"/>
      <c r="H429" s="123"/>
      <c r="I429" s="123"/>
      <c r="K429" s="123"/>
      <c r="L429" s="123"/>
    </row>
    <row r="430" ht="14.25" customHeight="1" spans="6:12">
      <c r="F430" s="123"/>
      <c r="G430" s="123"/>
      <c r="H430" s="123"/>
      <c r="I430" s="123"/>
      <c r="K430" s="123"/>
      <c r="L430" s="123"/>
    </row>
    <row r="431" ht="14.25" customHeight="1" spans="6:12">
      <c r="F431" s="123"/>
      <c r="G431" s="123"/>
      <c r="H431" s="123"/>
      <c r="I431" s="123"/>
      <c r="K431" s="123"/>
      <c r="L431" s="123"/>
    </row>
    <row r="432" ht="14.25" customHeight="1" spans="6:12">
      <c r="F432" s="123"/>
      <c r="G432" s="123"/>
      <c r="H432" s="123"/>
      <c r="I432" s="123"/>
      <c r="K432" s="123"/>
      <c r="L432" s="123"/>
    </row>
    <row r="433" ht="14.25" customHeight="1" spans="6:12">
      <c r="F433" s="123"/>
      <c r="G433" s="123"/>
      <c r="H433" s="123"/>
      <c r="I433" s="123"/>
      <c r="K433" s="123"/>
      <c r="L433" s="123"/>
    </row>
    <row r="434" ht="14.25" customHeight="1" spans="6:12">
      <c r="F434" s="123"/>
      <c r="G434" s="123"/>
      <c r="H434" s="123"/>
      <c r="I434" s="123"/>
      <c r="K434" s="123"/>
      <c r="L434" s="123"/>
    </row>
    <row r="435" ht="14.25" customHeight="1" spans="6:12">
      <c r="F435" s="123"/>
      <c r="G435" s="123"/>
      <c r="H435" s="123"/>
      <c r="I435" s="123"/>
      <c r="K435" s="123"/>
      <c r="L435" s="123"/>
    </row>
    <row r="436" ht="14.25" customHeight="1" spans="6:12">
      <c r="F436" s="123"/>
      <c r="G436" s="123"/>
      <c r="H436" s="123"/>
      <c r="I436" s="123"/>
      <c r="K436" s="123"/>
      <c r="L436" s="123"/>
    </row>
    <row r="437" ht="14.25" customHeight="1" spans="6:12">
      <c r="F437" s="123"/>
      <c r="G437" s="123"/>
      <c r="H437" s="123"/>
      <c r="I437" s="123"/>
      <c r="K437" s="123"/>
      <c r="L437" s="123"/>
    </row>
    <row r="438" ht="14.25" customHeight="1" spans="6:12">
      <c r="F438" s="123"/>
      <c r="G438" s="123"/>
      <c r="H438" s="123"/>
      <c r="I438" s="123"/>
      <c r="K438" s="123"/>
      <c r="L438" s="123"/>
    </row>
    <row r="439" ht="14.25" customHeight="1" spans="6:12">
      <c r="F439" s="123"/>
      <c r="G439" s="123"/>
      <c r="H439" s="123"/>
      <c r="I439" s="123"/>
      <c r="K439" s="123"/>
      <c r="L439" s="123"/>
    </row>
    <row r="440" ht="14.25" customHeight="1" spans="6:12">
      <c r="F440" s="123"/>
      <c r="G440" s="123"/>
      <c r="H440" s="123"/>
      <c r="I440" s="123"/>
      <c r="K440" s="123"/>
      <c r="L440" s="123"/>
    </row>
    <row r="441" ht="14.25" customHeight="1" spans="6:12">
      <c r="F441" s="123"/>
      <c r="G441" s="123"/>
      <c r="H441" s="123"/>
      <c r="I441" s="123"/>
      <c r="K441" s="123"/>
      <c r="L441" s="123"/>
    </row>
    <row r="442" ht="14.25" customHeight="1" spans="6:12">
      <c r="F442" s="123"/>
      <c r="G442" s="123"/>
      <c r="H442" s="123"/>
      <c r="I442" s="123"/>
      <c r="K442" s="123"/>
      <c r="L442" s="123"/>
    </row>
    <row r="443" ht="14.25" customHeight="1" spans="6:12">
      <c r="F443" s="123"/>
      <c r="G443" s="123"/>
      <c r="H443" s="123"/>
      <c r="I443" s="123"/>
      <c r="K443" s="123"/>
      <c r="L443" s="123"/>
    </row>
    <row r="444" ht="14.25" customHeight="1" spans="6:12">
      <c r="F444" s="123"/>
      <c r="G444" s="123"/>
      <c r="H444" s="123"/>
      <c r="I444" s="123"/>
      <c r="K444" s="123"/>
      <c r="L444" s="123"/>
    </row>
    <row r="445" ht="14.25" customHeight="1" spans="6:12">
      <c r="F445" s="123"/>
      <c r="G445" s="123"/>
      <c r="H445" s="123"/>
      <c r="I445" s="123"/>
      <c r="K445" s="123"/>
      <c r="L445" s="123"/>
    </row>
    <row r="446" ht="14.25" customHeight="1" spans="6:12">
      <c r="F446" s="123"/>
      <c r="G446" s="123"/>
      <c r="H446" s="123"/>
      <c r="I446" s="123"/>
      <c r="K446" s="123"/>
      <c r="L446" s="123"/>
    </row>
    <row r="447" ht="14.25" customHeight="1" spans="6:12">
      <c r="F447" s="123"/>
      <c r="G447" s="123"/>
      <c r="H447" s="123"/>
      <c r="I447" s="123"/>
      <c r="K447" s="123"/>
      <c r="L447" s="123"/>
    </row>
    <row r="448" ht="14.25" customHeight="1" spans="6:12">
      <c r="F448" s="123"/>
      <c r="G448" s="123"/>
      <c r="H448" s="123"/>
      <c r="I448" s="123"/>
      <c r="K448" s="123"/>
      <c r="L448" s="123"/>
    </row>
    <row r="449" ht="14.25" customHeight="1" spans="6:12">
      <c r="F449" s="123"/>
      <c r="G449" s="123"/>
      <c r="H449" s="123"/>
      <c r="I449" s="123"/>
      <c r="K449" s="123"/>
      <c r="L449" s="123"/>
    </row>
    <row r="450" ht="14.25" customHeight="1" spans="6:12">
      <c r="F450" s="123"/>
      <c r="G450" s="123"/>
      <c r="H450" s="123"/>
      <c r="I450" s="123"/>
      <c r="K450" s="123"/>
      <c r="L450" s="123"/>
    </row>
    <row r="451" ht="14.25" customHeight="1" spans="6:12">
      <c r="F451" s="123"/>
      <c r="G451" s="123"/>
      <c r="H451" s="123"/>
      <c r="I451" s="123"/>
      <c r="K451" s="123"/>
      <c r="L451" s="123"/>
    </row>
    <row r="452" ht="14.25" customHeight="1" spans="6:12">
      <c r="F452" s="123"/>
      <c r="G452" s="123"/>
      <c r="H452" s="123"/>
      <c r="I452" s="123"/>
      <c r="K452" s="123"/>
      <c r="L452" s="123"/>
    </row>
    <row r="453" ht="14.25" customHeight="1" spans="6:12">
      <c r="F453" s="123"/>
      <c r="G453" s="123"/>
      <c r="H453" s="123"/>
      <c r="I453" s="123"/>
      <c r="K453" s="123"/>
      <c r="L453" s="123"/>
    </row>
    <row r="454" ht="14.25" customHeight="1" spans="6:12">
      <c r="F454" s="123"/>
      <c r="G454" s="123"/>
      <c r="H454" s="123"/>
      <c r="I454" s="123"/>
      <c r="K454" s="123"/>
      <c r="L454" s="123"/>
    </row>
    <row r="455" ht="14.25" customHeight="1" spans="6:12">
      <c r="F455" s="123"/>
      <c r="G455" s="123"/>
      <c r="H455" s="123"/>
      <c r="I455" s="123"/>
      <c r="K455" s="123"/>
      <c r="L455" s="123"/>
    </row>
    <row r="456" ht="14.25" customHeight="1" spans="6:12">
      <c r="F456" s="123"/>
      <c r="G456" s="123"/>
      <c r="H456" s="123"/>
      <c r="I456" s="123"/>
      <c r="K456" s="123"/>
      <c r="L456" s="123"/>
    </row>
    <row r="457" ht="14.25" customHeight="1" spans="6:12">
      <c r="F457" s="123"/>
      <c r="G457" s="123"/>
      <c r="H457" s="123"/>
      <c r="I457" s="123"/>
      <c r="K457" s="123"/>
      <c r="L457" s="123"/>
    </row>
    <row r="458" ht="14.25" customHeight="1" spans="6:12">
      <c r="F458" s="123"/>
      <c r="G458" s="123"/>
      <c r="H458" s="123"/>
      <c r="I458" s="123"/>
      <c r="K458" s="123"/>
      <c r="L458" s="123"/>
    </row>
    <row r="459" ht="14.25" customHeight="1" spans="6:12">
      <c r="F459" s="123"/>
      <c r="G459" s="123"/>
      <c r="H459" s="123"/>
      <c r="I459" s="123"/>
      <c r="K459" s="123"/>
      <c r="L459" s="123"/>
    </row>
    <row r="460" ht="14.25" customHeight="1" spans="6:12">
      <c r="F460" s="123"/>
      <c r="G460" s="123"/>
      <c r="H460" s="123"/>
      <c r="I460" s="123"/>
      <c r="K460" s="123"/>
      <c r="L460" s="123"/>
    </row>
    <row r="461" ht="14.25" customHeight="1" spans="6:12">
      <c r="F461" s="123"/>
      <c r="G461" s="123"/>
      <c r="H461" s="123"/>
      <c r="I461" s="123"/>
      <c r="K461" s="123"/>
      <c r="L461" s="123"/>
    </row>
    <row r="462" ht="14.25" customHeight="1" spans="6:12">
      <c r="F462" s="123"/>
      <c r="G462" s="123"/>
      <c r="H462" s="123"/>
      <c r="I462" s="123"/>
      <c r="K462" s="123"/>
      <c r="L462" s="123"/>
    </row>
    <row r="463" ht="14.25" customHeight="1" spans="6:12">
      <c r="F463" s="123"/>
      <c r="G463" s="123"/>
      <c r="H463" s="123"/>
      <c r="I463" s="123"/>
      <c r="K463" s="123"/>
      <c r="L463" s="123"/>
    </row>
    <row r="464" ht="14.25" customHeight="1" spans="6:12">
      <c r="F464" s="123"/>
      <c r="G464" s="123"/>
      <c r="H464" s="123"/>
      <c r="I464" s="123"/>
      <c r="K464" s="123"/>
      <c r="L464" s="123"/>
    </row>
    <row r="465" ht="14.25" customHeight="1" spans="6:12">
      <c r="F465" s="123"/>
      <c r="G465" s="123"/>
      <c r="H465" s="123"/>
      <c r="I465" s="123"/>
      <c r="K465" s="123"/>
      <c r="L465" s="123"/>
    </row>
    <row r="466" ht="14.25" customHeight="1" spans="6:12">
      <c r="F466" s="123"/>
      <c r="G466" s="123"/>
      <c r="H466" s="123"/>
      <c r="I466" s="123"/>
      <c r="K466" s="123"/>
      <c r="L466" s="123"/>
    </row>
    <row r="467" ht="14.25" customHeight="1" spans="6:12">
      <c r="F467" s="123"/>
      <c r="G467" s="123"/>
      <c r="H467" s="123"/>
      <c r="I467" s="123"/>
      <c r="K467" s="123"/>
      <c r="L467" s="123"/>
    </row>
    <row r="468" ht="14.25" customHeight="1" spans="6:12">
      <c r="F468" s="123"/>
      <c r="G468" s="123"/>
      <c r="H468" s="123"/>
      <c r="I468" s="123"/>
      <c r="K468" s="123"/>
      <c r="L468" s="123"/>
    </row>
    <row r="469" ht="14.25" customHeight="1" spans="6:12">
      <c r="F469" s="123"/>
      <c r="G469" s="123"/>
      <c r="H469" s="123"/>
      <c r="I469" s="123"/>
      <c r="K469" s="123"/>
      <c r="L469" s="123"/>
    </row>
    <row r="470" ht="14.25" customHeight="1" spans="6:12">
      <c r="F470" s="123"/>
      <c r="G470" s="123"/>
      <c r="H470" s="123"/>
      <c r="I470" s="123"/>
      <c r="K470" s="123"/>
      <c r="L470" s="123"/>
    </row>
    <row r="471" ht="14.25" customHeight="1" spans="6:12">
      <c r="F471" s="123"/>
      <c r="G471" s="123"/>
      <c r="H471" s="123"/>
      <c r="I471" s="123"/>
      <c r="K471" s="123"/>
      <c r="L471" s="123"/>
    </row>
    <row r="472" ht="14.25" customHeight="1" spans="6:12">
      <c r="F472" s="123"/>
      <c r="G472" s="123"/>
      <c r="H472" s="123"/>
      <c r="I472" s="123"/>
      <c r="K472" s="123"/>
      <c r="L472" s="123"/>
    </row>
    <row r="473" ht="14.25" customHeight="1" spans="6:12">
      <c r="F473" s="123"/>
      <c r="G473" s="123"/>
      <c r="H473" s="123"/>
      <c r="I473" s="123"/>
      <c r="K473" s="123"/>
      <c r="L473" s="123"/>
    </row>
    <row r="474" ht="14.25" customHeight="1" spans="6:12">
      <c r="F474" s="123"/>
      <c r="G474" s="123"/>
      <c r="H474" s="123"/>
      <c r="I474" s="123"/>
      <c r="K474" s="123"/>
      <c r="L474" s="123"/>
    </row>
    <row r="475" ht="14.25" customHeight="1" spans="6:12">
      <c r="F475" s="123"/>
      <c r="G475" s="123"/>
      <c r="H475" s="123"/>
      <c r="I475" s="123"/>
      <c r="K475" s="123"/>
      <c r="L475" s="123"/>
    </row>
    <row r="476" ht="14.25" customHeight="1" spans="6:12">
      <c r="F476" s="123"/>
      <c r="G476" s="123"/>
      <c r="H476" s="123"/>
      <c r="I476" s="123"/>
      <c r="K476" s="123"/>
      <c r="L476" s="123"/>
    </row>
    <row r="477" ht="14.25" customHeight="1" spans="6:12">
      <c r="F477" s="123"/>
      <c r="G477" s="123"/>
      <c r="H477" s="123"/>
      <c r="I477" s="123"/>
      <c r="K477" s="123"/>
      <c r="L477" s="123"/>
    </row>
    <row r="478" ht="14.25" customHeight="1" spans="6:12">
      <c r="F478" s="123"/>
      <c r="G478" s="123"/>
      <c r="H478" s="123"/>
      <c r="I478" s="123"/>
      <c r="K478" s="123"/>
      <c r="L478" s="123"/>
    </row>
    <row r="479" ht="14.25" customHeight="1" spans="6:12">
      <c r="F479" s="123"/>
      <c r="G479" s="123"/>
      <c r="H479" s="123"/>
      <c r="I479" s="123"/>
      <c r="K479" s="123"/>
      <c r="L479" s="123"/>
    </row>
    <row r="480" ht="14.25" customHeight="1" spans="6:12">
      <c r="F480" s="123"/>
      <c r="G480" s="123"/>
      <c r="H480" s="123"/>
      <c r="I480" s="123"/>
      <c r="K480" s="123"/>
      <c r="L480" s="123"/>
    </row>
    <row r="481" ht="14.25" customHeight="1" spans="6:12">
      <c r="F481" s="123"/>
      <c r="G481" s="123"/>
      <c r="H481" s="123"/>
      <c r="I481" s="123"/>
      <c r="K481" s="123"/>
      <c r="L481" s="123"/>
    </row>
    <row r="482" ht="14.25" customHeight="1" spans="6:12">
      <c r="F482" s="123"/>
      <c r="G482" s="123"/>
      <c r="H482" s="123"/>
      <c r="I482" s="123"/>
      <c r="K482" s="123"/>
      <c r="L482" s="123"/>
    </row>
    <row r="483" ht="14.25" customHeight="1" spans="6:12">
      <c r="F483" s="123"/>
      <c r="G483" s="123"/>
      <c r="H483" s="123"/>
      <c r="I483" s="123"/>
      <c r="K483" s="123"/>
      <c r="L483" s="123"/>
    </row>
    <row r="484" ht="14.25" customHeight="1" spans="6:12">
      <c r="F484" s="123"/>
      <c r="G484" s="123"/>
      <c r="H484" s="123"/>
      <c r="I484" s="123"/>
      <c r="K484" s="123"/>
      <c r="L484" s="123"/>
    </row>
    <row r="485" ht="14.25" customHeight="1" spans="6:12">
      <c r="F485" s="123"/>
      <c r="G485" s="123"/>
      <c r="H485" s="123"/>
      <c r="I485" s="123"/>
      <c r="K485" s="123"/>
      <c r="L485" s="123"/>
    </row>
    <row r="486" ht="14.25" customHeight="1" spans="6:12">
      <c r="F486" s="123"/>
      <c r="G486" s="123"/>
      <c r="H486" s="123"/>
      <c r="I486" s="123"/>
      <c r="K486" s="123"/>
      <c r="L486" s="123"/>
    </row>
    <row r="487" ht="14.25" customHeight="1" spans="6:12">
      <c r="F487" s="123"/>
      <c r="G487" s="123"/>
      <c r="H487" s="123"/>
      <c r="I487" s="123"/>
      <c r="K487" s="123"/>
      <c r="L487" s="123"/>
    </row>
    <row r="488" ht="14.25" customHeight="1" spans="6:12">
      <c r="F488" s="123"/>
      <c r="G488" s="123"/>
      <c r="H488" s="123"/>
      <c r="I488" s="123"/>
      <c r="K488" s="123"/>
      <c r="L488" s="123"/>
    </row>
    <row r="489" ht="14.25" customHeight="1" spans="6:12">
      <c r="F489" s="123"/>
      <c r="G489" s="123"/>
      <c r="H489" s="123"/>
      <c r="I489" s="123"/>
      <c r="K489" s="123"/>
      <c r="L489" s="123"/>
    </row>
    <row r="490" ht="14.25" customHeight="1" spans="6:12">
      <c r="F490" s="123"/>
      <c r="G490" s="123"/>
      <c r="H490" s="123"/>
      <c r="I490" s="123"/>
      <c r="K490" s="123"/>
      <c r="L490" s="123"/>
    </row>
    <row r="491" ht="14.25" customHeight="1" spans="6:12">
      <c r="F491" s="123"/>
      <c r="G491" s="123"/>
      <c r="H491" s="123"/>
      <c r="I491" s="123"/>
      <c r="K491" s="123"/>
      <c r="L491" s="123"/>
    </row>
    <row r="492" ht="14.25" customHeight="1" spans="6:12">
      <c r="F492" s="123"/>
      <c r="G492" s="123"/>
      <c r="H492" s="123"/>
      <c r="I492" s="123"/>
      <c r="K492" s="123"/>
      <c r="L492" s="123"/>
    </row>
    <row r="493" ht="14.25" customHeight="1" spans="6:12">
      <c r="F493" s="123"/>
      <c r="G493" s="123"/>
      <c r="H493" s="123"/>
      <c r="I493" s="123"/>
      <c r="K493" s="123"/>
      <c r="L493" s="123"/>
    </row>
    <row r="494" ht="14.25" customHeight="1" spans="6:12">
      <c r="F494" s="123"/>
      <c r="G494" s="123"/>
      <c r="H494" s="123"/>
      <c r="I494" s="123"/>
      <c r="K494" s="123"/>
      <c r="L494" s="123"/>
    </row>
    <row r="495" ht="14.25" customHeight="1" spans="6:12">
      <c r="F495" s="123"/>
      <c r="G495" s="123"/>
      <c r="H495" s="123"/>
      <c r="I495" s="123"/>
      <c r="K495" s="123"/>
      <c r="L495" s="123"/>
    </row>
    <row r="496" ht="14.25" customHeight="1" spans="6:12">
      <c r="F496" s="123"/>
      <c r="G496" s="123"/>
      <c r="H496" s="123"/>
      <c r="I496" s="123"/>
      <c r="K496" s="123"/>
      <c r="L496" s="123"/>
    </row>
    <row r="497" ht="14.25" customHeight="1" spans="6:12">
      <c r="F497" s="123"/>
      <c r="G497" s="123"/>
      <c r="H497" s="123"/>
      <c r="I497" s="123"/>
      <c r="K497" s="123"/>
      <c r="L497" s="123"/>
    </row>
    <row r="498" ht="14.25" customHeight="1" spans="6:12">
      <c r="F498" s="123"/>
      <c r="G498" s="123"/>
      <c r="H498" s="123"/>
      <c r="I498" s="123"/>
      <c r="K498" s="123"/>
      <c r="L498" s="123"/>
    </row>
    <row r="499" ht="14.25" customHeight="1" spans="6:12">
      <c r="F499" s="123"/>
      <c r="G499" s="123"/>
      <c r="H499" s="123"/>
      <c r="I499" s="123"/>
      <c r="K499" s="123"/>
      <c r="L499" s="123"/>
    </row>
    <row r="500" ht="14.25" customHeight="1" spans="6:12">
      <c r="F500" s="123"/>
      <c r="G500" s="123"/>
      <c r="H500" s="123"/>
      <c r="I500" s="123"/>
      <c r="K500" s="123"/>
      <c r="L500" s="123"/>
    </row>
    <row r="501" ht="14.25" customHeight="1" spans="6:12">
      <c r="F501" s="123"/>
      <c r="G501" s="123"/>
      <c r="H501" s="123"/>
      <c r="I501" s="123"/>
      <c r="K501" s="123"/>
      <c r="L501" s="123"/>
    </row>
    <row r="502" ht="14.25" customHeight="1" spans="6:12">
      <c r="F502" s="123"/>
      <c r="G502" s="123"/>
      <c r="H502" s="123"/>
      <c r="I502" s="123"/>
      <c r="K502" s="123"/>
      <c r="L502" s="123"/>
    </row>
    <row r="503" ht="14.25" customHeight="1" spans="6:12">
      <c r="F503" s="123"/>
      <c r="G503" s="123"/>
      <c r="H503" s="123"/>
      <c r="I503" s="123"/>
      <c r="K503" s="123"/>
      <c r="L503" s="123"/>
    </row>
    <row r="504" ht="14.25" customHeight="1" spans="6:12">
      <c r="F504" s="123"/>
      <c r="G504" s="123"/>
      <c r="H504" s="123"/>
      <c r="I504" s="123"/>
      <c r="K504" s="123"/>
      <c r="L504" s="123"/>
    </row>
    <row r="505" ht="14.25" customHeight="1" spans="6:12">
      <c r="F505" s="123"/>
      <c r="G505" s="123"/>
      <c r="H505" s="123"/>
      <c r="I505" s="123"/>
      <c r="K505" s="123"/>
      <c r="L505" s="123"/>
    </row>
    <row r="506" ht="14.25" customHeight="1" spans="6:12">
      <c r="F506" s="123"/>
      <c r="G506" s="123"/>
      <c r="H506" s="123"/>
      <c r="I506" s="123"/>
      <c r="K506" s="123"/>
      <c r="L506" s="123"/>
    </row>
    <row r="507" ht="14.25" customHeight="1" spans="6:12">
      <c r="F507" s="123"/>
      <c r="G507" s="123"/>
      <c r="H507" s="123"/>
      <c r="I507" s="123"/>
      <c r="K507" s="123"/>
      <c r="L507" s="123"/>
    </row>
    <row r="508" ht="14.25" customHeight="1" spans="6:12">
      <c r="F508" s="123"/>
      <c r="G508" s="123"/>
      <c r="H508" s="123"/>
      <c r="I508" s="123"/>
      <c r="K508" s="123"/>
      <c r="L508" s="123"/>
    </row>
    <row r="509" ht="14.25" customHeight="1" spans="6:12">
      <c r="F509" s="123"/>
      <c r="G509" s="123"/>
      <c r="H509" s="123"/>
      <c r="I509" s="123"/>
      <c r="K509" s="123"/>
      <c r="L509" s="123"/>
    </row>
    <row r="510" ht="14.25" customHeight="1" spans="6:12">
      <c r="F510" s="123"/>
      <c r="G510" s="123"/>
      <c r="H510" s="123"/>
      <c r="I510" s="123"/>
      <c r="K510" s="123"/>
      <c r="L510" s="123"/>
    </row>
    <row r="511" ht="14.25" customHeight="1" spans="6:12">
      <c r="F511" s="123"/>
      <c r="G511" s="123"/>
      <c r="H511" s="123"/>
      <c r="I511" s="123"/>
      <c r="K511" s="123"/>
      <c r="L511" s="123"/>
    </row>
    <row r="512" ht="14.25" customHeight="1" spans="6:12">
      <c r="F512" s="123"/>
      <c r="G512" s="123"/>
      <c r="H512" s="123"/>
      <c r="I512" s="123"/>
      <c r="K512" s="123"/>
      <c r="L512" s="123"/>
    </row>
    <row r="513" ht="14.25" customHeight="1" spans="6:12">
      <c r="F513" s="123"/>
      <c r="G513" s="123"/>
      <c r="H513" s="123"/>
      <c r="I513" s="123"/>
      <c r="K513" s="123"/>
      <c r="L513" s="123"/>
    </row>
    <row r="514" ht="14.25" customHeight="1" spans="6:12">
      <c r="F514" s="123"/>
      <c r="G514" s="123"/>
      <c r="H514" s="123"/>
      <c r="I514" s="123"/>
      <c r="K514" s="123"/>
      <c r="L514" s="123"/>
    </row>
    <row r="515" ht="14.25" customHeight="1" spans="6:12">
      <c r="F515" s="123"/>
      <c r="G515" s="123"/>
      <c r="H515" s="123"/>
      <c r="I515" s="123"/>
      <c r="K515" s="123"/>
      <c r="L515" s="123"/>
    </row>
    <row r="516" ht="14.25" customHeight="1" spans="6:12">
      <c r="F516" s="123"/>
      <c r="G516" s="123"/>
      <c r="H516" s="123"/>
      <c r="I516" s="123"/>
      <c r="K516" s="123"/>
      <c r="L516" s="123"/>
    </row>
    <row r="517" ht="14.25" customHeight="1" spans="6:12">
      <c r="F517" s="123"/>
      <c r="G517" s="123"/>
      <c r="H517" s="123"/>
      <c r="I517" s="123"/>
      <c r="K517" s="123"/>
      <c r="L517" s="123"/>
    </row>
    <row r="518" ht="14.25" customHeight="1" spans="6:12">
      <c r="F518" s="123"/>
      <c r="G518" s="123"/>
      <c r="H518" s="123"/>
      <c r="I518" s="123"/>
      <c r="K518" s="123"/>
      <c r="L518" s="123"/>
    </row>
    <row r="519" ht="14.25" customHeight="1" spans="6:12">
      <c r="F519" s="123"/>
      <c r="G519" s="123"/>
      <c r="H519" s="123"/>
      <c r="I519" s="123"/>
      <c r="K519" s="123"/>
      <c r="L519" s="123"/>
    </row>
    <row r="520" ht="14.25" customHeight="1" spans="6:12">
      <c r="F520" s="123"/>
      <c r="G520" s="123"/>
      <c r="H520" s="123"/>
      <c r="I520" s="123"/>
      <c r="K520" s="123"/>
      <c r="L520" s="123"/>
    </row>
    <row r="521" ht="14.25" customHeight="1" spans="6:12">
      <c r="F521" s="123"/>
      <c r="G521" s="123"/>
      <c r="H521" s="123"/>
      <c r="I521" s="123"/>
      <c r="K521" s="123"/>
      <c r="L521" s="123"/>
    </row>
    <row r="522" ht="14.25" customHeight="1" spans="6:12">
      <c r="F522" s="123"/>
      <c r="G522" s="123"/>
      <c r="H522" s="123"/>
      <c r="I522" s="123"/>
      <c r="K522" s="123"/>
      <c r="L522" s="123"/>
    </row>
    <row r="523" ht="14.25" customHeight="1" spans="6:12">
      <c r="F523" s="123"/>
      <c r="G523" s="123"/>
      <c r="H523" s="123"/>
      <c r="I523" s="123"/>
      <c r="K523" s="123"/>
      <c r="L523" s="123"/>
    </row>
    <row r="524" ht="14.25" customHeight="1" spans="6:12">
      <c r="F524" s="123"/>
      <c r="G524" s="123"/>
      <c r="H524" s="123"/>
      <c r="I524" s="123"/>
      <c r="K524" s="123"/>
      <c r="L524" s="123"/>
    </row>
    <row r="525" ht="14.25" customHeight="1" spans="6:12">
      <c r="F525" s="123"/>
      <c r="G525" s="123"/>
      <c r="H525" s="123"/>
      <c r="I525" s="123"/>
      <c r="K525" s="123"/>
      <c r="L525" s="123"/>
    </row>
    <row r="526" ht="14.25" customHeight="1" spans="6:12">
      <c r="F526" s="123"/>
      <c r="G526" s="123"/>
      <c r="H526" s="123"/>
      <c r="I526" s="123"/>
      <c r="K526" s="123"/>
      <c r="L526" s="123"/>
    </row>
    <row r="527" ht="14.25" customHeight="1" spans="6:12">
      <c r="F527" s="123"/>
      <c r="G527" s="123"/>
      <c r="H527" s="123"/>
      <c r="I527" s="123"/>
      <c r="K527" s="123"/>
      <c r="L527" s="123"/>
    </row>
    <row r="528" ht="14.25" customHeight="1" spans="6:12">
      <c r="F528" s="123"/>
      <c r="G528" s="123"/>
      <c r="H528" s="123"/>
      <c r="I528" s="123"/>
      <c r="K528" s="123"/>
      <c r="L528" s="123"/>
    </row>
    <row r="529" ht="14.25" customHeight="1" spans="6:12">
      <c r="F529" s="123"/>
      <c r="G529" s="123"/>
      <c r="H529" s="123"/>
      <c r="I529" s="123"/>
      <c r="K529" s="123"/>
      <c r="L529" s="123"/>
    </row>
    <row r="530" ht="14.25" customHeight="1" spans="6:12">
      <c r="F530" s="123"/>
      <c r="G530" s="123"/>
      <c r="H530" s="123"/>
      <c r="I530" s="123"/>
      <c r="K530" s="123"/>
      <c r="L530" s="123"/>
    </row>
    <row r="531" ht="14.25" customHeight="1" spans="6:12">
      <c r="F531" s="123"/>
      <c r="G531" s="123"/>
      <c r="H531" s="123"/>
      <c r="I531" s="123"/>
      <c r="K531" s="123"/>
      <c r="L531" s="123"/>
    </row>
    <row r="532" ht="14.25" customHeight="1" spans="6:12">
      <c r="F532" s="123"/>
      <c r="G532" s="123"/>
      <c r="H532" s="123"/>
      <c r="I532" s="123"/>
      <c r="K532" s="123"/>
      <c r="L532" s="123"/>
    </row>
    <row r="533" ht="14.25" customHeight="1" spans="6:12">
      <c r="F533" s="123"/>
      <c r="G533" s="123"/>
      <c r="H533" s="123"/>
      <c r="I533" s="123"/>
      <c r="K533" s="123"/>
      <c r="L533" s="123"/>
    </row>
    <row r="534" ht="14.25" customHeight="1" spans="6:12">
      <c r="F534" s="123"/>
      <c r="G534" s="123"/>
      <c r="H534" s="123"/>
      <c r="I534" s="123"/>
      <c r="K534" s="123"/>
      <c r="L534" s="123"/>
    </row>
    <row r="535" ht="14.25" customHeight="1" spans="6:12">
      <c r="F535" s="123"/>
      <c r="G535" s="123"/>
      <c r="H535" s="123"/>
      <c r="I535" s="123"/>
      <c r="K535" s="123"/>
      <c r="L535" s="123"/>
    </row>
    <row r="536" ht="14.25" customHeight="1" spans="6:12">
      <c r="F536" s="123"/>
      <c r="G536" s="123"/>
      <c r="H536" s="123"/>
      <c r="I536" s="123"/>
      <c r="K536" s="123"/>
      <c r="L536" s="123"/>
    </row>
    <row r="537" ht="14.25" customHeight="1" spans="6:12">
      <c r="F537" s="123"/>
      <c r="G537" s="123"/>
      <c r="H537" s="123"/>
      <c r="I537" s="123"/>
      <c r="K537" s="123"/>
      <c r="L537" s="123"/>
    </row>
    <row r="538" ht="14.25" customHeight="1" spans="6:12">
      <c r="F538" s="123"/>
      <c r="G538" s="123"/>
      <c r="H538" s="123"/>
      <c r="I538" s="123"/>
      <c r="K538" s="123"/>
      <c r="L538" s="123"/>
    </row>
    <row r="539" ht="14.25" customHeight="1" spans="6:12">
      <c r="F539" s="123"/>
      <c r="G539" s="123"/>
      <c r="H539" s="123"/>
      <c r="I539" s="123"/>
      <c r="K539" s="123"/>
      <c r="L539" s="123"/>
    </row>
    <row r="540" ht="14.25" customHeight="1" spans="6:12">
      <c r="F540" s="123"/>
      <c r="G540" s="123"/>
      <c r="H540" s="123"/>
      <c r="I540" s="123"/>
      <c r="K540" s="123"/>
      <c r="L540" s="123"/>
    </row>
    <row r="541" ht="14.25" customHeight="1" spans="6:12">
      <c r="F541" s="123"/>
      <c r="G541" s="123"/>
      <c r="H541" s="123"/>
      <c r="I541" s="123"/>
      <c r="K541" s="123"/>
      <c r="L541" s="123"/>
    </row>
    <row r="542" ht="14.25" customHeight="1" spans="6:12">
      <c r="F542" s="123"/>
      <c r="G542" s="123"/>
      <c r="H542" s="123"/>
      <c r="I542" s="123"/>
      <c r="K542" s="123"/>
      <c r="L542" s="123"/>
    </row>
    <row r="543" ht="14.25" customHeight="1" spans="6:12">
      <c r="F543" s="123"/>
      <c r="G543" s="123"/>
      <c r="H543" s="123"/>
      <c r="I543" s="123"/>
      <c r="K543" s="123"/>
      <c r="L543" s="123"/>
    </row>
    <row r="544" ht="14.25" customHeight="1" spans="6:12">
      <c r="F544" s="123"/>
      <c r="G544" s="123"/>
      <c r="H544" s="123"/>
      <c r="I544" s="123"/>
      <c r="K544" s="123"/>
      <c r="L544" s="123"/>
    </row>
    <row r="545" ht="14.25" customHeight="1" spans="6:12">
      <c r="F545" s="123"/>
      <c r="G545" s="123"/>
      <c r="H545" s="123"/>
      <c r="I545" s="123"/>
      <c r="K545" s="123"/>
      <c r="L545" s="123"/>
    </row>
    <row r="546" ht="14.25" customHeight="1" spans="6:12">
      <c r="F546" s="123"/>
      <c r="G546" s="123"/>
      <c r="H546" s="123"/>
      <c r="I546" s="123"/>
      <c r="K546" s="123"/>
      <c r="L546" s="123"/>
    </row>
    <row r="547" ht="14.25" customHeight="1" spans="6:12">
      <c r="F547" s="123"/>
      <c r="G547" s="123"/>
      <c r="H547" s="123"/>
      <c r="I547" s="123"/>
      <c r="K547" s="123"/>
      <c r="L547" s="123"/>
    </row>
    <row r="548" ht="14.25" customHeight="1" spans="6:12">
      <c r="F548" s="123"/>
      <c r="G548" s="123"/>
      <c r="H548" s="123"/>
      <c r="I548" s="123"/>
      <c r="K548" s="123"/>
      <c r="L548" s="123"/>
    </row>
    <row r="549" ht="14.25" customHeight="1" spans="6:12">
      <c r="F549" s="123"/>
      <c r="G549" s="123"/>
      <c r="H549" s="123"/>
      <c r="I549" s="123"/>
      <c r="K549" s="123"/>
      <c r="L549" s="123"/>
    </row>
    <row r="550" ht="14.25" customHeight="1" spans="6:12">
      <c r="F550" s="123"/>
      <c r="G550" s="123"/>
      <c r="H550" s="123"/>
      <c r="I550" s="123"/>
      <c r="K550" s="123"/>
      <c r="L550" s="123"/>
    </row>
    <row r="551" ht="14.25" customHeight="1" spans="6:12">
      <c r="F551" s="123"/>
      <c r="G551" s="123"/>
      <c r="H551" s="123"/>
      <c r="I551" s="123"/>
      <c r="K551" s="123"/>
      <c r="L551" s="123"/>
    </row>
    <row r="552" ht="14.25" customHeight="1" spans="6:12">
      <c r="F552" s="123"/>
      <c r="G552" s="123"/>
      <c r="H552" s="123"/>
      <c r="I552" s="123"/>
      <c r="K552" s="123"/>
      <c r="L552" s="123"/>
    </row>
    <row r="553" ht="14.25" customHeight="1" spans="6:12">
      <c r="F553" s="123"/>
      <c r="G553" s="123"/>
      <c r="H553" s="123"/>
      <c r="I553" s="123"/>
      <c r="K553" s="123"/>
      <c r="L553" s="123"/>
    </row>
    <row r="554" ht="14.25" customHeight="1" spans="6:12">
      <c r="F554" s="123"/>
      <c r="G554" s="123"/>
      <c r="H554" s="123"/>
      <c r="I554" s="123"/>
      <c r="K554" s="123"/>
      <c r="L554" s="123"/>
    </row>
    <row r="555" ht="14.25" customHeight="1" spans="6:12">
      <c r="F555" s="123"/>
      <c r="G555" s="123"/>
      <c r="H555" s="123"/>
      <c r="I555" s="123"/>
      <c r="K555" s="123"/>
      <c r="L555" s="123"/>
    </row>
    <row r="556" ht="14.25" customHeight="1" spans="6:12">
      <c r="F556" s="123"/>
      <c r="G556" s="123"/>
      <c r="H556" s="123"/>
      <c r="I556" s="123"/>
      <c r="K556" s="123"/>
      <c r="L556" s="123"/>
    </row>
    <row r="557" ht="14.25" customHeight="1" spans="6:12">
      <c r="F557" s="123"/>
      <c r="G557" s="123"/>
      <c r="H557" s="123"/>
      <c r="I557" s="123"/>
      <c r="K557" s="123"/>
      <c r="L557" s="123"/>
    </row>
    <row r="558" ht="14.25" customHeight="1" spans="6:12">
      <c r="F558" s="123"/>
      <c r="G558" s="123"/>
      <c r="H558" s="123"/>
      <c r="I558" s="123"/>
      <c r="K558" s="123"/>
      <c r="L558" s="123"/>
    </row>
    <row r="559" ht="14.25" customHeight="1" spans="6:12">
      <c r="F559" s="123"/>
      <c r="G559" s="123"/>
      <c r="H559" s="123"/>
      <c r="I559" s="123"/>
      <c r="K559" s="123"/>
      <c r="L559" s="123"/>
    </row>
    <row r="560" ht="14.25" customHeight="1" spans="6:12">
      <c r="F560" s="123"/>
      <c r="G560" s="123"/>
      <c r="H560" s="123"/>
      <c r="I560" s="123"/>
      <c r="K560" s="123"/>
      <c r="L560" s="123"/>
    </row>
    <row r="561" ht="14.25" customHeight="1" spans="6:12">
      <c r="F561" s="123"/>
      <c r="G561" s="123"/>
      <c r="H561" s="123"/>
      <c r="I561" s="123"/>
      <c r="K561" s="123"/>
      <c r="L561" s="123"/>
    </row>
    <row r="562" ht="14.25" customHeight="1" spans="6:12">
      <c r="F562" s="123"/>
      <c r="G562" s="123"/>
      <c r="H562" s="123"/>
      <c r="I562" s="123"/>
      <c r="K562" s="123"/>
      <c r="L562" s="123"/>
    </row>
    <row r="563" ht="14.25" customHeight="1" spans="6:12">
      <c r="F563" s="123"/>
      <c r="G563" s="123"/>
      <c r="H563" s="123"/>
      <c r="I563" s="123"/>
      <c r="K563" s="123"/>
      <c r="L563" s="123"/>
    </row>
    <row r="564" ht="14.25" customHeight="1" spans="6:12">
      <c r="F564" s="123"/>
      <c r="G564" s="123"/>
      <c r="H564" s="123"/>
      <c r="I564" s="123"/>
      <c r="K564" s="123"/>
      <c r="L564" s="123"/>
    </row>
    <row r="565" ht="14.25" customHeight="1" spans="6:12">
      <c r="F565" s="123"/>
      <c r="G565" s="123"/>
      <c r="H565" s="123"/>
      <c r="I565" s="123"/>
      <c r="K565" s="123"/>
      <c r="L565" s="123"/>
    </row>
    <row r="566" ht="14.25" customHeight="1" spans="6:12">
      <c r="F566" s="123"/>
      <c r="G566" s="123"/>
      <c r="H566" s="123"/>
      <c r="I566" s="123"/>
      <c r="K566" s="123"/>
      <c r="L566" s="123"/>
    </row>
    <row r="567" ht="14.25" customHeight="1" spans="6:12">
      <c r="F567" s="123"/>
      <c r="G567" s="123"/>
      <c r="H567" s="123"/>
      <c r="I567" s="123"/>
      <c r="K567" s="123"/>
      <c r="L567" s="123"/>
    </row>
    <row r="568" ht="14.25" customHeight="1" spans="6:12">
      <c r="F568" s="123"/>
      <c r="G568" s="123"/>
      <c r="H568" s="123"/>
      <c r="I568" s="123"/>
      <c r="K568" s="123"/>
      <c r="L568" s="123"/>
    </row>
    <row r="569" ht="14.25" customHeight="1" spans="6:12">
      <c r="F569" s="123"/>
      <c r="G569" s="123"/>
      <c r="H569" s="123"/>
      <c r="I569" s="123"/>
      <c r="K569" s="123"/>
      <c r="L569" s="123"/>
    </row>
    <row r="570" ht="14.25" customHeight="1" spans="6:12">
      <c r="F570" s="123"/>
      <c r="G570" s="123"/>
      <c r="H570" s="123"/>
      <c r="I570" s="123"/>
      <c r="K570" s="123"/>
      <c r="L570" s="123"/>
    </row>
    <row r="571" ht="14.25" customHeight="1" spans="6:12">
      <c r="F571" s="123"/>
      <c r="G571" s="123"/>
      <c r="H571" s="123"/>
      <c r="I571" s="123"/>
      <c r="K571" s="123"/>
      <c r="L571" s="123"/>
    </row>
    <row r="572" ht="14.25" customHeight="1" spans="6:12">
      <c r="F572" s="123"/>
      <c r="G572" s="123"/>
      <c r="H572" s="123"/>
      <c r="I572" s="123"/>
      <c r="K572" s="123"/>
      <c r="L572" s="123"/>
    </row>
    <row r="573" ht="14.25" customHeight="1" spans="6:12">
      <c r="F573" s="123"/>
      <c r="G573" s="123"/>
      <c r="H573" s="123"/>
      <c r="I573" s="123"/>
      <c r="K573" s="123"/>
      <c r="L573" s="123"/>
    </row>
    <row r="574" ht="14.25" customHeight="1" spans="6:12">
      <c r="F574" s="123"/>
      <c r="G574" s="123"/>
      <c r="H574" s="123"/>
      <c r="I574" s="123"/>
      <c r="K574" s="123"/>
      <c r="L574" s="123"/>
    </row>
    <row r="575" ht="14.25" customHeight="1" spans="6:12">
      <c r="F575" s="123"/>
      <c r="G575" s="123"/>
      <c r="H575" s="123"/>
      <c r="I575" s="123"/>
      <c r="K575" s="123"/>
      <c r="L575" s="123"/>
    </row>
    <row r="576" ht="14.25" customHeight="1" spans="6:12">
      <c r="F576" s="123"/>
      <c r="G576" s="123"/>
      <c r="H576" s="123"/>
      <c r="I576" s="123"/>
      <c r="K576" s="123"/>
      <c r="L576" s="123"/>
    </row>
    <row r="577" ht="14.25" customHeight="1" spans="6:12">
      <c r="F577" s="123"/>
      <c r="G577" s="123"/>
      <c r="H577" s="123"/>
      <c r="I577" s="123"/>
      <c r="K577" s="123"/>
      <c r="L577" s="123"/>
    </row>
    <row r="578" ht="14.25" customHeight="1" spans="6:12">
      <c r="F578" s="123"/>
      <c r="G578" s="123"/>
      <c r="H578" s="123"/>
      <c r="I578" s="123"/>
      <c r="K578" s="123"/>
      <c r="L578" s="123"/>
    </row>
    <row r="579" ht="14.25" customHeight="1" spans="6:12">
      <c r="F579" s="123"/>
      <c r="G579" s="123"/>
      <c r="H579" s="123"/>
      <c r="I579" s="123"/>
      <c r="K579" s="123"/>
      <c r="L579" s="123"/>
    </row>
    <row r="580" ht="14.25" customHeight="1" spans="6:12">
      <c r="F580" s="123"/>
      <c r="G580" s="123"/>
      <c r="H580" s="123"/>
      <c r="I580" s="123"/>
      <c r="K580" s="123"/>
      <c r="L580" s="123"/>
    </row>
    <row r="581" ht="14.25" customHeight="1" spans="6:12">
      <c r="F581" s="123"/>
      <c r="G581" s="123"/>
      <c r="H581" s="123"/>
      <c r="I581" s="123"/>
      <c r="K581" s="123"/>
      <c r="L581" s="123"/>
    </row>
    <row r="582" ht="14.25" customHeight="1" spans="6:12">
      <c r="F582" s="123"/>
      <c r="G582" s="123"/>
      <c r="H582" s="123"/>
      <c r="I582" s="123"/>
      <c r="K582" s="123"/>
      <c r="L582" s="123"/>
    </row>
    <row r="583" ht="14.25" customHeight="1" spans="6:12">
      <c r="F583" s="123"/>
      <c r="G583" s="123"/>
      <c r="H583" s="123"/>
      <c r="I583" s="123"/>
      <c r="K583" s="123"/>
      <c r="L583" s="123"/>
    </row>
    <row r="584" ht="14.25" customHeight="1" spans="6:12">
      <c r="F584" s="123"/>
      <c r="G584" s="123"/>
      <c r="H584" s="123"/>
      <c r="I584" s="123"/>
      <c r="K584" s="123"/>
      <c r="L584" s="123"/>
    </row>
    <row r="585" ht="14.25" customHeight="1" spans="6:12">
      <c r="F585" s="123"/>
      <c r="G585" s="123"/>
      <c r="H585" s="123"/>
      <c r="I585" s="123"/>
      <c r="K585" s="123"/>
      <c r="L585" s="123"/>
    </row>
    <row r="586" ht="14.25" customHeight="1" spans="6:12">
      <c r="F586" s="123"/>
      <c r="G586" s="123"/>
      <c r="H586" s="123"/>
      <c r="I586" s="123"/>
      <c r="K586" s="123"/>
      <c r="L586" s="123"/>
    </row>
    <row r="587" ht="14.25" customHeight="1" spans="6:12">
      <c r="F587" s="123"/>
      <c r="G587" s="123"/>
      <c r="H587" s="123"/>
      <c r="I587" s="123"/>
      <c r="K587" s="123"/>
      <c r="L587" s="123"/>
    </row>
    <row r="588" ht="14.25" customHeight="1" spans="6:12">
      <c r="F588" s="123"/>
      <c r="G588" s="123"/>
      <c r="H588" s="123"/>
      <c r="I588" s="123"/>
      <c r="K588" s="123"/>
      <c r="L588" s="123"/>
    </row>
    <row r="589" ht="14.25" customHeight="1" spans="6:12">
      <c r="F589" s="123"/>
      <c r="G589" s="123"/>
      <c r="H589" s="123"/>
      <c r="I589" s="123"/>
      <c r="K589" s="123"/>
      <c r="L589" s="123"/>
    </row>
    <row r="590" ht="14.25" customHeight="1" spans="6:12">
      <c r="F590" s="123"/>
      <c r="G590" s="123"/>
      <c r="H590" s="123"/>
      <c r="I590" s="123"/>
      <c r="K590" s="123"/>
      <c r="L590" s="123"/>
    </row>
    <row r="591" ht="14.25" customHeight="1" spans="6:12">
      <c r="F591" s="123"/>
      <c r="G591" s="123"/>
      <c r="H591" s="123"/>
      <c r="I591" s="123"/>
      <c r="K591" s="123"/>
      <c r="L591" s="123"/>
    </row>
    <row r="592" ht="14.25" customHeight="1" spans="6:12">
      <c r="F592" s="123"/>
      <c r="G592" s="123"/>
      <c r="H592" s="123"/>
      <c r="I592" s="123"/>
      <c r="K592" s="123"/>
      <c r="L592" s="123"/>
    </row>
    <row r="593" ht="14.25" customHeight="1" spans="6:12">
      <c r="F593" s="123"/>
      <c r="G593" s="123"/>
      <c r="H593" s="123"/>
      <c r="I593" s="123"/>
      <c r="K593" s="123"/>
      <c r="L593" s="123"/>
    </row>
    <row r="594" ht="14.25" customHeight="1" spans="6:12">
      <c r="F594" s="123"/>
      <c r="G594" s="123"/>
      <c r="H594" s="123"/>
      <c r="I594" s="123"/>
      <c r="K594" s="123"/>
      <c r="L594" s="123"/>
    </row>
    <row r="595" ht="14.25" customHeight="1" spans="6:12">
      <c r="F595" s="123"/>
      <c r="G595" s="123"/>
      <c r="H595" s="123"/>
      <c r="I595" s="123"/>
      <c r="K595" s="123"/>
      <c r="L595" s="123"/>
    </row>
    <row r="596" ht="14.25" customHeight="1" spans="6:12">
      <c r="F596" s="123"/>
      <c r="G596" s="123"/>
      <c r="H596" s="123"/>
      <c r="I596" s="123"/>
      <c r="K596" s="123"/>
      <c r="L596" s="123"/>
    </row>
    <row r="597" ht="14.25" customHeight="1" spans="6:12">
      <c r="F597" s="123"/>
      <c r="G597" s="123"/>
      <c r="H597" s="123"/>
      <c r="I597" s="123"/>
      <c r="K597" s="123"/>
      <c r="L597" s="123"/>
    </row>
    <row r="598" ht="14.25" customHeight="1" spans="6:12">
      <c r="F598" s="123"/>
      <c r="G598" s="123"/>
      <c r="H598" s="123"/>
      <c r="I598" s="123"/>
      <c r="K598" s="123"/>
      <c r="L598" s="123"/>
    </row>
    <row r="599" ht="14.25" customHeight="1" spans="6:12">
      <c r="F599" s="123"/>
      <c r="G599" s="123"/>
      <c r="H599" s="123"/>
      <c r="I599" s="123"/>
      <c r="K599" s="123"/>
      <c r="L599" s="123"/>
    </row>
    <row r="600" ht="14.25" customHeight="1" spans="6:12">
      <c r="F600" s="123"/>
      <c r="G600" s="123"/>
      <c r="H600" s="123"/>
      <c r="I600" s="123"/>
      <c r="K600" s="123"/>
      <c r="L600" s="123"/>
    </row>
    <row r="601" ht="14.25" customHeight="1" spans="6:12">
      <c r="F601" s="123"/>
      <c r="G601" s="123"/>
      <c r="H601" s="123"/>
      <c r="I601" s="123"/>
      <c r="K601" s="123"/>
      <c r="L601" s="123"/>
    </row>
    <row r="602" ht="14.25" customHeight="1" spans="6:12">
      <c r="F602" s="123"/>
      <c r="G602" s="123"/>
      <c r="H602" s="123"/>
      <c r="I602" s="123"/>
      <c r="K602" s="123"/>
      <c r="L602" s="123"/>
    </row>
    <row r="603" ht="14.25" customHeight="1" spans="6:12">
      <c r="F603" s="123"/>
      <c r="G603" s="123"/>
      <c r="H603" s="123"/>
      <c r="I603" s="123"/>
      <c r="K603" s="123"/>
      <c r="L603" s="123"/>
    </row>
    <row r="604" ht="14.25" customHeight="1" spans="6:12">
      <c r="F604" s="123"/>
      <c r="G604" s="123"/>
      <c r="H604" s="123"/>
      <c r="I604" s="123"/>
      <c r="K604" s="123"/>
      <c r="L604" s="123"/>
    </row>
    <row r="605" ht="14.25" customHeight="1" spans="6:12">
      <c r="F605" s="123"/>
      <c r="G605" s="123"/>
      <c r="H605" s="123"/>
      <c r="I605" s="123"/>
      <c r="K605" s="123"/>
      <c r="L605" s="123"/>
    </row>
    <row r="606" ht="14.25" customHeight="1" spans="6:12">
      <c r="F606" s="123"/>
      <c r="G606" s="123"/>
      <c r="H606" s="123"/>
      <c r="I606" s="123"/>
      <c r="K606" s="123"/>
      <c r="L606" s="123"/>
    </row>
    <row r="607" ht="14.25" customHeight="1" spans="6:12">
      <c r="F607" s="123"/>
      <c r="G607" s="123"/>
      <c r="H607" s="123"/>
      <c r="I607" s="123"/>
      <c r="K607" s="123"/>
      <c r="L607" s="123"/>
    </row>
    <row r="608" ht="14.25" customHeight="1" spans="6:12">
      <c r="F608" s="123"/>
      <c r="G608" s="123"/>
      <c r="H608" s="123"/>
      <c r="I608" s="123"/>
      <c r="K608" s="123"/>
      <c r="L608" s="123"/>
    </row>
    <row r="609" ht="14.25" customHeight="1" spans="6:12">
      <c r="F609" s="123"/>
      <c r="G609" s="123"/>
      <c r="H609" s="123"/>
      <c r="I609" s="123"/>
      <c r="K609" s="123"/>
      <c r="L609" s="123"/>
    </row>
    <row r="610" ht="14.25" customHeight="1" spans="6:12">
      <c r="F610" s="123"/>
      <c r="G610" s="123"/>
      <c r="H610" s="123"/>
      <c r="I610" s="123"/>
      <c r="K610" s="123"/>
      <c r="L610" s="123"/>
    </row>
    <row r="611" ht="14.25" customHeight="1" spans="6:12">
      <c r="F611" s="123"/>
      <c r="G611" s="123"/>
      <c r="H611" s="123"/>
      <c r="I611" s="123"/>
      <c r="K611" s="123"/>
      <c r="L611" s="123"/>
    </row>
    <row r="612" ht="14.25" customHeight="1" spans="6:12">
      <c r="F612" s="123"/>
      <c r="G612" s="123"/>
      <c r="H612" s="123"/>
      <c r="I612" s="123"/>
      <c r="K612" s="123"/>
      <c r="L612" s="123"/>
    </row>
    <row r="613" ht="14.25" customHeight="1" spans="6:12">
      <c r="F613" s="123"/>
      <c r="G613" s="123"/>
      <c r="H613" s="123"/>
      <c r="I613" s="123"/>
      <c r="K613" s="123"/>
      <c r="L613" s="123"/>
    </row>
    <row r="614" ht="14.25" customHeight="1" spans="6:12">
      <c r="F614" s="123"/>
      <c r="G614" s="123"/>
      <c r="H614" s="123"/>
      <c r="I614" s="123"/>
      <c r="K614" s="123"/>
      <c r="L614" s="123"/>
    </row>
    <row r="615" ht="14.25" customHeight="1" spans="6:12">
      <c r="F615" s="123"/>
      <c r="G615" s="123"/>
      <c r="H615" s="123"/>
      <c r="I615" s="123"/>
      <c r="K615" s="123"/>
      <c r="L615" s="123"/>
    </row>
    <row r="616" ht="14.25" customHeight="1" spans="6:12">
      <c r="F616" s="123"/>
      <c r="G616" s="123"/>
      <c r="H616" s="123"/>
      <c r="I616" s="123"/>
      <c r="K616" s="123"/>
      <c r="L616" s="123"/>
    </row>
    <row r="617" ht="14.25" customHeight="1" spans="6:12">
      <c r="F617" s="123"/>
      <c r="G617" s="123"/>
      <c r="H617" s="123"/>
      <c r="I617" s="123"/>
      <c r="K617" s="123"/>
      <c r="L617" s="123"/>
    </row>
    <row r="618" ht="14.25" customHeight="1" spans="6:12">
      <c r="F618" s="123"/>
      <c r="G618" s="123"/>
      <c r="H618" s="123"/>
      <c r="I618" s="123"/>
      <c r="K618" s="123"/>
      <c r="L618" s="123"/>
    </row>
    <row r="619" ht="14.25" customHeight="1" spans="6:12">
      <c r="F619" s="123"/>
      <c r="G619" s="123"/>
      <c r="H619" s="123"/>
      <c r="I619" s="123"/>
      <c r="K619" s="123"/>
      <c r="L619" s="123"/>
    </row>
    <row r="620" ht="14.25" customHeight="1" spans="6:12">
      <c r="F620" s="123"/>
      <c r="G620" s="123"/>
      <c r="H620" s="123"/>
      <c r="I620" s="123"/>
      <c r="K620" s="123"/>
      <c r="L620" s="123"/>
    </row>
    <row r="621" ht="14.25" customHeight="1" spans="6:12">
      <c r="F621" s="123"/>
      <c r="G621" s="123"/>
      <c r="H621" s="123"/>
      <c r="I621" s="123"/>
      <c r="K621" s="123"/>
      <c r="L621" s="123"/>
    </row>
    <row r="622" ht="14.25" customHeight="1" spans="6:12">
      <c r="F622" s="123"/>
      <c r="G622" s="123"/>
      <c r="H622" s="123"/>
      <c r="I622" s="123"/>
      <c r="K622" s="123"/>
      <c r="L622" s="123"/>
    </row>
    <row r="623" ht="14.25" customHeight="1" spans="6:12">
      <c r="F623" s="123"/>
      <c r="G623" s="123"/>
      <c r="H623" s="123"/>
      <c r="I623" s="123"/>
      <c r="K623" s="123"/>
      <c r="L623" s="123"/>
    </row>
    <row r="624" ht="14.25" customHeight="1" spans="6:12">
      <c r="F624" s="123"/>
      <c r="G624" s="123"/>
      <c r="H624" s="123"/>
      <c r="I624" s="123"/>
      <c r="K624" s="123"/>
      <c r="L624" s="123"/>
    </row>
    <row r="625" ht="14.25" customHeight="1" spans="6:12">
      <c r="F625" s="123"/>
      <c r="G625" s="123"/>
      <c r="H625" s="123"/>
      <c r="I625" s="123"/>
      <c r="K625" s="123"/>
      <c r="L625" s="123"/>
    </row>
    <row r="626" ht="14.25" customHeight="1" spans="6:12">
      <c r="F626" s="123"/>
      <c r="G626" s="123"/>
      <c r="H626" s="123"/>
      <c r="I626" s="123"/>
      <c r="K626" s="123"/>
      <c r="L626" s="123"/>
    </row>
    <row r="627" ht="14.25" customHeight="1" spans="6:12">
      <c r="F627" s="123"/>
      <c r="G627" s="123"/>
      <c r="H627" s="123"/>
      <c r="I627" s="123"/>
      <c r="K627" s="123"/>
      <c r="L627" s="123"/>
    </row>
    <row r="628" ht="14.25" customHeight="1" spans="6:12">
      <c r="F628" s="123"/>
      <c r="G628" s="123"/>
      <c r="H628" s="123"/>
      <c r="I628" s="123"/>
      <c r="K628" s="123"/>
      <c r="L628" s="123"/>
    </row>
    <row r="629" ht="14.25" customHeight="1" spans="6:12">
      <c r="F629" s="123"/>
      <c r="G629" s="123"/>
      <c r="H629" s="123"/>
      <c r="I629" s="123"/>
      <c r="K629" s="123"/>
      <c r="L629" s="123"/>
    </row>
    <row r="630" ht="14.25" customHeight="1" spans="6:12">
      <c r="F630" s="123"/>
      <c r="G630" s="123"/>
      <c r="H630" s="123"/>
      <c r="I630" s="123"/>
      <c r="K630" s="123"/>
      <c r="L630" s="123"/>
    </row>
    <row r="631" ht="14.25" customHeight="1" spans="6:12">
      <c r="F631" s="123"/>
      <c r="G631" s="123"/>
      <c r="H631" s="123"/>
      <c r="I631" s="123"/>
      <c r="K631" s="123"/>
      <c r="L631" s="123"/>
    </row>
    <row r="632" ht="14.25" customHeight="1" spans="6:12">
      <c r="F632" s="123"/>
      <c r="G632" s="123"/>
      <c r="H632" s="123"/>
      <c r="I632" s="123"/>
      <c r="K632" s="123"/>
      <c r="L632" s="123"/>
    </row>
    <row r="633" ht="14.25" customHeight="1" spans="6:12">
      <c r="F633" s="123"/>
      <c r="G633" s="123"/>
      <c r="H633" s="123"/>
      <c r="I633" s="123"/>
      <c r="K633" s="123"/>
      <c r="L633" s="123"/>
    </row>
    <row r="634" ht="14.25" customHeight="1" spans="6:12">
      <c r="F634" s="123"/>
      <c r="G634" s="123"/>
      <c r="H634" s="123"/>
      <c r="I634" s="123"/>
      <c r="K634" s="123"/>
      <c r="L634" s="123"/>
    </row>
    <row r="635" ht="14.25" customHeight="1" spans="6:12">
      <c r="F635" s="123"/>
      <c r="G635" s="123"/>
      <c r="H635" s="123"/>
      <c r="I635" s="123"/>
      <c r="K635" s="123"/>
      <c r="L635" s="123"/>
    </row>
    <row r="636" ht="14.25" customHeight="1" spans="6:12">
      <c r="F636" s="123"/>
      <c r="G636" s="123"/>
      <c r="H636" s="123"/>
      <c r="I636" s="123"/>
      <c r="K636" s="123"/>
      <c r="L636" s="123"/>
    </row>
    <row r="637" ht="14.25" customHeight="1" spans="6:12">
      <c r="F637" s="123"/>
      <c r="G637" s="123"/>
      <c r="H637" s="123"/>
      <c r="I637" s="123"/>
      <c r="K637" s="123"/>
      <c r="L637" s="123"/>
    </row>
    <row r="638" ht="14.25" customHeight="1" spans="6:12">
      <c r="F638" s="123"/>
      <c r="G638" s="123"/>
      <c r="H638" s="123"/>
      <c r="I638" s="123"/>
      <c r="K638" s="123"/>
      <c r="L638" s="123"/>
    </row>
    <row r="639" ht="14.25" customHeight="1" spans="6:12">
      <c r="F639" s="123"/>
      <c r="G639" s="123"/>
      <c r="H639" s="123"/>
      <c r="I639" s="123"/>
      <c r="K639" s="123"/>
      <c r="L639" s="123"/>
    </row>
    <row r="640" ht="14.25" customHeight="1" spans="6:12">
      <c r="F640" s="123"/>
      <c r="G640" s="123"/>
      <c r="H640" s="123"/>
      <c r="I640" s="123"/>
      <c r="K640" s="123"/>
      <c r="L640" s="123"/>
    </row>
    <row r="641" ht="14.25" customHeight="1" spans="6:12">
      <c r="F641" s="123"/>
      <c r="G641" s="123"/>
      <c r="H641" s="123"/>
      <c r="I641" s="123"/>
      <c r="K641" s="123"/>
      <c r="L641" s="123"/>
    </row>
    <row r="642" ht="14.25" customHeight="1" spans="6:12">
      <c r="F642" s="123"/>
      <c r="G642" s="123"/>
      <c r="H642" s="123"/>
      <c r="I642" s="123"/>
      <c r="K642" s="123"/>
      <c r="L642" s="123"/>
    </row>
    <row r="643" ht="14.25" customHeight="1" spans="6:12">
      <c r="F643" s="123"/>
      <c r="G643" s="123"/>
      <c r="H643" s="123"/>
      <c r="I643" s="123"/>
      <c r="K643" s="123"/>
      <c r="L643" s="123"/>
    </row>
    <row r="644" ht="14.25" customHeight="1" spans="6:12">
      <c r="F644" s="123"/>
      <c r="G644" s="123"/>
      <c r="H644" s="123"/>
      <c r="I644" s="123"/>
      <c r="K644" s="123"/>
      <c r="L644" s="123"/>
    </row>
    <row r="645" ht="14.25" customHeight="1" spans="6:12">
      <c r="F645" s="123"/>
      <c r="G645" s="123"/>
      <c r="H645" s="123"/>
      <c r="I645" s="123"/>
      <c r="K645" s="123"/>
      <c r="L645" s="123"/>
    </row>
    <row r="646" ht="14.25" customHeight="1" spans="6:12">
      <c r="F646" s="123"/>
      <c r="G646" s="123"/>
      <c r="H646" s="123"/>
      <c r="I646" s="123"/>
      <c r="K646" s="123"/>
      <c r="L646" s="123"/>
    </row>
    <row r="647" ht="14.25" customHeight="1" spans="6:12">
      <c r="F647" s="123"/>
      <c r="G647" s="123"/>
      <c r="H647" s="123"/>
      <c r="I647" s="123"/>
      <c r="K647" s="123"/>
      <c r="L647" s="123"/>
    </row>
    <row r="648" ht="14.25" customHeight="1" spans="6:12">
      <c r="F648" s="123"/>
      <c r="G648" s="123"/>
      <c r="H648" s="123"/>
      <c r="I648" s="123"/>
      <c r="K648" s="123"/>
      <c r="L648" s="123"/>
    </row>
    <row r="649" ht="14.25" customHeight="1" spans="6:12">
      <c r="F649" s="123"/>
      <c r="G649" s="123"/>
      <c r="H649" s="123"/>
      <c r="I649" s="123"/>
      <c r="K649" s="123"/>
      <c r="L649" s="123"/>
    </row>
    <row r="650" ht="14.25" customHeight="1" spans="6:12">
      <c r="F650" s="123"/>
      <c r="G650" s="123"/>
      <c r="H650" s="123"/>
      <c r="I650" s="123"/>
      <c r="K650" s="123"/>
      <c r="L650" s="123"/>
    </row>
    <row r="651" ht="14.25" customHeight="1" spans="6:12">
      <c r="F651" s="123"/>
      <c r="G651" s="123"/>
      <c r="H651" s="123"/>
      <c r="I651" s="123"/>
      <c r="K651" s="123"/>
      <c r="L651" s="123"/>
    </row>
    <row r="652" ht="14.25" customHeight="1" spans="6:12">
      <c r="F652" s="123"/>
      <c r="G652" s="123"/>
      <c r="H652" s="123"/>
      <c r="I652" s="123"/>
      <c r="K652" s="123"/>
      <c r="L652" s="123"/>
    </row>
    <row r="653" ht="14.25" customHeight="1" spans="6:12">
      <c r="F653" s="123"/>
      <c r="G653" s="123"/>
      <c r="H653" s="123"/>
      <c r="I653" s="123"/>
      <c r="K653" s="123"/>
      <c r="L653" s="123"/>
    </row>
    <row r="654" ht="14.25" customHeight="1" spans="6:12">
      <c r="F654" s="123"/>
      <c r="G654" s="123"/>
      <c r="H654" s="123"/>
      <c r="I654" s="123"/>
      <c r="K654" s="123"/>
      <c r="L654" s="123"/>
    </row>
    <row r="655" ht="14.25" customHeight="1" spans="6:12">
      <c r="F655" s="123"/>
      <c r="G655" s="123"/>
      <c r="H655" s="123"/>
      <c r="I655" s="123"/>
      <c r="K655" s="123"/>
      <c r="L655" s="123"/>
    </row>
    <row r="656" ht="14.25" customHeight="1" spans="6:12">
      <c r="F656" s="123"/>
      <c r="G656" s="123"/>
      <c r="H656" s="123"/>
      <c r="I656" s="123"/>
      <c r="K656" s="123"/>
      <c r="L656" s="123"/>
    </row>
    <row r="657" ht="14.25" customHeight="1" spans="6:12">
      <c r="F657" s="123"/>
      <c r="G657" s="123"/>
      <c r="H657" s="123"/>
      <c r="I657" s="123"/>
      <c r="K657" s="123"/>
      <c r="L657" s="123"/>
    </row>
    <row r="658" ht="14.25" customHeight="1" spans="6:12">
      <c r="F658" s="123"/>
      <c r="G658" s="123"/>
      <c r="H658" s="123"/>
      <c r="I658" s="123"/>
      <c r="K658" s="123"/>
      <c r="L658" s="123"/>
    </row>
    <row r="659" ht="14.25" customHeight="1" spans="6:12">
      <c r="F659" s="123"/>
      <c r="G659" s="123"/>
      <c r="H659" s="123"/>
      <c r="I659" s="123"/>
      <c r="K659" s="123"/>
      <c r="L659" s="123"/>
    </row>
    <row r="660" ht="14.25" customHeight="1" spans="6:12">
      <c r="F660" s="123"/>
      <c r="G660" s="123"/>
      <c r="H660" s="123"/>
      <c r="I660" s="123"/>
      <c r="K660" s="123"/>
      <c r="L660" s="123"/>
    </row>
    <row r="661" ht="14.25" customHeight="1" spans="6:12">
      <c r="F661" s="123"/>
      <c r="G661" s="123"/>
      <c r="H661" s="123"/>
      <c r="I661" s="123"/>
      <c r="K661" s="123"/>
      <c r="L661" s="123"/>
    </row>
    <row r="662" ht="14.25" customHeight="1" spans="6:12">
      <c r="F662" s="123"/>
      <c r="G662" s="123"/>
      <c r="H662" s="123"/>
      <c r="I662" s="123"/>
      <c r="K662" s="123"/>
      <c r="L662" s="123"/>
    </row>
    <row r="663" ht="14.25" customHeight="1" spans="6:12">
      <c r="F663" s="123"/>
      <c r="G663" s="123"/>
      <c r="H663" s="123"/>
      <c r="I663" s="123"/>
      <c r="K663" s="123"/>
      <c r="L663" s="123"/>
    </row>
    <row r="664" ht="14.25" customHeight="1" spans="6:12">
      <c r="F664" s="123"/>
      <c r="G664" s="123"/>
      <c r="H664" s="123"/>
      <c r="I664" s="123"/>
      <c r="K664" s="123"/>
      <c r="L664" s="123"/>
    </row>
    <row r="665" ht="14.25" customHeight="1" spans="6:12">
      <c r="F665" s="123"/>
      <c r="G665" s="123"/>
      <c r="H665" s="123"/>
      <c r="I665" s="123"/>
      <c r="K665" s="123"/>
      <c r="L665" s="123"/>
    </row>
    <row r="666" ht="14.25" customHeight="1" spans="6:12">
      <c r="F666" s="123"/>
      <c r="G666" s="123"/>
      <c r="H666" s="123"/>
      <c r="I666" s="123"/>
      <c r="K666" s="123"/>
      <c r="L666" s="123"/>
    </row>
    <row r="667" ht="14.25" customHeight="1" spans="6:12">
      <c r="F667" s="123"/>
      <c r="G667" s="123"/>
      <c r="H667" s="123"/>
      <c r="I667" s="123"/>
      <c r="K667" s="123"/>
      <c r="L667" s="123"/>
    </row>
    <row r="668" ht="14.25" customHeight="1" spans="6:12">
      <c r="F668" s="123"/>
      <c r="G668" s="123"/>
      <c r="H668" s="123"/>
      <c r="I668" s="123"/>
      <c r="K668" s="123"/>
      <c r="L668" s="123"/>
    </row>
    <row r="669" ht="14.25" customHeight="1" spans="6:12">
      <c r="F669" s="123"/>
      <c r="G669" s="123"/>
      <c r="H669" s="123"/>
      <c r="I669" s="123"/>
      <c r="K669" s="123"/>
      <c r="L669" s="123"/>
    </row>
    <row r="670" ht="14.25" customHeight="1" spans="6:12">
      <c r="F670" s="123"/>
      <c r="G670" s="123"/>
      <c r="H670" s="123"/>
      <c r="I670" s="123"/>
      <c r="K670" s="123"/>
      <c r="L670" s="123"/>
    </row>
    <row r="671" ht="14.25" customHeight="1" spans="6:12">
      <c r="F671" s="123"/>
      <c r="G671" s="123"/>
      <c r="H671" s="123"/>
      <c r="I671" s="123"/>
      <c r="K671" s="123"/>
      <c r="L671" s="123"/>
    </row>
    <row r="672" ht="14.25" customHeight="1" spans="6:12">
      <c r="F672" s="123"/>
      <c r="G672" s="123"/>
      <c r="H672" s="123"/>
      <c r="I672" s="123"/>
      <c r="K672" s="123"/>
      <c r="L672" s="123"/>
    </row>
    <row r="673" ht="14.25" customHeight="1" spans="6:12">
      <c r="F673" s="123"/>
      <c r="G673" s="123"/>
      <c r="H673" s="123"/>
      <c r="I673" s="123"/>
      <c r="K673" s="123"/>
      <c r="L673" s="123"/>
    </row>
    <row r="674" ht="14.25" customHeight="1" spans="6:12">
      <c r="F674" s="123"/>
      <c r="G674" s="123"/>
      <c r="H674" s="123"/>
      <c r="I674" s="123"/>
      <c r="K674" s="123"/>
      <c r="L674" s="123"/>
    </row>
    <row r="675" ht="14.25" customHeight="1" spans="6:12">
      <c r="F675" s="123"/>
      <c r="G675" s="123"/>
      <c r="H675" s="123"/>
      <c r="I675" s="123"/>
      <c r="K675" s="123"/>
      <c r="L675" s="123"/>
    </row>
    <row r="676" ht="14.25" customHeight="1" spans="6:12">
      <c r="F676" s="123"/>
      <c r="G676" s="123"/>
      <c r="H676" s="123"/>
      <c r="I676" s="123"/>
      <c r="K676" s="123"/>
      <c r="L676" s="123"/>
    </row>
    <row r="677" ht="14.25" customHeight="1" spans="6:12">
      <c r="F677" s="123"/>
      <c r="G677" s="123"/>
      <c r="H677" s="123"/>
      <c r="I677" s="123"/>
      <c r="K677" s="123"/>
      <c r="L677" s="123"/>
    </row>
    <row r="678" ht="14.25" customHeight="1" spans="6:12">
      <c r="F678" s="123"/>
      <c r="G678" s="123"/>
      <c r="H678" s="123"/>
      <c r="I678" s="123"/>
      <c r="K678" s="123"/>
      <c r="L678" s="123"/>
    </row>
    <row r="679" ht="14.25" customHeight="1" spans="6:12">
      <c r="F679" s="123"/>
      <c r="G679" s="123"/>
      <c r="H679" s="123"/>
      <c r="I679" s="123"/>
      <c r="K679" s="123"/>
      <c r="L679" s="123"/>
    </row>
    <row r="680" ht="14.25" customHeight="1" spans="6:12">
      <c r="F680" s="123"/>
      <c r="G680" s="123"/>
      <c r="H680" s="123"/>
      <c r="I680" s="123"/>
      <c r="K680" s="123"/>
      <c r="L680" s="123"/>
    </row>
    <row r="681" ht="14.25" customHeight="1" spans="6:12">
      <c r="F681" s="123"/>
      <c r="G681" s="123"/>
      <c r="H681" s="123"/>
      <c r="I681" s="123"/>
      <c r="K681" s="123"/>
      <c r="L681" s="123"/>
    </row>
    <row r="682" ht="14.25" customHeight="1" spans="6:12">
      <c r="F682" s="123"/>
      <c r="G682" s="123"/>
      <c r="H682" s="123"/>
      <c r="I682" s="123"/>
      <c r="K682" s="123"/>
      <c r="L682" s="123"/>
    </row>
    <row r="683" ht="14.25" customHeight="1" spans="6:12">
      <c r="F683" s="123"/>
      <c r="G683" s="123"/>
      <c r="H683" s="123"/>
      <c r="I683" s="123"/>
      <c r="K683" s="123"/>
      <c r="L683" s="123"/>
    </row>
    <row r="684" ht="14.25" customHeight="1" spans="6:12">
      <c r="F684" s="123"/>
      <c r="G684" s="123"/>
      <c r="H684" s="123"/>
      <c r="I684" s="123"/>
      <c r="K684" s="123"/>
      <c r="L684" s="123"/>
    </row>
    <row r="685" ht="14.25" customHeight="1" spans="6:12">
      <c r="F685" s="123"/>
      <c r="G685" s="123"/>
      <c r="H685" s="123"/>
      <c r="I685" s="123"/>
      <c r="K685" s="123"/>
      <c r="L685" s="123"/>
    </row>
    <row r="686" ht="14.25" customHeight="1" spans="6:12">
      <c r="F686" s="123"/>
      <c r="G686" s="123"/>
      <c r="H686" s="123"/>
      <c r="I686" s="123"/>
      <c r="K686" s="123"/>
      <c r="L686" s="123"/>
    </row>
    <row r="687" ht="14.25" customHeight="1" spans="6:12">
      <c r="F687" s="123"/>
      <c r="G687" s="123"/>
      <c r="H687" s="123"/>
      <c r="I687" s="123"/>
      <c r="K687" s="123"/>
      <c r="L687" s="123"/>
    </row>
    <row r="688" ht="14.25" customHeight="1" spans="6:12">
      <c r="F688" s="123"/>
      <c r="G688" s="123"/>
      <c r="H688" s="123"/>
      <c r="I688" s="123"/>
      <c r="K688" s="123"/>
      <c r="L688" s="123"/>
    </row>
    <row r="689" ht="14.25" customHeight="1" spans="6:12">
      <c r="F689" s="123"/>
      <c r="G689" s="123"/>
      <c r="H689" s="123"/>
      <c r="I689" s="123"/>
      <c r="K689" s="123"/>
      <c r="L689" s="123"/>
    </row>
    <row r="690" ht="14.25" customHeight="1" spans="6:12">
      <c r="F690" s="123"/>
      <c r="G690" s="123"/>
      <c r="H690" s="123"/>
      <c r="I690" s="123"/>
      <c r="K690" s="123"/>
      <c r="L690" s="123"/>
    </row>
    <row r="691" ht="14.25" customHeight="1" spans="6:12">
      <c r="F691" s="123"/>
      <c r="G691" s="123"/>
      <c r="H691" s="123"/>
      <c r="I691" s="123"/>
      <c r="K691" s="123"/>
      <c r="L691" s="123"/>
    </row>
    <row r="692" ht="14.25" customHeight="1" spans="6:12">
      <c r="F692" s="123"/>
      <c r="G692" s="123"/>
      <c r="H692" s="123"/>
      <c r="I692" s="123"/>
      <c r="K692" s="123"/>
      <c r="L692" s="123"/>
    </row>
    <row r="693" ht="14.25" customHeight="1" spans="6:12">
      <c r="F693" s="123"/>
      <c r="G693" s="123"/>
      <c r="H693" s="123"/>
      <c r="I693" s="123"/>
      <c r="K693" s="123"/>
      <c r="L693" s="123"/>
    </row>
    <row r="694" ht="14.25" customHeight="1" spans="6:12">
      <c r="F694" s="123"/>
      <c r="G694" s="123"/>
      <c r="H694" s="123"/>
      <c r="I694" s="123"/>
      <c r="K694" s="123"/>
      <c r="L694" s="123"/>
    </row>
    <row r="695" ht="14.25" customHeight="1" spans="6:12">
      <c r="F695" s="123"/>
      <c r="G695" s="123"/>
      <c r="H695" s="123"/>
      <c r="I695" s="123"/>
      <c r="K695" s="123"/>
      <c r="L695" s="123"/>
    </row>
    <row r="696" ht="14.25" customHeight="1" spans="6:12">
      <c r="F696" s="123"/>
      <c r="G696" s="123"/>
      <c r="H696" s="123"/>
      <c r="I696" s="123"/>
      <c r="K696" s="123"/>
      <c r="L696" s="123"/>
    </row>
    <row r="697" ht="14.25" customHeight="1" spans="6:12">
      <c r="F697" s="123"/>
      <c r="G697" s="123"/>
      <c r="H697" s="123"/>
      <c r="I697" s="123"/>
      <c r="K697" s="123"/>
      <c r="L697" s="123"/>
    </row>
    <row r="698" ht="14.25" customHeight="1" spans="6:12">
      <c r="F698" s="123"/>
      <c r="G698" s="123"/>
      <c r="H698" s="123"/>
      <c r="I698" s="123"/>
      <c r="K698" s="123"/>
      <c r="L698" s="123"/>
    </row>
    <row r="699" ht="14.25" customHeight="1" spans="6:12">
      <c r="F699" s="123"/>
      <c r="G699" s="123"/>
      <c r="H699" s="123"/>
      <c r="I699" s="123"/>
      <c r="K699" s="123"/>
      <c r="L699" s="123"/>
    </row>
    <row r="700" ht="14.25" customHeight="1" spans="6:12">
      <c r="F700" s="123"/>
      <c r="G700" s="123"/>
      <c r="H700" s="123"/>
      <c r="I700" s="123"/>
      <c r="K700" s="123"/>
      <c r="L700" s="123"/>
    </row>
    <row r="701" ht="14.25" customHeight="1" spans="6:12">
      <c r="F701" s="123"/>
      <c r="G701" s="123"/>
      <c r="H701" s="123"/>
      <c r="I701" s="123"/>
      <c r="K701" s="123"/>
      <c r="L701" s="123"/>
    </row>
    <row r="702" ht="14.25" customHeight="1" spans="6:12">
      <c r="F702" s="123"/>
      <c r="G702" s="123"/>
      <c r="H702" s="123"/>
      <c r="I702" s="123"/>
      <c r="K702" s="123"/>
      <c r="L702" s="123"/>
    </row>
    <row r="703" ht="14.25" customHeight="1" spans="6:12">
      <c r="F703" s="123"/>
      <c r="G703" s="123"/>
      <c r="H703" s="123"/>
      <c r="I703" s="123"/>
      <c r="K703" s="123"/>
      <c r="L703" s="123"/>
    </row>
    <row r="704" ht="14.25" customHeight="1" spans="6:12">
      <c r="F704" s="123"/>
      <c r="G704" s="123"/>
      <c r="H704" s="123"/>
      <c r="I704" s="123"/>
      <c r="K704" s="123"/>
      <c r="L704" s="123"/>
    </row>
    <row r="705" ht="14.25" customHeight="1" spans="6:12">
      <c r="F705" s="123"/>
      <c r="G705" s="123"/>
      <c r="H705" s="123"/>
      <c r="I705" s="123"/>
      <c r="K705" s="123"/>
      <c r="L705" s="123"/>
    </row>
    <row r="706" ht="14.25" customHeight="1" spans="6:12">
      <c r="F706" s="123"/>
      <c r="G706" s="123"/>
      <c r="H706" s="123"/>
      <c r="I706" s="123"/>
      <c r="K706" s="123"/>
      <c r="L706" s="123"/>
    </row>
    <row r="707" ht="14.25" customHeight="1" spans="6:12">
      <c r="F707" s="123"/>
      <c r="G707" s="123"/>
      <c r="H707" s="123"/>
      <c r="I707" s="123"/>
      <c r="K707" s="123"/>
      <c r="L707" s="123"/>
    </row>
    <row r="708" ht="14.25" customHeight="1" spans="6:12">
      <c r="F708" s="123"/>
      <c r="G708" s="123"/>
      <c r="H708" s="123"/>
      <c r="I708" s="123"/>
      <c r="K708" s="123"/>
      <c r="L708" s="123"/>
    </row>
    <row r="709" ht="14.25" customHeight="1" spans="6:12">
      <c r="F709" s="123"/>
      <c r="G709" s="123"/>
      <c r="H709" s="123"/>
      <c r="I709" s="123"/>
      <c r="K709" s="123"/>
      <c r="L709" s="123"/>
    </row>
    <row r="710" ht="14.25" customHeight="1" spans="6:12">
      <c r="F710" s="123"/>
      <c r="G710" s="123"/>
      <c r="H710" s="123"/>
      <c r="I710" s="123"/>
      <c r="K710" s="123"/>
      <c r="L710" s="123"/>
    </row>
    <row r="711" ht="14.25" customHeight="1" spans="6:12">
      <c r="F711" s="123"/>
      <c r="G711" s="123"/>
      <c r="H711" s="123"/>
      <c r="I711" s="123"/>
      <c r="K711" s="123"/>
      <c r="L711" s="123"/>
    </row>
    <row r="712" ht="14.25" customHeight="1" spans="6:12">
      <c r="F712" s="123"/>
      <c r="G712" s="123"/>
      <c r="H712" s="123"/>
      <c r="I712" s="123"/>
      <c r="K712" s="123"/>
      <c r="L712" s="123"/>
    </row>
    <row r="713" ht="14.25" customHeight="1" spans="6:12">
      <c r="F713" s="123"/>
      <c r="G713" s="123"/>
      <c r="H713" s="123"/>
      <c r="I713" s="123"/>
      <c r="K713" s="123"/>
      <c r="L713" s="123"/>
    </row>
    <row r="714" ht="14.25" customHeight="1" spans="6:12">
      <c r="F714" s="123"/>
      <c r="G714" s="123"/>
      <c r="H714" s="123"/>
      <c r="I714" s="123"/>
      <c r="K714" s="123"/>
      <c r="L714" s="123"/>
    </row>
    <row r="715" ht="14.25" customHeight="1" spans="6:12">
      <c r="F715" s="123"/>
      <c r="G715" s="123"/>
      <c r="H715" s="123"/>
      <c r="I715" s="123"/>
      <c r="K715" s="123"/>
      <c r="L715" s="123"/>
    </row>
    <row r="716" ht="14.25" customHeight="1" spans="6:12">
      <c r="F716" s="123"/>
      <c r="G716" s="123"/>
      <c r="H716" s="123"/>
      <c r="I716" s="123"/>
      <c r="K716" s="123"/>
      <c r="L716" s="123"/>
    </row>
    <row r="717" ht="14.25" customHeight="1" spans="6:12">
      <c r="F717" s="123"/>
      <c r="G717" s="123"/>
      <c r="H717" s="123"/>
      <c r="I717" s="123"/>
      <c r="K717" s="123"/>
      <c r="L717" s="123"/>
    </row>
    <row r="718" ht="14.25" customHeight="1" spans="6:12">
      <c r="F718" s="123"/>
      <c r="G718" s="123"/>
      <c r="H718" s="123"/>
      <c r="I718" s="123"/>
      <c r="K718" s="123"/>
      <c r="L718" s="123"/>
    </row>
    <row r="719" ht="14.25" customHeight="1" spans="6:12">
      <c r="F719" s="123"/>
      <c r="G719" s="123"/>
      <c r="H719" s="123"/>
      <c r="I719" s="123"/>
      <c r="K719" s="123"/>
      <c r="L719" s="123"/>
    </row>
    <row r="720" ht="14.25" customHeight="1" spans="6:12">
      <c r="F720" s="123"/>
      <c r="G720" s="123"/>
      <c r="H720" s="123"/>
      <c r="I720" s="123"/>
      <c r="K720" s="123"/>
      <c r="L720" s="123"/>
    </row>
    <row r="721" ht="14.25" customHeight="1" spans="6:12">
      <c r="F721" s="123"/>
      <c r="G721" s="123"/>
      <c r="H721" s="123"/>
      <c r="I721" s="123"/>
      <c r="K721" s="123"/>
      <c r="L721" s="123"/>
    </row>
    <row r="722" ht="14.25" customHeight="1" spans="6:12">
      <c r="F722" s="123"/>
      <c r="G722" s="123"/>
      <c r="H722" s="123"/>
      <c r="I722" s="123"/>
      <c r="K722" s="123"/>
      <c r="L722" s="123"/>
    </row>
    <row r="723" ht="14.25" customHeight="1" spans="6:12">
      <c r="F723" s="123"/>
      <c r="G723" s="123"/>
      <c r="H723" s="123"/>
      <c r="I723" s="123"/>
      <c r="K723" s="123"/>
      <c r="L723" s="123"/>
    </row>
    <row r="724" ht="14.25" customHeight="1" spans="6:12">
      <c r="F724" s="123"/>
      <c r="G724" s="123"/>
      <c r="H724" s="123"/>
      <c r="I724" s="123"/>
      <c r="K724" s="123"/>
      <c r="L724" s="123"/>
    </row>
    <row r="725" ht="14.25" customHeight="1" spans="6:12">
      <c r="F725" s="123"/>
      <c r="G725" s="123"/>
      <c r="H725" s="123"/>
      <c r="I725" s="123"/>
      <c r="K725" s="123"/>
      <c r="L725" s="123"/>
    </row>
    <row r="726" ht="14.25" customHeight="1" spans="6:12">
      <c r="F726" s="123"/>
      <c r="G726" s="123"/>
      <c r="H726" s="123"/>
      <c r="I726" s="123"/>
      <c r="K726" s="123"/>
      <c r="L726" s="123"/>
    </row>
    <row r="727" ht="14.25" customHeight="1" spans="6:12">
      <c r="F727" s="123"/>
      <c r="G727" s="123"/>
      <c r="H727" s="123"/>
      <c r="I727" s="123"/>
      <c r="K727" s="123"/>
      <c r="L727" s="123"/>
    </row>
    <row r="728" ht="14.25" customHeight="1" spans="6:12">
      <c r="F728" s="123"/>
      <c r="G728" s="123"/>
      <c r="H728" s="123"/>
      <c r="I728" s="123"/>
      <c r="K728" s="123"/>
      <c r="L728" s="123"/>
    </row>
    <row r="729" ht="14.25" customHeight="1" spans="6:12">
      <c r="F729" s="123"/>
      <c r="G729" s="123"/>
      <c r="H729" s="123"/>
      <c r="I729" s="123"/>
      <c r="K729" s="123"/>
      <c r="L729" s="123"/>
    </row>
    <row r="730" ht="14.25" customHeight="1" spans="6:12">
      <c r="F730" s="123"/>
      <c r="G730" s="123"/>
      <c r="H730" s="123"/>
      <c r="I730" s="123"/>
      <c r="K730" s="123"/>
      <c r="L730" s="123"/>
    </row>
    <row r="731" ht="14.25" customHeight="1" spans="6:12">
      <c r="F731" s="123"/>
      <c r="G731" s="123"/>
      <c r="H731" s="123"/>
      <c r="I731" s="123"/>
      <c r="K731" s="123"/>
      <c r="L731" s="123"/>
    </row>
    <row r="732" ht="14.25" customHeight="1" spans="6:12">
      <c r="F732" s="123"/>
      <c r="G732" s="123"/>
      <c r="H732" s="123"/>
      <c r="I732" s="123"/>
      <c r="K732" s="123"/>
      <c r="L732" s="123"/>
    </row>
    <row r="733" ht="14.25" customHeight="1" spans="6:12">
      <c r="F733" s="123"/>
      <c r="G733" s="123"/>
      <c r="H733" s="123"/>
      <c r="I733" s="123"/>
      <c r="K733" s="123"/>
      <c r="L733" s="123"/>
    </row>
    <row r="734" ht="14.25" customHeight="1" spans="6:12">
      <c r="F734" s="123"/>
      <c r="G734" s="123"/>
      <c r="H734" s="123"/>
      <c r="I734" s="123"/>
      <c r="K734" s="123"/>
      <c r="L734" s="123"/>
    </row>
    <row r="735" ht="14.25" customHeight="1" spans="6:12">
      <c r="F735" s="123"/>
      <c r="G735" s="123"/>
      <c r="H735" s="123"/>
      <c r="I735" s="123"/>
      <c r="K735" s="123"/>
      <c r="L735" s="123"/>
    </row>
    <row r="736" ht="14.25" customHeight="1" spans="6:12">
      <c r="F736" s="123"/>
      <c r="G736" s="123"/>
      <c r="H736" s="123"/>
      <c r="I736" s="123"/>
      <c r="K736" s="123"/>
      <c r="L736" s="123"/>
    </row>
    <row r="737" ht="14.25" customHeight="1" spans="6:12">
      <c r="F737" s="123"/>
      <c r="G737" s="123"/>
      <c r="H737" s="123"/>
      <c r="I737" s="123"/>
      <c r="K737" s="123"/>
      <c r="L737" s="123"/>
    </row>
    <row r="738" ht="14.25" customHeight="1" spans="6:12">
      <c r="F738" s="123"/>
      <c r="G738" s="123"/>
      <c r="H738" s="123"/>
      <c r="I738" s="123"/>
      <c r="K738" s="123"/>
      <c r="L738" s="123"/>
    </row>
    <row r="739" ht="14.25" customHeight="1" spans="6:12">
      <c r="F739" s="123"/>
      <c r="G739" s="123"/>
      <c r="H739" s="123"/>
      <c r="I739" s="123"/>
      <c r="K739" s="123"/>
      <c r="L739" s="123"/>
    </row>
    <row r="740" ht="14.25" customHeight="1" spans="6:12">
      <c r="F740" s="123"/>
      <c r="G740" s="123"/>
      <c r="H740" s="123"/>
      <c r="I740" s="123"/>
      <c r="K740" s="123"/>
      <c r="L740" s="123"/>
    </row>
    <row r="741" ht="14.25" customHeight="1" spans="6:12">
      <c r="F741" s="123"/>
      <c r="G741" s="123"/>
      <c r="H741" s="123"/>
      <c r="I741" s="123"/>
      <c r="K741" s="123"/>
      <c r="L741" s="123"/>
    </row>
    <row r="742" ht="14.25" customHeight="1" spans="6:12">
      <c r="F742" s="123"/>
      <c r="G742" s="123"/>
      <c r="H742" s="123"/>
      <c r="I742" s="123"/>
      <c r="K742" s="123"/>
      <c r="L742" s="123"/>
    </row>
    <row r="743" ht="14.25" customHeight="1" spans="6:12">
      <c r="F743" s="123"/>
      <c r="G743" s="123"/>
      <c r="H743" s="123"/>
      <c r="I743" s="123"/>
      <c r="K743" s="123"/>
      <c r="L743" s="123"/>
    </row>
    <row r="744" ht="14.25" customHeight="1" spans="6:12">
      <c r="F744" s="123"/>
      <c r="G744" s="123"/>
      <c r="H744" s="123"/>
      <c r="I744" s="123"/>
      <c r="K744" s="123"/>
      <c r="L744" s="123"/>
    </row>
    <row r="745" ht="14.25" customHeight="1" spans="6:12">
      <c r="F745" s="123"/>
      <c r="G745" s="123"/>
      <c r="H745" s="123"/>
      <c r="I745" s="123"/>
      <c r="K745" s="123"/>
      <c r="L745" s="123"/>
    </row>
    <row r="746" ht="14.25" customHeight="1" spans="6:12">
      <c r="F746" s="123"/>
      <c r="G746" s="123"/>
      <c r="H746" s="123"/>
      <c r="I746" s="123"/>
      <c r="K746" s="123"/>
      <c r="L746" s="123"/>
    </row>
    <row r="747" ht="14.25" customHeight="1" spans="6:12">
      <c r="F747" s="123"/>
      <c r="G747" s="123"/>
      <c r="H747" s="123"/>
      <c r="I747" s="123"/>
      <c r="K747" s="123"/>
      <c r="L747" s="123"/>
    </row>
    <row r="748" ht="14.25" customHeight="1" spans="6:12">
      <c r="F748" s="123"/>
      <c r="G748" s="123"/>
      <c r="H748" s="123"/>
      <c r="I748" s="123"/>
      <c r="K748" s="123"/>
      <c r="L748" s="123"/>
    </row>
    <row r="749" ht="14.25" customHeight="1" spans="6:12">
      <c r="F749" s="123"/>
      <c r="G749" s="123"/>
      <c r="H749" s="123"/>
      <c r="I749" s="123"/>
      <c r="K749" s="123"/>
      <c r="L749" s="123"/>
    </row>
    <row r="750" ht="14.25" customHeight="1" spans="6:12">
      <c r="F750" s="123"/>
      <c r="G750" s="123"/>
      <c r="H750" s="123"/>
      <c r="I750" s="123"/>
      <c r="K750" s="123"/>
      <c r="L750" s="123"/>
    </row>
    <row r="751" ht="14.25" customHeight="1" spans="6:12">
      <c r="F751" s="123"/>
      <c r="G751" s="123"/>
      <c r="H751" s="123"/>
      <c r="I751" s="123"/>
      <c r="K751" s="123"/>
      <c r="L751" s="123"/>
    </row>
    <row r="752" ht="14.25" customHeight="1" spans="6:12">
      <c r="F752" s="123"/>
      <c r="G752" s="123"/>
      <c r="H752" s="123"/>
      <c r="I752" s="123"/>
      <c r="K752" s="123"/>
      <c r="L752" s="123"/>
    </row>
    <row r="753" ht="14.25" customHeight="1" spans="6:12">
      <c r="F753" s="123"/>
      <c r="G753" s="123"/>
      <c r="H753" s="123"/>
      <c r="I753" s="123"/>
      <c r="K753" s="123"/>
      <c r="L753" s="123"/>
    </row>
    <row r="754" ht="14.25" customHeight="1" spans="6:12">
      <c r="F754" s="123"/>
      <c r="G754" s="123"/>
      <c r="H754" s="123"/>
      <c r="I754" s="123"/>
      <c r="K754" s="123"/>
      <c r="L754" s="123"/>
    </row>
    <row r="755" ht="14.25" customHeight="1" spans="6:12">
      <c r="F755" s="123"/>
      <c r="G755" s="123"/>
      <c r="H755" s="123"/>
      <c r="I755" s="123"/>
      <c r="K755" s="123"/>
      <c r="L755" s="123"/>
    </row>
    <row r="756" ht="14.25" customHeight="1" spans="6:12">
      <c r="F756" s="123"/>
      <c r="G756" s="123"/>
      <c r="H756" s="123"/>
      <c r="I756" s="123"/>
      <c r="K756" s="123"/>
      <c r="L756" s="123"/>
    </row>
    <row r="757" ht="14.25" customHeight="1" spans="6:12">
      <c r="F757" s="123"/>
      <c r="G757" s="123"/>
      <c r="H757" s="123"/>
      <c r="I757" s="123"/>
      <c r="K757" s="123"/>
      <c r="L757" s="123"/>
    </row>
    <row r="758" ht="14.25" customHeight="1" spans="6:12">
      <c r="F758" s="123"/>
      <c r="G758" s="123"/>
      <c r="H758" s="123"/>
      <c r="I758" s="123"/>
      <c r="K758" s="123"/>
      <c r="L758" s="123"/>
    </row>
    <row r="759" ht="14.25" customHeight="1" spans="6:12">
      <c r="F759" s="123"/>
      <c r="G759" s="123"/>
      <c r="H759" s="123"/>
      <c r="I759" s="123"/>
      <c r="K759" s="123"/>
      <c r="L759" s="123"/>
    </row>
    <row r="760" ht="14.25" customHeight="1" spans="6:12">
      <c r="F760" s="123"/>
      <c r="G760" s="123"/>
      <c r="H760" s="123"/>
      <c r="I760" s="123"/>
      <c r="K760" s="123"/>
      <c r="L760" s="123"/>
    </row>
    <row r="761" ht="14.25" customHeight="1" spans="6:12">
      <c r="F761" s="123"/>
      <c r="G761" s="123"/>
      <c r="H761" s="123"/>
      <c r="I761" s="123"/>
      <c r="K761" s="123"/>
      <c r="L761" s="123"/>
    </row>
    <row r="762" ht="14.25" customHeight="1" spans="6:12">
      <c r="F762" s="123"/>
      <c r="G762" s="123"/>
      <c r="H762" s="123"/>
      <c r="I762" s="123"/>
      <c r="K762" s="123"/>
      <c r="L762" s="123"/>
    </row>
    <row r="763" ht="14.25" customHeight="1" spans="6:12">
      <c r="F763" s="123"/>
      <c r="G763" s="123"/>
      <c r="H763" s="123"/>
      <c r="I763" s="123"/>
      <c r="K763" s="123"/>
      <c r="L763" s="123"/>
    </row>
    <row r="764" ht="14.25" customHeight="1" spans="6:12">
      <c r="F764" s="123"/>
      <c r="G764" s="123"/>
      <c r="H764" s="123"/>
      <c r="I764" s="123"/>
      <c r="K764" s="123"/>
      <c r="L764" s="123"/>
    </row>
    <row r="765" ht="14.25" customHeight="1" spans="6:12">
      <c r="F765" s="123"/>
      <c r="G765" s="123"/>
      <c r="H765" s="123"/>
      <c r="I765" s="123"/>
      <c r="K765" s="123"/>
      <c r="L765" s="123"/>
    </row>
    <row r="766" ht="14.25" customHeight="1" spans="6:12">
      <c r="F766" s="123"/>
      <c r="G766" s="123"/>
      <c r="H766" s="123"/>
      <c r="I766" s="123"/>
      <c r="K766" s="123"/>
      <c r="L766" s="123"/>
    </row>
    <row r="767" ht="14.25" customHeight="1" spans="6:12">
      <c r="F767" s="123"/>
      <c r="G767" s="123"/>
      <c r="H767" s="123"/>
      <c r="I767" s="123"/>
      <c r="K767" s="123"/>
      <c r="L767" s="123"/>
    </row>
    <row r="768" ht="14.25" customHeight="1" spans="6:12">
      <c r="F768" s="123"/>
      <c r="G768" s="123"/>
      <c r="H768" s="123"/>
      <c r="I768" s="123"/>
      <c r="K768" s="123"/>
      <c r="L768" s="123"/>
    </row>
    <row r="769" ht="14.25" customHeight="1" spans="6:12">
      <c r="F769" s="123"/>
      <c r="G769" s="123"/>
      <c r="H769" s="123"/>
      <c r="I769" s="123"/>
      <c r="K769" s="123"/>
      <c r="L769" s="123"/>
    </row>
    <row r="770" ht="14.25" customHeight="1" spans="6:12">
      <c r="F770" s="123"/>
      <c r="G770" s="123"/>
      <c r="H770" s="123"/>
      <c r="I770" s="123"/>
      <c r="K770" s="123"/>
      <c r="L770" s="123"/>
    </row>
    <row r="771" ht="14.25" customHeight="1" spans="6:12">
      <c r="F771" s="123"/>
      <c r="G771" s="123"/>
      <c r="H771" s="123"/>
      <c r="I771" s="123"/>
      <c r="K771" s="123"/>
      <c r="L771" s="123"/>
    </row>
    <row r="772" ht="14.25" customHeight="1" spans="6:12">
      <c r="F772" s="123"/>
      <c r="G772" s="123"/>
      <c r="H772" s="123"/>
      <c r="I772" s="123"/>
      <c r="K772" s="123"/>
      <c r="L772" s="123"/>
    </row>
    <row r="773" ht="14.25" customHeight="1" spans="6:12">
      <c r="F773" s="123"/>
      <c r="G773" s="123"/>
      <c r="H773" s="123"/>
      <c r="I773" s="123"/>
      <c r="K773" s="123"/>
      <c r="L773" s="123"/>
    </row>
    <row r="774" ht="14.25" customHeight="1" spans="6:12">
      <c r="F774" s="123"/>
      <c r="G774" s="123"/>
      <c r="H774" s="123"/>
      <c r="I774" s="123"/>
      <c r="K774" s="123"/>
      <c r="L774" s="123"/>
    </row>
    <row r="775" ht="14.25" customHeight="1" spans="6:12">
      <c r="F775" s="123"/>
      <c r="G775" s="123"/>
      <c r="H775" s="123"/>
      <c r="I775" s="123"/>
      <c r="K775" s="123"/>
      <c r="L775" s="123"/>
    </row>
    <row r="776" ht="14.25" customHeight="1" spans="6:12">
      <c r="F776" s="123"/>
      <c r="G776" s="123"/>
      <c r="H776" s="123"/>
      <c r="I776" s="123"/>
      <c r="K776" s="123"/>
      <c r="L776" s="123"/>
    </row>
    <row r="777" ht="14.25" customHeight="1" spans="6:12">
      <c r="F777" s="123"/>
      <c r="G777" s="123"/>
      <c r="H777" s="123"/>
      <c r="I777" s="123"/>
      <c r="K777" s="123"/>
      <c r="L777" s="123"/>
    </row>
    <row r="778" ht="14.25" customHeight="1" spans="6:12">
      <c r="F778" s="123"/>
      <c r="G778" s="123"/>
      <c r="H778" s="123"/>
      <c r="I778" s="123"/>
      <c r="K778" s="123"/>
      <c r="L778" s="123"/>
    </row>
    <row r="779" ht="14.25" customHeight="1" spans="6:12">
      <c r="F779" s="123"/>
      <c r="G779" s="123"/>
      <c r="H779" s="123"/>
      <c r="I779" s="123"/>
      <c r="K779" s="123"/>
      <c r="L779" s="123"/>
    </row>
    <row r="780" ht="14.25" customHeight="1" spans="6:12">
      <c r="F780" s="123"/>
      <c r="G780" s="123"/>
      <c r="H780" s="123"/>
      <c r="I780" s="123"/>
      <c r="K780" s="123"/>
      <c r="L780" s="123"/>
    </row>
    <row r="781" ht="14.25" customHeight="1" spans="6:12">
      <c r="F781" s="123"/>
      <c r="G781" s="123"/>
      <c r="H781" s="123"/>
      <c r="I781" s="123"/>
      <c r="K781" s="123"/>
      <c r="L781" s="123"/>
    </row>
    <row r="782" ht="14.25" customHeight="1" spans="6:12">
      <c r="F782" s="123"/>
      <c r="G782" s="123"/>
      <c r="H782" s="123"/>
      <c r="I782" s="123"/>
      <c r="K782" s="123"/>
      <c r="L782" s="123"/>
    </row>
    <row r="783" ht="14.25" customHeight="1" spans="6:12">
      <c r="F783" s="123"/>
      <c r="G783" s="123"/>
      <c r="H783" s="123"/>
      <c r="I783" s="123"/>
      <c r="K783" s="123"/>
      <c r="L783" s="123"/>
    </row>
    <row r="784" ht="14.25" customHeight="1" spans="6:12">
      <c r="F784" s="123"/>
      <c r="G784" s="123"/>
      <c r="H784" s="123"/>
      <c r="I784" s="123"/>
      <c r="K784" s="123"/>
      <c r="L784" s="123"/>
    </row>
    <row r="785" ht="14.25" customHeight="1" spans="6:12">
      <c r="F785" s="123"/>
      <c r="G785" s="123"/>
      <c r="H785" s="123"/>
      <c r="I785" s="123"/>
      <c r="K785" s="123"/>
      <c r="L785" s="123"/>
    </row>
    <row r="786" ht="14.25" customHeight="1" spans="6:12">
      <c r="F786" s="123"/>
      <c r="G786" s="123"/>
      <c r="H786" s="123"/>
      <c r="I786" s="123"/>
      <c r="K786" s="123"/>
      <c r="L786" s="123"/>
    </row>
    <row r="787" ht="14.25" customHeight="1" spans="6:12">
      <c r="F787" s="123"/>
      <c r="G787" s="123"/>
      <c r="H787" s="123"/>
      <c r="I787" s="123"/>
      <c r="K787" s="123"/>
      <c r="L787" s="123"/>
    </row>
    <row r="788" ht="14.25" customHeight="1" spans="6:12">
      <c r="F788" s="123"/>
      <c r="G788" s="123"/>
      <c r="H788" s="123"/>
      <c r="I788" s="123"/>
      <c r="K788" s="123"/>
      <c r="L788" s="123"/>
    </row>
    <row r="789" ht="14.25" customHeight="1" spans="6:12">
      <c r="F789" s="123"/>
      <c r="G789" s="123"/>
      <c r="H789" s="123"/>
      <c r="I789" s="123"/>
      <c r="K789" s="123"/>
      <c r="L789" s="123"/>
    </row>
    <row r="790" ht="14.25" customHeight="1" spans="6:12">
      <c r="F790" s="123"/>
      <c r="G790" s="123"/>
      <c r="H790" s="123"/>
      <c r="I790" s="123"/>
      <c r="K790" s="123"/>
      <c r="L790" s="123"/>
    </row>
    <row r="791" ht="14.25" customHeight="1" spans="6:12">
      <c r="F791" s="123"/>
      <c r="G791" s="123"/>
      <c r="H791" s="123"/>
      <c r="I791" s="123"/>
      <c r="K791" s="123"/>
      <c r="L791" s="123"/>
    </row>
    <row r="792" ht="14.25" customHeight="1" spans="6:12">
      <c r="F792" s="123"/>
      <c r="G792" s="123"/>
      <c r="H792" s="123"/>
      <c r="I792" s="123"/>
      <c r="K792" s="123"/>
      <c r="L792" s="123"/>
    </row>
    <row r="793" ht="14.25" customHeight="1" spans="6:12">
      <c r="F793" s="123"/>
      <c r="G793" s="123"/>
      <c r="H793" s="123"/>
      <c r="I793" s="123"/>
      <c r="K793" s="123"/>
      <c r="L793" s="123"/>
    </row>
    <row r="794" ht="14.25" customHeight="1" spans="6:12">
      <c r="F794" s="123"/>
      <c r="G794" s="123"/>
      <c r="H794" s="123"/>
      <c r="I794" s="123"/>
      <c r="K794" s="123"/>
      <c r="L794" s="123"/>
    </row>
    <row r="795" ht="14.25" customHeight="1" spans="6:12">
      <c r="F795" s="123"/>
      <c r="G795" s="123"/>
      <c r="H795" s="123"/>
      <c r="I795" s="123"/>
      <c r="K795" s="123"/>
      <c r="L795" s="123"/>
    </row>
    <row r="796" ht="14.25" customHeight="1" spans="6:12">
      <c r="F796" s="123"/>
      <c r="G796" s="123"/>
      <c r="H796" s="123"/>
      <c r="I796" s="123"/>
      <c r="K796" s="123"/>
      <c r="L796" s="123"/>
    </row>
    <row r="797" ht="14.25" customHeight="1" spans="6:12">
      <c r="F797" s="123"/>
      <c r="G797" s="123"/>
      <c r="H797" s="123"/>
      <c r="I797" s="123"/>
      <c r="K797" s="123"/>
      <c r="L797" s="123"/>
    </row>
    <row r="798" ht="14.25" customHeight="1" spans="6:12">
      <c r="F798" s="123"/>
      <c r="G798" s="123"/>
      <c r="H798" s="123"/>
      <c r="I798" s="123"/>
      <c r="K798" s="123"/>
      <c r="L798" s="123"/>
    </row>
    <row r="799" ht="14.25" customHeight="1" spans="6:12">
      <c r="F799" s="123"/>
      <c r="G799" s="123"/>
      <c r="H799" s="123"/>
      <c r="I799" s="123"/>
      <c r="K799" s="123"/>
      <c r="L799" s="123"/>
    </row>
    <row r="800" ht="14.25" customHeight="1" spans="6:12">
      <c r="F800" s="123"/>
      <c r="G800" s="123"/>
      <c r="H800" s="123"/>
      <c r="I800" s="123"/>
      <c r="K800" s="123"/>
      <c r="L800" s="123"/>
    </row>
    <row r="801" ht="14.25" customHeight="1" spans="6:12">
      <c r="F801" s="123"/>
      <c r="G801" s="123"/>
      <c r="H801" s="123"/>
      <c r="I801" s="123"/>
      <c r="K801" s="123"/>
      <c r="L801" s="123"/>
    </row>
    <row r="802" ht="14.25" customHeight="1" spans="6:12">
      <c r="F802" s="123"/>
      <c r="G802" s="123"/>
      <c r="H802" s="123"/>
      <c r="I802" s="123"/>
      <c r="K802" s="123"/>
      <c r="L802" s="123"/>
    </row>
    <row r="803" ht="14.25" customHeight="1" spans="6:12">
      <c r="F803" s="123"/>
      <c r="G803" s="123"/>
      <c r="H803" s="123"/>
      <c r="I803" s="123"/>
      <c r="K803" s="123"/>
      <c r="L803" s="123"/>
    </row>
    <row r="804" ht="14.25" customHeight="1" spans="6:12">
      <c r="F804" s="123"/>
      <c r="G804" s="123"/>
      <c r="H804" s="123"/>
      <c r="I804" s="123"/>
      <c r="K804" s="123"/>
      <c r="L804" s="123"/>
    </row>
    <row r="805" ht="14.25" customHeight="1" spans="6:12">
      <c r="F805" s="123"/>
      <c r="G805" s="123"/>
      <c r="H805" s="123"/>
      <c r="I805" s="123"/>
      <c r="K805" s="123"/>
      <c r="L805" s="123"/>
    </row>
    <row r="806" ht="14.25" customHeight="1" spans="6:12">
      <c r="F806" s="123"/>
      <c r="G806" s="123"/>
      <c r="H806" s="123"/>
      <c r="I806" s="123"/>
      <c r="K806" s="123"/>
      <c r="L806" s="123"/>
    </row>
    <row r="807" ht="14.25" customHeight="1" spans="6:12">
      <c r="F807" s="123"/>
      <c r="G807" s="123"/>
      <c r="H807" s="123"/>
      <c r="I807" s="123"/>
      <c r="K807" s="123"/>
      <c r="L807" s="123"/>
    </row>
    <row r="808" ht="14.25" customHeight="1" spans="6:12">
      <c r="F808" s="123"/>
      <c r="G808" s="123"/>
      <c r="H808" s="123"/>
      <c r="I808" s="123"/>
      <c r="K808" s="123"/>
      <c r="L808" s="123"/>
    </row>
    <row r="809" ht="14.25" customHeight="1" spans="6:12">
      <c r="F809" s="123"/>
      <c r="G809" s="123"/>
      <c r="H809" s="123"/>
      <c r="I809" s="123"/>
      <c r="K809" s="123"/>
      <c r="L809" s="123"/>
    </row>
    <row r="810" ht="14.25" customHeight="1" spans="6:12">
      <c r="F810" s="123"/>
      <c r="G810" s="123"/>
      <c r="H810" s="123"/>
      <c r="I810" s="123"/>
      <c r="K810" s="123"/>
      <c r="L810" s="123"/>
    </row>
    <row r="811" ht="14.25" customHeight="1" spans="6:12">
      <c r="F811" s="123"/>
      <c r="G811" s="123"/>
      <c r="H811" s="123"/>
      <c r="I811" s="123"/>
      <c r="K811" s="123"/>
      <c r="L811" s="123"/>
    </row>
    <row r="812" ht="14.25" customHeight="1" spans="6:12">
      <c r="F812" s="123"/>
      <c r="G812" s="123"/>
      <c r="H812" s="123"/>
      <c r="I812" s="123"/>
      <c r="K812" s="123"/>
      <c r="L812" s="123"/>
    </row>
    <row r="813" ht="14.25" customHeight="1" spans="6:12">
      <c r="F813" s="123"/>
      <c r="G813" s="123"/>
      <c r="H813" s="123"/>
      <c r="I813" s="123"/>
      <c r="K813" s="123"/>
      <c r="L813" s="123"/>
    </row>
    <row r="814" ht="14.25" customHeight="1" spans="6:12">
      <c r="F814" s="123"/>
      <c r="G814" s="123"/>
      <c r="H814" s="123"/>
      <c r="I814" s="123"/>
      <c r="K814" s="123"/>
      <c r="L814" s="123"/>
    </row>
    <row r="815" ht="14.25" customHeight="1" spans="6:12">
      <c r="F815" s="123"/>
      <c r="G815" s="123"/>
      <c r="H815" s="123"/>
      <c r="I815" s="123"/>
      <c r="K815" s="123"/>
      <c r="L815" s="123"/>
    </row>
    <row r="816" ht="14.25" customHeight="1" spans="6:12">
      <c r="F816" s="123"/>
      <c r="G816" s="123"/>
      <c r="H816" s="123"/>
      <c r="I816" s="123"/>
      <c r="K816" s="123"/>
      <c r="L816" s="123"/>
    </row>
    <row r="817" ht="14.25" customHeight="1" spans="6:12">
      <c r="F817" s="123"/>
      <c r="G817" s="123"/>
      <c r="H817" s="123"/>
      <c r="I817" s="123"/>
      <c r="K817" s="123"/>
      <c r="L817" s="123"/>
    </row>
    <row r="818" ht="14.25" customHeight="1" spans="6:12">
      <c r="F818" s="123"/>
      <c r="G818" s="123"/>
      <c r="H818" s="123"/>
      <c r="I818" s="123"/>
      <c r="K818" s="123"/>
      <c r="L818" s="123"/>
    </row>
    <row r="819" ht="14.25" customHeight="1" spans="6:12">
      <c r="F819" s="123"/>
      <c r="G819" s="123"/>
      <c r="H819" s="123"/>
      <c r="I819" s="123"/>
      <c r="K819" s="123"/>
      <c r="L819" s="123"/>
    </row>
    <row r="820" ht="14.25" customHeight="1" spans="6:12">
      <c r="F820" s="123"/>
      <c r="G820" s="123"/>
      <c r="H820" s="123"/>
      <c r="I820" s="123"/>
      <c r="K820" s="123"/>
      <c r="L820" s="123"/>
    </row>
    <row r="821" ht="14.25" customHeight="1" spans="6:12">
      <c r="F821" s="123"/>
      <c r="G821" s="123"/>
      <c r="H821" s="123"/>
      <c r="I821" s="123"/>
      <c r="K821" s="123"/>
      <c r="L821" s="123"/>
    </row>
    <row r="822" ht="14.25" customHeight="1" spans="6:12">
      <c r="F822" s="123"/>
      <c r="G822" s="123"/>
      <c r="H822" s="123"/>
      <c r="I822" s="123"/>
      <c r="K822" s="123"/>
      <c r="L822" s="123"/>
    </row>
    <row r="823" ht="14.25" customHeight="1" spans="6:12">
      <c r="F823" s="123"/>
      <c r="G823" s="123"/>
      <c r="H823" s="123"/>
      <c r="I823" s="123"/>
      <c r="K823" s="123"/>
      <c r="L823" s="123"/>
    </row>
    <row r="824" ht="14.25" customHeight="1" spans="6:12">
      <c r="F824" s="123"/>
      <c r="G824" s="123"/>
      <c r="H824" s="123"/>
      <c r="I824" s="123"/>
      <c r="K824" s="123"/>
      <c r="L824" s="123"/>
    </row>
    <row r="825" ht="14.25" customHeight="1" spans="6:12">
      <c r="F825" s="123"/>
      <c r="G825" s="123"/>
      <c r="H825" s="123"/>
      <c r="I825" s="123"/>
      <c r="K825" s="123"/>
      <c r="L825" s="123"/>
    </row>
    <row r="826" ht="14.25" customHeight="1" spans="6:12">
      <c r="F826" s="123"/>
      <c r="G826" s="123"/>
      <c r="H826" s="123"/>
      <c r="I826" s="123"/>
      <c r="K826" s="123"/>
      <c r="L826" s="123"/>
    </row>
    <row r="827" ht="14.25" customHeight="1" spans="6:12">
      <c r="F827" s="123"/>
      <c r="G827" s="123"/>
      <c r="H827" s="123"/>
      <c r="I827" s="123"/>
      <c r="K827" s="123"/>
      <c r="L827" s="123"/>
    </row>
    <row r="828" ht="14.25" customHeight="1" spans="6:12">
      <c r="F828" s="123"/>
      <c r="G828" s="123"/>
      <c r="H828" s="123"/>
      <c r="I828" s="123"/>
      <c r="K828" s="123"/>
      <c r="L828" s="123"/>
    </row>
    <row r="829" ht="14.25" customHeight="1" spans="6:12">
      <c r="F829" s="123"/>
      <c r="G829" s="123"/>
      <c r="H829" s="123"/>
      <c r="I829" s="123"/>
      <c r="K829" s="123"/>
      <c r="L829" s="123"/>
    </row>
    <row r="830" ht="14.25" customHeight="1" spans="6:12">
      <c r="F830" s="123"/>
      <c r="G830" s="123"/>
      <c r="H830" s="123"/>
      <c r="I830" s="123"/>
      <c r="K830" s="123"/>
      <c r="L830" s="123"/>
    </row>
    <row r="831" ht="14.25" customHeight="1" spans="6:12">
      <c r="F831" s="123"/>
      <c r="G831" s="123"/>
      <c r="H831" s="123"/>
      <c r="I831" s="123"/>
      <c r="K831" s="123"/>
      <c r="L831" s="123"/>
    </row>
    <row r="832" ht="14.25" customHeight="1" spans="6:12">
      <c r="F832" s="123"/>
      <c r="G832" s="123"/>
      <c r="H832" s="123"/>
      <c r="I832" s="123"/>
      <c r="K832" s="123"/>
      <c r="L832" s="123"/>
    </row>
    <row r="833" ht="14.25" customHeight="1" spans="6:12">
      <c r="F833" s="123"/>
      <c r="G833" s="123"/>
      <c r="H833" s="123"/>
      <c r="I833" s="123"/>
      <c r="K833" s="123"/>
      <c r="L833" s="123"/>
    </row>
    <row r="834" ht="14.25" customHeight="1" spans="6:12">
      <c r="F834" s="123"/>
      <c r="G834" s="123"/>
      <c r="H834" s="123"/>
      <c r="I834" s="123"/>
      <c r="K834" s="123"/>
      <c r="L834" s="123"/>
    </row>
    <row r="835" ht="14.25" customHeight="1" spans="6:12">
      <c r="F835" s="123"/>
      <c r="G835" s="123"/>
      <c r="H835" s="123"/>
      <c r="I835" s="123"/>
      <c r="K835" s="123"/>
      <c r="L835" s="123"/>
    </row>
    <row r="836" ht="14.25" customHeight="1" spans="6:12">
      <c r="F836" s="123"/>
      <c r="G836" s="123"/>
      <c r="H836" s="123"/>
      <c r="I836" s="123"/>
      <c r="K836" s="123"/>
      <c r="L836" s="123"/>
    </row>
    <row r="837" ht="14.25" customHeight="1" spans="6:12">
      <c r="F837" s="123"/>
      <c r="G837" s="123"/>
      <c r="H837" s="123"/>
      <c r="I837" s="123"/>
      <c r="K837" s="123"/>
      <c r="L837" s="123"/>
    </row>
    <row r="838" ht="14.25" customHeight="1" spans="6:12">
      <c r="F838" s="123"/>
      <c r="G838" s="123"/>
      <c r="H838" s="123"/>
      <c r="I838" s="123"/>
      <c r="K838" s="123"/>
      <c r="L838" s="123"/>
    </row>
    <row r="839" ht="14.25" customHeight="1" spans="6:12">
      <c r="F839" s="123"/>
      <c r="G839" s="123"/>
      <c r="H839" s="123"/>
      <c r="I839" s="123"/>
      <c r="K839" s="123"/>
      <c r="L839" s="123"/>
    </row>
    <row r="840" ht="14.25" customHeight="1" spans="6:12">
      <c r="F840" s="123"/>
      <c r="G840" s="123"/>
      <c r="H840" s="123"/>
      <c r="I840" s="123"/>
      <c r="K840" s="123"/>
      <c r="L840" s="123"/>
    </row>
    <row r="841" ht="14.25" customHeight="1" spans="6:12">
      <c r="F841" s="123"/>
      <c r="G841" s="123"/>
      <c r="H841" s="123"/>
      <c r="I841" s="123"/>
      <c r="K841" s="123"/>
      <c r="L841" s="123"/>
    </row>
    <row r="842" ht="14.25" customHeight="1" spans="6:12">
      <c r="F842" s="123"/>
      <c r="G842" s="123"/>
      <c r="H842" s="123"/>
      <c r="I842" s="123"/>
      <c r="K842" s="123"/>
      <c r="L842" s="123"/>
    </row>
    <row r="843" ht="14.25" customHeight="1" spans="6:12">
      <c r="F843" s="123"/>
      <c r="G843" s="123"/>
      <c r="H843" s="123"/>
      <c r="I843" s="123"/>
      <c r="K843" s="123"/>
      <c r="L843" s="123"/>
    </row>
    <row r="844" ht="14.25" customHeight="1" spans="6:12">
      <c r="F844" s="123"/>
      <c r="G844" s="123"/>
      <c r="H844" s="123"/>
      <c r="I844" s="123"/>
      <c r="K844" s="123"/>
      <c r="L844" s="123"/>
    </row>
    <row r="845" ht="14.25" customHeight="1" spans="6:12">
      <c r="F845" s="123"/>
      <c r="G845" s="123"/>
      <c r="H845" s="123"/>
      <c r="I845" s="123"/>
      <c r="K845" s="123"/>
      <c r="L845" s="123"/>
    </row>
    <row r="846" ht="14.25" customHeight="1" spans="6:12">
      <c r="F846" s="123"/>
      <c r="G846" s="123"/>
      <c r="H846" s="123"/>
      <c r="I846" s="123"/>
      <c r="K846" s="123"/>
      <c r="L846" s="123"/>
    </row>
    <row r="847" ht="14.25" customHeight="1" spans="6:12">
      <c r="F847" s="123"/>
      <c r="G847" s="123"/>
      <c r="H847" s="123"/>
      <c r="I847" s="123"/>
      <c r="K847" s="123"/>
      <c r="L847" s="123"/>
    </row>
    <row r="848" ht="14.25" customHeight="1" spans="6:12">
      <c r="F848" s="123"/>
      <c r="G848" s="123"/>
      <c r="H848" s="123"/>
      <c r="I848" s="123"/>
      <c r="K848" s="123"/>
      <c r="L848" s="123"/>
    </row>
    <row r="849" ht="14.25" customHeight="1" spans="6:12">
      <c r="F849" s="123"/>
      <c r="G849" s="123"/>
      <c r="H849" s="123"/>
      <c r="I849" s="123"/>
      <c r="K849" s="123"/>
      <c r="L849" s="123"/>
    </row>
    <row r="850" ht="14.25" customHeight="1" spans="6:12">
      <c r="F850" s="123"/>
      <c r="G850" s="123"/>
      <c r="H850" s="123"/>
      <c r="I850" s="123"/>
      <c r="K850" s="123"/>
      <c r="L850" s="123"/>
    </row>
    <row r="851" ht="14.25" customHeight="1" spans="6:12">
      <c r="F851" s="123"/>
      <c r="G851" s="123"/>
      <c r="H851" s="123"/>
      <c r="I851" s="123"/>
      <c r="K851" s="123"/>
      <c r="L851" s="123"/>
    </row>
    <row r="852" ht="14.25" customHeight="1" spans="6:12">
      <c r="F852" s="123"/>
      <c r="G852" s="123"/>
      <c r="H852" s="123"/>
      <c r="I852" s="123"/>
      <c r="K852" s="123"/>
      <c r="L852" s="123"/>
    </row>
    <row r="853" ht="14.25" customHeight="1" spans="6:12">
      <c r="F853" s="123"/>
      <c r="G853" s="123"/>
      <c r="H853" s="123"/>
      <c r="I853" s="123"/>
      <c r="K853" s="123"/>
      <c r="L853" s="123"/>
    </row>
    <row r="854" ht="14.25" customHeight="1" spans="6:12">
      <c r="F854" s="123"/>
      <c r="G854" s="123"/>
      <c r="H854" s="123"/>
      <c r="I854" s="123"/>
      <c r="K854" s="123"/>
      <c r="L854" s="123"/>
    </row>
    <row r="855" ht="14.25" customHeight="1" spans="6:12">
      <c r="F855" s="123"/>
      <c r="G855" s="123"/>
      <c r="H855" s="123"/>
      <c r="I855" s="123"/>
      <c r="K855" s="123"/>
      <c r="L855" s="123"/>
    </row>
    <row r="856" ht="14.25" customHeight="1" spans="6:12">
      <c r="F856" s="123"/>
      <c r="G856" s="123"/>
      <c r="H856" s="123"/>
      <c r="I856" s="123"/>
      <c r="K856" s="123"/>
      <c r="L856" s="123"/>
    </row>
    <row r="857" ht="14.25" customHeight="1" spans="6:12">
      <c r="F857" s="123"/>
      <c r="G857" s="123"/>
      <c r="H857" s="123"/>
      <c r="I857" s="123"/>
      <c r="K857" s="123"/>
      <c r="L857" s="123"/>
    </row>
    <row r="858" ht="14.25" customHeight="1" spans="6:12">
      <c r="F858" s="123"/>
      <c r="G858" s="123"/>
      <c r="H858" s="123"/>
      <c r="I858" s="123"/>
      <c r="K858" s="123"/>
      <c r="L858" s="123"/>
    </row>
    <row r="859" ht="14.25" customHeight="1" spans="6:12">
      <c r="F859" s="123"/>
      <c r="G859" s="123"/>
      <c r="H859" s="123"/>
      <c r="I859" s="123"/>
      <c r="K859" s="123"/>
      <c r="L859" s="123"/>
    </row>
    <row r="860" ht="14.25" customHeight="1" spans="6:12">
      <c r="F860" s="123"/>
      <c r="G860" s="123"/>
      <c r="H860" s="123"/>
      <c r="I860" s="123"/>
      <c r="K860" s="123"/>
      <c r="L860" s="123"/>
    </row>
    <row r="861" ht="14.25" customHeight="1" spans="6:12">
      <c r="F861" s="123"/>
      <c r="G861" s="123"/>
      <c r="H861" s="123"/>
      <c r="I861" s="123"/>
      <c r="K861" s="123"/>
      <c r="L861" s="123"/>
    </row>
    <row r="862" ht="14.25" customHeight="1" spans="6:12">
      <c r="F862" s="123"/>
      <c r="G862" s="123"/>
      <c r="H862" s="123"/>
      <c r="I862" s="123"/>
      <c r="K862" s="123"/>
      <c r="L862" s="123"/>
    </row>
    <row r="863" ht="14.25" customHeight="1" spans="6:12">
      <c r="F863" s="123"/>
      <c r="G863" s="123"/>
      <c r="H863" s="123"/>
      <c r="I863" s="123"/>
      <c r="K863" s="123"/>
      <c r="L863" s="123"/>
    </row>
    <row r="864" ht="14.25" customHeight="1" spans="6:12">
      <c r="F864" s="123"/>
      <c r="G864" s="123"/>
      <c r="H864" s="123"/>
      <c r="I864" s="123"/>
      <c r="K864" s="123"/>
      <c r="L864" s="123"/>
    </row>
    <row r="865" ht="14.25" customHeight="1" spans="6:12">
      <c r="F865" s="123"/>
      <c r="G865" s="123"/>
      <c r="H865" s="123"/>
      <c r="I865" s="123"/>
      <c r="K865" s="123"/>
      <c r="L865" s="123"/>
    </row>
    <row r="866" ht="14.25" customHeight="1" spans="6:12">
      <c r="F866" s="123"/>
      <c r="G866" s="123"/>
      <c r="H866" s="123"/>
      <c r="I866" s="123"/>
      <c r="K866" s="123"/>
      <c r="L866" s="123"/>
    </row>
    <row r="867" ht="14.25" customHeight="1" spans="6:12">
      <c r="F867" s="123"/>
      <c r="G867" s="123"/>
      <c r="H867" s="123"/>
      <c r="I867" s="123"/>
      <c r="K867" s="123"/>
      <c r="L867" s="123"/>
    </row>
    <row r="868" ht="14.25" customHeight="1" spans="6:12">
      <c r="F868" s="123"/>
      <c r="G868" s="123"/>
      <c r="H868" s="123"/>
      <c r="I868" s="123"/>
      <c r="K868" s="123"/>
      <c r="L868" s="123"/>
    </row>
    <row r="869" ht="14.25" customHeight="1" spans="6:12">
      <c r="F869" s="123"/>
      <c r="G869" s="123"/>
      <c r="H869" s="123"/>
      <c r="I869" s="123"/>
      <c r="K869" s="123"/>
      <c r="L869" s="123"/>
    </row>
    <row r="870" ht="14.25" customHeight="1" spans="6:12">
      <c r="F870" s="123"/>
      <c r="G870" s="123"/>
      <c r="H870" s="123"/>
      <c r="I870" s="123"/>
      <c r="K870" s="123"/>
      <c r="L870" s="123"/>
    </row>
    <row r="871" ht="14.25" customHeight="1" spans="6:12">
      <c r="F871" s="123"/>
      <c r="G871" s="123"/>
      <c r="H871" s="123"/>
      <c r="I871" s="123"/>
      <c r="K871" s="123"/>
      <c r="L871" s="123"/>
    </row>
    <row r="872" ht="14.25" customHeight="1" spans="6:12">
      <c r="F872" s="123"/>
      <c r="G872" s="123"/>
      <c r="H872" s="123"/>
      <c r="I872" s="123"/>
      <c r="K872" s="123"/>
      <c r="L872" s="123"/>
    </row>
    <row r="873" ht="14.25" customHeight="1" spans="6:12">
      <c r="F873" s="123"/>
      <c r="G873" s="123"/>
      <c r="H873" s="123"/>
      <c r="I873" s="123"/>
      <c r="K873" s="123"/>
      <c r="L873" s="123"/>
    </row>
    <row r="874" ht="14.25" customHeight="1" spans="6:12">
      <c r="F874" s="123"/>
      <c r="G874" s="123"/>
      <c r="H874" s="123"/>
      <c r="I874" s="123"/>
      <c r="K874" s="123"/>
      <c r="L874" s="123"/>
    </row>
    <row r="875" ht="14.25" customHeight="1" spans="6:12">
      <c r="F875" s="123"/>
      <c r="G875" s="123"/>
      <c r="H875" s="123"/>
      <c r="I875" s="123"/>
      <c r="K875" s="123"/>
      <c r="L875" s="123"/>
    </row>
    <row r="876" ht="14.25" customHeight="1" spans="6:12">
      <c r="F876" s="123"/>
      <c r="G876" s="123"/>
      <c r="H876" s="123"/>
      <c r="I876" s="123"/>
      <c r="K876" s="123"/>
      <c r="L876" s="123"/>
    </row>
    <row r="877" ht="14.25" customHeight="1" spans="6:12">
      <c r="F877" s="123"/>
      <c r="G877" s="123"/>
      <c r="H877" s="123"/>
      <c r="I877" s="123"/>
      <c r="K877" s="123"/>
      <c r="L877" s="123"/>
    </row>
    <row r="878" ht="14.25" customHeight="1" spans="6:12">
      <c r="F878" s="123"/>
      <c r="G878" s="123"/>
      <c r="H878" s="123"/>
      <c r="I878" s="123"/>
      <c r="K878" s="123"/>
      <c r="L878" s="123"/>
    </row>
    <row r="879" ht="14.25" customHeight="1" spans="6:12">
      <c r="F879" s="123"/>
      <c r="G879" s="123"/>
      <c r="H879" s="123"/>
      <c r="I879" s="123"/>
      <c r="K879" s="123"/>
      <c r="L879" s="123"/>
    </row>
    <row r="880" ht="14.25" customHeight="1" spans="6:12">
      <c r="F880" s="123"/>
      <c r="G880" s="123"/>
      <c r="H880" s="123"/>
      <c r="I880" s="123"/>
      <c r="K880" s="123"/>
      <c r="L880" s="123"/>
    </row>
    <row r="881" ht="14.25" customHeight="1" spans="6:12">
      <c r="F881" s="123"/>
      <c r="G881" s="123"/>
      <c r="H881" s="123"/>
      <c r="I881" s="123"/>
      <c r="K881" s="123"/>
      <c r="L881" s="123"/>
    </row>
    <row r="882" ht="14.25" customHeight="1" spans="6:12">
      <c r="F882" s="123"/>
      <c r="G882" s="123"/>
      <c r="H882" s="123"/>
      <c r="I882" s="123"/>
      <c r="K882" s="123"/>
      <c r="L882" s="123"/>
    </row>
    <row r="883" ht="14.25" customHeight="1" spans="6:12">
      <c r="F883" s="123"/>
      <c r="G883" s="123"/>
      <c r="H883" s="123"/>
      <c r="I883" s="123"/>
      <c r="K883" s="123"/>
      <c r="L883" s="123"/>
    </row>
    <row r="884" ht="14.25" customHeight="1" spans="6:12">
      <c r="F884" s="123"/>
      <c r="G884" s="123"/>
      <c r="H884" s="123"/>
      <c r="I884" s="123"/>
      <c r="K884" s="123"/>
      <c r="L884" s="123"/>
    </row>
    <row r="885" ht="14.25" customHeight="1" spans="6:12">
      <c r="F885" s="123"/>
      <c r="G885" s="123"/>
      <c r="H885" s="123"/>
      <c r="I885" s="123"/>
      <c r="K885" s="123"/>
      <c r="L885" s="123"/>
    </row>
    <row r="886" ht="14.25" customHeight="1" spans="6:12">
      <c r="F886" s="123"/>
      <c r="G886" s="123"/>
      <c r="H886" s="123"/>
      <c r="I886" s="123"/>
      <c r="K886" s="123"/>
      <c r="L886" s="123"/>
    </row>
    <row r="887" ht="14.25" customHeight="1" spans="6:12">
      <c r="F887" s="123"/>
      <c r="G887" s="123"/>
      <c r="H887" s="123"/>
      <c r="I887" s="123"/>
      <c r="K887" s="123"/>
      <c r="L887" s="123"/>
    </row>
    <row r="888" ht="14.25" customHeight="1" spans="6:12">
      <c r="F888" s="123"/>
      <c r="G888" s="123"/>
      <c r="H888" s="123"/>
      <c r="I888" s="123"/>
      <c r="K888" s="123"/>
      <c r="L888" s="123"/>
    </row>
    <row r="889" ht="14.25" customHeight="1" spans="6:12">
      <c r="F889" s="123"/>
      <c r="G889" s="123"/>
      <c r="H889" s="123"/>
      <c r="I889" s="123"/>
      <c r="K889" s="123"/>
      <c r="L889" s="123"/>
    </row>
    <row r="890" ht="14.25" customHeight="1" spans="6:12">
      <c r="F890" s="123"/>
      <c r="G890" s="123"/>
      <c r="H890" s="123"/>
      <c r="I890" s="123"/>
      <c r="K890" s="123"/>
      <c r="L890" s="123"/>
    </row>
    <row r="891" ht="14.25" customHeight="1" spans="6:12">
      <c r="F891" s="123"/>
      <c r="G891" s="123"/>
      <c r="H891" s="123"/>
      <c r="I891" s="123"/>
      <c r="K891" s="123"/>
      <c r="L891" s="123"/>
    </row>
    <row r="892" ht="14.25" customHeight="1" spans="6:12">
      <c r="F892" s="123"/>
      <c r="G892" s="123"/>
      <c r="H892" s="123"/>
      <c r="I892" s="123"/>
      <c r="K892" s="123"/>
      <c r="L892" s="123"/>
    </row>
    <row r="893" ht="14.25" customHeight="1" spans="6:12">
      <c r="F893" s="123"/>
      <c r="G893" s="123"/>
      <c r="H893" s="123"/>
      <c r="I893" s="123"/>
      <c r="K893" s="123"/>
      <c r="L893" s="123"/>
    </row>
    <row r="894" ht="14.25" customHeight="1" spans="6:12">
      <c r="F894" s="123"/>
      <c r="G894" s="123"/>
      <c r="H894" s="123"/>
      <c r="I894" s="123"/>
      <c r="K894" s="123"/>
      <c r="L894" s="123"/>
    </row>
    <row r="895" ht="14.25" customHeight="1" spans="6:12">
      <c r="F895" s="123"/>
      <c r="G895" s="123"/>
      <c r="H895" s="123"/>
      <c r="I895" s="123"/>
      <c r="K895" s="123"/>
      <c r="L895" s="123"/>
    </row>
    <row r="896" ht="14.25" customHeight="1" spans="6:12">
      <c r="F896" s="123"/>
      <c r="G896" s="123"/>
      <c r="H896" s="123"/>
      <c r="I896" s="123"/>
      <c r="K896" s="123"/>
      <c r="L896" s="123"/>
    </row>
    <row r="897" ht="14.25" customHeight="1" spans="6:12">
      <c r="F897" s="123"/>
      <c r="G897" s="123"/>
      <c r="H897" s="123"/>
      <c r="I897" s="123"/>
      <c r="K897" s="123"/>
      <c r="L897" s="123"/>
    </row>
    <row r="898" ht="14.25" customHeight="1" spans="6:12">
      <c r="F898" s="123"/>
      <c r="G898" s="123"/>
      <c r="H898" s="123"/>
      <c r="I898" s="123"/>
      <c r="K898" s="123"/>
      <c r="L898" s="123"/>
    </row>
    <row r="899" ht="14.25" customHeight="1" spans="6:12">
      <c r="F899" s="123"/>
      <c r="G899" s="123"/>
      <c r="H899" s="123"/>
      <c r="I899" s="123"/>
      <c r="K899" s="123"/>
      <c r="L899" s="123"/>
    </row>
    <row r="900" ht="14.25" customHeight="1" spans="6:12">
      <c r="F900" s="123"/>
      <c r="G900" s="123"/>
      <c r="H900" s="123"/>
      <c r="I900" s="123"/>
      <c r="K900" s="123"/>
      <c r="L900" s="123"/>
    </row>
    <row r="901" ht="14.25" customHeight="1" spans="6:12">
      <c r="F901" s="123"/>
      <c r="G901" s="123"/>
      <c r="H901" s="123"/>
      <c r="I901" s="123"/>
      <c r="K901" s="123"/>
      <c r="L901" s="123"/>
    </row>
    <row r="902" ht="14.25" customHeight="1" spans="6:12">
      <c r="F902" s="123"/>
      <c r="G902" s="123"/>
      <c r="H902" s="123"/>
      <c r="I902" s="123"/>
      <c r="K902" s="123"/>
      <c r="L902" s="123"/>
    </row>
    <row r="903" ht="14.25" customHeight="1" spans="6:12">
      <c r="F903" s="123"/>
      <c r="G903" s="123"/>
      <c r="H903" s="123"/>
      <c r="I903" s="123"/>
      <c r="K903" s="123"/>
      <c r="L903" s="123"/>
    </row>
    <row r="904" ht="14.25" customHeight="1" spans="6:12">
      <c r="F904" s="123"/>
      <c r="G904" s="123"/>
      <c r="H904" s="123"/>
      <c r="I904" s="123"/>
      <c r="K904" s="123"/>
      <c r="L904" s="123"/>
    </row>
    <row r="905" ht="14.25" customHeight="1" spans="6:12">
      <c r="F905" s="123"/>
      <c r="G905" s="123"/>
      <c r="H905" s="123"/>
      <c r="I905" s="123"/>
      <c r="K905" s="123"/>
      <c r="L905" s="123"/>
    </row>
    <row r="906" ht="14.25" customHeight="1" spans="6:12">
      <c r="F906" s="123"/>
      <c r="G906" s="123"/>
      <c r="H906" s="123"/>
      <c r="I906" s="123"/>
      <c r="K906" s="123"/>
      <c r="L906" s="123"/>
    </row>
    <row r="907" ht="14.25" customHeight="1" spans="6:12">
      <c r="F907" s="123"/>
      <c r="G907" s="123"/>
      <c r="H907" s="123"/>
      <c r="I907" s="123"/>
      <c r="K907" s="123"/>
      <c r="L907" s="123"/>
    </row>
    <row r="908" ht="14.25" customHeight="1" spans="6:12">
      <c r="F908" s="123"/>
      <c r="G908" s="123"/>
      <c r="H908" s="123"/>
      <c r="I908" s="123"/>
      <c r="K908" s="123"/>
      <c r="L908" s="123"/>
    </row>
    <row r="909" ht="14.25" customHeight="1" spans="6:12">
      <c r="F909" s="123"/>
      <c r="G909" s="123"/>
      <c r="H909" s="123"/>
      <c r="I909" s="123"/>
      <c r="K909" s="123"/>
      <c r="L909" s="123"/>
    </row>
    <row r="910" ht="14.25" customHeight="1" spans="6:12">
      <c r="F910" s="123"/>
      <c r="G910" s="123"/>
      <c r="H910" s="123"/>
      <c r="I910" s="123"/>
      <c r="K910" s="123"/>
      <c r="L910" s="123"/>
    </row>
    <row r="911" ht="14.25" customHeight="1" spans="6:12">
      <c r="F911" s="123"/>
      <c r="G911" s="123"/>
      <c r="H911" s="123"/>
      <c r="I911" s="123"/>
      <c r="K911" s="123"/>
      <c r="L911" s="123"/>
    </row>
    <row r="912" ht="14.25" customHeight="1" spans="6:12">
      <c r="F912" s="123"/>
      <c r="G912" s="123"/>
      <c r="H912" s="123"/>
      <c r="I912" s="123"/>
      <c r="K912" s="123"/>
      <c r="L912" s="123"/>
    </row>
    <row r="913" ht="14.25" customHeight="1" spans="6:12">
      <c r="F913" s="123"/>
      <c r="G913" s="123"/>
      <c r="H913" s="123"/>
      <c r="I913" s="123"/>
      <c r="K913" s="123"/>
      <c r="L913" s="123"/>
    </row>
    <row r="914" ht="14.25" customHeight="1" spans="6:12">
      <c r="F914" s="123"/>
      <c r="G914" s="123"/>
      <c r="H914" s="123"/>
      <c r="I914" s="123"/>
      <c r="K914" s="123"/>
      <c r="L914" s="123"/>
    </row>
    <row r="915" ht="14.25" customHeight="1" spans="6:12">
      <c r="F915" s="123"/>
      <c r="G915" s="123"/>
      <c r="H915" s="123"/>
      <c r="I915" s="123"/>
      <c r="K915" s="123"/>
      <c r="L915" s="123"/>
    </row>
    <row r="916" ht="14.25" customHeight="1" spans="6:12">
      <c r="F916" s="123"/>
      <c r="G916" s="123"/>
      <c r="H916" s="123"/>
      <c r="I916" s="123"/>
      <c r="K916" s="123"/>
      <c r="L916" s="123"/>
    </row>
    <row r="917" ht="14.25" customHeight="1" spans="6:12">
      <c r="F917" s="123"/>
      <c r="G917" s="123"/>
      <c r="H917" s="123"/>
      <c r="I917" s="123"/>
      <c r="K917" s="123"/>
      <c r="L917" s="123"/>
    </row>
    <row r="918" ht="14.25" customHeight="1" spans="6:12">
      <c r="F918" s="123"/>
      <c r="G918" s="123"/>
      <c r="H918" s="123"/>
      <c r="I918" s="123"/>
      <c r="K918" s="123"/>
      <c r="L918" s="123"/>
    </row>
    <row r="919" ht="14.25" customHeight="1" spans="6:12">
      <c r="F919" s="123"/>
      <c r="G919" s="123"/>
      <c r="H919" s="123"/>
      <c r="I919" s="123"/>
      <c r="K919" s="123"/>
      <c r="L919" s="123"/>
    </row>
    <row r="920" ht="14.25" customHeight="1" spans="6:12">
      <c r="F920" s="123"/>
      <c r="G920" s="123"/>
      <c r="H920" s="123"/>
      <c r="I920" s="123"/>
      <c r="K920" s="123"/>
      <c r="L920" s="123"/>
    </row>
    <row r="921" ht="14.25" customHeight="1" spans="6:12">
      <c r="F921" s="123"/>
      <c r="G921" s="123"/>
      <c r="H921" s="123"/>
      <c r="I921" s="123"/>
      <c r="K921" s="123"/>
      <c r="L921" s="123"/>
    </row>
    <row r="922" ht="14.25" customHeight="1" spans="6:12">
      <c r="F922" s="123"/>
      <c r="G922" s="123"/>
      <c r="H922" s="123"/>
      <c r="I922" s="123"/>
      <c r="K922" s="123"/>
      <c r="L922" s="123"/>
    </row>
    <row r="923" ht="14.25" customHeight="1" spans="6:12">
      <c r="F923" s="123"/>
      <c r="G923" s="123"/>
      <c r="H923" s="123"/>
      <c r="I923" s="123"/>
      <c r="K923" s="123"/>
      <c r="L923" s="123"/>
    </row>
    <row r="924" ht="14.25" customHeight="1" spans="6:12">
      <c r="F924" s="123"/>
      <c r="G924" s="123"/>
      <c r="H924" s="123"/>
      <c r="I924" s="123"/>
      <c r="K924" s="123"/>
      <c r="L924" s="123"/>
    </row>
    <row r="925" ht="14.25" customHeight="1" spans="6:12">
      <c r="F925" s="123"/>
      <c r="G925" s="123"/>
      <c r="H925" s="123"/>
      <c r="I925" s="123"/>
      <c r="K925" s="123"/>
      <c r="L925" s="123"/>
    </row>
    <row r="926" ht="14.25" customHeight="1" spans="6:12">
      <c r="F926" s="123"/>
      <c r="G926" s="123"/>
      <c r="H926" s="123"/>
      <c r="I926" s="123"/>
      <c r="K926" s="123"/>
      <c r="L926" s="123"/>
    </row>
    <row r="927" ht="14.25" customHeight="1" spans="6:12">
      <c r="F927" s="123"/>
      <c r="G927" s="123"/>
      <c r="H927" s="123"/>
      <c r="I927" s="123"/>
      <c r="K927" s="123"/>
      <c r="L927" s="123"/>
    </row>
    <row r="928" ht="14.25" customHeight="1" spans="6:12">
      <c r="F928" s="123"/>
      <c r="G928" s="123"/>
      <c r="H928" s="123"/>
      <c r="I928" s="123"/>
      <c r="K928" s="123"/>
      <c r="L928" s="123"/>
    </row>
    <row r="929" ht="14.25" customHeight="1" spans="6:12">
      <c r="F929" s="123"/>
      <c r="G929" s="123"/>
      <c r="H929" s="123"/>
      <c r="I929" s="123"/>
      <c r="K929" s="123"/>
      <c r="L929" s="123"/>
    </row>
    <row r="930" ht="14.25" customHeight="1" spans="6:12">
      <c r="F930" s="123"/>
      <c r="G930" s="123"/>
      <c r="H930" s="123"/>
      <c r="I930" s="123"/>
      <c r="K930" s="123"/>
      <c r="L930" s="123"/>
    </row>
    <row r="931" ht="14.25" customHeight="1" spans="6:12">
      <c r="F931" s="123"/>
      <c r="G931" s="123"/>
      <c r="H931" s="123"/>
      <c r="I931" s="123"/>
      <c r="K931" s="123"/>
      <c r="L931" s="123"/>
    </row>
    <row r="932" ht="14.25" customHeight="1" spans="6:12">
      <c r="F932" s="123"/>
      <c r="G932" s="123"/>
      <c r="H932" s="123"/>
      <c r="I932" s="123"/>
      <c r="K932" s="123"/>
      <c r="L932" s="123"/>
    </row>
    <row r="933" ht="14.25" customHeight="1" spans="6:12">
      <c r="F933" s="123"/>
      <c r="G933" s="123"/>
      <c r="H933" s="123"/>
      <c r="I933" s="123"/>
      <c r="K933" s="123"/>
      <c r="L933" s="123"/>
    </row>
    <row r="934" ht="14.25" customHeight="1" spans="6:12">
      <c r="F934" s="123"/>
      <c r="G934" s="123"/>
      <c r="H934" s="123"/>
      <c r="I934" s="123"/>
      <c r="K934" s="123"/>
      <c r="L934" s="123"/>
    </row>
    <row r="935" ht="14.25" customHeight="1" spans="6:12">
      <c r="F935" s="123"/>
      <c r="G935" s="123"/>
      <c r="H935" s="123"/>
      <c r="I935" s="123"/>
      <c r="K935" s="123"/>
      <c r="L935" s="123"/>
    </row>
    <row r="936" ht="14.25" customHeight="1" spans="6:12">
      <c r="F936" s="123"/>
      <c r="G936" s="123"/>
      <c r="H936" s="123"/>
      <c r="I936" s="123"/>
      <c r="K936" s="123"/>
      <c r="L936" s="123"/>
    </row>
    <row r="937" ht="14.25" customHeight="1" spans="6:12">
      <c r="F937" s="123"/>
      <c r="G937" s="123"/>
      <c r="H937" s="123"/>
      <c r="I937" s="123"/>
      <c r="K937" s="123"/>
      <c r="L937" s="123"/>
    </row>
    <row r="938" ht="14.25" customHeight="1" spans="6:12">
      <c r="F938" s="123"/>
      <c r="G938" s="123"/>
      <c r="H938" s="123"/>
      <c r="I938" s="123"/>
      <c r="K938" s="123"/>
      <c r="L938" s="123"/>
    </row>
    <row r="939" ht="14.25" customHeight="1" spans="6:12">
      <c r="F939" s="123"/>
      <c r="G939" s="123"/>
      <c r="H939" s="123"/>
      <c r="I939" s="123"/>
      <c r="K939" s="123"/>
      <c r="L939" s="123"/>
    </row>
    <row r="940" ht="14.25" customHeight="1" spans="6:12">
      <c r="F940" s="123"/>
      <c r="G940" s="123"/>
      <c r="H940" s="123"/>
      <c r="I940" s="123"/>
      <c r="K940" s="123"/>
      <c r="L940" s="123"/>
    </row>
    <row r="941" ht="14.25" customHeight="1" spans="6:12">
      <c r="F941" s="123"/>
      <c r="G941" s="123"/>
      <c r="H941" s="123"/>
      <c r="I941" s="123"/>
      <c r="K941" s="123"/>
      <c r="L941" s="123"/>
    </row>
    <row r="942" ht="14.25" customHeight="1" spans="6:12">
      <c r="F942" s="123"/>
      <c r="G942" s="123"/>
      <c r="H942" s="123"/>
      <c r="I942" s="123"/>
      <c r="K942" s="123"/>
      <c r="L942" s="123"/>
    </row>
    <row r="943" ht="14.25" customHeight="1" spans="6:12">
      <c r="F943" s="123"/>
      <c r="G943" s="123"/>
      <c r="H943" s="123"/>
      <c r="I943" s="123"/>
      <c r="K943" s="123"/>
      <c r="L943" s="123"/>
    </row>
    <row r="944" ht="14.25" customHeight="1" spans="6:12">
      <c r="F944" s="123"/>
      <c r="G944" s="123"/>
      <c r="H944" s="123"/>
      <c r="I944" s="123"/>
      <c r="K944" s="123"/>
      <c r="L944" s="123"/>
    </row>
    <row r="945" ht="14.25" customHeight="1" spans="6:12">
      <c r="F945" s="123"/>
      <c r="G945" s="123"/>
      <c r="H945" s="123"/>
      <c r="I945" s="123"/>
      <c r="K945" s="123"/>
      <c r="L945" s="123"/>
    </row>
    <row r="946" ht="14.25" customHeight="1" spans="6:12">
      <c r="F946" s="123"/>
      <c r="G946" s="123"/>
      <c r="H946" s="123"/>
      <c r="I946" s="123"/>
      <c r="K946" s="123"/>
      <c r="L946" s="123"/>
    </row>
    <row r="947" ht="14.25" customHeight="1" spans="6:12">
      <c r="F947" s="123"/>
      <c r="G947" s="123"/>
      <c r="H947" s="123"/>
      <c r="I947" s="123"/>
      <c r="K947" s="123"/>
      <c r="L947" s="123"/>
    </row>
    <row r="948" ht="14.25" customHeight="1" spans="6:12">
      <c r="F948" s="123"/>
      <c r="G948" s="123"/>
      <c r="H948" s="123"/>
      <c r="I948" s="123"/>
      <c r="K948" s="123"/>
      <c r="L948" s="123"/>
    </row>
    <row r="949" ht="14.25" customHeight="1" spans="6:12">
      <c r="F949" s="123"/>
      <c r="G949" s="123"/>
      <c r="H949" s="123"/>
      <c r="I949" s="123"/>
      <c r="K949" s="123"/>
      <c r="L949" s="123"/>
    </row>
    <row r="950" ht="14.25" customHeight="1" spans="6:12">
      <c r="F950" s="123"/>
      <c r="G950" s="123"/>
      <c r="H950" s="123"/>
      <c r="I950" s="123"/>
      <c r="K950" s="123"/>
      <c r="L950" s="123"/>
    </row>
    <row r="951" ht="14.25" customHeight="1" spans="6:12">
      <c r="F951" s="123"/>
      <c r="G951" s="123"/>
      <c r="H951" s="123"/>
      <c r="I951" s="123"/>
      <c r="K951" s="123"/>
      <c r="L951" s="123"/>
    </row>
    <row r="952" ht="14.25" customHeight="1" spans="6:12">
      <c r="F952" s="123"/>
      <c r="G952" s="123"/>
      <c r="H952" s="123"/>
      <c r="I952" s="123"/>
      <c r="K952" s="123"/>
      <c r="L952" s="123"/>
    </row>
    <row r="953" ht="14.25" customHeight="1" spans="6:12">
      <c r="F953" s="123"/>
      <c r="G953" s="123"/>
      <c r="H953" s="123"/>
      <c r="I953" s="123"/>
      <c r="K953" s="123"/>
      <c r="L953" s="123"/>
    </row>
    <row r="954" ht="14.25" customHeight="1" spans="6:12">
      <c r="F954" s="123"/>
      <c r="G954" s="123"/>
      <c r="H954" s="123"/>
      <c r="I954" s="123"/>
      <c r="K954" s="123"/>
      <c r="L954" s="123"/>
    </row>
    <row r="955" ht="14.25" customHeight="1" spans="6:12">
      <c r="F955" s="123"/>
      <c r="G955" s="123"/>
      <c r="H955" s="123"/>
      <c r="I955" s="123"/>
      <c r="K955" s="123"/>
      <c r="L955" s="123"/>
    </row>
    <row r="956" ht="14.25" customHeight="1" spans="6:12">
      <c r="F956" s="123"/>
      <c r="G956" s="123"/>
      <c r="H956" s="123"/>
      <c r="I956" s="123"/>
      <c r="K956" s="123"/>
      <c r="L956" s="123"/>
    </row>
    <row r="957" ht="14.25" customHeight="1" spans="6:12">
      <c r="F957" s="123"/>
      <c r="G957" s="123"/>
      <c r="H957" s="123"/>
      <c r="I957" s="123"/>
      <c r="K957" s="123"/>
      <c r="L957" s="123"/>
    </row>
    <row r="958" ht="14.25" customHeight="1" spans="6:12">
      <c r="F958" s="123"/>
      <c r="G958" s="123"/>
      <c r="H958" s="123"/>
      <c r="I958" s="123"/>
      <c r="K958" s="123"/>
      <c r="L958" s="123"/>
    </row>
    <row r="959" ht="14.25" customHeight="1" spans="6:12">
      <c r="F959" s="123"/>
      <c r="G959" s="123"/>
      <c r="H959" s="123"/>
      <c r="I959" s="123"/>
      <c r="K959" s="123"/>
      <c r="L959" s="123"/>
    </row>
    <row r="960" ht="14.25" customHeight="1" spans="6:12">
      <c r="F960" s="123"/>
      <c r="G960" s="123"/>
      <c r="H960" s="123"/>
      <c r="I960" s="123"/>
      <c r="K960" s="123"/>
      <c r="L960" s="123"/>
    </row>
    <row r="961" ht="14.25" customHeight="1" spans="6:12">
      <c r="F961" s="123"/>
      <c r="G961" s="123"/>
      <c r="H961" s="123"/>
      <c r="I961" s="123"/>
      <c r="K961" s="123"/>
      <c r="L961" s="123"/>
    </row>
    <row r="962" ht="14.25" customHeight="1" spans="6:12">
      <c r="F962" s="123"/>
      <c r="G962" s="123"/>
      <c r="H962" s="123"/>
      <c r="I962" s="123"/>
      <c r="K962" s="123"/>
      <c r="L962" s="123"/>
    </row>
    <row r="963" ht="14.25" customHeight="1" spans="6:12">
      <c r="F963" s="123"/>
      <c r="G963" s="123"/>
      <c r="H963" s="123"/>
      <c r="I963" s="123"/>
      <c r="K963" s="123"/>
      <c r="L963" s="123"/>
    </row>
    <row r="964" ht="14.25" customHeight="1" spans="6:12">
      <c r="F964" s="123"/>
      <c r="G964" s="123"/>
      <c r="H964" s="123"/>
      <c r="I964" s="123"/>
      <c r="K964" s="123"/>
      <c r="L964" s="123"/>
    </row>
    <row r="965" ht="14.25" customHeight="1" spans="6:12">
      <c r="F965" s="123"/>
      <c r="G965" s="123"/>
      <c r="H965" s="123"/>
      <c r="I965" s="123"/>
      <c r="K965" s="123"/>
      <c r="L965" s="123"/>
    </row>
    <row r="966" ht="14.25" customHeight="1" spans="6:12">
      <c r="F966" s="123"/>
      <c r="G966" s="123"/>
      <c r="H966" s="123"/>
      <c r="I966" s="123"/>
      <c r="K966" s="123"/>
      <c r="L966" s="123"/>
    </row>
    <row r="967" ht="14.25" customHeight="1" spans="6:12">
      <c r="F967" s="123"/>
      <c r="G967" s="123"/>
      <c r="H967" s="123"/>
      <c r="I967" s="123"/>
      <c r="K967" s="123"/>
      <c r="L967" s="123"/>
    </row>
    <row r="968" ht="14.25" customHeight="1" spans="6:12">
      <c r="F968" s="123"/>
      <c r="G968" s="123"/>
      <c r="H968" s="123"/>
      <c r="I968" s="123"/>
      <c r="K968" s="123"/>
      <c r="L968" s="123"/>
    </row>
    <row r="969" ht="14.25" customHeight="1" spans="6:12">
      <c r="F969" s="123"/>
      <c r="G969" s="123"/>
      <c r="H969" s="123"/>
      <c r="I969" s="123"/>
      <c r="K969" s="123"/>
      <c r="L969" s="123"/>
    </row>
    <row r="970" ht="14.25" customHeight="1" spans="6:12">
      <c r="F970" s="123"/>
      <c r="G970" s="123"/>
      <c r="H970" s="123"/>
      <c r="I970" s="123"/>
      <c r="K970" s="123"/>
      <c r="L970" s="123"/>
    </row>
    <row r="971" ht="14.25" customHeight="1" spans="6:12">
      <c r="F971" s="123"/>
      <c r="G971" s="123"/>
      <c r="H971" s="123"/>
      <c r="I971" s="123"/>
      <c r="K971" s="123"/>
      <c r="L971" s="123"/>
    </row>
    <row r="972" ht="14.25" customHeight="1" spans="6:12">
      <c r="F972" s="123"/>
      <c r="G972" s="123"/>
      <c r="H972" s="123"/>
      <c r="I972" s="123"/>
      <c r="K972" s="123"/>
      <c r="L972" s="123"/>
    </row>
    <row r="973" ht="14.25" customHeight="1" spans="6:12">
      <c r="F973" s="123"/>
      <c r="G973" s="123"/>
      <c r="H973" s="123"/>
      <c r="I973" s="123"/>
      <c r="K973" s="123"/>
      <c r="L973" s="123"/>
    </row>
    <row r="974" ht="14.25" customHeight="1" spans="6:12">
      <c r="F974" s="123"/>
      <c r="G974" s="123"/>
      <c r="H974" s="123"/>
      <c r="I974" s="123"/>
      <c r="K974" s="123"/>
      <c r="L974" s="123"/>
    </row>
    <row r="975" ht="14.25" customHeight="1" spans="6:12">
      <c r="F975" s="123"/>
      <c r="G975" s="123"/>
      <c r="H975" s="123"/>
      <c r="I975" s="123"/>
      <c r="K975" s="123"/>
      <c r="L975" s="123"/>
    </row>
    <row r="976" ht="14.25" customHeight="1" spans="6:12">
      <c r="F976" s="123"/>
      <c r="G976" s="123"/>
      <c r="H976" s="123"/>
      <c r="I976" s="123"/>
      <c r="K976" s="123"/>
      <c r="L976" s="123"/>
    </row>
    <row r="977" ht="14.25" customHeight="1" spans="6:12">
      <c r="F977" s="123"/>
      <c r="G977" s="123"/>
      <c r="H977" s="123"/>
      <c r="I977" s="123"/>
      <c r="K977" s="123"/>
      <c r="L977" s="123"/>
    </row>
    <row r="978" ht="14.25" customHeight="1" spans="6:12">
      <c r="F978" s="123"/>
      <c r="G978" s="123"/>
      <c r="H978" s="123"/>
      <c r="I978" s="123"/>
      <c r="K978" s="123"/>
      <c r="L978" s="123"/>
    </row>
    <row r="979" ht="14.25" customHeight="1" spans="6:12">
      <c r="F979" s="123"/>
      <c r="G979" s="123"/>
      <c r="H979" s="123"/>
      <c r="I979" s="123"/>
      <c r="K979" s="123"/>
      <c r="L979" s="123"/>
    </row>
    <row r="980" ht="14.25" customHeight="1" spans="6:12">
      <c r="F980" s="123"/>
      <c r="G980" s="123"/>
      <c r="H980" s="123"/>
      <c r="I980" s="123"/>
      <c r="K980" s="123"/>
      <c r="L980" s="123"/>
    </row>
    <row r="981" ht="14.25" customHeight="1" spans="6:12">
      <c r="F981" s="123"/>
      <c r="G981" s="123"/>
      <c r="H981" s="123"/>
      <c r="I981" s="123"/>
      <c r="K981" s="123"/>
      <c r="L981" s="123"/>
    </row>
    <row r="982" ht="14.25" customHeight="1" spans="6:12">
      <c r="F982" s="123"/>
      <c r="G982" s="123"/>
      <c r="H982" s="123"/>
      <c r="I982" s="123"/>
      <c r="K982" s="123"/>
      <c r="L982" s="123"/>
    </row>
    <row r="983" ht="14.25" customHeight="1" spans="6:12">
      <c r="F983" s="123"/>
      <c r="G983" s="123"/>
      <c r="H983" s="123"/>
      <c r="I983" s="123"/>
      <c r="K983" s="123"/>
      <c r="L983" s="123"/>
    </row>
    <row r="984" ht="14.25" customHeight="1" spans="6:12">
      <c r="F984" s="123"/>
      <c r="G984" s="123"/>
      <c r="H984" s="123"/>
      <c r="I984" s="123"/>
      <c r="K984" s="123"/>
      <c r="L984" s="123"/>
    </row>
    <row r="985" ht="14.25" customHeight="1" spans="6:12">
      <c r="F985" s="123"/>
      <c r="G985" s="123"/>
      <c r="H985" s="123"/>
      <c r="I985" s="123"/>
      <c r="K985" s="123"/>
      <c r="L985" s="123"/>
    </row>
    <row r="986" ht="14.25" customHeight="1" spans="6:12">
      <c r="F986" s="123"/>
      <c r="G986" s="123"/>
      <c r="H986" s="123"/>
      <c r="I986" s="123"/>
      <c r="K986" s="123"/>
      <c r="L986" s="123"/>
    </row>
    <row r="987" ht="14.25" customHeight="1" spans="6:12">
      <c r="F987" s="123"/>
      <c r="G987" s="123"/>
      <c r="H987" s="123"/>
      <c r="I987" s="123"/>
      <c r="K987" s="123"/>
      <c r="L987" s="123"/>
    </row>
    <row r="988" ht="14.25" customHeight="1" spans="6:12">
      <c r="F988" s="123"/>
      <c r="G988" s="123"/>
      <c r="H988" s="123"/>
      <c r="I988" s="123"/>
      <c r="K988" s="123"/>
      <c r="L988" s="123"/>
    </row>
    <row r="989" ht="14.25" customHeight="1" spans="6:12">
      <c r="F989" s="123"/>
      <c r="G989" s="123"/>
      <c r="H989" s="123"/>
      <c r="I989" s="123"/>
      <c r="K989" s="123"/>
      <c r="L989" s="123"/>
    </row>
    <row r="990" ht="14.25" customHeight="1" spans="6:12">
      <c r="F990" s="123"/>
      <c r="G990" s="123"/>
      <c r="H990" s="123"/>
      <c r="I990" s="123"/>
      <c r="K990" s="123"/>
      <c r="L990" s="123"/>
    </row>
    <row r="991" ht="14.25" customHeight="1" spans="6:12">
      <c r="F991" s="123"/>
      <c r="G991" s="123"/>
      <c r="H991" s="123"/>
      <c r="I991" s="123"/>
      <c r="K991" s="123"/>
      <c r="L991" s="123"/>
    </row>
    <row r="992" ht="14.25" customHeight="1" spans="6:12">
      <c r="F992" s="123"/>
      <c r="G992" s="123"/>
      <c r="H992" s="123"/>
      <c r="I992" s="123"/>
      <c r="K992" s="123"/>
      <c r="L992" s="123"/>
    </row>
    <row r="993" ht="14.25" customHeight="1" spans="6:12">
      <c r="F993" s="123"/>
      <c r="G993" s="123"/>
      <c r="H993" s="123"/>
      <c r="I993" s="123"/>
      <c r="K993" s="123"/>
      <c r="L993" s="123"/>
    </row>
    <row r="994" ht="14.25" customHeight="1" spans="6:12">
      <c r="F994" s="123"/>
      <c r="G994" s="123"/>
      <c r="H994" s="123"/>
      <c r="I994" s="123"/>
      <c r="K994" s="123"/>
      <c r="L994" s="123"/>
    </row>
    <row r="995" ht="14.25" customHeight="1" spans="6:12">
      <c r="F995" s="123"/>
      <c r="G995" s="123"/>
      <c r="H995" s="123"/>
      <c r="I995" s="123"/>
      <c r="K995" s="123"/>
      <c r="L995" s="123"/>
    </row>
    <row r="996" ht="14.25" customHeight="1" spans="6:12">
      <c r="F996" s="123"/>
      <c r="G996" s="123"/>
      <c r="H996" s="123"/>
      <c r="I996" s="123"/>
      <c r="K996" s="123"/>
      <c r="L996" s="123"/>
    </row>
    <row r="997" ht="14.25" customHeight="1" spans="6:12">
      <c r="F997" s="123"/>
      <c r="G997" s="123"/>
      <c r="H997" s="123"/>
      <c r="I997" s="123"/>
      <c r="K997" s="123"/>
      <c r="L997" s="123"/>
    </row>
    <row r="998" ht="14.25" customHeight="1" spans="6:12">
      <c r="F998" s="123"/>
      <c r="G998" s="123"/>
      <c r="H998" s="123"/>
      <c r="I998" s="123"/>
      <c r="K998" s="123"/>
      <c r="L998" s="123"/>
    </row>
    <row r="999" ht="14.25" customHeight="1" spans="6:12">
      <c r="F999" s="123"/>
      <c r="G999" s="123"/>
      <c r="H999" s="123"/>
      <c r="I999" s="123"/>
      <c r="K999" s="123"/>
      <c r="L999" s="123"/>
    </row>
    <row r="1000" ht="14.25" customHeight="1" spans="6:12">
      <c r="F1000" s="123"/>
      <c r="G1000" s="123"/>
      <c r="H1000" s="123"/>
      <c r="I1000" s="123"/>
      <c r="K1000" s="123"/>
      <c r="L1000" s="123"/>
    </row>
  </sheetData>
  <mergeCells count="1">
    <mergeCell ref="A1:O1"/>
  </mergeCells>
  <pageMargins left="0.25" right="0.25" top="0.75" bottom="0.75" header="0" footer="0"/>
  <pageSetup paperSize="1" orientation="portrait"/>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CFFCC"/>
  </sheetPr>
  <dimension ref="A1:Z1021"/>
  <sheetViews>
    <sheetView workbookViewId="0">
      <pane xSplit="1" ySplit="3" topLeftCell="B4" activePane="bottomRight" state="frozen"/>
      <selection/>
      <selection pane="topRight"/>
      <selection pane="bottomLeft"/>
      <selection pane="bottomRight" activeCell="B4" sqref="B4"/>
    </sheetView>
  </sheetViews>
  <sheetFormatPr defaultColWidth="12.6285714285714" defaultRowHeight="15.75" customHeight="1"/>
  <cols>
    <col min="1" max="1" width="21.752380952381" customWidth="1"/>
    <col min="2" max="2" width="5.13333333333333" customWidth="1"/>
    <col min="3" max="3" width="7" customWidth="1"/>
    <col min="4" max="4" width="5.38095238095238" customWidth="1"/>
    <col min="5" max="5" width="6.5047619047619" customWidth="1"/>
    <col min="6" max="8" width="6.24761904761905" customWidth="1"/>
    <col min="9" max="9" width="6" customWidth="1"/>
    <col min="10" max="10" width="8.38095238095238" customWidth="1"/>
    <col min="11" max="11" width="6.87619047619048" customWidth="1"/>
    <col min="12" max="26" width="8" customWidth="1"/>
  </cols>
  <sheetData>
    <row r="1" ht="12.75" customHeight="1" spans="1:26">
      <c r="A1" s="59" t="s">
        <v>2652</v>
      </c>
      <c r="B1" s="60">
        <v>0.25</v>
      </c>
      <c r="C1" s="61"/>
      <c r="D1" s="37"/>
      <c r="E1" s="37"/>
      <c r="F1" s="62"/>
      <c r="G1" s="62"/>
      <c r="H1" s="62"/>
      <c r="I1" s="84" t="s">
        <v>2653</v>
      </c>
      <c r="J1" s="85" t="s">
        <v>2654</v>
      </c>
      <c r="K1" s="54"/>
      <c r="L1" s="37"/>
      <c r="M1" s="37"/>
      <c r="N1" s="37"/>
      <c r="O1" s="37"/>
      <c r="P1" s="37"/>
      <c r="Q1" s="37"/>
      <c r="R1" s="37"/>
      <c r="S1" s="37"/>
      <c r="T1" s="37"/>
      <c r="U1" s="37"/>
      <c r="V1" s="37"/>
      <c r="W1" s="37"/>
      <c r="X1" s="37"/>
      <c r="Y1" s="37"/>
      <c r="Z1" s="37"/>
    </row>
    <row r="2" ht="12.75" customHeight="1" spans="1:26">
      <c r="A2" s="63" t="s">
        <v>2655</v>
      </c>
      <c r="B2" s="61"/>
      <c r="C2" s="64"/>
      <c r="D2" s="37"/>
      <c r="E2" s="62"/>
      <c r="F2" s="62"/>
      <c r="G2" s="62"/>
      <c r="H2" s="65"/>
      <c r="I2" s="53"/>
      <c r="J2" s="86"/>
      <c r="K2" s="37"/>
      <c r="L2" s="37"/>
      <c r="M2" s="37"/>
      <c r="N2" s="37"/>
      <c r="O2" s="37"/>
      <c r="P2" s="37"/>
      <c r="Q2" s="37"/>
      <c r="R2" s="37"/>
      <c r="S2" s="37"/>
      <c r="T2" s="37"/>
      <c r="U2" s="37"/>
      <c r="V2" s="37"/>
      <c r="W2" s="37"/>
      <c r="X2" s="37"/>
      <c r="Y2" s="37"/>
      <c r="Z2" s="37"/>
    </row>
    <row r="3" ht="12.75" customHeight="1" spans="1:26">
      <c r="A3" s="66" t="s">
        <v>2656</v>
      </c>
      <c r="B3" s="67" t="s">
        <v>2560</v>
      </c>
      <c r="C3" s="66" t="s">
        <v>2561</v>
      </c>
      <c r="D3" s="67" t="s">
        <v>1817</v>
      </c>
      <c r="E3" s="67" t="s">
        <v>1818</v>
      </c>
      <c r="F3" s="67" t="s">
        <v>2180</v>
      </c>
      <c r="G3" s="67" t="s">
        <v>2657</v>
      </c>
      <c r="H3" s="68" t="s">
        <v>2658</v>
      </c>
      <c r="I3" s="87" t="s">
        <v>2659</v>
      </c>
      <c r="J3" s="88" t="s">
        <v>2660</v>
      </c>
      <c r="K3" s="37"/>
      <c r="L3" s="37"/>
      <c r="M3" s="37"/>
      <c r="N3" s="37"/>
      <c r="O3" s="37"/>
      <c r="P3" s="37"/>
      <c r="Q3" s="37"/>
      <c r="R3" s="37"/>
      <c r="S3" s="37"/>
      <c r="T3" s="37"/>
      <c r="U3" s="37"/>
      <c r="V3" s="37"/>
      <c r="W3" s="37"/>
      <c r="X3" s="37"/>
      <c r="Y3" s="37"/>
      <c r="Z3" s="37"/>
    </row>
    <row r="4" ht="19.5" customHeight="1" spans="1:26">
      <c r="A4" s="69" t="s">
        <v>2661</v>
      </c>
      <c r="B4" s="70"/>
      <c r="C4" s="71"/>
      <c r="D4" s="71"/>
      <c r="E4" s="71"/>
      <c r="F4" s="71"/>
      <c r="G4" s="71"/>
      <c r="H4" s="71"/>
      <c r="I4" s="89"/>
      <c r="J4" s="90"/>
      <c r="K4" s="37"/>
      <c r="L4" s="37"/>
      <c r="M4" s="37"/>
      <c r="N4" s="37"/>
      <c r="O4" s="37"/>
      <c r="P4" s="37"/>
      <c r="Q4" s="37"/>
      <c r="R4" s="37"/>
      <c r="S4" s="37"/>
      <c r="T4" s="37"/>
      <c r="U4" s="37"/>
      <c r="V4" s="37"/>
      <c r="W4" s="37"/>
      <c r="X4" s="37"/>
      <c r="Y4" s="37"/>
      <c r="Z4" s="37"/>
    </row>
    <row r="5" ht="12.75" customHeight="1" spans="1:26">
      <c r="A5" s="37" t="s">
        <v>2662</v>
      </c>
      <c r="B5" s="72">
        <v>4</v>
      </c>
      <c r="C5" s="73" t="s">
        <v>370</v>
      </c>
      <c r="D5" s="62">
        <f t="shared" ref="D5:D19" si="0">IF(J5="",B5,B5*(1-J5))</f>
        <v>4</v>
      </c>
      <c r="E5" s="62">
        <f t="shared" ref="E5:E19" si="1">$D5/2*(1+$B$1)</f>
        <v>2.5</v>
      </c>
      <c r="F5" s="62">
        <f t="shared" ref="F5:F19" si="2">$D5/3*(1+$B$1)</f>
        <v>1.66666666666667</v>
      </c>
      <c r="G5" s="62">
        <f t="shared" ref="G5:G19" si="3">$D5/4*(1+$B$1)</f>
        <v>1.25</v>
      </c>
      <c r="H5" s="74"/>
      <c r="I5" s="48"/>
      <c r="J5" s="41"/>
      <c r="K5" s="37"/>
      <c r="L5" s="37"/>
      <c r="M5" s="37"/>
      <c r="N5" s="37"/>
      <c r="O5" s="37"/>
      <c r="P5" s="37"/>
      <c r="Q5" s="37"/>
      <c r="R5" s="37"/>
      <c r="S5" s="37"/>
      <c r="T5" s="37"/>
      <c r="U5" s="37"/>
      <c r="V5" s="37"/>
      <c r="W5" s="37"/>
      <c r="X5" s="37"/>
      <c r="Y5" s="37"/>
      <c r="Z5" s="37"/>
    </row>
    <row r="6" ht="12.75" customHeight="1" spans="1:26">
      <c r="A6" s="37" t="s">
        <v>2663</v>
      </c>
      <c r="B6" s="72">
        <v>4</v>
      </c>
      <c r="C6" s="73" t="s">
        <v>370</v>
      </c>
      <c r="D6" s="62">
        <f t="shared" si="0"/>
        <v>4</v>
      </c>
      <c r="E6" s="62">
        <f t="shared" si="1"/>
        <v>2.5</v>
      </c>
      <c r="F6" s="62">
        <f t="shared" si="2"/>
        <v>1.66666666666667</v>
      </c>
      <c r="G6" s="62">
        <f t="shared" si="3"/>
        <v>1.25</v>
      </c>
      <c r="H6" s="74"/>
      <c r="I6" s="48"/>
      <c r="J6" s="41"/>
      <c r="K6" s="37"/>
      <c r="L6" s="37"/>
      <c r="M6" s="37"/>
      <c r="N6" s="37"/>
      <c r="O6" s="37"/>
      <c r="P6" s="37"/>
      <c r="Q6" s="37"/>
      <c r="R6" s="37"/>
      <c r="S6" s="37"/>
      <c r="T6" s="37"/>
      <c r="U6" s="37"/>
      <c r="V6" s="37"/>
      <c r="W6" s="37"/>
      <c r="X6" s="37"/>
      <c r="Y6" s="37"/>
      <c r="Z6" s="37"/>
    </row>
    <row r="7" ht="12.75" customHeight="1" spans="1:26">
      <c r="A7" s="37" t="s">
        <v>2664</v>
      </c>
      <c r="B7" s="72">
        <v>12</v>
      </c>
      <c r="C7" s="73" t="s">
        <v>370</v>
      </c>
      <c r="D7" s="62">
        <f t="shared" si="0"/>
        <v>12</v>
      </c>
      <c r="E7" s="62">
        <f t="shared" si="1"/>
        <v>7.5</v>
      </c>
      <c r="F7" s="62">
        <f t="shared" si="2"/>
        <v>5</v>
      </c>
      <c r="G7" s="62">
        <f t="shared" si="3"/>
        <v>3.75</v>
      </c>
      <c r="H7" s="74"/>
      <c r="I7" s="48"/>
      <c r="J7" s="41"/>
      <c r="K7" s="37"/>
      <c r="L7" s="37"/>
      <c r="M7" s="37"/>
      <c r="N7" s="37"/>
      <c r="O7" s="37"/>
      <c r="P7" s="37"/>
      <c r="Q7" s="37"/>
      <c r="R7" s="37"/>
      <c r="S7" s="37"/>
      <c r="T7" s="37"/>
      <c r="U7" s="37"/>
      <c r="V7" s="37"/>
      <c r="W7" s="37"/>
      <c r="X7" s="37"/>
      <c r="Y7" s="37"/>
      <c r="Z7" s="37"/>
    </row>
    <row r="8" ht="12.75" customHeight="1" spans="1:26">
      <c r="A8" s="42" t="s">
        <v>2665</v>
      </c>
      <c r="B8" s="72">
        <v>120</v>
      </c>
      <c r="C8" s="73" t="s">
        <v>2666</v>
      </c>
      <c r="D8" s="62" t="e">
        <f t="shared" si="0"/>
        <v>#REF!</v>
      </c>
      <c r="E8" s="62" t="e">
        <f t="shared" si="1"/>
        <v>#REF!</v>
      </c>
      <c r="F8" s="62" t="e">
        <f t="shared" si="2"/>
        <v>#REF!</v>
      </c>
      <c r="G8" s="62" t="e">
        <f t="shared" si="3"/>
        <v>#REF!</v>
      </c>
      <c r="H8" s="74"/>
      <c r="I8" s="48">
        <f>30/360</f>
        <v>0.0833333333333333</v>
      </c>
      <c r="J8" s="41" t="e">
        <f>IF(J$1='[1]#REF'!$A$11,'[1]#REF'!$B$11,IF(J$1='[1]#REF'!$A$12,'[1]#REF'!$B$12,IF(J$1='[1]#REF'!$A$13,'[1]#REF'!$B$13,IF(J$1='[1]#REF'!$A$14,'[1]#REF'!$B$14))))</f>
        <v>#REF!</v>
      </c>
      <c r="K8" s="37"/>
      <c r="L8" s="37"/>
      <c r="M8" s="37"/>
      <c r="N8" s="37"/>
      <c r="O8" s="37"/>
      <c r="P8" s="37"/>
      <c r="Q8" s="37"/>
      <c r="R8" s="37"/>
      <c r="S8" s="37"/>
      <c r="T8" s="37"/>
      <c r="U8" s="37"/>
      <c r="V8" s="37"/>
      <c r="W8" s="37"/>
      <c r="X8" s="37"/>
      <c r="Y8" s="37"/>
      <c r="Z8" s="37"/>
    </row>
    <row r="9" ht="12.75" customHeight="1" spans="1:26">
      <c r="A9" s="37" t="s">
        <v>2667</v>
      </c>
      <c r="B9" s="72">
        <v>80</v>
      </c>
      <c r="C9" s="73" t="s">
        <v>2668</v>
      </c>
      <c r="D9" s="62" t="e">
        <f t="shared" si="0"/>
        <v>#REF!</v>
      </c>
      <c r="E9" s="62" t="e">
        <f t="shared" si="1"/>
        <v>#REF!</v>
      </c>
      <c r="F9" s="62" t="e">
        <f t="shared" si="2"/>
        <v>#REF!</v>
      </c>
      <c r="G9" s="62" t="e">
        <f t="shared" si="3"/>
        <v>#REF!</v>
      </c>
      <c r="H9" s="74"/>
      <c r="I9" s="48">
        <f>35/100</f>
        <v>0.35</v>
      </c>
      <c r="J9" s="41" t="e">
        <f>IF(J$1='[1]#REF'!$A$11,'[1]#REF'!$B$11,IF(J$1='[1]#REF'!$A$12,'[1]#REF'!$B$12,IF(J$1='[1]#REF'!$A$13,'[1]#REF'!$B$13,IF(J$1='[1]#REF'!$A$14,'[1]#REF'!$B$14))))</f>
        <v>#REF!</v>
      </c>
      <c r="K9" s="37"/>
      <c r="L9" s="37"/>
      <c r="M9" s="37"/>
      <c r="N9" s="37"/>
      <c r="O9" s="37"/>
      <c r="P9" s="37"/>
      <c r="Q9" s="37"/>
      <c r="R9" s="37"/>
      <c r="S9" s="37"/>
      <c r="T9" s="37"/>
      <c r="U9" s="37"/>
      <c r="V9" s="37"/>
      <c r="W9" s="37"/>
      <c r="X9" s="37"/>
      <c r="Y9" s="37"/>
      <c r="Z9" s="37"/>
    </row>
    <row r="10" ht="12.75" customHeight="1" spans="1:26">
      <c r="A10" s="42" t="s">
        <v>2669</v>
      </c>
      <c r="B10" s="72">
        <v>130</v>
      </c>
      <c r="C10" s="73" t="s">
        <v>2668</v>
      </c>
      <c r="D10" s="62" t="e">
        <f t="shared" si="0"/>
        <v>#REF!</v>
      </c>
      <c r="E10" s="62" t="e">
        <f t="shared" si="1"/>
        <v>#REF!</v>
      </c>
      <c r="F10" s="62" t="e">
        <f t="shared" si="2"/>
        <v>#REF!</v>
      </c>
      <c r="G10" s="62" t="e">
        <f t="shared" si="3"/>
        <v>#REF!</v>
      </c>
      <c r="H10" s="74"/>
      <c r="I10" s="48">
        <v>0.1</v>
      </c>
      <c r="J10" s="41" t="e">
        <f>IF(J$1='[1]#REF'!$A$11,'[1]#REF'!$B$11,IF(J$1='[1]#REF'!$A$12,'[1]#REF'!$B$12,IF(J$1='[1]#REF'!$A$13,'[1]#REF'!$B$13,IF(J$1='[1]#REF'!$A$14,'[1]#REF'!$B$14))))</f>
        <v>#REF!</v>
      </c>
      <c r="K10" s="37"/>
      <c r="L10" s="37"/>
      <c r="M10" s="37"/>
      <c r="N10" s="37"/>
      <c r="O10" s="37"/>
      <c r="P10" s="37"/>
      <c r="Q10" s="37"/>
      <c r="R10" s="37"/>
      <c r="S10" s="37"/>
      <c r="T10" s="37"/>
      <c r="U10" s="37"/>
      <c r="V10" s="37"/>
      <c r="W10" s="37"/>
      <c r="X10" s="37"/>
      <c r="Y10" s="37"/>
      <c r="Z10" s="37"/>
    </row>
    <row r="11" ht="12.75" customHeight="1" spans="1:26">
      <c r="A11" s="42" t="s">
        <v>2670</v>
      </c>
      <c r="B11" s="72">
        <v>4</v>
      </c>
      <c r="C11" s="73" t="s">
        <v>370</v>
      </c>
      <c r="D11" s="62" t="e">
        <f t="shared" si="0"/>
        <v>#REF!</v>
      </c>
      <c r="E11" s="62" t="e">
        <f t="shared" si="1"/>
        <v>#REF!</v>
      </c>
      <c r="F11" s="62" t="e">
        <f t="shared" si="2"/>
        <v>#REF!</v>
      </c>
      <c r="G11" s="62" t="e">
        <f t="shared" si="3"/>
        <v>#REF!</v>
      </c>
      <c r="H11" s="74"/>
      <c r="I11" s="48">
        <v>0.1</v>
      </c>
      <c r="J11" s="41" t="e">
        <f>IF(J$1='[1]#REF'!$A$11,'[1]#REF'!$B$11,IF(J$1='[1]#REF'!$A$12,'[1]#REF'!$B$12,IF(J$1='[1]#REF'!$A$13,'[1]#REF'!$B$13,IF(J$1='[1]#REF'!$A$14,'[1]#REF'!$B$14))))</f>
        <v>#REF!</v>
      </c>
      <c r="K11" s="37"/>
      <c r="L11" s="37"/>
      <c r="M11" s="37"/>
      <c r="N11" s="37"/>
      <c r="O11" s="37"/>
      <c r="P11" s="37"/>
      <c r="Q11" s="37"/>
      <c r="R11" s="37"/>
      <c r="S11" s="37"/>
      <c r="T11" s="37"/>
      <c r="U11" s="37"/>
      <c r="V11" s="37"/>
      <c r="W11" s="37"/>
      <c r="X11" s="37"/>
      <c r="Y11" s="37"/>
      <c r="Z11" s="37"/>
    </row>
    <row r="12" ht="12.75" customHeight="1" spans="1:26">
      <c r="A12" s="42" t="s">
        <v>2671</v>
      </c>
      <c r="B12" s="72">
        <v>6</v>
      </c>
      <c r="C12" s="73" t="s">
        <v>370</v>
      </c>
      <c r="D12" s="62" t="e">
        <f t="shared" si="0"/>
        <v>#REF!</v>
      </c>
      <c r="E12" s="62" t="e">
        <f t="shared" si="1"/>
        <v>#REF!</v>
      </c>
      <c r="F12" s="62" t="e">
        <f t="shared" si="2"/>
        <v>#REF!</v>
      </c>
      <c r="G12" s="62" t="e">
        <f t="shared" si="3"/>
        <v>#REF!</v>
      </c>
      <c r="H12" s="74"/>
      <c r="I12" s="39">
        <v>2</v>
      </c>
      <c r="J12" s="41" t="e">
        <f>IF(J$1='[1]#REF'!$A$11,'[1]#REF'!$B$11,IF(J$1='[1]#REF'!$A$12,'[1]#REF'!$B$12,IF(J$1='[1]#REF'!$A$13,'[1]#REF'!$B$13,IF(J$1='[1]#REF'!$A$14,'[1]#REF'!$B$14))))</f>
        <v>#REF!</v>
      </c>
      <c r="K12" s="37"/>
      <c r="L12" s="37"/>
      <c r="M12" s="37"/>
      <c r="N12" s="37"/>
      <c r="O12" s="37"/>
      <c r="P12" s="37"/>
      <c r="Q12" s="37"/>
      <c r="R12" s="37"/>
      <c r="S12" s="37"/>
      <c r="T12" s="37"/>
      <c r="U12" s="37"/>
      <c r="V12" s="37"/>
      <c r="W12" s="37"/>
      <c r="X12" s="37"/>
      <c r="Y12" s="37"/>
      <c r="Z12" s="37"/>
    </row>
    <row r="13" ht="12.75" customHeight="1" spans="1:26">
      <c r="A13" s="37" t="s">
        <v>2672</v>
      </c>
      <c r="B13" s="72">
        <v>4</v>
      </c>
      <c r="C13" s="73" t="s">
        <v>370</v>
      </c>
      <c r="D13" s="62" t="e">
        <f t="shared" si="0"/>
        <v>#REF!</v>
      </c>
      <c r="E13" s="62" t="e">
        <f t="shared" si="1"/>
        <v>#REF!</v>
      </c>
      <c r="F13" s="62" t="e">
        <f t="shared" si="2"/>
        <v>#REF!</v>
      </c>
      <c r="G13" s="62" t="e">
        <f t="shared" si="3"/>
        <v>#REF!</v>
      </c>
      <c r="H13" s="74"/>
      <c r="I13" s="39">
        <v>5</v>
      </c>
      <c r="J13" s="41" t="e">
        <f>IF(J$1='[1]#REF'!$A$11,'[1]#REF'!$B$11,IF(J$1='[1]#REF'!$A$12,'[1]#REF'!$B$12,IF(J$1='[1]#REF'!$A$13,'[1]#REF'!$B$13,IF(J$1='[1]#REF'!$A$14,'[1]#REF'!$B$14))))</f>
        <v>#REF!</v>
      </c>
      <c r="K13" s="37"/>
      <c r="L13" s="37"/>
      <c r="M13" s="37"/>
      <c r="N13" s="37"/>
      <c r="O13" s="37"/>
      <c r="P13" s="37"/>
      <c r="Q13" s="37"/>
      <c r="R13" s="37"/>
      <c r="S13" s="37"/>
      <c r="T13" s="37"/>
      <c r="U13" s="37"/>
      <c r="V13" s="37"/>
      <c r="W13" s="37"/>
      <c r="X13" s="37"/>
      <c r="Y13" s="37"/>
      <c r="Z13" s="37"/>
    </row>
    <row r="14" ht="12.75" customHeight="1" spans="1:26">
      <c r="A14" s="37" t="s">
        <v>2673</v>
      </c>
      <c r="B14" s="72">
        <v>50</v>
      </c>
      <c r="C14" s="73" t="s">
        <v>2666</v>
      </c>
      <c r="D14" s="62" t="e">
        <f t="shared" si="0"/>
        <v>#REF!</v>
      </c>
      <c r="E14" s="62" t="e">
        <f t="shared" si="1"/>
        <v>#REF!</v>
      </c>
      <c r="F14" s="62" t="e">
        <f t="shared" si="2"/>
        <v>#REF!</v>
      </c>
      <c r="G14" s="62" t="e">
        <f t="shared" si="3"/>
        <v>#REF!</v>
      </c>
      <c r="H14" s="74"/>
      <c r="I14" s="48">
        <v>0.1</v>
      </c>
      <c r="J14" s="41" t="e">
        <f>IF(J$1='[1]#REF'!$A$11,'[1]#REF'!$B$11,IF(J$1='[1]#REF'!$A$12,'[1]#REF'!$B$12,IF(J$1='[1]#REF'!$A$13,'[1]#REF'!$B$13,IF(J$1='[1]#REF'!$A$14,'[1]#REF'!$B$14))))</f>
        <v>#REF!</v>
      </c>
      <c r="K14" s="37"/>
      <c r="L14" s="37"/>
      <c r="M14" s="37"/>
      <c r="N14" s="37"/>
      <c r="O14" s="37"/>
      <c r="P14" s="37"/>
      <c r="Q14" s="37"/>
      <c r="R14" s="37"/>
      <c r="S14" s="37"/>
      <c r="T14" s="37"/>
      <c r="U14" s="37"/>
      <c r="V14" s="37"/>
      <c r="W14" s="37"/>
      <c r="X14" s="37"/>
      <c r="Y14" s="37"/>
      <c r="Z14" s="37"/>
    </row>
    <row r="15" ht="12.75" customHeight="1" spans="1:26">
      <c r="A15" s="37" t="s">
        <v>2674</v>
      </c>
      <c r="B15" s="72">
        <v>35</v>
      </c>
      <c r="C15" s="73" t="s">
        <v>2668</v>
      </c>
      <c r="D15" s="62" t="e">
        <f t="shared" si="0"/>
        <v>#REF!</v>
      </c>
      <c r="E15" s="62" t="e">
        <f t="shared" si="1"/>
        <v>#REF!</v>
      </c>
      <c r="F15" s="62" t="e">
        <f t="shared" si="2"/>
        <v>#REF!</v>
      </c>
      <c r="G15" s="62" t="e">
        <f t="shared" si="3"/>
        <v>#REF!</v>
      </c>
      <c r="H15" s="75"/>
      <c r="I15" s="48">
        <v>0.01</v>
      </c>
      <c r="J15" s="41" t="e">
        <f>IF(J$1='[1]#REF'!$A$11,'[1]#REF'!$B$11,IF(J$1='[1]#REF'!$A$12,'[1]#REF'!$B$12,IF(J$1='[1]#REF'!$A$13,'[1]#REF'!$B$13,IF(J$1='[1]#REF'!$A$14,'[1]#REF'!$B$14))))</f>
        <v>#REF!</v>
      </c>
      <c r="K15" s="37"/>
      <c r="L15" s="37"/>
      <c r="M15" s="37"/>
      <c r="N15" s="37"/>
      <c r="O15" s="37"/>
      <c r="P15" s="37"/>
      <c r="Q15" s="37"/>
      <c r="R15" s="37"/>
      <c r="S15" s="37"/>
      <c r="T15" s="37"/>
      <c r="U15" s="37"/>
      <c r="V15" s="37"/>
      <c r="W15" s="37"/>
      <c r="X15" s="37"/>
      <c r="Y15" s="37"/>
      <c r="Z15" s="37"/>
    </row>
    <row r="16" ht="12.75" customHeight="1" spans="1:26">
      <c r="A16" s="37" t="s">
        <v>2675</v>
      </c>
      <c r="B16" s="72">
        <v>400</v>
      </c>
      <c r="C16" s="73" t="s">
        <v>2666</v>
      </c>
      <c r="D16" s="62" t="e">
        <f t="shared" si="0"/>
        <v>#REF!</v>
      </c>
      <c r="E16" s="62" t="e">
        <f t="shared" si="1"/>
        <v>#REF!</v>
      </c>
      <c r="F16" s="62" t="e">
        <f t="shared" si="2"/>
        <v>#REF!</v>
      </c>
      <c r="G16" s="62" t="e">
        <f t="shared" si="3"/>
        <v>#REF!</v>
      </c>
      <c r="H16" s="75"/>
      <c r="I16" s="48">
        <v>0.01</v>
      </c>
      <c r="J16" s="41" t="e">
        <f>IF(J$1='[1]#REF'!$A$11,'[1]#REF'!$B$11,IF(J$1='[1]#REF'!$A$12,'[1]#REF'!$B$12,IF(J$1='[1]#REF'!$A$13,'[1]#REF'!$B$13,IF(J$1='[1]#REF'!$A$14,'[1]#REF'!$B$14))))</f>
        <v>#REF!</v>
      </c>
      <c r="K16" s="37"/>
      <c r="L16" s="37"/>
      <c r="M16" s="37"/>
      <c r="N16" s="37"/>
      <c r="O16" s="37"/>
      <c r="P16" s="37"/>
      <c r="Q16" s="37"/>
      <c r="R16" s="37"/>
      <c r="S16" s="37"/>
      <c r="T16" s="37"/>
      <c r="U16" s="37"/>
      <c r="V16" s="37"/>
      <c r="W16" s="37"/>
      <c r="X16" s="37"/>
      <c r="Y16" s="37"/>
      <c r="Z16" s="37"/>
    </row>
    <row r="17" ht="12.75" customHeight="1" spans="1:26">
      <c r="A17" s="42" t="s">
        <v>2676</v>
      </c>
      <c r="B17" s="72">
        <v>400</v>
      </c>
      <c r="C17" s="73" t="s">
        <v>2666</v>
      </c>
      <c r="D17" s="62" t="e">
        <f t="shared" si="0"/>
        <v>#REF!</v>
      </c>
      <c r="E17" s="62" t="e">
        <f t="shared" si="1"/>
        <v>#REF!</v>
      </c>
      <c r="F17" s="62" t="e">
        <f t="shared" si="2"/>
        <v>#REF!</v>
      </c>
      <c r="G17" s="62" t="e">
        <f t="shared" si="3"/>
        <v>#REF!</v>
      </c>
      <c r="H17" s="75"/>
      <c r="I17" s="39">
        <v>0.03</v>
      </c>
      <c r="J17" s="41" t="e">
        <f>IF(J$1='[1]#REF'!$A$11,'[1]#REF'!$B$11,IF(J$1='[1]#REF'!$A$12,'[1]#REF'!$B$12,IF(J$1='[1]#REF'!$A$13,'[1]#REF'!$B$13,IF(J$1='[1]#REF'!$A$14,'[1]#REF'!$B$14))))</f>
        <v>#REF!</v>
      </c>
      <c r="K17" s="37"/>
      <c r="L17" s="37"/>
      <c r="M17" s="37"/>
      <c r="N17" s="37"/>
      <c r="O17" s="37"/>
      <c r="P17" s="37"/>
      <c r="Q17" s="37"/>
      <c r="R17" s="37"/>
      <c r="S17" s="37"/>
      <c r="T17" s="37"/>
      <c r="U17" s="37"/>
      <c r="V17" s="37"/>
      <c r="W17" s="37"/>
      <c r="X17" s="37"/>
      <c r="Y17" s="37"/>
      <c r="Z17" s="37"/>
    </row>
    <row r="18" ht="12.75" customHeight="1" spans="1:26">
      <c r="A18" s="42" t="s">
        <v>2677</v>
      </c>
      <c r="B18" s="72"/>
      <c r="C18" s="73" t="s">
        <v>1064</v>
      </c>
      <c r="D18" s="62" t="e">
        <f t="shared" si="0"/>
        <v>#REF!</v>
      </c>
      <c r="E18" s="62" t="e">
        <f t="shared" si="1"/>
        <v>#REF!</v>
      </c>
      <c r="F18" s="62" t="e">
        <f t="shared" si="2"/>
        <v>#REF!</v>
      </c>
      <c r="G18" s="62" t="e">
        <f t="shared" si="3"/>
        <v>#REF!</v>
      </c>
      <c r="H18" s="74"/>
      <c r="I18" s="48"/>
      <c r="J18" s="41" t="e">
        <f>IF(J$1='[1]#REF'!$A$11,'[1]#REF'!$B$11,IF(J$1='[1]#REF'!$A$12,'[1]#REF'!$B$12,IF(J$1='[1]#REF'!$A$13,'[1]#REF'!$B$13,IF(J$1='[1]#REF'!$A$14,'[1]#REF'!$B$14))))</f>
        <v>#REF!</v>
      </c>
      <c r="K18" s="37"/>
      <c r="L18" s="37"/>
      <c r="M18" s="37"/>
      <c r="N18" s="37"/>
      <c r="O18" s="37"/>
      <c r="P18" s="37"/>
      <c r="Q18" s="37"/>
      <c r="R18" s="37"/>
      <c r="S18" s="37"/>
      <c r="T18" s="37"/>
      <c r="U18" s="37"/>
      <c r="V18" s="37"/>
      <c r="W18" s="37"/>
      <c r="X18" s="37"/>
      <c r="Y18" s="37"/>
      <c r="Z18" s="37"/>
    </row>
    <row r="19" ht="12.75" customHeight="1" spans="1:26">
      <c r="A19" s="42"/>
      <c r="B19" s="72"/>
      <c r="C19" s="73"/>
      <c r="D19" s="62" t="e">
        <f t="shared" si="0"/>
        <v>#REF!</v>
      </c>
      <c r="E19" s="62" t="e">
        <f t="shared" si="1"/>
        <v>#REF!</v>
      </c>
      <c r="F19" s="62" t="e">
        <f t="shared" si="2"/>
        <v>#REF!</v>
      </c>
      <c r="G19" s="62" t="e">
        <f t="shared" si="3"/>
        <v>#REF!</v>
      </c>
      <c r="H19" s="75"/>
      <c r="I19" s="48"/>
      <c r="J19" s="41" t="e">
        <f>IF(J$1='[1]#REF'!$A$11,'[1]#REF'!$B$11,IF(J$1='[1]#REF'!$A$12,'[1]#REF'!$B$12,IF(J$1='[1]#REF'!$A$13,'[1]#REF'!$B$13,IF(J$1='[1]#REF'!$A$14,'[1]#REF'!$B$14))))</f>
        <v>#REF!</v>
      </c>
      <c r="K19" s="37"/>
      <c r="L19" s="37"/>
      <c r="M19" s="37"/>
      <c r="N19" s="37"/>
      <c r="O19" s="37"/>
      <c r="P19" s="37"/>
      <c r="Q19" s="37"/>
      <c r="R19" s="37"/>
      <c r="S19" s="37"/>
      <c r="T19" s="37"/>
      <c r="U19" s="37"/>
      <c r="V19" s="37"/>
      <c r="W19" s="37"/>
      <c r="X19" s="37"/>
      <c r="Y19" s="37"/>
      <c r="Z19" s="37"/>
    </row>
    <row r="20" ht="18" customHeight="1" spans="1:26">
      <c r="A20" s="69" t="s">
        <v>971</v>
      </c>
      <c r="B20" s="76"/>
      <c r="C20" s="77"/>
      <c r="D20" s="78"/>
      <c r="E20" s="78"/>
      <c r="F20" s="78"/>
      <c r="G20" s="78"/>
      <c r="H20" s="79"/>
      <c r="I20" s="91"/>
      <c r="J20" s="90"/>
      <c r="K20" s="37"/>
      <c r="L20" s="37"/>
      <c r="M20" s="37"/>
      <c r="N20" s="37"/>
      <c r="O20" s="37"/>
      <c r="P20" s="37"/>
      <c r="Q20" s="37"/>
      <c r="R20" s="37"/>
      <c r="S20" s="37"/>
      <c r="T20" s="37"/>
      <c r="U20" s="37"/>
      <c r="V20" s="37"/>
      <c r="W20" s="37"/>
      <c r="X20" s="37"/>
      <c r="Y20" s="37"/>
      <c r="Z20" s="37"/>
    </row>
    <row r="21" ht="12.75" customHeight="1" spans="1:26">
      <c r="A21" s="37" t="s">
        <v>2678</v>
      </c>
      <c r="B21" s="72">
        <v>150</v>
      </c>
      <c r="C21" s="73" t="s">
        <v>2666</v>
      </c>
      <c r="D21" s="62">
        <f t="shared" ref="D21:D29" si="4">IF(J21="",B21,B21*(1-J21))</f>
        <v>150</v>
      </c>
      <c r="E21" s="62">
        <f t="shared" ref="E21:E29" si="5">$D21/2*(1+$B$1)</f>
        <v>93.75</v>
      </c>
      <c r="F21" s="62">
        <f t="shared" ref="F21:F29" si="6">$D21/3*(1+$B$1)</f>
        <v>62.5</v>
      </c>
      <c r="G21" s="62">
        <f t="shared" ref="G21:G29" si="7">$D21/4*(1+$B$1)</f>
        <v>46.875</v>
      </c>
      <c r="H21" s="81">
        <v>250</v>
      </c>
      <c r="I21" s="48">
        <v>0.01</v>
      </c>
      <c r="J21" s="41"/>
      <c r="K21" s="37"/>
      <c r="L21" s="37"/>
      <c r="M21" s="37"/>
      <c r="N21" s="37"/>
      <c r="O21" s="37"/>
      <c r="P21" s="37"/>
      <c r="Q21" s="37"/>
      <c r="R21" s="37"/>
      <c r="S21" s="37"/>
      <c r="T21" s="37"/>
      <c r="U21" s="37"/>
      <c r="V21" s="37"/>
      <c r="W21" s="37"/>
      <c r="X21" s="37"/>
      <c r="Y21" s="37"/>
      <c r="Z21" s="37"/>
    </row>
    <row r="22" ht="12.75" customHeight="1" spans="1:26">
      <c r="A22" s="37" t="s">
        <v>2679</v>
      </c>
      <c r="B22" s="72">
        <v>150</v>
      </c>
      <c r="C22" s="73" t="s">
        <v>2666</v>
      </c>
      <c r="D22" s="62">
        <f t="shared" si="4"/>
        <v>150</v>
      </c>
      <c r="E22" s="62">
        <f t="shared" si="5"/>
        <v>93.75</v>
      </c>
      <c r="F22" s="62">
        <f t="shared" si="6"/>
        <v>62.5</v>
      </c>
      <c r="G22" s="62">
        <f t="shared" si="7"/>
        <v>46.875</v>
      </c>
      <c r="H22" s="81">
        <v>250</v>
      </c>
      <c r="I22" s="48">
        <v>0.01</v>
      </c>
      <c r="J22" s="41"/>
      <c r="K22" s="37"/>
      <c r="L22" s="37"/>
      <c r="M22" s="37"/>
      <c r="N22" s="37"/>
      <c r="O22" s="37"/>
      <c r="P22" s="37"/>
      <c r="Q22" s="37"/>
      <c r="R22" s="37"/>
      <c r="S22" s="37"/>
      <c r="T22" s="37"/>
      <c r="U22" s="37"/>
      <c r="V22" s="37"/>
      <c r="W22" s="37"/>
      <c r="X22" s="37"/>
      <c r="Y22" s="37"/>
      <c r="Z22" s="37"/>
    </row>
    <row r="23" ht="12.75" customHeight="1" spans="1:26">
      <c r="A23" s="37" t="s">
        <v>2680</v>
      </c>
      <c r="B23" s="72">
        <v>125</v>
      </c>
      <c r="C23" s="73" t="s">
        <v>2666</v>
      </c>
      <c r="D23" s="62">
        <f t="shared" si="4"/>
        <v>125</v>
      </c>
      <c r="E23" s="62">
        <f t="shared" si="5"/>
        <v>78.125</v>
      </c>
      <c r="F23" s="62">
        <f t="shared" si="6"/>
        <v>52.0833333333333</v>
      </c>
      <c r="G23" s="62">
        <f t="shared" si="7"/>
        <v>39.0625</v>
      </c>
      <c r="H23" s="75">
        <v>350</v>
      </c>
      <c r="I23" s="48">
        <v>0.01</v>
      </c>
      <c r="J23" s="41"/>
      <c r="K23" s="37"/>
      <c r="L23" s="37"/>
      <c r="M23" s="37"/>
      <c r="N23" s="37"/>
      <c r="O23" s="37"/>
      <c r="P23" s="37"/>
      <c r="Q23" s="37"/>
      <c r="R23" s="37"/>
      <c r="S23" s="37"/>
      <c r="T23" s="37"/>
      <c r="U23" s="37"/>
      <c r="V23" s="37"/>
      <c r="W23" s="37"/>
      <c r="X23" s="37"/>
      <c r="Y23" s="37"/>
      <c r="Z23" s="37"/>
    </row>
    <row r="24" ht="12.75" customHeight="1" spans="1:26">
      <c r="A24" s="37" t="s">
        <v>2681</v>
      </c>
      <c r="B24" s="72">
        <v>100</v>
      </c>
      <c r="C24" s="73" t="s">
        <v>2668</v>
      </c>
      <c r="D24" s="62">
        <f t="shared" si="4"/>
        <v>100</v>
      </c>
      <c r="E24" s="62">
        <f t="shared" si="5"/>
        <v>62.5</v>
      </c>
      <c r="F24" s="62">
        <f t="shared" si="6"/>
        <v>41.6666666666667</v>
      </c>
      <c r="G24" s="62">
        <f t="shared" si="7"/>
        <v>31.25</v>
      </c>
      <c r="H24" s="81">
        <v>1600</v>
      </c>
      <c r="I24" s="48">
        <v>0.01</v>
      </c>
      <c r="J24" s="41"/>
      <c r="K24" s="37"/>
      <c r="L24" s="37"/>
      <c r="M24" s="37"/>
      <c r="N24" s="37"/>
      <c r="O24" s="37"/>
      <c r="P24" s="37"/>
      <c r="Q24" s="37"/>
      <c r="R24" s="37"/>
      <c r="S24" s="37"/>
      <c r="T24" s="37"/>
      <c r="U24" s="37"/>
      <c r="V24" s="37"/>
      <c r="W24" s="37"/>
      <c r="X24" s="37"/>
      <c r="Y24" s="37"/>
      <c r="Z24" s="37"/>
    </row>
    <row r="25" ht="12.75" customHeight="1" spans="1:26">
      <c r="A25" s="37" t="s">
        <v>369</v>
      </c>
      <c r="B25" s="72">
        <v>8</v>
      </c>
      <c r="C25" s="73" t="s">
        <v>370</v>
      </c>
      <c r="D25" s="62">
        <f t="shared" si="4"/>
        <v>8</v>
      </c>
      <c r="E25" s="62">
        <f t="shared" si="5"/>
        <v>5</v>
      </c>
      <c r="F25" s="62">
        <f t="shared" si="6"/>
        <v>3.33333333333333</v>
      </c>
      <c r="G25" s="62">
        <f t="shared" si="7"/>
        <v>2.5</v>
      </c>
      <c r="H25" s="81">
        <v>120</v>
      </c>
      <c r="I25" s="39">
        <v>0.1</v>
      </c>
      <c r="J25" s="41"/>
      <c r="K25" s="37"/>
      <c r="L25" s="37"/>
      <c r="M25" s="37"/>
      <c r="N25" s="37"/>
      <c r="O25" s="37"/>
      <c r="P25" s="37"/>
      <c r="Q25" s="37"/>
      <c r="R25" s="37"/>
      <c r="S25" s="37"/>
      <c r="T25" s="37"/>
      <c r="U25" s="37"/>
      <c r="V25" s="37"/>
      <c r="W25" s="37"/>
      <c r="X25" s="37"/>
      <c r="Y25" s="37"/>
      <c r="Z25" s="37"/>
    </row>
    <row r="26" ht="12.75" customHeight="1" spans="1:26">
      <c r="A26" s="42" t="s">
        <v>371</v>
      </c>
      <c r="B26" s="72">
        <v>48</v>
      </c>
      <c r="C26" s="73" t="s">
        <v>370</v>
      </c>
      <c r="D26" s="62">
        <f t="shared" si="4"/>
        <v>48</v>
      </c>
      <c r="E26" s="62">
        <f t="shared" si="5"/>
        <v>30</v>
      </c>
      <c r="F26" s="62">
        <f t="shared" si="6"/>
        <v>20</v>
      </c>
      <c r="G26" s="62">
        <f t="shared" si="7"/>
        <v>15</v>
      </c>
      <c r="H26" s="75">
        <f>350/1.5/2</f>
        <v>116.666666666667</v>
      </c>
      <c r="I26" s="39">
        <v>0.1</v>
      </c>
      <c r="J26" s="41"/>
      <c r="K26" s="37"/>
      <c r="L26" s="37"/>
      <c r="M26" s="37"/>
      <c r="N26" s="37"/>
      <c r="O26" s="37"/>
      <c r="P26" s="37"/>
      <c r="Q26" s="37"/>
      <c r="R26" s="37"/>
      <c r="S26" s="37"/>
      <c r="T26" s="37"/>
      <c r="U26" s="37"/>
      <c r="V26" s="37"/>
      <c r="W26" s="37"/>
      <c r="X26" s="37"/>
      <c r="Y26" s="37"/>
      <c r="Z26" s="37"/>
    </row>
    <row r="27" ht="12.75" customHeight="1" spans="1:26">
      <c r="A27" s="37" t="s">
        <v>2682</v>
      </c>
      <c r="B27" s="72">
        <v>2</v>
      </c>
      <c r="C27" s="73" t="s">
        <v>370</v>
      </c>
      <c r="D27" s="62">
        <f t="shared" si="4"/>
        <v>2</v>
      </c>
      <c r="E27" s="62">
        <f t="shared" si="5"/>
        <v>1.25</v>
      </c>
      <c r="F27" s="62">
        <f t="shared" si="6"/>
        <v>0.833333333333333</v>
      </c>
      <c r="G27" s="62">
        <f t="shared" si="7"/>
        <v>0.625</v>
      </c>
      <c r="H27" s="75">
        <v>4</v>
      </c>
      <c r="I27" s="48">
        <v>1</v>
      </c>
      <c r="J27" s="41"/>
      <c r="K27" s="37"/>
      <c r="L27" s="37"/>
      <c r="M27" s="37"/>
      <c r="N27" s="37"/>
      <c r="O27" s="37"/>
      <c r="P27" s="37"/>
      <c r="Q27" s="37"/>
      <c r="R27" s="37"/>
      <c r="S27" s="37"/>
      <c r="T27" s="37"/>
      <c r="U27" s="37"/>
      <c r="V27" s="37"/>
      <c r="W27" s="37"/>
      <c r="X27" s="37"/>
      <c r="Y27" s="37"/>
      <c r="Z27" s="37"/>
    </row>
    <row r="28" ht="12.75" customHeight="1" spans="1:26">
      <c r="A28" s="37" t="s">
        <v>2683</v>
      </c>
      <c r="B28" s="72">
        <v>4</v>
      </c>
      <c r="C28" s="73" t="s">
        <v>370</v>
      </c>
      <c r="D28" s="62">
        <f t="shared" si="4"/>
        <v>4</v>
      </c>
      <c r="E28" s="62">
        <f t="shared" si="5"/>
        <v>2.5</v>
      </c>
      <c r="F28" s="62">
        <f t="shared" si="6"/>
        <v>1.66666666666667</v>
      </c>
      <c r="G28" s="62">
        <f t="shared" si="7"/>
        <v>1.25</v>
      </c>
      <c r="H28" s="75">
        <v>4</v>
      </c>
      <c r="I28" s="48">
        <v>10</v>
      </c>
      <c r="J28" s="41"/>
      <c r="K28" s="37"/>
      <c r="L28" s="37"/>
      <c r="M28" s="37"/>
      <c r="N28" s="37"/>
      <c r="O28" s="37"/>
      <c r="P28" s="37"/>
      <c r="Q28" s="37"/>
      <c r="R28" s="37"/>
      <c r="S28" s="37"/>
      <c r="T28" s="37"/>
      <c r="U28" s="37"/>
      <c r="V28" s="37"/>
      <c r="W28" s="37"/>
      <c r="X28" s="37"/>
      <c r="Y28" s="37"/>
      <c r="Z28" s="37"/>
    </row>
    <row r="29" ht="12.75" customHeight="1" spans="1:26">
      <c r="A29" s="37"/>
      <c r="B29" s="72"/>
      <c r="C29" s="73"/>
      <c r="D29" s="62">
        <f t="shared" si="4"/>
        <v>0</v>
      </c>
      <c r="E29" s="62">
        <f t="shared" si="5"/>
        <v>0</v>
      </c>
      <c r="F29" s="62">
        <f t="shared" si="6"/>
        <v>0</v>
      </c>
      <c r="G29" s="62">
        <f t="shared" si="7"/>
        <v>0</v>
      </c>
      <c r="H29" s="75"/>
      <c r="I29" s="48"/>
      <c r="J29" s="41"/>
      <c r="K29" s="37"/>
      <c r="L29" s="37"/>
      <c r="M29" s="37"/>
      <c r="N29" s="37"/>
      <c r="O29" s="37"/>
      <c r="P29" s="37"/>
      <c r="Q29" s="37"/>
      <c r="R29" s="37"/>
      <c r="S29" s="37"/>
      <c r="T29" s="37"/>
      <c r="U29" s="37"/>
      <c r="V29" s="37"/>
      <c r="W29" s="37"/>
      <c r="X29" s="37"/>
      <c r="Y29" s="37"/>
      <c r="Z29" s="37"/>
    </row>
    <row r="30" ht="18" customHeight="1" spans="1:26">
      <c r="A30" s="69" t="s">
        <v>969</v>
      </c>
      <c r="B30" s="76"/>
      <c r="C30" s="77"/>
      <c r="D30" s="78"/>
      <c r="E30" s="78"/>
      <c r="F30" s="78"/>
      <c r="G30" s="78"/>
      <c r="H30" s="79"/>
      <c r="I30" s="91"/>
      <c r="J30" s="90"/>
      <c r="K30" s="37"/>
      <c r="L30" s="37"/>
      <c r="M30" s="37"/>
      <c r="N30" s="37"/>
      <c r="O30" s="37"/>
      <c r="P30" s="37"/>
      <c r="Q30" s="37"/>
      <c r="R30" s="37"/>
      <c r="S30" s="37"/>
      <c r="T30" s="37"/>
      <c r="U30" s="37"/>
      <c r="V30" s="37"/>
      <c r="W30" s="37"/>
      <c r="X30" s="37"/>
      <c r="Y30" s="37"/>
      <c r="Z30" s="37"/>
    </row>
    <row r="31" ht="12.75" customHeight="1" spans="1:26">
      <c r="A31" s="42" t="s">
        <v>2684</v>
      </c>
      <c r="B31" s="72">
        <v>125</v>
      </c>
      <c r="C31" s="73" t="s">
        <v>2666</v>
      </c>
      <c r="D31" s="62">
        <f t="shared" ref="D31:D37" si="8">IF(J31="",B31,B31*(1-J31))</f>
        <v>125</v>
      </c>
      <c r="E31" s="62">
        <f t="shared" ref="E31:E37" si="9">$D31/2*(1+$B$1)</f>
        <v>78.125</v>
      </c>
      <c r="F31" s="62">
        <f t="shared" ref="F31:F37" si="10">$D31/3*(1+$B$1)</f>
        <v>52.0833333333333</v>
      </c>
      <c r="G31" s="62">
        <f t="shared" ref="G31:G37" si="11">$D31/4*(1+$B$1)</f>
        <v>39.0625</v>
      </c>
      <c r="H31" s="81">
        <v>250</v>
      </c>
      <c r="I31" s="48">
        <v>0.01</v>
      </c>
      <c r="J31" s="41"/>
      <c r="K31" s="37"/>
      <c r="L31" s="37"/>
      <c r="M31" s="37"/>
      <c r="N31" s="37"/>
      <c r="O31" s="37"/>
      <c r="P31" s="37"/>
      <c r="Q31" s="37"/>
      <c r="R31" s="37"/>
      <c r="S31" s="37"/>
      <c r="T31" s="37"/>
      <c r="U31" s="37"/>
      <c r="V31" s="37"/>
      <c r="W31" s="37"/>
      <c r="X31" s="37"/>
      <c r="Y31" s="37"/>
      <c r="Z31" s="37"/>
    </row>
    <row r="32" ht="12.75" customHeight="1" spans="1:26">
      <c r="A32" s="37" t="s">
        <v>2685</v>
      </c>
      <c r="B32" s="72">
        <v>125</v>
      </c>
      <c r="C32" s="73" t="s">
        <v>2666</v>
      </c>
      <c r="D32" s="62">
        <f t="shared" si="8"/>
        <v>125</v>
      </c>
      <c r="E32" s="62">
        <f t="shared" si="9"/>
        <v>78.125</v>
      </c>
      <c r="F32" s="62">
        <f t="shared" si="10"/>
        <v>52.0833333333333</v>
      </c>
      <c r="G32" s="62">
        <f t="shared" si="11"/>
        <v>39.0625</v>
      </c>
      <c r="H32" s="75">
        <v>300</v>
      </c>
      <c r="I32" s="48">
        <v>0.01</v>
      </c>
      <c r="J32" s="41"/>
      <c r="K32" s="37"/>
      <c r="L32" s="37"/>
      <c r="M32" s="37"/>
      <c r="N32" s="37"/>
      <c r="O32" s="37"/>
      <c r="P32" s="37"/>
      <c r="Q32" s="37"/>
      <c r="R32" s="37"/>
      <c r="S32" s="37"/>
      <c r="T32" s="37"/>
      <c r="U32" s="37"/>
      <c r="V32" s="37"/>
      <c r="W32" s="37"/>
      <c r="X32" s="37"/>
      <c r="Y32" s="37"/>
      <c r="Z32" s="37"/>
    </row>
    <row r="33" ht="12.75" customHeight="1" spans="1:26">
      <c r="A33" s="37" t="s">
        <v>2686</v>
      </c>
      <c r="B33" s="72">
        <v>85</v>
      </c>
      <c r="C33" s="73" t="s">
        <v>2666</v>
      </c>
      <c r="D33" s="62">
        <f t="shared" si="8"/>
        <v>85</v>
      </c>
      <c r="E33" s="62">
        <f t="shared" si="9"/>
        <v>53.125</v>
      </c>
      <c r="F33" s="62">
        <f t="shared" si="10"/>
        <v>35.4166666666667</v>
      </c>
      <c r="G33" s="62">
        <f t="shared" si="11"/>
        <v>26.5625</v>
      </c>
      <c r="H33" s="75">
        <v>300</v>
      </c>
      <c r="I33" s="48">
        <v>0.01</v>
      </c>
      <c r="J33" s="41"/>
      <c r="K33" s="37"/>
      <c r="L33" s="37"/>
      <c r="M33" s="37"/>
      <c r="N33" s="37"/>
      <c r="O33" s="37"/>
      <c r="P33" s="37"/>
      <c r="Q33" s="37"/>
      <c r="R33" s="37"/>
      <c r="S33" s="37"/>
      <c r="T33" s="37"/>
      <c r="U33" s="37"/>
      <c r="V33" s="37"/>
      <c r="W33" s="37"/>
      <c r="X33" s="37"/>
      <c r="Y33" s="37"/>
      <c r="Z33" s="37"/>
    </row>
    <row r="34" ht="12.75" customHeight="1" spans="1:26">
      <c r="A34" s="42" t="s">
        <v>2687</v>
      </c>
      <c r="B34" s="72">
        <v>150</v>
      </c>
      <c r="C34" s="73" t="s">
        <v>2666</v>
      </c>
      <c r="D34" s="62">
        <f t="shared" si="8"/>
        <v>150</v>
      </c>
      <c r="E34" s="62">
        <f t="shared" si="9"/>
        <v>93.75</v>
      </c>
      <c r="F34" s="62">
        <f t="shared" si="10"/>
        <v>62.5</v>
      </c>
      <c r="G34" s="62">
        <f t="shared" si="11"/>
        <v>46.875</v>
      </c>
      <c r="H34" s="75">
        <v>350</v>
      </c>
      <c r="I34" s="48">
        <v>0.01</v>
      </c>
      <c r="J34" s="41"/>
      <c r="K34" s="37"/>
      <c r="L34" s="37"/>
      <c r="M34" s="37"/>
      <c r="N34" s="37"/>
      <c r="O34" s="37"/>
      <c r="P34" s="37"/>
      <c r="Q34" s="37"/>
      <c r="R34" s="37"/>
      <c r="S34" s="37"/>
      <c r="T34" s="37"/>
      <c r="U34" s="37"/>
      <c r="V34" s="37"/>
      <c r="W34" s="37"/>
      <c r="X34" s="37"/>
      <c r="Y34" s="37"/>
      <c r="Z34" s="37"/>
    </row>
    <row r="35" ht="12.75" customHeight="1" spans="1:26">
      <c r="A35" s="42" t="s">
        <v>2688</v>
      </c>
      <c r="B35" s="72">
        <v>100</v>
      </c>
      <c r="C35" s="73" t="s">
        <v>2666</v>
      </c>
      <c r="D35" s="62">
        <f t="shared" si="8"/>
        <v>100</v>
      </c>
      <c r="E35" s="62">
        <f t="shared" si="9"/>
        <v>62.5</v>
      </c>
      <c r="F35" s="62">
        <f t="shared" si="10"/>
        <v>41.6666666666667</v>
      </c>
      <c r="G35" s="62">
        <f t="shared" si="11"/>
        <v>31.25</v>
      </c>
      <c r="H35" s="81">
        <v>250</v>
      </c>
      <c r="I35" s="48">
        <v>0.01</v>
      </c>
      <c r="J35" s="41"/>
      <c r="K35" s="37"/>
      <c r="L35" s="37"/>
      <c r="M35" s="37"/>
      <c r="N35" s="37"/>
      <c r="O35" s="37"/>
      <c r="P35" s="37"/>
      <c r="Q35" s="37"/>
      <c r="R35" s="37"/>
      <c r="S35" s="37"/>
      <c r="T35" s="37"/>
      <c r="U35" s="37"/>
      <c r="V35" s="37"/>
      <c r="W35" s="37"/>
      <c r="X35" s="37"/>
      <c r="Y35" s="37"/>
      <c r="Z35" s="37"/>
    </row>
    <row r="36" ht="12.75" customHeight="1" spans="1:26">
      <c r="A36" s="37" t="s">
        <v>2689</v>
      </c>
      <c r="B36" s="72">
        <v>100</v>
      </c>
      <c r="C36" s="73" t="s">
        <v>2668</v>
      </c>
      <c r="D36" s="62">
        <f t="shared" si="8"/>
        <v>100</v>
      </c>
      <c r="E36" s="62">
        <f t="shared" si="9"/>
        <v>62.5</v>
      </c>
      <c r="F36" s="62">
        <f t="shared" si="10"/>
        <v>41.6666666666667</v>
      </c>
      <c r="G36" s="62">
        <f t="shared" si="11"/>
        <v>31.25</v>
      </c>
      <c r="H36" s="81">
        <v>1600</v>
      </c>
      <c r="I36" s="48">
        <v>0.01</v>
      </c>
      <c r="J36" s="41"/>
      <c r="K36" s="37"/>
      <c r="L36" s="37"/>
      <c r="M36" s="37"/>
      <c r="N36" s="37"/>
      <c r="O36" s="37"/>
      <c r="P36" s="37"/>
      <c r="Q36" s="37"/>
      <c r="R36" s="37"/>
      <c r="S36" s="37"/>
      <c r="T36" s="37"/>
      <c r="U36" s="37"/>
      <c r="V36" s="37"/>
      <c r="W36" s="37"/>
      <c r="X36" s="37"/>
      <c r="Y36" s="37"/>
      <c r="Z36" s="37"/>
    </row>
    <row r="37" ht="12.75" customHeight="1" spans="1:26">
      <c r="A37" s="37"/>
      <c r="B37" s="72"/>
      <c r="C37" s="73"/>
      <c r="D37" s="62">
        <f t="shared" si="8"/>
        <v>0</v>
      </c>
      <c r="E37" s="62">
        <f t="shared" si="9"/>
        <v>0</v>
      </c>
      <c r="F37" s="62">
        <f t="shared" si="10"/>
        <v>0</v>
      </c>
      <c r="G37" s="62">
        <f t="shared" si="11"/>
        <v>0</v>
      </c>
      <c r="H37" s="75"/>
      <c r="I37" s="48"/>
      <c r="J37" s="41"/>
      <c r="K37" s="37"/>
      <c r="L37" s="37"/>
      <c r="M37" s="37"/>
      <c r="N37" s="37"/>
      <c r="O37" s="37"/>
      <c r="P37" s="37"/>
      <c r="Q37" s="37"/>
      <c r="R37" s="37"/>
      <c r="S37" s="37"/>
      <c r="T37" s="37"/>
      <c r="U37" s="37"/>
      <c r="V37" s="37"/>
      <c r="W37" s="37"/>
      <c r="X37" s="37"/>
      <c r="Y37" s="37"/>
      <c r="Z37" s="37"/>
    </row>
    <row r="38" ht="18" customHeight="1" spans="1:26">
      <c r="A38" s="69" t="s">
        <v>2690</v>
      </c>
      <c r="B38" s="76"/>
      <c r="C38" s="77"/>
      <c r="D38" s="78"/>
      <c r="E38" s="78"/>
      <c r="F38" s="78"/>
      <c r="G38" s="78"/>
      <c r="H38" s="79"/>
      <c r="I38" s="91"/>
      <c r="J38" s="90"/>
      <c r="K38" s="37"/>
      <c r="L38" s="62"/>
      <c r="M38" s="37"/>
      <c r="N38" s="37"/>
      <c r="O38" s="37"/>
      <c r="P38" s="37"/>
      <c r="Q38" s="37"/>
      <c r="R38" s="37"/>
      <c r="S38" s="37"/>
      <c r="T38" s="37"/>
      <c r="U38" s="37"/>
      <c r="V38" s="37"/>
      <c r="W38" s="37"/>
      <c r="X38" s="37"/>
      <c r="Y38" s="37"/>
      <c r="Z38" s="37"/>
    </row>
    <row r="39" ht="12.75" customHeight="1" spans="1:26">
      <c r="A39" s="37" t="s">
        <v>2691</v>
      </c>
      <c r="B39" s="72">
        <v>2</v>
      </c>
      <c r="C39" s="73" t="s">
        <v>370</v>
      </c>
      <c r="D39" s="62">
        <f t="shared" ref="D39:D52" si="12">IF(J39="",B39,B39*(1-J39))</f>
        <v>2</v>
      </c>
      <c r="E39" s="62">
        <f t="shared" ref="E39:E52" si="13">$D39/2*(1+$B$1)</f>
        <v>1.25</v>
      </c>
      <c r="F39" s="62">
        <f t="shared" ref="F39:F52" si="14">$D39/3*(1+$B$1)</f>
        <v>0.833333333333333</v>
      </c>
      <c r="G39" s="62">
        <f t="shared" ref="G39:G52" si="15">$D39/4*(1+$B$1)</f>
        <v>0.625</v>
      </c>
      <c r="H39" s="75">
        <v>16</v>
      </c>
      <c r="I39" s="48">
        <v>1</v>
      </c>
      <c r="J39" s="41"/>
      <c r="K39" s="37"/>
      <c r="L39" s="62"/>
      <c r="M39" s="37"/>
      <c r="N39" s="37"/>
      <c r="O39" s="37"/>
      <c r="P39" s="37"/>
      <c r="Q39" s="37"/>
      <c r="R39" s="37"/>
      <c r="S39" s="37"/>
      <c r="T39" s="37"/>
      <c r="U39" s="37"/>
      <c r="V39" s="37"/>
      <c r="W39" s="37"/>
      <c r="X39" s="37"/>
      <c r="Y39" s="37"/>
      <c r="Z39" s="37"/>
    </row>
    <row r="40" ht="12.75" customHeight="1" spans="1:26">
      <c r="A40" s="37" t="s">
        <v>2692</v>
      </c>
      <c r="B40" s="72">
        <v>1.5</v>
      </c>
      <c r="C40" s="73" t="s">
        <v>370</v>
      </c>
      <c r="D40" s="62">
        <f t="shared" si="12"/>
        <v>1.5</v>
      </c>
      <c r="E40" s="62">
        <f t="shared" si="13"/>
        <v>0.9375</v>
      </c>
      <c r="F40" s="62">
        <f t="shared" si="14"/>
        <v>0.625</v>
      </c>
      <c r="G40" s="62">
        <f t="shared" si="15"/>
        <v>0.46875</v>
      </c>
      <c r="H40" s="75">
        <v>16</v>
      </c>
      <c r="I40" s="48">
        <v>1</v>
      </c>
      <c r="J40" s="41"/>
      <c r="K40" s="37"/>
      <c r="L40" s="37"/>
      <c r="M40" s="37"/>
      <c r="N40" s="37"/>
      <c r="O40" s="37"/>
      <c r="P40" s="37"/>
      <c r="Q40" s="37"/>
      <c r="R40" s="37"/>
      <c r="S40" s="37"/>
      <c r="T40" s="37"/>
      <c r="U40" s="37"/>
      <c r="V40" s="37"/>
      <c r="W40" s="37"/>
      <c r="X40" s="37"/>
      <c r="Y40" s="37"/>
      <c r="Z40" s="37"/>
    </row>
    <row r="41" ht="12.75" customHeight="1" spans="1:26">
      <c r="A41" s="37" t="s">
        <v>2693</v>
      </c>
      <c r="B41" s="72">
        <v>0.666666666666667</v>
      </c>
      <c r="C41" s="73" t="s">
        <v>370</v>
      </c>
      <c r="D41" s="62">
        <f t="shared" si="12"/>
        <v>0.666666666666667</v>
      </c>
      <c r="E41" s="62">
        <f t="shared" si="13"/>
        <v>0.416666666666667</v>
      </c>
      <c r="F41" s="62">
        <f t="shared" si="14"/>
        <v>0.277777777777778</v>
      </c>
      <c r="G41" s="62">
        <f t="shared" si="15"/>
        <v>0.208333333333333</v>
      </c>
      <c r="H41" s="75">
        <v>16</v>
      </c>
      <c r="I41" s="48">
        <f>15*0.22</f>
        <v>3.3</v>
      </c>
      <c r="J41" s="41"/>
      <c r="K41" s="37"/>
      <c r="L41" s="37"/>
      <c r="M41" s="37"/>
      <c r="N41" s="37"/>
      <c r="O41" s="37"/>
      <c r="P41" s="37"/>
      <c r="Q41" s="37"/>
      <c r="R41" s="37"/>
      <c r="S41" s="37"/>
      <c r="T41" s="37"/>
      <c r="U41" s="37"/>
      <c r="V41" s="37"/>
      <c r="W41" s="37"/>
      <c r="X41" s="37"/>
      <c r="Y41" s="37"/>
      <c r="Z41" s="37"/>
    </row>
    <row r="42" ht="12.75" customHeight="1" spans="1:26">
      <c r="A42" s="37" t="s">
        <v>1924</v>
      </c>
      <c r="B42" s="72">
        <v>4</v>
      </c>
      <c r="C42" s="73" t="s">
        <v>370</v>
      </c>
      <c r="D42" s="62">
        <f t="shared" si="12"/>
        <v>4</v>
      </c>
      <c r="E42" s="62">
        <f t="shared" si="13"/>
        <v>2.5</v>
      </c>
      <c r="F42" s="62">
        <f t="shared" si="14"/>
        <v>1.66666666666667</v>
      </c>
      <c r="G42" s="62">
        <f t="shared" si="15"/>
        <v>1.25</v>
      </c>
      <c r="H42" s="75">
        <v>32</v>
      </c>
      <c r="I42" s="48">
        <v>0.5</v>
      </c>
      <c r="J42" s="41"/>
      <c r="K42" s="37"/>
      <c r="L42" s="37"/>
      <c r="M42" s="37"/>
      <c r="N42" s="37"/>
      <c r="O42" s="37"/>
      <c r="P42" s="37"/>
      <c r="Q42" s="37"/>
      <c r="R42" s="37"/>
      <c r="S42" s="37"/>
      <c r="T42" s="37"/>
      <c r="U42" s="37"/>
      <c r="V42" s="37"/>
      <c r="W42" s="37"/>
      <c r="X42" s="37"/>
      <c r="Y42" s="37"/>
      <c r="Z42" s="37"/>
    </row>
    <row r="43" ht="12.75" customHeight="1" spans="1:26">
      <c r="A43" s="37" t="s">
        <v>372</v>
      </c>
      <c r="B43" s="72">
        <v>4</v>
      </c>
      <c r="C43" s="73" t="s">
        <v>370</v>
      </c>
      <c r="D43" s="62">
        <f t="shared" si="12"/>
        <v>4</v>
      </c>
      <c r="E43" s="62">
        <f t="shared" si="13"/>
        <v>2.5</v>
      </c>
      <c r="F43" s="62">
        <f t="shared" si="14"/>
        <v>1.66666666666667</v>
      </c>
      <c r="G43" s="62">
        <f t="shared" si="15"/>
        <v>1.25</v>
      </c>
      <c r="H43" s="75">
        <v>32</v>
      </c>
      <c r="I43" s="48">
        <v>0.5</v>
      </c>
      <c r="J43" s="41"/>
      <c r="K43" s="37"/>
      <c r="L43" s="37"/>
      <c r="M43" s="37"/>
      <c r="N43" s="37"/>
      <c r="O43" s="37"/>
      <c r="P43" s="37"/>
      <c r="Q43" s="37"/>
      <c r="R43" s="37"/>
      <c r="S43" s="37"/>
      <c r="T43" s="37"/>
      <c r="U43" s="37"/>
      <c r="V43" s="37"/>
      <c r="W43" s="37"/>
      <c r="X43" s="37"/>
      <c r="Y43" s="37"/>
      <c r="Z43" s="37"/>
    </row>
    <row r="44" ht="12.75" customHeight="1" spans="1:26">
      <c r="A44" s="37" t="s">
        <v>373</v>
      </c>
      <c r="B44" s="72">
        <v>3.333</v>
      </c>
      <c r="C44" s="73" t="s">
        <v>370</v>
      </c>
      <c r="D44" s="62">
        <f t="shared" si="12"/>
        <v>3.333</v>
      </c>
      <c r="E44" s="62">
        <f t="shared" si="13"/>
        <v>2.083125</v>
      </c>
      <c r="F44" s="62">
        <f t="shared" si="14"/>
        <v>1.38875</v>
      </c>
      <c r="G44" s="62">
        <f t="shared" si="15"/>
        <v>1.0415625</v>
      </c>
      <c r="H44" s="75">
        <v>24</v>
      </c>
      <c r="I44" s="48">
        <v>0.5</v>
      </c>
      <c r="J44" s="41"/>
      <c r="K44" s="37"/>
      <c r="L44" s="37"/>
      <c r="M44" s="37"/>
      <c r="N44" s="37"/>
      <c r="O44" s="37"/>
      <c r="P44" s="37"/>
      <c r="Q44" s="37"/>
      <c r="R44" s="37"/>
      <c r="S44" s="37"/>
      <c r="T44" s="37"/>
      <c r="U44" s="37"/>
      <c r="V44" s="37"/>
      <c r="W44" s="37"/>
      <c r="X44" s="37"/>
      <c r="Y44" s="37"/>
      <c r="Z44" s="37"/>
    </row>
    <row r="45" ht="12.75" customHeight="1" spans="1:26">
      <c r="A45" s="37" t="s">
        <v>374</v>
      </c>
      <c r="B45" s="72">
        <v>6</v>
      </c>
      <c r="C45" s="73" t="s">
        <v>370</v>
      </c>
      <c r="D45" s="62">
        <f t="shared" si="12"/>
        <v>6</v>
      </c>
      <c r="E45" s="62">
        <f t="shared" si="13"/>
        <v>3.75</v>
      </c>
      <c r="F45" s="62">
        <f t="shared" si="14"/>
        <v>2.5</v>
      </c>
      <c r="G45" s="62">
        <f t="shared" si="15"/>
        <v>1.875</v>
      </c>
      <c r="H45" s="75">
        <v>64</v>
      </c>
      <c r="I45" s="48">
        <v>0.22</v>
      </c>
      <c r="J45" s="41"/>
      <c r="K45" s="37"/>
      <c r="L45" s="37"/>
      <c r="M45" s="37"/>
      <c r="N45" s="37"/>
      <c r="O45" s="37"/>
      <c r="P45" s="37"/>
      <c r="Q45" s="37"/>
      <c r="R45" s="37"/>
      <c r="S45" s="37"/>
      <c r="T45" s="37"/>
      <c r="U45" s="37"/>
      <c r="V45" s="37"/>
      <c r="W45" s="37"/>
      <c r="X45" s="37"/>
      <c r="Y45" s="37"/>
      <c r="Z45" s="37"/>
    </row>
    <row r="46" ht="12.75" customHeight="1" spans="1:26">
      <c r="A46" s="37" t="s">
        <v>375</v>
      </c>
      <c r="B46" s="72">
        <v>20</v>
      </c>
      <c r="C46" s="73" t="s">
        <v>2666</v>
      </c>
      <c r="D46" s="62">
        <f t="shared" si="12"/>
        <v>20</v>
      </c>
      <c r="E46" s="62">
        <f t="shared" si="13"/>
        <v>12.5</v>
      </c>
      <c r="F46" s="62">
        <f t="shared" si="14"/>
        <v>8.33333333333333</v>
      </c>
      <c r="G46" s="62">
        <f t="shared" si="15"/>
        <v>6.25</v>
      </c>
      <c r="H46" s="75">
        <v>32</v>
      </c>
      <c r="I46" s="48">
        <v>0.1</v>
      </c>
      <c r="J46" s="41"/>
      <c r="K46" s="37"/>
      <c r="L46" s="37"/>
      <c r="M46" s="37"/>
      <c r="N46" s="37"/>
      <c r="O46" s="37"/>
      <c r="P46" s="37"/>
      <c r="Q46" s="37"/>
      <c r="R46" s="37"/>
      <c r="S46" s="37"/>
      <c r="T46" s="37"/>
      <c r="U46" s="37"/>
      <c r="V46" s="37"/>
      <c r="W46" s="37"/>
      <c r="X46" s="37"/>
      <c r="Y46" s="37"/>
      <c r="Z46" s="37"/>
    </row>
    <row r="47" ht="12.75" customHeight="1" spans="1:26">
      <c r="A47" s="37" t="s">
        <v>973</v>
      </c>
      <c r="B47" s="72">
        <v>40</v>
      </c>
      <c r="C47" s="73" t="s">
        <v>2668</v>
      </c>
      <c r="D47" s="62">
        <f t="shared" si="12"/>
        <v>40</v>
      </c>
      <c r="E47" s="62">
        <f t="shared" si="13"/>
        <v>25</v>
      </c>
      <c r="F47" s="62">
        <f t="shared" si="14"/>
        <v>16.6666666666667</v>
      </c>
      <c r="G47" s="62">
        <f t="shared" si="15"/>
        <v>12.5</v>
      </c>
      <c r="H47" s="75">
        <v>900</v>
      </c>
      <c r="I47" s="48">
        <v>0.03</v>
      </c>
      <c r="J47" s="41"/>
      <c r="K47" s="37"/>
      <c r="L47" s="37"/>
      <c r="M47" s="37"/>
      <c r="N47" s="37"/>
      <c r="O47" s="37"/>
      <c r="P47" s="37"/>
      <c r="Q47" s="37"/>
      <c r="R47" s="37"/>
      <c r="S47" s="37"/>
      <c r="T47" s="37"/>
      <c r="U47" s="37"/>
      <c r="V47" s="37"/>
      <c r="W47" s="37"/>
      <c r="X47" s="37"/>
      <c r="Y47" s="37"/>
      <c r="Z47" s="37"/>
    </row>
    <row r="48" ht="12.75" customHeight="1" spans="1:26">
      <c r="A48" s="37" t="s">
        <v>2192</v>
      </c>
      <c r="B48" s="72">
        <v>30</v>
      </c>
      <c r="C48" s="73" t="s">
        <v>2668</v>
      </c>
      <c r="D48" s="62">
        <f t="shared" si="12"/>
        <v>30</v>
      </c>
      <c r="E48" s="62">
        <f t="shared" si="13"/>
        <v>18.75</v>
      </c>
      <c r="F48" s="62">
        <f t="shared" si="14"/>
        <v>12.5</v>
      </c>
      <c r="G48" s="62">
        <f t="shared" si="15"/>
        <v>9.375</v>
      </c>
      <c r="H48" s="75">
        <v>900</v>
      </c>
      <c r="I48" s="48">
        <v>0.03</v>
      </c>
      <c r="J48" s="41"/>
      <c r="K48" s="37"/>
      <c r="L48" s="37"/>
      <c r="M48" s="37"/>
      <c r="N48" s="37"/>
      <c r="O48" s="37"/>
      <c r="P48" s="37"/>
      <c r="Q48" s="37"/>
      <c r="R48" s="37"/>
      <c r="S48" s="37"/>
      <c r="T48" s="37"/>
      <c r="U48" s="37"/>
      <c r="V48" s="37"/>
      <c r="W48" s="37"/>
      <c r="X48" s="37"/>
      <c r="Y48" s="37"/>
      <c r="Z48" s="37"/>
    </row>
    <row r="49" ht="12.75" customHeight="1" spans="1:26">
      <c r="A49" s="42" t="s">
        <v>376</v>
      </c>
      <c r="B49" s="72">
        <v>2</v>
      </c>
      <c r="C49" s="73" t="s">
        <v>370</v>
      </c>
      <c r="D49" s="62">
        <f t="shared" si="12"/>
        <v>2</v>
      </c>
      <c r="E49" s="62">
        <f t="shared" si="13"/>
        <v>1.25</v>
      </c>
      <c r="F49" s="62">
        <f t="shared" si="14"/>
        <v>0.833333333333333</v>
      </c>
      <c r="G49" s="62">
        <f t="shared" si="15"/>
        <v>0.625</v>
      </c>
      <c r="H49" s="75">
        <f>300/2/8</f>
        <v>18.75</v>
      </c>
      <c r="I49" s="48">
        <v>0.22</v>
      </c>
      <c r="J49" s="41"/>
      <c r="K49" s="37"/>
      <c r="L49" s="37"/>
      <c r="M49" s="37"/>
      <c r="N49" s="37"/>
      <c r="O49" s="37"/>
      <c r="P49" s="37"/>
      <c r="Q49" s="37"/>
      <c r="R49" s="37"/>
      <c r="S49" s="37"/>
      <c r="T49" s="37"/>
      <c r="U49" s="37"/>
      <c r="V49" s="37"/>
      <c r="W49" s="37"/>
      <c r="X49" s="37"/>
      <c r="Y49" s="37"/>
      <c r="Z49" s="37"/>
    </row>
    <row r="50" ht="12.75" customHeight="1" spans="1:26">
      <c r="A50" s="42" t="s">
        <v>377</v>
      </c>
      <c r="B50" s="72">
        <v>12</v>
      </c>
      <c r="C50" s="73" t="s">
        <v>370</v>
      </c>
      <c r="D50" s="62">
        <f t="shared" si="12"/>
        <v>12</v>
      </c>
      <c r="E50" s="62">
        <f t="shared" si="13"/>
        <v>7.5</v>
      </c>
      <c r="F50" s="62">
        <f t="shared" si="14"/>
        <v>5</v>
      </c>
      <c r="G50" s="62">
        <f t="shared" si="15"/>
        <v>3.75</v>
      </c>
      <c r="H50" s="75">
        <v>160</v>
      </c>
      <c r="I50" s="48">
        <v>0.1</v>
      </c>
      <c r="J50" s="41"/>
      <c r="K50" s="37"/>
      <c r="L50" s="37"/>
      <c r="M50" s="37"/>
      <c r="N50" s="37"/>
      <c r="O50" s="37"/>
      <c r="P50" s="37"/>
      <c r="Q50" s="37"/>
      <c r="R50" s="37"/>
      <c r="S50" s="37"/>
      <c r="T50" s="37"/>
      <c r="U50" s="37"/>
      <c r="V50" s="37"/>
      <c r="W50" s="37"/>
      <c r="X50" s="37"/>
      <c r="Y50" s="37"/>
      <c r="Z50" s="37"/>
    </row>
    <row r="51" ht="12.75" customHeight="1" spans="1:26">
      <c r="A51" s="37" t="s">
        <v>378</v>
      </c>
      <c r="B51" s="72">
        <v>15</v>
      </c>
      <c r="C51" s="73" t="s">
        <v>2668</v>
      </c>
      <c r="D51" s="62">
        <f t="shared" si="12"/>
        <v>15</v>
      </c>
      <c r="E51" s="62">
        <f t="shared" si="13"/>
        <v>9.375</v>
      </c>
      <c r="F51" s="62">
        <f t="shared" si="14"/>
        <v>6.25</v>
      </c>
      <c r="G51" s="62">
        <f t="shared" si="15"/>
        <v>4.6875</v>
      </c>
      <c r="H51" s="75">
        <f>300/3</f>
        <v>100</v>
      </c>
      <c r="I51" s="48">
        <v>0.1</v>
      </c>
      <c r="J51" s="41"/>
      <c r="K51" s="37"/>
      <c r="L51" s="37"/>
      <c r="M51" s="37"/>
      <c r="N51" s="37"/>
      <c r="O51" s="37"/>
      <c r="P51" s="37"/>
      <c r="Q51" s="37"/>
      <c r="R51" s="37"/>
      <c r="S51" s="37"/>
      <c r="T51" s="37"/>
      <c r="U51" s="37"/>
      <c r="V51" s="37"/>
      <c r="W51" s="37"/>
      <c r="X51" s="37"/>
      <c r="Y51" s="37"/>
      <c r="Z51" s="37"/>
    </row>
    <row r="52" ht="12.75" customHeight="1" spans="1:26">
      <c r="A52" s="37"/>
      <c r="B52" s="72"/>
      <c r="C52" s="73"/>
      <c r="D52" s="62">
        <f t="shared" si="12"/>
        <v>0</v>
      </c>
      <c r="E52" s="62">
        <f t="shared" si="13"/>
        <v>0</v>
      </c>
      <c r="F52" s="62">
        <f t="shared" si="14"/>
        <v>0</v>
      </c>
      <c r="G52" s="62">
        <f t="shared" si="15"/>
        <v>0</v>
      </c>
      <c r="H52" s="75"/>
      <c r="I52" s="48"/>
      <c r="J52" s="41"/>
      <c r="K52" s="37"/>
      <c r="L52" s="37"/>
      <c r="M52" s="37"/>
      <c r="N52" s="37"/>
      <c r="O52" s="37"/>
      <c r="P52" s="37"/>
      <c r="Q52" s="37"/>
      <c r="R52" s="37"/>
      <c r="S52" s="37"/>
      <c r="T52" s="37"/>
      <c r="U52" s="37"/>
      <c r="V52" s="37"/>
      <c r="W52" s="37"/>
      <c r="X52" s="37"/>
      <c r="Y52" s="37"/>
      <c r="Z52" s="37"/>
    </row>
    <row r="53" ht="18" customHeight="1" spans="1:26">
      <c r="A53" s="69" t="s">
        <v>2694</v>
      </c>
      <c r="B53" s="76"/>
      <c r="C53" s="77"/>
      <c r="D53" s="78"/>
      <c r="E53" s="78"/>
      <c r="F53" s="78"/>
      <c r="G53" s="78"/>
      <c r="H53" s="79"/>
      <c r="I53" s="91"/>
      <c r="J53" s="90"/>
      <c r="K53" s="37"/>
      <c r="L53" s="37"/>
      <c r="M53" s="37"/>
      <c r="N53" s="37"/>
      <c r="O53" s="37"/>
      <c r="P53" s="37"/>
      <c r="Q53" s="37"/>
      <c r="R53" s="37"/>
      <c r="S53" s="37"/>
      <c r="T53" s="37"/>
      <c r="U53" s="37"/>
      <c r="V53" s="37"/>
      <c r="W53" s="37"/>
      <c r="X53" s="37"/>
      <c r="Y53" s="37"/>
      <c r="Z53" s="37"/>
    </row>
    <row r="54" ht="12.75" customHeight="1" spans="1:26">
      <c r="A54" s="37" t="s">
        <v>2695</v>
      </c>
      <c r="B54" s="72">
        <v>2</v>
      </c>
      <c r="C54" s="73" t="s">
        <v>370</v>
      </c>
      <c r="D54" s="62">
        <f t="shared" ref="D54:D62" si="16">IF(J54="",B54,B54*(1-J54))</f>
        <v>2</v>
      </c>
      <c r="E54" s="62">
        <f t="shared" ref="E54:E62" si="17">$D54/2*(1+$B$1)</f>
        <v>1.25</v>
      </c>
      <c r="F54" s="62">
        <f t="shared" ref="F54:F62" si="18">$D54/3*(1+$B$1)</f>
        <v>0.833333333333333</v>
      </c>
      <c r="G54" s="62">
        <f t="shared" ref="G54:G62" si="19">$D54/4*(1+$B$1)</f>
        <v>0.625</v>
      </c>
      <c r="H54" s="75"/>
      <c r="I54" s="39">
        <v>10</v>
      </c>
      <c r="J54" s="41"/>
      <c r="K54" s="37"/>
      <c r="L54" s="37"/>
      <c r="M54" s="37"/>
      <c r="N54" s="37"/>
      <c r="O54" s="37"/>
      <c r="P54" s="37"/>
      <c r="Q54" s="37"/>
      <c r="R54" s="37"/>
      <c r="S54" s="37"/>
      <c r="T54" s="37"/>
      <c r="U54" s="37"/>
      <c r="V54" s="37"/>
      <c r="W54" s="37"/>
      <c r="X54" s="37"/>
      <c r="Y54" s="37"/>
      <c r="Z54" s="37"/>
    </row>
    <row r="55" ht="10.5" customHeight="1" spans="1:26">
      <c r="A55" s="42" t="s">
        <v>2696</v>
      </c>
      <c r="B55" s="72">
        <v>32</v>
      </c>
      <c r="C55" s="73" t="s">
        <v>2666</v>
      </c>
      <c r="D55" s="62">
        <f t="shared" si="16"/>
        <v>32</v>
      </c>
      <c r="E55" s="62">
        <f t="shared" si="17"/>
        <v>20</v>
      </c>
      <c r="F55" s="62">
        <f t="shared" si="18"/>
        <v>13.3333333333333</v>
      </c>
      <c r="G55" s="62">
        <f t="shared" si="19"/>
        <v>10</v>
      </c>
      <c r="H55" s="74"/>
      <c r="I55" s="48">
        <v>0.5</v>
      </c>
      <c r="J55" s="41"/>
      <c r="K55" s="37"/>
      <c r="L55" s="37"/>
      <c r="M55" s="37"/>
      <c r="N55" s="37"/>
      <c r="O55" s="37"/>
      <c r="P55" s="37"/>
      <c r="Q55" s="37"/>
      <c r="R55" s="37"/>
      <c r="S55" s="37"/>
      <c r="T55" s="37"/>
      <c r="U55" s="37"/>
      <c r="V55" s="37"/>
      <c r="W55" s="37"/>
      <c r="X55" s="37"/>
      <c r="Y55" s="37"/>
      <c r="Z55" s="37"/>
    </row>
    <row r="56" ht="12.75" customHeight="1" spans="1:26">
      <c r="A56" s="42" t="s">
        <v>2697</v>
      </c>
      <c r="B56" s="72">
        <v>175</v>
      </c>
      <c r="C56" s="73" t="s">
        <v>2666</v>
      </c>
      <c r="D56" s="62">
        <f t="shared" si="16"/>
        <v>175</v>
      </c>
      <c r="E56" s="62">
        <f t="shared" si="17"/>
        <v>109.375</v>
      </c>
      <c r="F56" s="62">
        <f t="shared" si="18"/>
        <v>72.9166666666667</v>
      </c>
      <c r="G56" s="62">
        <f t="shared" si="19"/>
        <v>54.6875</v>
      </c>
      <c r="H56" s="74"/>
      <c r="I56" s="48">
        <f>20/(12*32)/3</f>
        <v>0.0173611111111111</v>
      </c>
      <c r="J56" s="41"/>
      <c r="K56" s="37"/>
      <c r="L56" s="37"/>
      <c r="M56" s="37"/>
      <c r="N56" s="37"/>
      <c r="O56" s="37"/>
      <c r="P56" s="37"/>
      <c r="Q56" s="37"/>
      <c r="R56" s="37"/>
      <c r="S56" s="37"/>
      <c r="T56" s="37"/>
      <c r="U56" s="37"/>
      <c r="V56" s="37"/>
      <c r="W56" s="37"/>
      <c r="X56" s="37"/>
      <c r="Y56" s="37"/>
      <c r="Z56" s="37"/>
    </row>
    <row r="57" ht="12.75" customHeight="1" spans="1:26">
      <c r="A57" s="37" t="s">
        <v>2698</v>
      </c>
      <c r="B57" s="72">
        <v>40</v>
      </c>
      <c r="C57" s="73" t="s">
        <v>2666</v>
      </c>
      <c r="D57" s="62">
        <f t="shared" si="16"/>
        <v>40</v>
      </c>
      <c r="E57" s="62">
        <f t="shared" si="17"/>
        <v>25</v>
      </c>
      <c r="F57" s="62">
        <f t="shared" si="18"/>
        <v>16.6666666666667</v>
      </c>
      <c r="G57" s="62">
        <f t="shared" si="19"/>
        <v>12.5</v>
      </c>
      <c r="H57" s="74"/>
      <c r="I57" s="48">
        <v>0.01</v>
      </c>
      <c r="J57" s="41"/>
      <c r="K57" s="37"/>
      <c r="L57" s="37"/>
      <c r="M57" s="37"/>
      <c r="N57" s="37"/>
      <c r="O57" s="37"/>
      <c r="P57" s="37"/>
      <c r="Q57" s="37"/>
      <c r="R57" s="37"/>
      <c r="S57" s="37"/>
      <c r="T57" s="37"/>
      <c r="U57" s="37"/>
      <c r="V57" s="37"/>
      <c r="W57" s="37"/>
      <c r="X57" s="37"/>
      <c r="Y57" s="37"/>
      <c r="Z57" s="37"/>
    </row>
    <row r="58" ht="12.75" customHeight="1" spans="1:26">
      <c r="A58" s="42" t="s">
        <v>2699</v>
      </c>
      <c r="B58" s="72">
        <v>200</v>
      </c>
      <c r="C58" s="73" t="s">
        <v>2666</v>
      </c>
      <c r="D58" s="62">
        <f t="shared" si="16"/>
        <v>200</v>
      </c>
      <c r="E58" s="62">
        <f t="shared" si="17"/>
        <v>125</v>
      </c>
      <c r="F58" s="62">
        <f t="shared" si="18"/>
        <v>83.3333333333333</v>
      </c>
      <c r="G58" s="62">
        <f t="shared" si="19"/>
        <v>62.5</v>
      </c>
      <c r="H58" s="75"/>
      <c r="I58" s="39">
        <v>0.06</v>
      </c>
      <c r="J58" s="41"/>
      <c r="K58" s="37"/>
      <c r="L58" s="37"/>
      <c r="M58" s="37"/>
      <c r="N58" s="37"/>
      <c r="O58" s="37"/>
      <c r="P58" s="37"/>
      <c r="Q58" s="37"/>
      <c r="R58" s="37"/>
      <c r="S58" s="37"/>
      <c r="T58" s="37"/>
      <c r="U58" s="37"/>
      <c r="V58" s="37"/>
      <c r="W58" s="37"/>
      <c r="X58" s="37"/>
      <c r="Y58" s="37"/>
      <c r="Z58" s="37"/>
    </row>
    <row r="59" ht="12.75" customHeight="1" spans="1:26">
      <c r="A59" s="37" t="s">
        <v>2700</v>
      </c>
      <c r="B59" s="72">
        <v>100</v>
      </c>
      <c r="C59" s="73" t="s">
        <v>2666</v>
      </c>
      <c r="D59" s="62">
        <f t="shared" si="16"/>
        <v>100</v>
      </c>
      <c r="E59" s="62">
        <f t="shared" si="17"/>
        <v>62.5</v>
      </c>
      <c r="F59" s="62">
        <f t="shared" si="18"/>
        <v>41.6666666666667</v>
      </c>
      <c r="G59" s="62">
        <f t="shared" si="19"/>
        <v>31.25</v>
      </c>
      <c r="H59" s="75"/>
      <c r="I59" s="39">
        <v>0.06</v>
      </c>
      <c r="J59" s="41"/>
      <c r="K59" s="37"/>
      <c r="L59" s="37"/>
      <c r="M59" s="37"/>
      <c r="N59" s="37"/>
      <c r="O59" s="37"/>
      <c r="P59" s="37"/>
      <c r="Q59" s="37"/>
      <c r="R59" s="37"/>
      <c r="S59" s="37"/>
      <c r="T59" s="37"/>
      <c r="U59" s="37"/>
      <c r="V59" s="37"/>
      <c r="W59" s="37"/>
      <c r="X59" s="37"/>
      <c r="Y59" s="37"/>
      <c r="Z59" s="37"/>
    </row>
    <row r="60" ht="12.75" customHeight="1" spans="1:26">
      <c r="A60" s="42" t="s">
        <v>2701</v>
      </c>
      <c r="B60" s="94">
        <v>150</v>
      </c>
      <c r="C60" s="73" t="s">
        <v>2666</v>
      </c>
      <c r="D60" s="62">
        <f t="shared" si="16"/>
        <v>150</v>
      </c>
      <c r="E60" s="62">
        <f t="shared" si="17"/>
        <v>93.75</v>
      </c>
      <c r="F60" s="62">
        <f t="shared" si="18"/>
        <v>62.5</v>
      </c>
      <c r="G60" s="62">
        <f t="shared" si="19"/>
        <v>46.875</v>
      </c>
      <c r="H60" s="75"/>
      <c r="I60" s="39">
        <v>0.06</v>
      </c>
      <c r="J60" s="41"/>
      <c r="K60" s="37"/>
      <c r="L60" s="37"/>
      <c r="M60" s="37"/>
      <c r="N60" s="37"/>
      <c r="O60" s="37"/>
      <c r="P60" s="37"/>
      <c r="Q60" s="37"/>
      <c r="R60" s="37"/>
      <c r="S60" s="37"/>
      <c r="T60" s="37"/>
      <c r="U60" s="37"/>
      <c r="V60" s="37"/>
      <c r="W60" s="37"/>
      <c r="X60" s="37"/>
      <c r="Y60" s="37"/>
      <c r="Z60" s="37"/>
    </row>
    <row r="61" ht="12.75" customHeight="1" spans="1:26">
      <c r="A61" s="42" t="s">
        <v>2702</v>
      </c>
      <c r="B61" s="94">
        <v>300</v>
      </c>
      <c r="C61" s="73" t="s">
        <v>2666</v>
      </c>
      <c r="D61" s="62">
        <f t="shared" si="16"/>
        <v>300</v>
      </c>
      <c r="E61" s="62">
        <f t="shared" si="17"/>
        <v>187.5</v>
      </c>
      <c r="F61" s="62">
        <f t="shared" si="18"/>
        <v>125</v>
      </c>
      <c r="G61" s="62">
        <f t="shared" si="19"/>
        <v>93.75</v>
      </c>
      <c r="H61" s="75"/>
      <c r="I61" s="39">
        <v>0.06</v>
      </c>
      <c r="J61" s="41"/>
      <c r="K61" s="37"/>
      <c r="L61" s="37"/>
      <c r="M61" s="37"/>
      <c r="N61" s="37"/>
      <c r="O61" s="37"/>
      <c r="P61" s="37"/>
      <c r="Q61" s="37"/>
      <c r="R61" s="37"/>
      <c r="S61" s="37"/>
      <c r="T61" s="37"/>
      <c r="U61" s="37"/>
      <c r="V61" s="37"/>
      <c r="W61" s="37"/>
      <c r="X61" s="37"/>
      <c r="Y61" s="37"/>
      <c r="Z61" s="37"/>
    </row>
    <row r="62" ht="12.75" customHeight="1" spans="1:26">
      <c r="A62" s="37" t="s">
        <v>2703</v>
      </c>
      <c r="B62" s="94">
        <v>500</v>
      </c>
      <c r="C62" s="73" t="s">
        <v>2666</v>
      </c>
      <c r="D62" s="62">
        <f t="shared" si="16"/>
        <v>500</v>
      </c>
      <c r="E62" s="62">
        <f t="shared" si="17"/>
        <v>312.5</v>
      </c>
      <c r="F62" s="62">
        <f t="shared" si="18"/>
        <v>208.333333333333</v>
      </c>
      <c r="G62" s="62">
        <f t="shared" si="19"/>
        <v>156.25</v>
      </c>
      <c r="H62" s="75"/>
      <c r="I62" s="48">
        <v>0.01</v>
      </c>
      <c r="J62" s="41"/>
      <c r="K62" s="37"/>
      <c r="L62" s="37"/>
      <c r="M62" s="37"/>
      <c r="N62" s="37"/>
      <c r="O62" s="37"/>
      <c r="P62" s="37"/>
      <c r="Q62" s="37"/>
      <c r="R62" s="37"/>
      <c r="S62" s="37"/>
      <c r="T62" s="37"/>
      <c r="U62" s="37"/>
      <c r="V62" s="37"/>
      <c r="W62" s="37"/>
      <c r="X62" s="37"/>
      <c r="Y62" s="37"/>
      <c r="Z62" s="37"/>
    </row>
    <row r="63" ht="18" customHeight="1" spans="1:26">
      <c r="A63" s="83"/>
      <c r="B63" s="61"/>
      <c r="C63" s="37"/>
      <c r="D63" s="62"/>
      <c r="E63" s="62"/>
      <c r="F63" s="62"/>
      <c r="G63" s="62"/>
      <c r="H63" s="65"/>
      <c r="I63" s="53"/>
      <c r="J63" s="86"/>
      <c r="K63" s="37"/>
      <c r="L63" s="37"/>
      <c r="M63" s="37"/>
      <c r="N63" s="37"/>
      <c r="O63" s="37"/>
      <c r="P63" s="37"/>
      <c r="Q63" s="37"/>
      <c r="R63" s="37"/>
      <c r="S63" s="37"/>
      <c r="T63" s="37"/>
      <c r="U63" s="37"/>
      <c r="V63" s="37"/>
      <c r="W63" s="37"/>
      <c r="X63" s="37"/>
      <c r="Y63" s="37"/>
      <c r="Z63" s="37"/>
    </row>
    <row r="64" ht="18" customHeight="1" spans="1:26">
      <c r="A64" s="69" t="s">
        <v>2704</v>
      </c>
      <c r="B64" s="76"/>
      <c r="C64" s="77"/>
      <c r="D64" s="78"/>
      <c r="E64" s="78"/>
      <c r="F64" s="78"/>
      <c r="G64" s="78"/>
      <c r="H64" s="79"/>
      <c r="I64" s="91"/>
      <c r="J64" s="90"/>
      <c r="K64" s="37"/>
      <c r="L64" s="37"/>
      <c r="M64" s="37"/>
      <c r="N64" s="37"/>
      <c r="O64" s="37"/>
      <c r="P64" s="37"/>
      <c r="Q64" s="37"/>
      <c r="R64" s="37"/>
      <c r="S64" s="37"/>
      <c r="T64" s="37"/>
      <c r="U64" s="37"/>
      <c r="V64" s="37"/>
      <c r="W64" s="37"/>
      <c r="X64" s="37"/>
      <c r="Y64" s="37"/>
      <c r="Z64" s="37"/>
    </row>
    <row r="65" ht="12.75" customHeight="1" spans="1:26">
      <c r="A65" s="42" t="s">
        <v>2705</v>
      </c>
      <c r="B65" s="72">
        <v>4</v>
      </c>
      <c r="C65" s="73" t="s">
        <v>370</v>
      </c>
      <c r="D65" s="62">
        <f t="shared" ref="D65:D71" si="20">IF(J65="",B65,B65*(1-J65))</f>
        <v>4</v>
      </c>
      <c r="E65" s="62">
        <f t="shared" ref="E65:E71" si="21">$D65/2*(1+$B$1)</f>
        <v>2.5</v>
      </c>
      <c r="F65" s="62">
        <f t="shared" ref="F65:F71" si="22">$D65/3*(1+$B$1)</f>
        <v>1.66666666666667</v>
      </c>
      <c r="G65" s="62">
        <f t="shared" ref="G65:G71" si="23">$D65/4*(1+$B$1)</f>
        <v>1.25</v>
      </c>
      <c r="H65" s="75">
        <v>50</v>
      </c>
      <c r="I65" s="48">
        <v>1</v>
      </c>
      <c r="J65" s="41"/>
      <c r="K65" s="37"/>
      <c r="L65" s="37"/>
      <c r="M65" s="37"/>
      <c r="N65" s="37"/>
      <c r="O65" s="37"/>
      <c r="P65" s="37"/>
      <c r="Q65" s="37"/>
      <c r="R65" s="37"/>
      <c r="S65" s="37"/>
      <c r="T65" s="37"/>
      <c r="U65" s="37"/>
      <c r="V65" s="37"/>
      <c r="W65" s="37"/>
      <c r="X65" s="37"/>
      <c r="Y65" s="37"/>
      <c r="Z65" s="37"/>
    </row>
    <row r="66" ht="10.5" customHeight="1" spans="1:26">
      <c r="A66" s="42" t="s">
        <v>2706</v>
      </c>
      <c r="B66" s="72">
        <v>12</v>
      </c>
      <c r="C66" s="73" t="s">
        <v>370</v>
      </c>
      <c r="D66" s="62">
        <f t="shared" si="20"/>
        <v>12</v>
      </c>
      <c r="E66" s="62">
        <f t="shared" si="21"/>
        <v>7.5</v>
      </c>
      <c r="F66" s="62">
        <f t="shared" si="22"/>
        <v>5</v>
      </c>
      <c r="G66" s="62">
        <f t="shared" si="23"/>
        <v>3.75</v>
      </c>
      <c r="H66" s="74"/>
      <c r="I66" s="48"/>
      <c r="J66" s="41"/>
      <c r="K66" s="37"/>
      <c r="L66" s="37"/>
      <c r="M66" s="37"/>
      <c r="N66" s="37"/>
      <c r="O66" s="37"/>
      <c r="P66" s="37"/>
      <c r="Q66" s="37"/>
      <c r="R66" s="37"/>
      <c r="S66" s="37"/>
      <c r="T66" s="37"/>
      <c r="U66" s="37"/>
      <c r="V66" s="37"/>
      <c r="W66" s="37"/>
      <c r="X66" s="37"/>
      <c r="Y66" s="37"/>
      <c r="Z66" s="37"/>
    </row>
    <row r="67" ht="12.75" customHeight="1" spans="1:26">
      <c r="A67" s="42" t="s">
        <v>2707</v>
      </c>
      <c r="B67" s="72">
        <v>15</v>
      </c>
      <c r="C67" s="73" t="s">
        <v>370</v>
      </c>
      <c r="D67" s="62">
        <f t="shared" si="20"/>
        <v>15</v>
      </c>
      <c r="E67" s="62">
        <f t="shared" si="21"/>
        <v>9.375</v>
      </c>
      <c r="F67" s="62">
        <f t="shared" si="22"/>
        <v>6.25</v>
      </c>
      <c r="G67" s="62">
        <f t="shared" si="23"/>
        <v>4.6875</v>
      </c>
      <c r="H67" s="75"/>
      <c r="I67" s="39">
        <v>0.2</v>
      </c>
      <c r="J67" s="41"/>
      <c r="K67" s="37"/>
      <c r="L67" s="37"/>
      <c r="M67" s="37"/>
      <c r="N67" s="37"/>
      <c r="O67" s="37"/>
      <c r="P67" s="37"/>
      <c r="Q67" s="37"/>
      <c r="R67" s="37"/>
      <c r="S67" s="37"/>
      <c r="T67" s="37"/>
      <c r="U67" s="37"/>
      <c r="V67" s="37"/>
      <c r="W67" s="37"/>
      <c r="X67" s="37"/>
      <c r="Y67" s="37"/>
      <c r="Z67" s="37"/>
    </row>
    <row r="68" ht="12.75" customHeight="1" spans="1:26">
      <c r="A68" s="42" t="s">
        <v>2708</v>
      </c>
      <c r="B68" s="72">
        <v>10</v>
      </c>
      <c r="C68" s="73" t="s">
        <v>370</v>
      </c>
      <c r="D68" s="62">
        <f t="shared" si="20"/>
        <v>10</v>
      </c>
      <c r="E68" s="62">
        <f t="shared" si="21"/>
        <v>6.25</v>
      </c>
      <c r="F68" s="62">
        <f t="shared" si="22"/>
        <v>4.16666666666667</v>
      </c>
      <c r="G68" s="62">
        <f t="shared" si="23"/>
        <v>3.125</v>
      </c>
      <c r="H68" s="74"/>
      <c r="I68" s="39">
        <v>0.1</v>
      </c>
      <c r="J68" s="41"/>
      <c r="K68" s="37"/>
      <c r="L68" s="37"/>
      <c r="M68" s="37"/>
      <c r="N68" s="37"/>
      <c r="O68" s="37"/>
      <c r="P68" s="37"/>
      <c r="Q68" s="37"/>
      <c r="R68" s="37"/>
      <c r="S68" s="37"/>
      <c r="T68" s="37"/>
      <c r="U68" s="37"/>
      <c r="V68" s="37"/>
      <c r="W68" s="37"/>
      <c r="X68" s="37"/>
      <c r="Y68" s="37"/>
      <c r="Z68" s="37"/>
    </row>
    <row r="69" ht="12.75" customHeight="1" spans="1:26">
      <c r="A69" s="42" t="s">
        <v>2709</v>
      </c>
      <c r="B69" s="72">
        <v>0.5</v>
      </c>
      <c r="C69" s="73" t="s">
        <v>370</v>
      </c>
      <c r="D69" s="62">
        <f t="shared" si="20"/>
        <v>0.5</v>
      </c>
      <c r="E69" s="62">
        <f t="shared" si="21"/>
        <v>0.3125</v>
      </c>
      <c r="F69" s="62">
        <f t="shared" si="22"/>
        <v>0.208333333333333</v>
      </c>
      <c r="G69" s="62">
        <f t="shared" si="23"/>
        <v>0.15625</v>
      </c>
      <c r="H69" s="74"/>
      <c r="I69" s="39">
        <v>30</v>
      </c>
      <c r="J69" s="41"/>
      <c r="K69" s="37"/>
      <c r="L69" s="37"/>
      <c r="M69" s="37"/>
      <c r="N69" s="37"/>
      <c r="O69" s="37"/>
      <c r="P69" s="37"/>
      <c r="Q69" s="37"/>
      <c r="R69" s="37"/>
      <c r="S69" s="37"/>
      <c r="T69" s="37"/>
      <c r="U69" s="37"/>
      <c r="V69" s="37"/>
      <c r="W69" s="37"/>
      <c r="X69" s="37"/>
      <c r="Y69" s="37"/>
      <c r="Z69" s="37"/>
    </row>
    <row r="70" ht="12.75" customHeight="1" spans="1:26">
      <c r="A70" s="42" t="s">
        <v>2710</v>
      </c>
      <c r="B70" s="72">
        <v>10</v>
      </c>
      <c r="C70" s="73" t="s">
        <v>370</v>
      </c>
      <c r="D70" s="62">
        <f t="shared" si="20"/>
        <v>10</v>
      </c>
      <c r="E70" s="62">
        <f t="shared" si="21"/>
        <v>6.25</v>
      </c>
      <c r="F70" s="62">
        <f t="shared" si="22"/>
        <v>4.16666666666667</v>
      </c>
      <c r="G70" s="62">
        <f t="shared" si="23"/>
        <v>3.125</v>
      </c>
      <c r="H70" s="74"/>
      <c r="I70" s="39">
        <v>1</v>
      </c>
      <c r="J70" s="41"/>
      <c r="K70" s="37"/>
      <c r="L70" s="37"/>
      <c r="M70" s="37"/>
      <c r="N70" s="37"/>
      <c r="O70" s="37"/>
      <c r="P70" s="37"/>
      <c r="Q70" s="37"/>
      <c r="R70" s="37"/>
      <c r="S70" s="37"/>
      <c r="T70" s="37"/>
      <c r="U70" s="37"/>
      <c r="V70" s="37"/>
      <c r="W70" s="37"/>
      <c r="X70" s="37"/>
      <c r="Y70" s="37"/>
      <c r="Z70" s="37"/>
    </row>
    <row r="71" ht="12.75" customHeight="1" spans="1:26">
      <c r="A71" s="37"/>
      <c r="B71" s="72"/>
      <c r="C71" s="73"/>
      <c r="D71" s="62">
        <f t="shared" si="20"/>
        <v>0</v>
      </c>
      <c r="E71" s="62">
        <f t="shared" si="21"/>
        <v>0</v>
      </c>
      <c r="F71" s="62">
        <f t="shared" si="22"/>
        <v>0</v>
      </c>
      <c r="G71" s="62">
        <f t="shared" si="23"/>
        <v>0</v>
      </c>
      <c r="H71" s="74"/>
      <c r="I71" s="48"/>
      <c r="J71" s="41"/>
      <c r="K71" s="37"/>
      <c r="L71" s="37"/>
      <c r="M71" s="37"/>
      <c r="N71" s="37"/>
      <c r="O71" s="37"/>
      <c r="P71" s="37"/>
      <c r="Q71" s="37"/>
      <c r="R71" s="37"/>
      <c r="S71" s="37"/>
      <c r="T71" s="37"/>
      <c r="U71" s="37"/>
      <c r="V71" s="37"/>
      <c r="W71" s="37"/>
      <c r="X71" s="37"/>
      <c r="Y71" s="37"/>
      <c r="Z71" s="37"/>
    </row>
    <row r="72" ht="18" customHeight="1" spans="1:26">
      <c r="A72" s="69" t="s">
        <v>2711</v>
      </c>
      <c r="B72" s="76"/>
      <c r="C72" s="77"/>
      <c r="D72" s="78"/>
      <c r="E72" s="78"/>
      <c r="F72" s="78"/>
      <c r="G72" s="78"/>
      <c r="H72" s="79"/>
      <c r="I72" s="91"/>
      <c r="J72" s="90"/>
      <c r="K72" s="37"/>
      <c r="L72" s="37"/>
      <c r="M72" s="37"/>
      <c r="N72" s="37"/>
      <c r="O72" s="37"/>
      <c r="P72" s="37"/>
      <c r="Q72" s="37"/>
      <c r="R72" s="37"/>
      <c r="S72" s="37"/>
      <c r="T72" s="37"/>
      <c r="U72" s="37"/>
      <c r="V72" s="37"/>
      <c r="W72" s="37"/>
      <c r="X72" s="37"/>
      <c r="Y72" s="37"/>
      <c r="Z72" s="37"/>
    </row>
    <row r="73" ht="12.75" customHeight="1" spans="1:26">
      <c r="A73" s="42" t="s">
        <v>503</v>
      </c>
      <c r="B73" s="72">
        <v>16</v>
      </c>
      <c r="C73" s="73" t="s">
        <v>2668</v>
      </c>
      <c r="D73" s="62">
        <f t="shared" ref="D73:D77" si="24">IF(J73="",B73,B73*(1-J73))</f>
        <v>16</v>
      </c>
      <c r="E73" s="62">
        <f t="shared" ref="E73:E77" si="25">$D73/2*(1+$B$1)</f>
        <v>10</v>
      </c>
      <c r="F73" s="62">
        <f t="shared" ref="F73:F77" si="26">$D73/3*(1+$B$1)</f>
        <v>6.66666666666667</v>
      </c>
      <c r="G73" s="62">
        <f t="shared" ref="G73:G77" si="27">$D73/4*(1+$B$1)</f>
        <v>5</v>
      </c>
      <c r="H73" s="75"/>
      <c r="I73" s="92">
        <v>2</v>
      </c>
      <c r="J73" s="41"/>
      <c r="K73" s="37"/>
      <c r="L73" s="37"/>
      <c r="M73" s="37"/>
      <c r="N73" s="37"/>
      <c r="O73" s="37"/>
      <c r="P73" s="37"/>
      <c r="Q73" s="37"/>
      <c r="R73" s="37"/>
      <c r="S73" s="37"/>
      <c r="T73" s="37"/>
      <c r="U73" s="37"/>
      <c r="V73" s="37"/>
      <c r="W73" s="37"/>
      <c r="X73" s="37"/>
      <c r="Y73" s="37"/>
      <c r="Z73" s="37"/>
    </row>
    <row r="74" ht="12.75" customHeight="1" spans="1:26">
      <c r="A74" s="37" t="s">
        <v>2712</v>
      </c>
      <c r="B74" s="72">
        <v>20</v>
      </c>
      <c r="C74" s="73" t="s">
        <v>2668</v>
      </c>
      <c r="D74" s="62">
        <f t="shared" si="24"/>
        <v>20</v>
      </c>
      <c r="E74" s="62">
        <f t="shared" si="25"/>
        <v>12.5</v>
      </c>
      <c r="F74" s="62">
        <f t="shared" si="26"/>
        <v>8.33333333333333</v>
      </c>
      <c r="G74" s="62">
        <f t="shared" si="27"/>
        <v>6.25</v>
      </c>
      <c r="H74" s="75"/>
      <c r="I74" s="92">
        <v>2</v>
      </c>
      <c r="J74" s="41"/>
      <c r="K74" s="37"/>
      <c r="L74" s="37"/>
      <c r="M74" s="37"/>
      <c r="N74" s="37"/>
      <c r="O74" s="37"/>
      <c r="P74" s="37"/>
      <c r="Q74" s="37"/>
      <c r="R74" s="37"/>
      <c r="S74" s="37"/>
      <c r="T74" s="37"/>
      <c r="U74" s="37"/>
      <c r="V74" s="37"/>
      <c r="W74" s="37"/>
      <c r="X74" s="37"/>
      <c r="Y74" s="37"/>
      <c r="Z74" s="37"/>
    </row>
    <row r="75" ht="12.75" customHeight="1" spans="1:26">
      <c r="A75" s="37" t="s">
        <v>2713</v>
      </c>
      <c r="B75" s="72">
        <v>15</v>
      </c>
      <c r="C75" s="73" t="s">
        <v>2668</v>
      </c>
      <c r="D75" s="62">
        <f t="shared" si="24"/>
        <v>15</v>
      </c>
      <c r="E75" s="62">
        <f t="shared" si="25"/>
        <v>9.375</v>
      </c>
      <c r="F75" s="62">
        <f t="shared" si="26"/>
        <v>6.25</v>
      </c>
      <c r="G75" s="62">
        <f t="shared" si="27"/>
        <v>4.6875</v>
      </c>
      <c r="H75" s="75"/>
      <c r="I75" s="93">
        <v>3</v>
      </c>
      <c r="J75" s="41"/>
      <c r="K75" s="37"/>
      <c r="L75" s="37"/>
      <c r="M75" s="37"/>
      <c r="N75" s="37"/>
      <c r="O75" s="37"/>
      <c r="P75" s="37"/>
      <c r="Q75" s="37"/>
      <c r="R75" s="37"/>
      <c r="S75" s="37"/>
      <c r="T75" s="37"/>
      <c r="U75" s="37"/>
      <c r="V75" s="37"/>
      <c r="W75" s="37"/>
      <c r="X75" s="37"/>
      <c r="Y75" s="37"/>
      <c r="Z75" s="37"/>
    </row>
    <row r="76" ht="12.75" customHeight="1" spans="1:26">
      <c r="A76" s="37" t="s">
        <v>2714</v>
      </c>
      <c r="B76" s="72">
        <v>12.5</v>
      </c>
      <c r="C76" s="73" t="s">
        <v>2668</v>
      </c>
      <c r="D76" s="62">
        <f t="shared" si="24"/>
        <v>12.5</v>
      </c>
      <c r="E76" s="62">
        <f t="shared" si="25"/>
        <v>7.8125</v>
      </c>
      <c r="F76" s="62">
        <f t="shared" si="26"/>
        <v>5.20833333333333</v>
      </c>
      <c r="G76" s="62">
        <f t="shared" si="27"/>
        <v>3.90625</v>
      </c>
      <c r="H76" s="75"/>
      <c r="I76" s="93">
        <v>3</v>
      </c>
      <c r="J76" s="41"/>
      <c r="K76" s="37"/>
      <c r="L76" s="37"/>
      <c r="M76" s="37"/>
      <c r="N76" s="37"/>
      <c r="O76" s="37"/>
      <c r="P76" s="37"/>
      <c r="Q76" s="37"/>
      <c r="R76" s="37"/>
      <c r="S76" s="37"/>
      <c r="T76" s="37"/>
      <c r="U76" s="37"/>
      <c r="V76" s="37"/>
      <c r="W76" s="37"/>
      <c r="X76" s="37"/>
      <c r="Y76" s="37"/>
      <c r="Z76" s="37"/>
    </row>
    <row r="77" ht="12.75" customHeight="1" spans="1:26">
      <c r="A77" s="42" t="s">
        <v>2715</v>
      </c>
      <c r="B77" s="72"/>
      <c r="C77" s="73" t="s">
        <v>1064</v>
      </c>
      <c r="D77" s="62">
        <f t="shared" si="24"/>
        <v>0</v>
      </c>
      <c r="E77" s="62">
        <f t="shared" si="25"/>
        <v>0</v>
      </c>
      <c r="F77" s="62">
        <f t="shared" si="26"/>
        <v>0</v>
      </c>
      <c r="G77" s="62">
        <f t="shared" si="27"/>
        <v>0</v>
      </c>
      <c r="H77" s="75"/>
      <c r="I77" s="39">
        <v>0</v>
      </c>
      <c r="J77" s="41"/>
      <c r="K77" s="37"/>
      <c r="L77" s="37"/>
      <c r="M77" s="37"/>
      <c r="N77" s="37"/>
      <c r="O77" s="37"/>
      <c r="P77" s="37"/>
      <c r="Q77" s="37"/>
      <c r="R77" s="37"/>
      <c r="S77" s="37"/>
      <c r="T77" s="37"/>
      <c r="U77" s="37"/>
      <c r="V77" s="37"/>
      <c r="W77" s="37"/>
      <c r="X77" s="37"/>
      <c r="Y77" s="37"/>
      <c r="Z77" s="37"/>
    </row>
    <row r="78" ht="12.75" customHeight="1" spans="1:26">
      <c r="A78" s="37"/>
      <c r="B78" s="37"/>
      <c r="C78" s="61"/>
      <c r="D78" s="37"/>
      <c r="E78" s="62"/>
      <c r="F78" s="62"/>
      <c r="G78" s="62"/>
      <c r="H78" s="62"/>
      <c r="I78" s="65"/>
      <c r="J78" s="43"/>
      <c r="K78" s="54"/>
      <c r="L78" s="37"/>
      <c r="M78" s="37"/>
      <c r="N78" s="37"/>
      <c r="O78" s="37"/>
      <c r="P78" s="37"/>
      <c r="Q78" s="37"/>
      <c r="R78" s="37"/>
      <c r="S78" s="37"/>
      <c r="T78" s="37"/>
      <c r="U78" s="37"/>
      <c r="V78" s="37"/>
      <c r="W78" s="37"/>
      <c r="X78" s="37"/>
      <c r="Y78" s="37"/>
      <c r="Z78" s="37"/>
    </row>
    <row r="79" ht="12.75" customHeight="1" spans="1:26">
      <c r="A79" s="37"/>
      <c r="B79" s="37"/>
      <c r="C79" s="61"/>
      <c r="D79" s="37"/>
      <c r="E79" s="62"/>
      <c r="F79" s="62"/>
      <c r="G79" s="62"/>
      <c r="H79" s="62"/>
      <c r="I79" s="65"/>
      <c r="J79" s="43"/>
      <c r="K79" s="54"/>
      <c r="L79" s="37"/>
      <c r="M79" s="37"/>
      <c r="N79" s="37"/>
      <c r="O79" s="37"/>
      <c r="P79" s="37"/>
      <c r="Q79" s="37"/>
      <c r="R79" s="37"/>
      <c r="S79" s="37"/>
      <c r="T79" s="37"/>
      <c r="U79" s="37"/>
      <c r="V79" s="37"/>
      <c r="W79" s="37"/>
      <c r="X79" s="37"/>
      <c r="Y79" s="37"/>
      <c r="Z79" s="37"/>
    </row>
    <row r="80" ht="12.75" customHeight="1" spans="1:26">
      <c r="A80" s="37"/>
      <c r="B80" s="37"/>
      <c r="C80" s="61"/>
      <c r="D80" s="37"/>
      <c r="E80" s="62"/>
      <c r="F80" s="62"/>
      <c r="G80" s="62"/>
      <c r="H80" s="62"/>
      <c r="I80" s="65"/>
      <c r="J80" s="43"/>
      <c r="K80" s="54"/>
      <c r="L80" s="37"/>
      <c r="M80" s="37"/>
      <c r="N80" s="37"/>
      <c r="O80" s="37"/>
      <c r="P80" s="37"/>
      <c r="Q80" s="37"/>
      <c r="R80" s="37"/>
      <c r="S80" s="37"/>
      <c r="T80" s="37"/>
      <c r="U80" s="37"/>
      <c r="V80" s="37"/>
      <c r="W80" s="37"/>
      <c r="X80" s="37"/>
      <c r="Y80" s="37"/>
      <c r="Z80" s="37"/>
    </row>
    <row r="81" ht="12.75" customHeight="1" spans="1:26">
      <c r="A81" s="37"/>
      <c r="B81" s="37"/>
      <c r="C81" s="61"/>
      <c r="D81" s="37"/>
      <c r="E81" s="62"/>
      <c r="F81" s="62"/>
      <c r="G81" s="62"/>
      <c r="H81" s="62"/>
      <c r="I81" s="65"/>
      <c r="J81" s="43"/>
      <c r="K81" s="54"/>
      <c r="L81" s="37"/>
      <c r="M81" s="37"/>
      <c r="N81" s="37"/>
      <c r="O81" s="37"/>
      <c r="P81" s="37"/>
      <c r="Q81" s="37"/>
      <c r="R81" s="37"/>
      <c r="S81" s="37"/>
      <c r="T81" s="37"/>
      <c r="U81" s="37"/>
      <c r="V81" s="37"/>
      <c r="W81" s="37"/>
      <c r="X81" s="37"/>
      <c r="Y81" s="37"/>
      <c r="Z81" s="37"/>
    </row>
    <row r="82" ht="12.75" customHeight="1" spans="1:26">
      <c r="A82" s="37"/>
      <c r="B82" s="37"/>
      <c r="C82" s="61"/>
      <c r="D82" s="37"/>
      <c r="E82" s="62"/>
      <c r="F82" s="62"/>
      <c r="G82" s="62"/>
      <c r="H82" s="62"/>
      <c r="I82" s="65"/>
      <c r="J82" s="43"/>
      <c r="K82" s="54"/>
      <c r="L82" s="37"/>
      <c r="M82" s="37"/>
      <c r="N82" s="37"/>
      <c r="O82" s="37"/>
      <c r="P82" s="37"/>
      <c r="Q82" s="37"/>
      <c r="R82" s="37"/>
      <c r="S82" s="37"/>
      <c r="T82" s="37"/>
      <c r="U82" s="37"/>
      <c r="V82" s="37"/>
      <c r="W82" s="37"/>
      <c r="X82" s="37"/>
      <c r="Y82" s="37"/>
      <c r="Z82" s="37"/>
    </row>
    <row r="83" ht="12.75" customHeight="1" spans="1:26">
      <c r="A83" s="37"/>
      <c r="B83" s="37"/>
      <c r="C83" s="61"/>
      <c r="D83" s="37"/>
      <c r="E83" s="62"/>
      <c r="F83" s="62"/>
      <c r="G83" s="62"/>
      <c r="H83" s="62"/>
      <c r="I83" s="65"/>
      <c r="J83" s="43"/>
      <c r="K83" s="54"/>
      <c r="L83" s="37"/>
      <c r="M83" s="37"/>
      <c r="N83" s="37"/>
      <c r="O83" s="37"/>
      <c r="P83" s="37"/>
      <c r="Q83" s="37"/>
      <c r="R83" s="37"/>
      <c r="S83" s="37"/>
      <c r="T83" s="37"/>
      <c r="U83" s="37"/>
      <c r="V83" s="37"/>
      <c r="W83" s="37"/>
      <c r="X83" s="37"/>
      <c r="Y83" s="37"/>
      <c r="Z83" s="37"/>
    </row>
    <row r="84" ht="12.75" customHeight="1" spans="1:26">
      <c r="A84" s="37"/>
      <c r="B84" s="37"/>
      <c r="C84" s="61"/>
      <c r="D84" s="37"/>
      <c r="E84" s="37"/>
      <c r="F84" s="62"/>
      <c r="G84" s="62"/>
      <c r="H84" s="62"/>
      <c r="I84" s="65"/>
      <c r="J84" s="43"/>
      <c r="K84" s="54"/>
      <c r="L84" s="37"/>
      <c r="M84" s="37"/>
      <c r="N84" s="37"/>
      <c r="O84" s="37"/>
      <c r="P84" s="37"/>
      <c r="Q84" s="37"/>
      <c r="R84" s="37"/>
      <c r="S84" s="37"/>
      <c r="T84" s="37"/>
      <c r="U84" s="37"/>
      <c r="V84" s="37"/>
      <c r="W84" s="37"/>
      <c r="X84" s="37"/>
      <c r="Y84" s="37"/>
      <c r="Z84" s="37"/>
    </row>
    <row r="85" ht="12.75" customHeight="1" spans="1:26">
      <c r="A85" s="37"/>
      <c r="B85" s="37"/>
      <c r="C85" s="61"/>
      <c r="D85" s="37"/>
      <c r="E85" s="37"/>
      <c r="F85" s="62"/>
      <c r="G85" s="62"/>
      <c r="H85" s="62"/>
      <c r="I85" s="65"/>
      <c r="J85" s="43"/>
      <c r="K85" s="54"/>
      <c r="L85" s="37"/>
      <c r="M85" s="37"/>
      <c r="N85" s="37"/>
      <c r="O85" s="37"/>
      <c r="P85" s="37"/>
      <c r="Q85" s="37"/>
      <c r="R85" s="37"/>
      <c r="S85" s="37"/>
      <c r="T85" s="37"/>
      <c r="U85" s="37"/>
      <c r="V85" s="37"/>
      <c r="W85" s="37"/>
      <c r="X85" s="37"/>
      <c r="Y85" s="37"/>
      <c r="Z85" s="37"/>
    </row>
    <row r="86" ht="12.75" customHeight="1" spans="1:26">
      <c r="A86" s="37"/>
      <c r="B86" s="37"/>
      <c r="C86" s="61"/>
      <c r="D86" s="37"/>
      <c r="E86" s="37"/>
      <c r="F86" s="62"/>
      <c r="G86" s="62"/>
      <c r="H86" s="62"/>
      <c r="I86" s="65"/>
      <c r="J86" s="43"/>
      <c r="K86" s="54"/>
      <c r="L86" s="37"/>
      <c r="M86" s="37"/>
      <c r="N86" s="37"/>
      <c r="O86" s="37"/>
      <c r="P86" s="37"/>
      <c r="Q86" s="37"/>
      <c r="R86" s="37"/>
      <c r="S86" s="37"/>
      <c r="T86" s="37"/>
      <c r="U86" s="37"/>
      <c r="V86" s="37"/>
      <c r="W86" s="37"/>
      <c r="X86" s="37"/>
      <c r="Y86" s="37"/>
      <c r="Z86" s="37"/>
    </row>
    <row r="87" ht="12.75" customHeight="1" spans="1:26">
      <c r="A87" s="37"/>
      <c r="B87" s="37"/>
      <c r="C87" s="61"/>
      <c r="D87" s="37"/>
      <c r="E87" s="37"/>
      <c r="F87" s="62"/>
      <c r="G87" s="62"/>
      <c r="H87" s="62"/>
      <c r="I87" s="65"/>
      <c r="J87" s="43"/>
      <c r="K87" s="54"/>
      <c r="L87" s="37"/>
      <c r="M87" s="37"/>
      <c r="N87" s="37"/>
      <c r="O87" s="37"/>
      <c r="P87" s="37"/>
      <c r="Q87" s="37"/>
      <c r="R87" s="37"/>
      <c r="S87" s="37"/>
      <c r="T87" s="37"/>
      <c r="U87" s="37"/>
      <c r="V87" s="37"/>
      <c r="W87" s="37"/>
      <c r="X87" s="37"/>
      <c r="Y87" s="37"/>
      <c r="Z87" s="37"/>
    </row>
    <row r="88" ht="12.75" customHeight="1" spans="1:26">
      <c r="A88" s="37"/>
      <c r="B88" s="37"/>
      <c r="C88" s="61"/>
      <c r="D88" s="37"/>
      <c r="E88" s="37"/>
      <c r="F88" s="62"/>
      <c r="G88" s="62"/>
      <c r="H88" s="62"/>
      <c r="I88" s="65"/>
      <c r="J88" s="43"/>
      <c r="K88" s="54"/>
      <c r="L88" s="37"/>
      <c r="M88" s="37"/>
      <c r="N88" s="37"/>
      <c r="O88" s="37"/>
      <c r="P88" s="37"/>
      <c r="Q88" s="37"/>
      <c r="R88" s="37"/>
      <c r="S88" s="37"/>
      <c r="T88" s="37"/>
      <c r="U88" s="37"/>
      <c r="V88" s="37"/>
      <c r="W88" s="37"/>
      <c r="X88" s="37"/>
      <c r="Y88" s="37"/>
      <c r="Z88" s="37"/>
    </row>
    <row r="89" ht="12.75" customHeight="1" spans="1:26">
      <c r="A89" s="37"/>
      <c r="B89" s="37"/>
      <c r="C89" s="61"/>
      <c r="D89" s="37"/>
      <c r="E89" s="37"/>
      <c r="F89" s="62"/>
      <c r="G89" s="62"/>
      <c r="H89" s="62"/>
      <c r="I89" s="65"/>
      <c r="J89" s="43"/>
      <c r="K89" s="54"/>
      <c r="L89" s="37"/>
      <c r="M89" s="37"/>
      <c r="N89" s="37"/>
      <c r="O89" s="37"/>
      <c r="P89" s="37"/>
      <c r="Q89" s="37"/>
      <c r="R89" s="37"/>
      <c r="S89" s="37"/>
      <c r="T89" s="37"/>
      <c r="U89" s="37"/>
      <c r="V89" s="37"/>
      <c r="W89" s="37"/>
      <c r="X89" s="37"/>
      <c r="Y89" s="37"/>
      <c r="Z89" s="37"/>
    </row>
    <row r="90" ht="12.75" customHeight="1" spans="1:26">
      <c r="A90" s="37"/>
      <c r="B90" s="37"/>
      <c r="C90" s="61"/>
      <c r="D90" s="37"/>
      <c r="E90" s="37"/>
      <c r="F90" s="62"/>
      <c r="G90" s="62"/>
      <c r="H90" s="62"/>
      <c r="I90" s="65"/>
      <c r="J90" s="43"/>
      <c r="K90" s="54"/>
      <c r="L90" s="37"/>
      <c r="M90" s="37"/>
      <c r="N90" s="37"/>
      <c r="O90" s="37"/>
      <c r="P90" s="37"/>
      <c r="Q90" s="37"/>
      <c r="R90" s="37"/>
      <c r="S90" s="37"/>
      <c r="T90" s="37"/>
      <c r="U90" s="37"/>
      <c r="V90" s="37"/>
      <c r="W90" s="37"/>
      <c r="X90" s="37"/>
      <c r="Y90" s="37"/>
      <c r="Z90" s="37"/>
    </row>
    <row r="91" ht="12.75" customHeight="1" spans="1:26">
      <c r="A91" s="37"/>
      <c r="B91" s="37"/>
      <c r="C91" s="61"/>
      <c r="D91" s="37"/>
      <c r="E91" s="37"/>
      <c r="F91" s="62"/>
      <c r="G91" s="62"/>
      <c r="H91" s="62"/>
      <c r="I91" s="65"/>
      <c r="J91" s="43"/>
      <c r="K91" s="54"/>
      <c r="L91" s="37"/>
      <c r="M91" s="37"/>
      <c r="N91" s="37"/>
      <c r="O91" s="37"/>
      <c r="P91" s="37"/>
      <c r="Q91" s="37"/>
      <c r="R91" s="37"/>
      <c r="S91" s="37"/>
      <c r="T91" s="37"/>
      <c r="U91" s="37"/>
      <c r="V91" s="37"/>
      <c r="W91" s="37"/>
      <c r="X91" s="37"/>
      <c r="Y91" s="37"/>
      <c r="Z91" s="37"/>
    </row>
    <row r="92" ht="12.75" customHeight="1" spans="1:26">
      <c r="A92" s="37"/>
      <c r="B92" s="37"/>
      <c r="C92" s="61"/>
      <c r="D92" s="37"/>
      <c r="E92" s="37"/>
      <c r="F92" s="62"/>
      <c r="G92" s="62"/>
      <c r="H92" s="62"/>
      <c r="I92" s="65"/>
      <c r="J92" s="43"/>
      <c r="K92" s="54"/>
      <c r="L92" s="37"/>
      <c r="M92" s="37"/>
      <c r="N92" s="37"/>
      <c r="O92" s="37"/>
      <c r="P92" s="37"/>
      <c r="Q92" s="37"/>
      <c r="R92" s="37"/>
      <c r="S92" s="37"/>
      <c r="T92" s="37"/>
      <c r="U92" s="37"/>
      <c r="V92" s="37"/>
      <c r="W92" s="37"/>
      <c r="X92" s="37"/>
      <c r="Y92" s="37"/>
      <c r="Z92" s="37"/>
    </row>
    <row r="93" ht="12.75" customHeight="1" spans="1:26">
      <c r="A93" s="37"/>
      <c r="B93" s="37"/>
      <c r="C93" s="61"/>
      <c r="D93" s="37"/>
      <c r="E93" s="37"/>
      <c r="F93" s="62"/>
      <c r="G93" s="62"/>
      <c r="H93" s="62"/>
      <c r="I93" s="65"/>
      <c r="J93" s="43"/>
      <c r="K93" s="54"/>
      <c r="L93" s="37"/>
      <c r="M93" s="37"/>
      <c r="N93" s="37"/>
      <c r="O93" s="37"/>
      <c r="P93" s="37"/>
      <c r="Q93" s="37"/>
      <c r="R93" s="37"/>
      <c r="S93" s="37"/>
      <c r="T93" s="37"/>
      <c r="U93" s="37"/>
      <c r="V93" s="37"/>
      <c r="W93" s="37"/>
      <c r="X93" s="37"/>
      <c r="Y93" s="37"/>
      <c r="Z93" s="37"/>
    </row>
    <row r="94" ht="12.75" customHeight="1" spans="1:26">
      <c r="A94" s="37"/>
      <c r="B94" s="37"/>
      <c r="C94" s="61"/>
      <c r="D94" s="37"/>
      <c r="E94" s="37"/>
      <c r="F94" s="62"/>
      <c r="G94" s="62"/>
      <c r="H94" s="62"/>
      <c r="I94" s="65"/>
      <c r="J94" s="43"/>
      <c r="K94" s="54"/>
      <c r="L94" s="37"/>
      <c r="M94" s="37"/>
      <c r="N94" s="37"/>
      <c r="O94" s="37"/>
      <c r="P94" s="37"/>
      <c r="Q94" s="37"/>
      <c r="R94" s="37"/>
      <c r="S94" s="37"/>
      <c r="T94" s="37"/>
      <c r="U94" s="37"/>
      <c r="V94" s="37"/>
      <c r="W94" s="37"/>
      <c r="X94" s="37"/>
      <c r="Y94" s="37"/>
      <c r="Z94" s="37"/>
    </row>
    <row r="95" ht="12.75" customHeight="1" spans="1:26">
      <c r="A95" s="37"/>
      <c r="B95" s="37"/>
      <c r="C95" s="61"/>
      <c r="D95" s="37"/>
      <c r="E95" s="37"/>
      <c r="F95" s="62"/>
      <c r="G95" s="62"/>
      <c r="H95" s="62"/>
      <c r="I95" s="65"/>
      <c r="J95" s="43"/>
      <c r="K95" s="54"/>
      <c r="L95" s="37"/>
      <c r="M95" s="37"/>
      <c r="N95" s="37"/>
      <c r="O95" s="37"/>
      <c r="P95" s="37"/>
      <c r="Q95" s="37"/>
      <c r="R95" s="37"/>
      <c r="S95" s="37"/>
      <c r="T95" s="37"/>
      <c r="U95" s="37"/>
      <c r="V95" s="37"/>
      <c r="W95" s="37"/>
      <c r="X95" s="37"/>
      <c r="Y95" s="37"/>
      <c r="Z95" s="37"/>
    </row>
    <row r="96" ht="12.75" customHeight="1" spans="1:26">
      <c r="A96" s="37"/>
      <c r="B96" s="37"/>
      <c r="C96" s="61"/>
      <c r="D96" s="37"/>
      <c r="E96" s="37"/>
      <c r="F96" s="62"/>
      <c r="G96" s="62"/>
      <c r="H96" s="62"/>
      <c r="I96" s="65"/>
      <c r="J96" s="43"/>
      <c r="K96" s="54"/>
      <c r="L96" s="37"/>
      <c r="M96" s="37"/>
      <c r="N96" s="37"/>
      <c r="O96" s="37"/>
      <c r="P96" s="37"/>
      <c r="Q96" s="37"/>
      <c r="R96" s="37"/>
      <c r="S96" s="37"/>
      <c r="T96" s="37"/>
      <c r="U96" s="37"/>
      <c r="V96" s="37"/>
      <c r="W96" s="37"/>
      <c r="X96" s="37"/>
      <c r="Y96" s="37"/>
      <c r="Z96" s="37"/>
    </row>
    <row r="97" ht="12.75" customHeight="1" spans="1:26">
      <c r="A97" s="37"/>
      <c r="B97" s="37"/>
      <c r="C97" s="61"/>
      <c r="D97" s="37"/>
      <c r="E97" s="37"/>
      <c r="F97" s="62"/>
      <c r="G97" s="62"/>
      <c r="H97" s="62"/>
      <c r="I97" s="65"/>
      <c r="J97" s="43"/>
      <c r="K97" s="54"/>
      <c r="L97" s="37"/>
      <c r="M97" s="37"/>
      <c r="N97" s="37"/>
      <c r="O97" s="37"/>
      <c r="P97" s="37"/>
      <c r="Q97" s="37"/>
      <c r="R97" s="37"/>
      <c r="S97" s="37"/>
      <c r="T97" s="37"/>
      <c r="U97" s="37"/>
      <c r="V97" s="37"/>
      <c r="W97" s="37"/>
      <c r="X97" s="37"/>
      <c r="Y97" s="37"/>
      <c r="Z97" s="37"/>
    </row>
    <row r="98" ht="12.75" customHeight="1" spans="1:26">
      <c r="A98" s="37"/>
      <c r="B98" s="37"/>
      <c r="C98" s="61"/>
      <c r="D98" s="37"/>
      <c r="E98" s="37"/>
      <c r="F98" s="62"/>
      <c r="G98" s="62"/>
      <c r="H98" s="62"/>
      <c r="I98" s="65"/>
      <c r="J98" s="43"/>
      <c r="K98" s="54"/>
      <c r="L98" s="37"/>
      <c r="M98" s="37"/>
      <c r="N98" s="37"/>
      <c r="O98" s="37"/>
      <c r="P98" s="37"/>
      <c r="Q98" s="37"/>
      <c r="R98" s="37"/>
      <c r="S98" s="37"/>
      <c r="T98" s="37"/>
      <c r="U98" s="37"/>
      <c r="V98" s="37"/>
      <c r="W98" s="37"/>
      <c r="X98" s="37"/>
      <c r="Y98" s="37"/>
      <c r="Z98" s="37"/>
    </row>
    <row r="99" ht="12.75" customHeight="1" spans="1:26">
      <c r="A99" s="37"/>
      <c r="B99" s="37"/>
      <c r="C99" s="61"/>
      <c r="D99" s="37"/>
      <c r="E99" s="37"/>
      <c r="F99" s="62"/>
      <c r="G99" s="62"/>
      <c r="H99" s="62"/>
      <c r="I99" s="65"/>
      <c r="J99" s="43"/>
      <c r="K99" s="54"/>
      <c r="L99" s="37"/>
      <c r="M99" s="37"/>
      <c r="N99" s="37"/>
      <c r="O99" s="37"/>
      <c r="P99" s="37"/>
      <c r="Q99" s="37"/>
      <c r="R99" s="37"/>
      <c r="S99" s="37"/>
      <c r="T99" s="37"/>
      <c r="U99" s="37"/>
      <c r="V99" s="37"/>
      <c r="W99" s="37"/>
      <c r="X99" s="37"/>
      <c r="Y99" s="37"/>
      <c r="Z99" s="37"/>
    </row>
    <row r="100" ht="12.75" customHeight="1" spans="1:26">
      <c r="A100" s="37"/>
      <c r="B100" s="37"/>
      <c r="C100" s="61"/>
      <c r="D100" s="37"/>
      <c r="E100" s="37"/>
      <c r="F100" s="62"/>
      <c r="G100" s="62"/>
      <c r="H100" s="62"/>
      <c r="I100" s="65"/>
      <c r="J100" s="43"/>
      <c r="K100" s="54"/>
      <c r="L100" s="37"/>
      <c r="M100" s="37"/>
      <c r="N100" s="37"/>
      <c r="O100" s="37"/>
      <c r="P100" s="37"/>
      <c r="Q100" s="37"/>
      <c r="R100" s="37"/>
      <c r="S100" s="37"/>
      <c r="T100" s="37"/>
      <c r="U100" s="37"/>
      <c r="V100" s="37"/>
      <c r="W100" s="37"/>
      <c r="X100" s="37"/>
      <c r="Y100" s="37"/>
      <c r="Z100" s="37"/>
    </row>
    <row r="101" ht="12.75" customHeight="1" spans="1:26">
      <c r="A101" s="37"/>
      <c r="B101" s="37"/>
      <c r="C101" s="61"/>
      <c r="D101" s="37"/>
      <c r="E101" s="37"/>
      <c r="F101" s="62"/>
      <c r="G101" s="62"/>
      <c r="H101" s="62"/>
      <c r="I101" s="65"/>
      <c r="J101" s="43"/>
      <c r="K101" s="54"/>
      <c r="L101" s="37"/>
      <c r="M101" s="37"/>
      <c r="N101" s="37"/>
      <c r="O101" s="37"/>
      <c r="P101" s="37"/>
      <c r="Q101" s="37"/>
      <c r="R101" s="37"/>
      <c r="S101" s="37"/>
      <c r="T101" s="37"/>
      <c r="U101" s="37"/>
      <c r="V101" s="37"/>
      <c r="W101" s="37"/>
      <c r="X101" s="37"/>
      <c r="Y101" s="37"/>
      <c r="Z101" s="37"/>
    </row>
    <row r="102" ht="12.75" customHeight="1" spans="1:26">
      <c r="A102" s="37"/>
      <c r="B102" s="37"/>
      <c r="C102" s="61"/>
      <c r="D102" s="37"/>
      <c r="E102" s="37"/>
      <c r="F102" s="62"/>
      <c r="G102" s="62"/>
      <c r="H102" s="62"/>
      <c r="I102" s="65"/>
      <c r="J102" s="43"/>
      <c r="K102" s="54"/>
      <c r="L102" s="37"/>
      <c r="M102" s="37"/>
      <c r="N102" s="37"/>
      <c r="O102" s="37"/>
      <c r="P102" s="37"/>
      <c r="Q102" s="37"/>
      <c r="R102" s="37"/>
      <c r="S102" s="37"/>
      <c r="T102" s="37"/>
      <c r="U102" s="37"/>
      <c r="V102" s="37"/>
      <c r="W102" s="37"/>
      <c r="X102" s="37"/>
      <c r="Y102" s="37"/>
      <c r="Z102" s="37"/>
    </row>
    <row r="103" ht="12.75" customHeight="1" spans="1:26">
      <c r="A103" s="37"/>
      <c r="B103" s="37"/>
      <c r="C103" s="61"/>
      <c r="D103" s="37"/>
      <c r="E103" s="37"/>
      <c r="F103" s="62"/>
      <c r="G103" s="62"/>
      <c r="H103" s="62"/>
      <c r="I103" s="65"/>
      <c r="J103" s="43"/>
      <c r="K103" s="54"/>
      <c r="L103" s="37"/>
      <c r="M103" s="37"/>
      <c r="N103" s="37"/>
      <c r="O103" s="37"/>
      <c r="P103" s="37"/>
      <c r="Q103" s="37"/>
      <c r="R103" s="37"/>
      <c r="S103" s="37"/>
      <c r="T103" s="37"/>
      <c r="U103" s="37"/>
      <c r="V103" s="37"/>
      <c r="W103" s="37"/>
      <c r="X103" s="37"/>
      <c r="Y103" s="37"/>
      <c r="Z103" s="37"/>
    </row>
    <row r="104" ht="12.75" customHeight="1" spans="1:26">
      <c r="A104" s="37"/>
      <c r="B104" s="37"/>
      <c r="C104" s="61"/>
      <c r="D104" s="37"/>
      <c r="E104" s="37"/>
      <c r="F104" s="62"/>
      <c r="G104" s="62"/>
      <c r="H104" s="62"/>
      <c r="I104" s="65"/>
      <c r="J104" s="43"/>
      <c r="K104" s="54"/>
      <c r="L104" s="37"/>
      <c r="M104" s="37"/>
      <c r="N104" s="37"/>
      <c r="O104" s="37"/>
      <c r="P104" s="37"/>
      <c r="Q104" s="37"/>
      <c r="R104" s="37"/>
      <c r="S104" s="37"/>
      <c r="T104" s="37"/>
      <c r="U104" s="37"/>
      <c r="V104" s="37"/>
      <c r="W104" s="37"/>
      <c r="X104" s="37"/>
      <c r="Y104" s="37"/>
      <c r="Z104" s="37"/>
    </row>
    <row r="105" ht="12.75" customHeight="1" spans="1:26">
      <c r="A105" s="37"/>
      <c r="B105" s="37"/>
      <c r="C105" s="61"/>
      <c r="D105" s="37"/>
      <c r="E105" s="37"/>
      <c r="F105" s="62"/>
      <c r="G105" s="62"/>
      <c r="H105" s="62"/>
      <c r="I105" s="65"/>
      <c r="J105" s="43"/>
      <c r="K105" s="54"/>
      <c r="L105" s="37"/>
      <c r="M105" s="37"/>
      <c r="N105" s="37"/>
      <c r="O105" s="37"/>
      <c r="P105" s="37"/>
      <c r="Q105" s="37"/>
      <c r="R105" s="37"/>
      <c r="S105" s="37"/>
      <c r="T105" s="37"/>
      <c r="U105" s="37"/>
      <c r="V105" s="37"/>
      <c r="W105" s="37"/>
      <c r="X105" s="37"/>
      <c r="Y105" s="37"/>
      <c r="Z105" s="37"/>
    </row>
    <row r="106" ht="12.75" customHeight="1" spans="1:26">
      <c r="A106" s="37"/>
      <c r="B106" s="37"/>
      <c r="C106" s="61"/>
      <c r="D106" s="37"/>
      <c r="E106" s="37"/>
      <c r="F106" s="62"/>
      <c r="G106" s="62"/>
      <c r="H106" s="62"/>
      <c r="I106" s="65"/>
      <c r="J106" s="43"/>
      <c r="K106" s="54"/>
      <c r="L106" s="37"/>
      <c r="M106" s="37"/>
      <c r="N106" s="37"/>
      <c r="O106" s="37"/>
      <c r="P106" s="37"/>
      <c r="Q106" s="37"/>
      <c r="R106" s="37"/>
      <c r="S106" s="37"/>
      <c r="T106" s="37"/>
      <c r="U106" s="37"/>
      <c r="V106" s="37"/>
      <c r="W106" s="37"/>
      <c r="X106" s="37"/>
      <c r="Y106" s="37"/>
      <c r="Z106" s="37"/>
    </row>
    <row r="107" ht="12.75" customHeight="1" spans="1:26">
      <c r="A107" s="37"/>
      <c r="B107" s="37"/>
      <c r="C107" s="61"/>
      <c r="D107" s="37"/>
      <c r="E107" s="37"/>
      <c r="F107" s="62"/>
      <c r="G107" s="62"/>
      <c r="H107" s="62"/>
      <c r="I107" s="65"/>
      <c r="J107" s="43"/>
      <c r="K107" s="54"/>
      <c r="L107" s="37"/>
      <c r="M107" s="37"/>
      <c r="N107" s="37"/>
      <c r="O107" s="37"/>
      <c r="P107" s="37"/>
      <c r="Q107" s="37"/>
      <c r="R107" s="37"/>
      <c r="S107" s="37"/>
      <c r="T107" s="37"/>
      <c r="U107" s="37"/>
      <c r="V107" s="37"/>
      <c r="W107" s="37"/>
      <c r="X107" s="37"/>
      <c r="Y107" s="37"/>
      <c r="Z107" s="37"/>
    </row>
    <row r="108" ht="12.75" customHeight="1" spans="1:26">
      <c r="A108" s="37"/>
      <c r="B108" s="37"/>
      <c r="C108" s="61"/>
      <c r="D108" s="37"/>
      <c r="E108" s="37"/>
      <c r="F108" s="62"/>
      <c r="G108" s="62"/>
      <c r="H108" s="62"/>
      <c r="I108" s="65"/>
      <c r="J108" s="43"/>
      <c r="K108" s="54"/>
      <c r="L108" s="37"/>
      <c r="M108" s="37"/>
      <c r="N108" s="37"/>
      <c r="O108" s="37"/>
      <c r="P108" s="37"/>
      <c r="Q108" s="37"/>
      <c r="R108" s="37"/>
      <c r="S108" s="37"/>
      <c r="T108" s="37"/>
      <c r="U108" s="37"/>
      <c r="V108" s="37"/>
      <c r="W108" s="37"/>
      <c r="X108" s="37"/>
      <c r="Y108" s="37"/>
      <c r="Z108" s="37"/>
    </row>
    <row r="109" ht="12.75" customHeight="1" spans="1:26">
      <c r="A109" s="37"/>
      <c r="B109" s="37"/>
      <c r="C109" s="61"/>
      <c r="D109" s="37"/>
      <c r="E109" s="37"/>
      <c r="F109" s="62"/>
      <c r="G109" s="62"/>
      <c r="H109" s="62"/>
      <c r="I109" s="65"/>
      <c r="J109" s="43"/>
      <c r="K109" s="54"/>
      <c r="L109" s="37"/>
      <c r="M109" s="37"/>
      <c r="N109" s="37"/>
      <c r="O109" s="37"/>
      <c r="P109" s="37"/>
      <c r="Q109" s="37"/>
      <c r="R109" s="37"/>
      <c r="S109" s="37"/>
      <c r="T109" s="37"/>
      <c r="U109" s="37"/>
      <c r="V109" s="37"/>
      <c r="W109" s="37"/>
      <c r="X109" s="37"/>
      <c r="Y109" s="37"/>
      <c r="Z109" s="37"/>
    </row>
    <row r="110" ht="12.75" customHeight="1" spans="1:26">
      <c r="A110" s="37"/>
      <c r="B110" s="37"/>
      <c r="C110" s="61"/>
      <c r="D110" s="37"/>
      <c r="E110" s="37"/>
      <c r="F110" s="62"/>
      <c r="G110" s="62"/>
      <c r="H110" s="62"/>
      <c r="I110" s="65"/>
      <c r="J110" s="43"/>
      <c r="K110" s="54"/>
      <c r="L110" s="37"/>
      <c r="M110" s="37"/>
      <c r="N110" s="37"/>
      <c r="O110" s="37"/>
      <c r="P110" s="37"/>
      <c r="Q110" s="37"/>
      <c r="R110" s="37"/>
      <c r="S110" s="37"/>
      <c r="T110" s="37"/>
      <c r="U110" s="37"/>
      <c r="V110" s="37"/>
      <c r="W110" s="37"/>
      <c r="X110" s="37"/>
      <c r="Y110" s="37"/>
      <c r="Z110" s="37"/>
    </row>
    <row r="111" ht="12.75" customHeight="1" spans="1:26">
      <c r="A111" s="37"/>
      <c r="B111" s="37"/>
      <c r="C111" s="61"/>
      <c r="D111" s="37"/>
      <c r="E111" s="37"/>
      <c r="F111" s="62"/>
      <c r="G111" s="62"/>
      <c r="H111" s="62"/>
      <c r="I111" s="65"/>
      <c r="J111" s="43"/>
      <c r="K111" s="54"/>
      <c r="L111" s="37"/>
      <c r="M111" s="37"/>
      <c r="N111" s="37"/>
      <c r="O111" s="37"/>
      <c r="P111" s="37"/>
      <c r="Q111" s="37"/>
      <c r="R111" s="37"/>
      <c r="S111" s="37"/>
      <c r="T111" s="37"/>
      <c r="U111" s="37"/>
      <c r="V111" s="37"/>
      <c r="W111" s="37"/>
      <c r="X111" s="37"/>
      <c r="Y111" s="37"/>
      <c r="Z111" s="37"/>
    </row>
    <row r="112" ht="12.75" customHeight="1" spans="1:26">
      <c r="A112" s="37"/>
      <c r="B112" s="37"/>
      <c r="C112" s="61"/>
      <c r="D112" s="37"/>
      <c r="E112" s="37"/>
      <c r="F112" s="62"/>
      <c r="G112" s="62"/>
      <c r="H112" s="62"/>
      <c r="I112" s="65"/>
      <c r="J112" s="43"/>
      <c r="K112" s="54"/>
      <c r="L112" s="37"/>
      <c r="M112" s="37"/>
      <c r="N112" s="37"/>
      <c r="O112" s="37"/>
      <c r="P112" s="37"/>
      <c r="Q112" s="37"/>
      <c r="R112" s="37"/>
      <c r="S112" s="37"/>
      <c r="T112" s="37"/>
      <c r="U112" s="37"/>
      <c r="V112" s="37"/>
      <c r="W112" s="37"/>
      <c r="X112" s="37"/>
      <c r="Y112" s="37"/>
      <c r="Z112" s="37"/>
    </row>
    <row r="113" ht="12.75" customHeight="1" spans="1:26">
      <c r="A113" s="37"/>
      <c r="B113" s="37"/>
      <c r="C113" s="61"/>
      <c r="D113" s="37"/>
      <c r="E113" s="37"/>
      <c r="F113" s="62"/>
      <c r="G113" s="62"/>
      <c r="H113" s="62"/>
      <c r="I113" s="65"/>
      <c r="J113" s="43"/>
      <c r="K113" s="54"/>
      <c r="L113" s="37"/>
      <c r="M113" s="37"/>
      <c r="N113" s="37"/>
      <c r="O113" s="37"/>
      <c r="P113" s="37"/>
      <c r="Q113" s="37"/>
      <c r="R113" s="37"/>
      <c r="S113" s="37"/>
      <c r="T113" s="37"/>
      <c r="U113" s="37"/>
      <c r="V113" s="37"/>
      <c r="W113" s="37"/>
      <c r="X113" s="37"/>
      <c r="Y113" s="37"/>
      <c r="Z113" s="37"/>
    </row>
    <row r="114" ht="12.75" customHeight="1" spans="1:26">
      <c r="A114" s="37"/>
      <c r="B114" s="37"/>
      <c r="C114" s="61"/>
      <c r="D114" s="37"/>
      <c r="E114" s="37"/>
      <c r="F114" s="62"/>
      <c r="G114" s="62"/>
      <c r="H114" s="62"/>
      <c r="I114" s="65"/>
      <c r="J114" s="43"/>
      <c r="K114" s="54"/>
      <c r="L114" s="37"/>
      <c r="M114" s="37"/>
      <c r="N114" s="37"/>
      <c r="O114" s="37"/>
      <c r="P114" s="37"/>
      <c r="Q114" s="37"/>
      <c r="R114" s="37"/>
      <c r="S114" s="37"/>
      <c r="T114" s="37"/>
      <c r="U114" s="37"/>
      <c r="V114" s="37"/>
      <c r="W114" s="37"/>
      <c r="X114" s="37"/>
      <c r="Y114" s="37"/>
      <c r="Z114" s="37"/>
    </row>
    <row r="115" ht="12.75" customHeight="1" spans="1:26">
      <c r="A115" s="37"/>
      <c r="B115" s="37"/>
      <c r="C115" s="61"/>
      <c r="D115" s="37"/>
      <c r="E115" s="37"/>
      <c r="F115" s="62"/>
      <c r="G115" s="62"/>
      <c r="H115" s="62"/>
      <c r="I115" s="65"/>
      <c r="J115" s="43"/>
      <c r="K115" s="54"/>
      <c r="L115" s="37"/>
      <c r="M115" s="37"/>
      <c r="N115" s="37"/>
      <c r="O115" s="37"/>
      <c r="P115" s="37"/>
      <c r="Q115" s="37"/>
      <c r="R115" s="37"/>
      <c r="S115" s="37"/>
      <c r="T115" s="37"/>
      <c r="U115" s="37"/>
      <c r="V115" s="37"/>
      <c r="W115" s="37"/>
      <c r="X115" s="37"/>
      <c r="Y115" s="37"/>
      <c r="Z115" s="37"/>
    </row>
    <row r="116" ht="12.75" customHeight="1" spans="1:26">
      <c r="A116" s="37"/>
      <c r="B116" s="37"/>
      <c r="C116" s="61"/>
      <c r="D116" s="37"/>
      <c r="E116" s="37"/>
      <c r="F116" s="62"/>
      <c r="G116" s="62"/>
      <c r="H116" s="62"/>
      <c r="I116" s="65"/>
      <c r="J116" s="43"/>
      <c r="K116" s="54"/>
      <c r="L116" s="37"/>
      <c r="M116" s="37"/>
      <c r="N116" s="37"/>
      <c r="O116" s="37"/>
      <c r="P116" s="37"/>
      <c r="Q116" s="37"/>
      <c r="R116" s="37"/>
      <c r="S116" s="37"/>
      <c r="T116" s="37"/>
      <c r="U116" s="37"/>
      <c r="V116" s="37"/>
      <c r="W116" s="37"/>
      <c r="X116" s="37"/>
      <c r="Y116" s="37"/>
      <c r="Z116" s="37"/>
    </row>
    <row r="117" ht="12.75" customHeight="1" spans="1:26">
      <c r="A117" s="37"/>
      <c r="B117" s="37"/>
      <c r="C117" s="61"/>
      <c r="D117" s="37"/>
      <c r="E117" s="37"/>
      <c r="F117" s="62"/>
      <c r="G117" s="62"/>
      <c r="H117" s="62"/>
      <c r="I117" s="65"/>
      <c r="J117" s="43"/>
      <c r="K117" s="54"/>
      <c r="L117" s="37"/>
      <c r="M117" s="37"/>
      <c r="N117" s="37"/>
      <c r="O117" s="37"/>
      <c r="P117" s="37"/>
      <c r="Q117" s="37"/>
      <c r="R117" s="37"/>
      <c r="S117" s="37"/>
      <c r="T117" s="37"/>
      <c r="U117" s="37"/>
      <c r="V117" s="37"/>
      <c r="W117" s="37"/>
      <c r="X117" s="37"/>
      <c r="Y117" s="37"/>
      <c r="Z117" s="37"/>
    </row>
    <row r="118" ht="12.75" customHeight="1" spans="1:26">
      <c r="A118" s="37"/>
      <c r="B118" s="37"/>
      <c r="C118" s="61"/>
      <c r="D118" s="37"/>
      <c r="E118" s="37"/>
      <c r="F118" s="62"/>
      <c r="G118" s="62"/>
      <c r="H118" s="62"/>
      <c r="I118" s="65"/>
      <c r="J118" s="43"/>
      <c r="K118" s="54"/>
      <c r="L118" s="37"/>
      <c r="M118" s="37"/>
      <c r="N118" s="37"/>
      <c r="O118" s="37"/>
      <c r="P118" s="37"/>
      <c r="Q118" s="37"/>
      <c r="R118" s="37"/>
      <c r="S118" s="37"/>
      <c r="T118" s="37"/>
      <c r="U118" s="37"/>
      <c r="V118" s="37"/>
      <c r="W118" s="37"/>
      <c r="X118" s="37"/>
      <c r="Y118" s="37"/>
      <c r="Z118" s="37"/>
    </row>
    <row r="119" ht="12.75" customHeight="1" spans="1:26">
      <c r="A119" s="37"/>
      <c r="B119" s="37"/>
      <c r="C119" s="61"/>
      <c r="D119" s="37"/>
      <c r="E119" s="37"/>
      <c r="F119" s="62"/>
      <c r="G119" s="62"/>
      <c r="H119" s="62"/>
      <c r="I119" s="65"/>
      <c r="J119" s="43"/>
      <c r="K119" s="54"/>
      <c r="L119" s="37"/>
      <c r="M119" s="37"/>
      <c r="N119" s="37"/>
      <c r="O119" s="37"/>
      <c r="P119" s="37"/>
      <c r="Q119" s="37"/>
      <c r="R119" s="37"/>
      <c r="S119" s="37"/>
      <c r="T119" s="37"/>
      <c r="U119" s="37"/>
      <c r="V119" s="37"/>
      <c r="W119" s="37"/>
      <c r="X119" s="37"/>
      <c r="Y119" s="37"/>
      <c r="Z119" s="37"/>
    </row>
    <row r="120" ht="12.75" customHeight="1" spans="1:26">
      <c r="A120" s="37"/>
      <c r="B120" s="37"/>
      <c r="C120" s="61"/>
      <c r="D120" s="37"/>
      <c r="E120" s="37"/>
      <c r="F120" s="62"/>
      <c r="G120" s="62"/>
      <c r="H120" s="62"/>
      <c r="I120" s="65"/>
      <c r="J120" s="43"/>
      <c r="K120" s="54"/>
      <c r="L120" s="37"/>
      <c r="M120" s="37"/>
      <c r="N120" s="37"/>
      <c r="O120" s="37"/>
      <c r="P120" s="37"/>
      <c r="Q120" s="37"/>
      <c r="R120" s="37"/>
      <c r="S120" s="37"/>
      <c r="T120" s="37"/>
      <c r="U120" s="37"/>
      <c r="V120" s="37"/>
      <c r="W120" s="37"/>
      <c r="X120" s="37"/>
      <c r="Y120" s="37"/>
      <c r="Z120" s="37"/>
    </row>
    <row r="121" ht="12.75" customHeight="1" spans="1:26">
      <c r="A121" s="37"/>
      <c r="B121" s="37"/>
      <c r="C121" s="61"/>
      <c r="D121" s="37"/>
      <c r="E121" s="37"/>
      <c r="F121" s="62"/>
      <c r="G121" s="62"/>
      <c r="H121" s="62"/>
      <c r="I121" s="65"/>
      <c r="J121" s="43"/>
      <c r="K121" s="54"/>
      <c r="L121" s="37"/>
      <c r="M121" s="37"/>
      <c r="N121" s="37"/>
      <c r="O121" s="37"/>
      <c r="P121" s="37"/>
      <c r="Q121" s="37"/>
      <c r="R121" s="37"/>
      <c r="S121" s="37"/>
      <c r="T121" s="37"/>
      <c r="U121" s="37"/>
      <c r="V121" s="37"/>
      <c r="W121" s="37"/>
      <c r="X121" s="37"/>
      <c r="Y121" s="37"/>
      <c r="Z121" s="37"/>
    </row>
    <row r="122" ht="12.75" customHeight="1" spans="1:26">
      <c r="A122" s="37"/>
      <c r="B122" s="37"/>
      <c r="C122" s="61"/>
      <c r="D122" s="37"/>
      <c r="E122" s="37"/>
      <c r="F122" s="62"/>
      <c r="G122" s="62"/>
      <c r="H122" s="62"/>
      <c r="I122" s="65"/>
      <c r="J122" s="43"/>
      <c r="K122" s="54"/>
      <c r="L122" s="37"/>
      <c r="M122" s="37"/>
      <c r="N122" s="37"/>
      <c r="O122" s="37"/>
      <c r="P122" s="37"/>
      <c r="Q122" s="37"/>
      <c r="R122" s="37"/>
      <c r="S122" s="37"/>
      <c r="T122" s="37"/>
      <c r="U122" s="37"/>
      <c r="V122" s="37"/>
      <c r="W122" s="37"/>
      <c r="X122" s="37"/>
      <c r="Y122" s="37"/>
      <c r="Z122" s="37"/>
    </row>
    <row r="123" ht="12.75" customHeight="1" spans="1:26">
      <c r="A123" s="37"/>
      <c r="B123" s="37"/>
      <c r="C123" s="61"/>
      <c r="D123" s="37"/>
      <c r="E123" s="37"/>
      <c r="F123" s="62"/>
      <c r="G123" s="62"/>
      <c r="H123" s="62"/>
      <c r="I123" s="65"/>
      <c r="J123" s="43"/>
      <c r="K123" s="54"/>
      <c r="L123" s="37"/>
      <c r="M123" s="37"/>
      <c r="N123" s="37"/>
      <c r="O123" s="37"/>
      <c r="P123" s="37"/>
      <c r="Q123" s="37"/>
      <c r="R123" s="37"/>
      <c r="S123" s="37"/>
      <c r="T123" s="37"/>
      <c r="U123" s="37"/>
      <c r="V123" s="37"/>
      <c r="W123" s="37"/>
      <c r="X123" s="37"/>
      <c r="Y123" s="37"/>
      <c r="Z123" s="37"/>
    </row>
    <row r="124" ht="12.75" customHeight="1" spans="1:26">
      <c r="A124" s="37"/>
      <c r="B124" s="37"/>
      <c r="C124" s="61"/>
      <c r="D124" s="37"/>
      <c r="E124" s="37"/>
      <c r="F124" s="62"/>
      <c r="G124" s="62"/>
      <c r="H124" s="62"/>
      <c r="I124" s="65"/>
      <c r="J124" s="43"/>
      <c r="K124" s="54"/>
      <c r="L124" s="37"/>
      <c r="M124" s="37"/>
      <c r="N124" s="37"/>
      <c r="O124" s="37"/>
      <c r="P124" s="37"/>
      <c r="Q124" s="37"/>
      <c r="R124" s="37"/>
      <c r="S124" s="37"/>
      <c r="T124" s="37"/>
      <c r="U124" s="37"/>
      <c r="V124" s="37"/>
      <c r="W124" s="37"/>
      <c r="X124" s="37"/>
      <c r="Y124" s="37"/>
      <c r="Z124" s="37"/>
    </row>
    <row r="125" ht="12.75" customHeight="1" spans="1:26">
      <c r="A125" s="37"/>
      <c r="B125" s="37"/>
      <c r="C125" s="61"/>
      <c r="D125" s="37"/>
      <c r="E125" s="37"/>
      <c r="F125" s="62"/>
      <c r="G125" s="62"/>
      <c r="H125" s="62"/>
      <c r="I125" s="65"/>
      <c r="J125" s="43"/>
      <c r="K125" s="54"/>
      <c r="L125" s="37"/>
      <c r="M125" s="37"/>
      <c r="N125" s="37"/>
      <c r="O125" s="37"/>
      <c r="P125" s="37"/>
      <c r="Q125" s="37"/>
      <c r="R125" s="37"/>
      <c r="S125" s="37"/>
      <c r="T125" s="37"/>
      <c r="U125" s="37"/>
      <c r="V125" s="37"/>
      <c r="W125" s="37"/>
      <c r="X125" s="37"/>
      <c r="Y125" s="37"/>
      <c r="Z125" s="37"/>
    </row>
    <row r="126" ht="12.75" customHeight="1" spans="1:26">
      <c r="A126" s="37"/>
      <c r="B126" s="37"/>
      <c r="C126" s="61"/>
      <c r="D126" s="37"/>
      <c r="E126" s="37"/>
      <c r="F126" s="62"/>
      <c r="G126" s="62"/>
      <c r="H126" s="62"/>
      <c r="I126" s="65"/>
      <c r="J126" s="43"/>
      <c r="K126" s="54"/>
      <c r="L126" s="37"/>
      <c r="M126" s="37"/>
      <c r="N126" s="37"/>
      <c r="O126" s="37"/>
      <c r="P126" s="37"/>
      <c r="Q126" s="37"/>
      <c r="R126" s="37"/>
      <c r="S126" s="37"/>
      <c r="T126" s="37"/>
      <c r="U126" s="37"/>
      <c r="V126" s="37"/>
      <c r="W126" s="37"/>
      <c r="X126" s="37"/>
      <c r="Y126" s="37"/>
      <c r="Z126" s="37"/>
    </row>
    <row r="127" ht="12.75" customHeight="1" spans="1:26">
      <c r="A127" s="37"/>
      <c r="B127" s="37"/>
      <c r="C127" s="61"/>
      <c r="D127" s="37"/>
      <c r="E127" s="37"/>
      <c r="F127" s="62"/>
      <c r="G127" s="62"/>
      <c r="H127" s="62"/>
      <c r="I127" s="65"/>
      <c r="J127" s="43"/>
      <c r="K127" s="54"/>
      <c r="L127" s="37"/>
      <c r="M127" s="37"/>
      <c r="N127" s="37"/>
      <c r="O127" s="37"/>
      <c r="P127" s="37"/>
      <c r="Q127" s="37"/>
      <c r="R127" s="37"/>
      <c r="S127" s="37"/>
      <c r="T127" s="37"/>
      <c r="U127" s="37"/>
      <c r="V127" s="37"/>
      <c r="W127" s="37"/>
      <c r="X127" s="37"/>
      <c r="Y127" s="37"/>
      <c r="Z127" s="37"/>
    </row>
    <row r="128" ht="12.75" customHeight="1" spans="1:26">
      <c r="A128" s="37"/>
      <c r="B128" s="37"/>
      <c r="C128" s="61"/>
      <c r="D128" s="37"/>
      <c r="E128" s="37"/>
      <c r="F128" s="62"/>
      <c r="G128" s="62"/>
      <c r="H128" s="62"/>
      <c r="I128" s="65"/>
      <c r="J128" s="43"/>
      <c r="K128" s="54"/>
      <c r="L128" s="37"/>
      <c r="M128" s="37"/>
      <c r="N128" s="37"/>
      <c r="O128" s="37"/>
      <c r="P128" s="37"/>
      <c r="Q128" s="37"/>
      <c r="R128" s="37"/>
      <c r="S128" s="37"/>
      <c r="T128" s="37"/>
      <c r="U128" s="37"/>
      <c r="V128" s="37"/>
      <c r="W128" s="37"/>
      <c r="X128" s="37"/>
      <c r="Y128" s="37"/>
      <c r="Z128" s="37"/>
    </row>
    <row r="129" ht="12.75" customHeight="1" spans="1:26">
      <c r="A129" s="37"/>
      <c r="B129" s="37"/>
      <c r="C129" s="61"/>
      <c r="D129" s="37"/>
      <c r="E129" s="37"/>
      <c r="F129" s="62"/>
      <c r="G129" s="62"/>
      <c r="H129" s="62"/>
      <c r="I129" s="65"/>
      <c r="J129" s="43"/>
      <c r="K129" s="54"/>
      <c r="L129" s="37"/>
      <c r="M129" s="37"/>
      <c r="N129" s="37"/>
      <c r="O129" s="37"/>
      <c r="P129" s="37"/>
      <c r="Q129" s="37"/>
      <c r="R129" s="37"/>
      <c r="S129" s="37"/>
      <c r="T129" s="37"/>
      <c r="U129" s="37"/>
      <c r="V129" s="37"/>
      <c r="W129" s="37"/>
      <c r="X129" s="37"/>
      <c r="Y129" s="37"/>
      <c r="Z129" s="37"/>
    </row>
    <row r="130" ht="12.75" customHeight="1" spans="1:26">
      <c r="A130" s="37"/>
      <c r="B130" s="37"/>
      <c r="C130" s="61"/>
      <c r="D130" s="37"/>
      <c r="E130" s="37"/>
      <c r="F130" s="62"/>
      <c r="G130" s="62"/>
      <c r="H130" s="62"/>
      <c r="I130" s="65"/>
      <c r="J130" s="43"/>
      <c r="K130" s="54"/>
      <c r="L130" s="37"/>
      <c r="M130" s="37"/>
      <c r="N130" s="37"/>
      <c r="O130" s="37"/>
      <c r="P130" s="37"/>
      <c r="Q130" s="37"/>
      <c r="R130" s="37"/>
      <c r="S130" s="37"/>
      <c r="T130" s="37"/>
      <c r="U130" s="37"/>
      <c r="V130" s="37"/>
      <c r="W130" s="37"/>
      <c r="X130" s="37"/>
      <c r="Y130" s="37"/>
      <c r="Z130" s="37"/>
    </row>
    <row r="131" ht="12.75" customHeight="1" spans="1:26">
      <c r="A131" s="37"/>
      <c r="B131" s="37"/>
      <c r="C131" s="61"/>
      <c r="D131" s="37"/>
      <c r="E131" s="37"/>
      <c r="F131" s="62"/>
      <c r="G131" s="62"/>
      <c r="H131" s="62"/>
      <c r="I131" s="65"/>
      <c r="J131" s="43"/>
      <c r="K131" s="54"/>
      <c r="L131" s="37"/>
      <c r="M131" s="37"/>
      <c r="N131" s="37"/>
      <c r="O131" s="37"/>
      <c r="P131" s="37"/>
      <c r="Q131" s="37"/>
      <c r="R131" s="37"/>
      <c r="S131" s="37"/>
      <c r="T131" s="37"/>
      <c r="U131" s="37"/>
      <c r="V131" s="37"/>
      <c r="W131" s="37"/>
      <c r="X131" s="37"/>
      <c r="Y131" s="37"/>
      <c r="Z131" s="37"/>
    </row>
    <row r="132" ht="12.75" customHeight="1" spans="1:26">
      <c r="A132" s="37"/>
      <c r="B132" s="37"/>
      <c r="C132" s="61"/>
      <c r="D132" s="37"/>
      <c r="E132" s="37"/>
      <c r="F132" s="62"/>
      <c r="G132" s="62"/>
      <c r="H132" s="62"/>
      <c r="I132" s="65"/>
      <c r="J132" s="43"/>
      <c r="K132" s="54"/>
      <c r="L132" s="37"/>
      <c r="M132" s="37"/>
      <c r="N132" s="37"/>
      <c r="O132" s="37"/>
      <c r="P132" s="37"/>
      <c r="Q132" s="37"/>
      <c r="R132" s="37"/>
      <c r="S132" s="37"/>
      <c r="T132" s="37"/>
      <c r="U132" s="37"/>
      <c r="V132" s="37"/>
      <c r="W132" s="37"/>
      <c r="X132" s="37"/>
      <c r="Y132" s="37"/>
      <c r="Z132" s="37"/>
    </row>
    <row r="133" ht="12.75" customHeight="1" spans="1:26">
      <c r="A133" s="37"/>
      <c r="B133" s="37"/>
      <c r="C133" s="61"/>
      <c r="D133" s="37"/>
      <c r="E133" s="37"/>
      <c r="F133" s="62"/>
      <c r="G133" s="62"/>
      <c r="H133" s="62"/>
      <c r="I133" s="65"/>
      <c r="J133" s="43"/>
      <c r="K133" s="54"/>
      <c r="L133" s="37"/>
      <c r="M133" s="37"/>
      <c r="N133" s="37"/>
      <c r="O133" s="37"/>
      <c r="P133" s="37"/>
      <c r="Q133" s="37"/>
      <c r="R133" s="37"/>
      <c r="S133" s="37"/>
      <c r="T133" s="37"/>
      <c r="U133" s="37"/>
      <c r="V133" s="37"/>
      <c r="W133" s="37"/>
      <c r="X133" s="37"/>
      <c r="Y133" s="37"/>
      <c r="Z133" s="37"/>
    </row>
    <row r="134" ht="12.75" customHeight="1" spans="1:26">
      <c r="A134" s="37"/>
      <c r="B134" s="37"/>
      <c r="C134" s="61"/>
      <c r="D134" s="37"/>
      <c r="E134" s="37"/>
      <c r="F134" s="62"/>
      <c r="G134" s="62"/>
      <c r="H134" s="62"/>
      <c r="I134" s="65"/>
      <c r="J134" s="43"/>
      <c r="K134" s="54"/>
      <c r="L134" s="37"/>
      <c r="M134" s="37"/>
      <c r="N134" s="37"/>
      <c r="O134" s="37"/>
      <c r="P134" s="37"/>
      <c r="Q134" s="37"/>
      <c r="R134" s="37"/>
      <c r="S134" s="37"/>
      <c r="T134" s="37"/>
      <c r="U134" s="37"/>
      <c r="V134" s="37"/>
      <c r="W134" s="37"/>
      <c r="X134" s="37"/>
      <c r="Y134" s="37"/>
      <c r="Z134" s="37"/>
    </row>
    <row r="135" ht="12.75" customHeight="1" spans="1:26">
      <c r="A135" s="37"/>
      <c r="B135" s="37"/>
      <c r="C135" s="61"/>
      <c r="D135" s="37"/>
      <c r="E135" s="37"/>
      <c r="F135" s="62"/>
      <c r="G135" s="62"/>
      <c r="H135" s="62"/>
      <c r="I135" s="65"/>
      <c r="J135" s="43"/>
      <c r="K135" s="54"/>
      <c r="L135" s="37"/>
      <c r="M135" s="37"/>
      <c r="N135" s="37"/>
      <c r="O135" s="37"/>
      <c r="P135" s="37"/>
      <c r="Q135" s="37"/>
      <c r="R135" s="37"/>
      <c r="S135" s="37"/>
      <c r="T135" s="37"/>
      <c r="U135" s="37"/>
      <c r="V135" s="37"/>
      <c r="W135" s="37"/>
      <c r="X135" s="37"/>
      <c r="Y135" s="37"/>
      <c r="Z135" s="37"/>
    </row>
    <row r="136" ht="12.75" customHeight="1" spans="1:26">
      <c r="A136" s="37"/>
      <c r="B136" s="37"/>
      <c r="C136" s="61"/>
      <c r="D136" s="37"/>
      <c r="E136" s="37"/>
      <c r="F136" s="62"/>
      <c r="G136" s="62"/>
      <c r="H136" s="62"/>
      <c r="I136" s="65"/>
      <c r="J136" s="43"/>
      <c r="K136" s="54"/>
      <c r="L136" s="37"/>
      <c r="M136" s="37"/>
      <c r="N136" s="37"/>
      <c r="O136" s="37"/>
      <c r="P136" s="37"/>
      <c r="Q136" s="37"/>
      <c r="R136" s="37"/>
      <c r="S136" s="37"/>
      <c r="T136" s="37"/>
      <c r="U136" s="37"/>
      <c r="V136" s="37"/>
      <c r="W136" s="37"/>
      <c r="X136" s="37"/>
      <c r="Y136" s="37"/>
      <c r="Z136" s="37"/>
    </row>
    <row r="137" ht="12.75" customHeight="1" spans="1:26">
      <c r="A137" s="37"/>
      <c r="B137" s="37"/>
      <c r="C137" s="61"/>
      <c r="D137" s="37"/>
      <c r="E137" s="37"/>
      <c r="F137" s="62"/>
      <c r="G137" s="62"/>
      <c r="H137" s="62"/>
      <c r="I137" s="65"/>
      <c r="J137" s="43"/>
      <c r="K137" s="54"/>
      <c r="L137" s="37"/>
      <c r="M137" s="37"/>
      <c r="N137" s="37"/>
      <c r="O137" s="37"/>
      <c r="P137" s="37"/>
      <c r="Q137" s="37"/>
      <c r="R137" s="37"/>
      <c r="S137" s="37"/>
      <c r="T137" s="37"/>
      <c r="U137" s="37"/>
      <c r="V137" s="37"/>
      <c r="W137" s="37"/>
      <c r="X137" s="37"/>
      <c r="Y137" s="37"/>
      <c r="Z137" s="37"/>
    </row>
    <row r="138" ht="12.75" customHeight="1" spans="1:26">
      <c r="A138" s="37"/>
      <c r="B138" s="37"/>
      <c r="C138" s="61"/>
      <c r="D138" s="37"/>
      <c r="E138" s="37"/>
      <c r="F138" s="62"/>
      <c r="G138" s="62"/>
      <c r="H138" s="62"/>
      <c r="I138" s="65"/>
      <c r="J138" s="43"/>
      <c r="K138" s="54"/>
      <c r="L138" s="37"/>
      <c r="M138" s="37"/>
      <c r="N138" s="37"/>
      <c r="O138" s="37"/>
      <c r="P138" s="37"/>
      <c r="Q138" s="37"/>
      <c r="R138" s="37"/>
      <c r="S138" s="37"/>
      <c r="T138" s="37"/>
      <c r="U138" s="37"/>
      <c r="V138" s="37"/>
      <c r="W138" s="37"/>
      <c r="X138" s="37"/>
      <c r="Y138" s="37"/>
      <c r="Z138" s="37"/>
    </row>
    <row r="139" ht="12.75" customHeight="1" spans="1:26">
      <c r="A139" s="37"/>
      <c r="B139" s="37"/>
      <c r="C139" s="61"/>
      <c r="D139" s="37"/>
      <c r="E139" s="37"/>
      <c r="F139" s="62"/>
      <c r="G139" s="62"/>
      <c r="H139" s="62"/>
      <c r="I139" s="65"/>
      <c r="J139" s="43"/>
      <c r="K139" s="54"/>
      <c r="L139" s="37"/>
      <c r="M139" s="37"/>
      <c r="N139" s="37"/>
      <c r="O139" s="37"/>
      <c r="P139" s="37"/>
      <c r="Q139" s="37"/>
      <c r="R139" s="37"/>
      <c r="S139" s="37"/>
      <c r="T139" s="37"/>
      <c r="U139" s="37"/>
      <c r="V139" s="37"/>
      <c r="W139" s="37"/>
      <c r="X139" s="37"/>
      <c r="Y139" s="37"/>
      <c r="Z139" s="37"/>
    </row>
    <row r="140" ht="12.75" customHeight="1" spans="1:26">
      <c r="A140" s="37"/>
      <c r="B140" s="37"/>
      <c r="C140" s="61"/>
      <c r="D140" s="37"/>
      <c r="E140" s="37"/>
      <c r="F140" s="62"/>
      <c r="G140" s="62"/>
      <c r="H140" s="62"/>
      <c r="I140" s="65"/>
      <c r="J140" s="43"/>
      <c r="K140" s="54"/>
      <c r="L140" s="37"/>
      <c r="M140" s="37"/>
      <c r="N140" s="37"/>
      <c r="O140" s="37"/>
      <c r="P140" s="37"/>
      <c r="Q140" s="37"/>
      <c r="R140" s="37"/>
      <c r="S140" s="37"/>
      <c r="T140" s="37"/>
      <c r="U140" s="37"/>
      <c r="V140" s="37"/>
      <c r="W140" s="37"/>
      <c r="X140" s="37"/>
      <c r="Y140" s="37"/>
      <c r="Z140" s="37"/>
    </row>
    <row r="141" ht="12.75" customHeight="1" spans="1:26">
      <c r="A141" s="37"/>
      <c r="B141" s="37"/>
      <c r="C141" s="61"/>
      <c r="D141" s="37"/>
      <c r="E141" s="37"/>
      <c r="F141" s="62"/>
      <c r="G141" s="62"/>
      <c r="H141" s="62"/>
      <c r="I141" s="65"/>
      <c r="J141" s="43"/>
      <c r="K141" s="54"/>
      <c r="L141" s="37"/>
      <c r="M141" s="37"/>
      <c r="N141" s="37"/>
      <c r="O141" s="37"/>
      <c r="P141" s="37"/>
      <c r="Q141" s="37"/>
      <c r="R141" s="37"/>
      <c r="S141" s="37"/>
      <c r="T141" s="37"/>
      <c r="U141" s="37"/>
      <c r="V141" s="37"/>
      <c r="W141" s="37"/>
      <c r="X141" s="37"/>
      <c r="Y141" s="37"/>
      <c r="Z141" s="37"/>
    </row>
    <row r="142" ht="12.75" customHeight="1" spans="1:26">
      <c r="A142" s="37"/>
      <c r="B142" s="37"/>
      <c r="C142" s="61"/>
      <c r="D142" s="37"/>
      <c r="E142" s="37"/>
      <c r="F142" s="62"/>
      <c r="G142" s="62"/>
      <c r="H142" s="62"/>
      <c r="I142" s="65"/>
      <c r="J142" s="43"/>
      <c r="K142" s="54"/>
      <c r="L142" s="37"/>
      <c r="M142" s="37"/>
      <c r="N142" s="37"/>
      <c r="O142" s="37"/>
      <c r="P142" s="37"/>
      <c r="Q142" s="37"/>
      <c r="R142" s="37"/>
      <c r="S142" s="37"/>
      <c r="T142" s="37"/>
      <c r="U142" s="37"/>
      <c r="V142" s="37"/>
      <c r="W142" s="37"/>
      <c r="X142" s="37"/>
      <c r="Y142" s="37"/>
      <c r="Z142" s="37"/>
    </row>
    <row r="143" ht="12.75" customHeight="1" spans="1:26">
      <c r="A143" s="37"/>
      <c r="B143" s="37"/>
      <c r="C143" s="61"/>
      <c r="D143" s="37"/>
      <c r="E143" s="37"/>
      <c r="F143" s="62"/>
      <c r="G143" s="62"/>
      <c r="H143" s="62"/>
      <c r="I143" s="65"/>
      <c r="J143" s="43"/>
      <c r="K143" s="54"/>
      <c r="L143" s="37"/>
      <c r="M143" s="37"/>
      <c r="N143" s="37"/>
      <c r="O143" s="37"/>
      <c r="P143" s="37"/>
      <c r="Q143" s="37"/>
      <c r="R143" s="37"/>
      <c r="S143" s="37"/>
      <c r="T143" s="37"/>
      <c r="U143" s="37"/>
      <c r="V143" s="37"/>
      <c r="W143" s="37"/>
      <c r="X143" s="37"/>
      <c r="Y143" s="37"/>
      <c r="Z143" s="37"/>
    </row>
    <row r="144" ht="12.75" customHeight="1" spans="1:26">
      <c r="A144" s="37"/>
      <c r="B144" s="37"/>
      <c r="C144" s="61"/>
      <c r="D144" s="37"/>
      <c r="E144" s="37"/>
      <c r="F144" s="62"/>
      <c r="G144" s="62"/>
      <c r="H144" s="62"/>
      <c r="I144" s="65"/>
      <c r="J144" s="43"/>
      <c r="K144" s="54"/>
      <c r="L144" s="37"/>
      <c r="M144" s="37"/>
      <c r="N144" s="37"/>
      <c r="O144" s="37"/>
      <c r="P144" s="37"/>
      <c r="Q144" s="37"/>
      <c r="R144" s="37"/>
      <c r="S144" s="37"/>
      <c r="T144" s="37"/>
      <c r="U144" s="37"/>
      <c r="V144" s="37"/>
      <c r="W144" s="37"/>
      <c r="X144" s="37"/>
      <c r="Y144" s="37"/>
      <c r="Z144" s="37"/>
    </row>
    <row r="145" ht="12.75" customHeight="1" spans="1:26">
      <c r="A145" s="37"/>
      <c r="B145" s="37"/>
      <c r="C145" s="61"/>
      <c r="D145" s="37"/>
      <c r="E145" s="37"/>
      <c r="F145" s="62"/>
      <c r="G145" s="62"/>
      <c r="H145" s="62"/>
      <c r="I145" s="65"/>
      <c r="J145" s="43"/>
      <c r="K145" s="54"/>
      <c r="L145" s="37"/>
      <c r="M145" s="37"/>
      <c r="N145" s="37"/>
      <c r="O145" s="37"/>
      <c r="P145" s="37"/>
      <c r="Q145" s="37"/>
      <c r="R145" s="37"/>
      <c r="S145" s="37"/>
      <c r="T145" s="37"/>
      <c r="U145" s="37"/>
      <c r="V145" s="37"/>
      <c r="W145" s="37"/>
      <c r="X145" s="37"/>
      <c r="Y145" s="37"/>
      <c r="Z145" s="37"/>
    </row>
    <row r="146" ht="12.75" customHeight="1" spans="1:26">
      <c r="A146" s="37"/>
      <c r="B146" s="37"/>
      <c r="C146" s="61"/>
      <c r="D146" s="37"/>
      <c r="E146" s="37"/>
      <c r="F146" s="62"/>
      <c r="G146" s="62"/>
      <c r="H146" s="62"/>
      <c r="I146" s="65"/>
      <c r="J146" s="43"/>
      <c r="K146" s="54"/>
      <c r="L146" s="37"/>
      <c r="M146" s="37"/>
      <c r="N146" s="37"/>
      <c r="O146" s="37"/>
      <c r="P146" s="37"/>
      <c r="Q146" s="37"/>
      <c r="R146" s="37"/>
      <c r="S146" s="37"/>
      <c r="T146" s="37"/>
      <c r="U146" s="37"/>
      <c r="V146" s="37"/>
      <c r="W146" s="37"/>
      <c r="X146" s="37"/>
      <c r="Y146" s="37"/>
      <c r="Z146" s="37"/>
    </row>
    <row r="147" ht="12.75" customHeight="1" spans="1:26">
      <c r="A147" s="37"/>
      <c r="B147" s="37"/>
      <c r="C147" s="61"/>
      <c r="D147" s="37"/>
      <c r="E147" s="37"/>
      <c r="F147" s="62"/>
      <c r="G147" s="62"/>
      <c r="H147" s="62"/>
      <c r="I147" s="65"/>
      <c r="J147" s="43"/>
      <c r="K147" s="54"/>
      <c r="L147" s="37"/>
      <c r="M147" s="37"/>
      <c r="N147" s="37"/>
      <c r="O147" s="37"/>
      <c r="P147" s="37"/>
      <c r="Q147" s="37"/>
      <c r="R147" s="37"/>
      <c r="S147" s="37"/>
      <c r="T147" s="37"/>
      <c r="U147" s="37"/>
      <c r="V147" s="37"/>
      <c r="W147" s="37"/>
      <c r="X147" s="37"/>
      <c r="Y147" s="37"/>
      <c r="Z147" s="37"/>
    </row>
    <row r="148" ht="12.75" customHeight="1" spans="1:26">
      <c r="A148" s="37"/>
      <c r="B148" s="37"/>
      <c r="C148" s="61"/>
      <c r="D148" s="37"/>
      <c r="E148" s="37"/>
      <c r="F148" s="62"/>
      <c r="G148" s="62"/>
      <c r="H148" s="62"/>
      <c r="I148" s="65"/>
      <c r="J148" s="43"/>
      <c r="K148" s="54"/>
      <c r="L148" s="37"/>
      <c r="M148" s="37"/>
      <c r="N148" s="37"/>
      <c r="O148" s="37"/>
      <c r="P148" s="37"/>
      <c r="Q148" s="37"/>
      <c r="R148" s="37"/>
      <c r="S148" s="37"/>
      <c r="T148" s="37"/>
      <c r="U148" s="37"/>
      <c r="V148" s="37"/>
      <c r="W148" s="37"/>
      <c r="X148" s="37"/>
      <c r="Y148" s="37"/>
      <c r="Z148" s="37"/>
    </row>
    <row r="149" ht="12.75" customHeight="1" spans="1:26">
      <c r="A149" s="37"/>
      <c r="B149" s="37"/>
      <c r="C149" s="61"/>
      <c r="D149" s="37"/>
      <c r="E149" s="37"/>
      <c r="F149" s="62"/>
      <c r="G149" s="62"/>
      <c r="H149" s="62"/>
      <c r="I149" s="65"/>
      <c r="J149" s="43"/>
      <c r="K149" s="54"/>
      <c r="L149" s="37"/>
      <c r="M149" s="37"/>
      <c r="N149" s="37"/>
      <c r="O149" s="37"/>
      <c r="P149" s="37"/>
      <c r="Q149" s="37"/>
      <c r="R149" s="37"/>
      <c r="S149" s="37"/>
      <c r="T149" s="37"/>
      <c r="U149" s="37"/>
      <c r="V149" s="37"/>
      <c r="W149" s="37"/>
      <c r="X149" s="37"/>
      <c r="Y149" s="37"/>
      <c r="Z149" s="37"/>
    </row>
    <row r="150" ht="12.75" customHeight="1" spans="1:26">
      <c r="A150" s="37"/>
      <c r="B150" s="37"/>
      <c r="C150" s="61"/>
      <c r="D150" s="37"/>
      <c r="E150" s="37"/>
      <c r="F150" s="62"/>
      <c r="G150" s="62"/>
      <c r="H150" s="62"/>
      <c r="I150" s="65"/>
      <c r="J150" s="43"/>
      <c r="K150" s="54"/>
      <c r="L150" s="37"/>
      <c r="M150" s="37"/>
      <c r="N150" s="37"/>
      <c r="O150" s="37"/>
      <c r="P150" s="37"/>
      <c r="Q150" s="37"/>
      <c r="R150" s="37"/>
      <c r="S150" s="37"/>
      <c r="T150" s="37"/>
      <c r="U150" s="37"/>
      <c r="V150" s="37"/>
      <c r="W150" s="37"/>
      <c r="X150" s="37"/>
      <c r="Y150" s="37"/>
      <c r="Z150" s="37"/>
    </row>
    <row r="151" ht="12.75" customHeight="1" spans="1:26">
      <c r="A151" s="37"/>
      <c r="B151" s="37"/>
      <c r="C151" s="61"/>
      <c r="D151" s="37"/>
      <c r="E151" s="37"/>
      <c r="F151" s="62"/>
      <c r="G151" s="62"/>
      <c r="H151" s="62"/>
      <c r="I151" s="65"/>
      <c r="J151" s="43"/>
      <c r="K151" s="54"/>
      <c r="L151" s="37"/>
      <c r="M151" s="37"/>
      <c r="N151" s="37"/>
      <c r="O151" s="37"/>
      <c r="P151" s="37"/>
      <c r="Q151" s="37"/>
      <c r="R151" s="37"/>
      <c r="S151" s="37"/>
      <c r="T151" s="37"/>
      <c r="U151" s="37"/>
      <c r="V151" s="37"/>
      <c r="W151" s="37"/>
      <c r="X151" s="37"/>
      <c r="Y151" s="37"/>
      <c r="Z151" s="37"/>
    </row>
    <row r="152" ht="12.75" customHeight="1" spans="1:26">
      <c r="A152" s="37"/>
      <c r="B152" s="37"/>
      <c r="C152" s="61"/>
      <c r="D152" s="37"/>
      <c r="E152" s="37"/>
      <c r="F152" s="62"/>
      <c r="G152" s="62"/>
      <c r="H152" s="62"/>
      <c r="I152" s="65"/>
      <c r="J152" s="43"/>
      <c r="K152" s="54"/>
      <c r="L152" s="37"/>
      <c r="M152" s="37"/>
      <c r="N152" s="37"/>
      <c r="O152" s="37"/>
      <c r="P152" s="37"/>
      <c r="Q152" s="37"/>
      <c r="R152" s="37"/>
      <c r="S152" s="37"/>
      <c r="T152" s="37"/>
      <c r="U152" s="37"/>
      <c r="V152" s="37"/>
      <c r="W152" s="37"/>
      <c r="X152" s="37"/>
      <c r="Y152" s="37"/>
      <c r="Z152" s="37"/>
    </row>
    <row r="153" ht="12.75" customHeight="1" spans="1:26">
      <c r="A153" s="37"/>
      <c r="B153" s="37"/>
      <c r="C153" s="61"/>
      <c r="D153" s="37"/>
      <c r="E153" s="37"/>
      <c r="F153" s="62"/>
      <c r="G153" s="62"/>
      <c r="H153" s="62"/>
      <c r="I153" s="65"/>
      <c r="J153" s="43"/>
      <c r="K153" s="54"/>
      <c r="L153" s="37"/>
      <c r="M153" s="37"/>
      <c r="N153" s="37"/>
      <c r="O153" s="37"/>
      <c r="P153" s="37"/>
      <c r="Q153" s="37"/>
      <c r="R153" s="37"/>
      <c r="S153" s="37"/>
      <c r="T153" s="37"/>
      <c r="U153" s="37"/>
      <c r="V153" s="37"/>
      <c r="W153" s="37"/>
      <c r="X153" s="37"/>
      <c r="Y153" s="37"/>
      <c r="Z153" s="37"/>
    </row>
    <row r="154" ht="12.75" customHeight="1" spans="1:26">
      <c r="A154" s="37"/>
      <c r="B154" s="37"/>
      <c r="C154" s="61"/>
      <c r="D154" s="37"/>
      <c r="E154" s="37"/>
      <c r="F154" s="62"/>
      <c r="G154" s="62"/>
      <c r="H154" s="62"/>
      <c r="I154" s="65"/>
      <c r="J154" s="43"/>
      <c r="K154" s="54"/>
      <c r="L154" s="37"/>
      <c r="M154" s="37"/>
      <c r="N154" s="37"/>
      <c r="O154" s="37"/>
      <c r="P154" s="37"/>
      <c r="Q154" s="37"/>
      <c r="R154" s="37"/>
      <c r="S154" s="37"/>
      <c r="T154" s="37"/>
      <c r="U154" s="37"/>
      <c r="V154" s="37"/>
      <c r="W154" s="37"/>
      <c r="X154" s="37"/>
      <c r="Y154" s="37"/>
      <c r="Z154" s="37"/>
    </row>
    <row r="155" ht="12.75" customHeight="1" spans="1:26">
      <c r="A155" s="37"/>
      <c r="B155" s="37"/>
      <c r="C155" s="61"/>
      <c r="D155" s="37"/>
      <c r="E155" s="37"/>
      <c r="F155" s="62"/>
      <c r="G155" s="62"/>
      <c r="H155" s="62"/>
      <c r="I155" s="65"/>
      <c r="J155" s="43"/>
      <c r="K155" s="54"/>
      <c r="L155" s="37"/>
      <c r="M155" s="37"/>
      <c r="N155" s="37"/>
      <c r="O155" s="37"/>
      <c r="P155" s="37"/>
      <c r="Q155" s="37"/>
      <c r="R155" s="37"/>
      <c r="S155" s="37"/>
      <c r="T155" s="37"/>
      <c r="U155" s="37"/>
      <c r="V155" s="37"/>
      <c r="W155" s="37"/>
      <c r="X155" s="37"/>
      <c r="Y155" s="37"/>
      <c r="Z155" s="37"/>
    </row>
    <row r="156" ht="12.75" customHeight="1" spans="1:26">
      <c r="A156" s="37"/>
      <c r="B156" s="37"/>
      <c r="C156" s="61"/>
      <c r="D156" s="37"/>
      <c r="E156" s="37"/>
      <c r="F156" s="62"/>
      <c r="G156" s="62"/>
      <c r="H156" s="62"/>
      <c r="I156" s="65"/>
      <c r="J156" s="43"/>
      <c r="K156" s="54"/>
      <c r="L156" s="37"/>
      <c r="M156" s="37"/>
      <c r="N156" s="37"/>
      <c r="O156" s="37"/>
      <c r="P156" s="37"/>
      <c r="Q156" s="37"/>
      <c r="R156" s="37"/>
      <c r="S156" s="37"/>
      <c r="T156" s="37"/>
      <c r="U156" s="37"/>
      <c r="V156" s="37"/>
      <c r="W156" s="37"/>
      <c r="X156" s="37"/>
      <c r="Y156" s="37"/>
      <c r="Z156" s="37"/>
    </row>
    <row r="157" ht="12.75" customHeight="1" spans="1:26">
      <c r="A157" s="37"/>
      <c r="B157" s="37"/>
      <c r="C157" s="61"/>
      <c r="D157" s="37"/>
      <c r="E157" s="37"/>
      <c r="F157" s="62"/>
      <c r="G157" s="62"/>
      <c r="H157" s="62"/>
      <c r="I157" s="65"/>
      <c r="J157" s="43"/>
      <c r="K157" s="54"/>
      <c r="L157" s="37"/>
      <c r="M157" s="37"/>
      <c r="N157" s="37"/>
      <c r="O157" s="37"/>
      <c r="P157" s="37"/>
      <c r="Q157" s="37"/>
      <c r="R157" s="37"/>
      <c r="S157" s="37"/>
      <c r="T157" s="37"/>
      <c r="U157" s="37"/>
      <c r="V157" s="37"/>
      <c r="W157" s="37"/>
      <c r="X157" s="37"/>
      <c r="Y157" s="37"/>
      <c r="Z157" s="37"/>
    </row>
    <row r="158" ht="12.75" customHeight="1" spans="1:26">
      <c r="A158" s="37"/>
      <c r="B158" s="37"/>
      <c r="C158" s="61"/>
      <c r="D158" s="37"/>
      <c r="E158" s="37"/>
      <c r="F158" s="62"/>
      <c r="G158" s="62"/>
      <c r="H158" s="62"/>
      <c r="I158" s="65"/>
      <c r="J158" s="43"/>
      <c r="K158" s="54"/>
      <c r="L158" s="37"/>
      <c r="M158" s="37"/>
      <c r="N158" s="37"/>
      <c r="O158" s="37"/>
      <c r="P158" s="37"/>
      <c r="Q158" s="37"/>
      <c r="R158" s="37"/>
      <c r="S158" s="37"/>
      <c r="T158" s="37"/>
      <c r="U158" s="37"/>
      <c r="V158" s="37"/>
      <c r="W158" s="37"/>
      <c r="X158" s="37"/>
      <c r="Y158" s="37"/>
      <c r="Z158" s="37"/>
    </row>
    <row r="159" ht="12.75" customHeight="1" spans="1:26">
      <c r="A159" s="37"/>
      <c r="B159" s="37"/>
      <c r="C159" s="61"/>
      <c r="D159" s="37"/>
      <c r="E159" s="37"/>
      <c r="F159" s="62"/>
      <c r="G159" s="62"/>
      <c r="H159" s="62"/>
      <c r="I159" s="65"/>
      <c r="J159" s="43"/>
      <c r="K159" s="54"/>
      <c r="L159" s="37"/>
      <c r="M159" s="37"/>
      <c r="N159" s="37"/>
      <c r="O159" s="37"/>
      <c r="P159" s="37"/>
      <c r="Q159" s="37"/>
      <c r="R159" s="37"/>
      <c r="S159" s="37"/>
      <c r="T159" s="37"/>
      <c r="U159" s="37"/>
      <c r="V159" s="37"/>
      <c r="W159" s="37"/>
      <c r="X159" s="37"/>
      <c r="Y159" s="37"/>
      <c r="Z159" s="37"/>
    </row>
    <row r="160" ht="12.75" customHeight="1" spans="1:26">
      <c r="A160" s="37"/>
      <c r="B160" s="37"/>
      <c r="C160" s="61"/>
      <c r="D160" s="37"/>
      <c r="E160" s="37"/>
      <c r="F160" s="62"/>
      <c r="G160" s="62"/>
      <c r="H160" s="62"/>
      <c r="I160" s="65"/>
      <c r="J160" s="43"/>
      <c r="K160" s="54"/>
      <c r="L160" s="37"/>
      <c r="M160" s="37"/>
      <c r="N160" s="37"/>
      <c r="O160" s="37"/>
      <c r="P160" s="37"/>
      <c r="Q160" s="37"/>
      <c r="R160" s="37"/>
      <c r="S160" s="37"/>
      <c r="T160" s="37"/>
      <c r="U160" s="37"/>
      <c r="V160" s="37"/>
      <c r="W160" s="37"/>
      <c r="X160" s="37"/>
      <c r="Y160" s="37"/>
      <c r="Z160" s="37"/>
    </row>
    <row r="161" ht="12.75" customHeight="1" spans="1:26">
      <c r="A161" s="37"/>
      <c r="B161" s="37"/>
      <c r="C161" s="61"/>
      <c r="D161" s="37"/>
      <c r="E161" s="37"/>
      <c r="F161" s="62"/>
      <c r="G161" s="62"/>
      <c r="H161" s="62"/>
      <c r="I161" s="65"/>
      <c r="J161" s="43"/>
      <c r="K161" s="54"/>
      <c r="L161" s="37"/>
      <c r="M161" s="37"/>
      <c r="N161" s="37"/>
      <c r="O161" s="37"/>
      <c r="P161" s="37"/>
      <c r="Q161" s="37"/>
      <c r="R161" s="37"/>
      <c r="S161" s="37"/>
      <c r="T161" s="37"/>
      <c r="U161" s="37"/>
      <c r="V161" s="37"/>
      <c r="W161" s="37"/>
      <c r="X161" s="37"/>
      <c r="Y161" s="37"/>
      <c r="Z161" s="37"/>
    </row>
    <row r="162" ht="12.75" customHeight="1" spans="1:26">
      <c r="A162" s="37"/>
      <c r="B162" s="37"/>
      <c r="C162" s="61"/>
      <c r="D162" s="37"/>
      <c r="E162" s="37"/>
      <c r="F162" s="62"/>
      <c r="G162" s="62"/>
      <c r="H162" s="62"/>
      <c r="I162" s="65"/>
      <c r="J162" s="43"/>
      <c r="K162" s="54"/>
      <c r="L162" s="37"/>
      <c r="M162" s="37"/>
      <c r="N162" s="37"/>
      <c r="O162" s="37"/>
      <c r="P162" s="37"/>
      <c r="Q162" s="37"/>
      <c r="R162" s="37"/>
      <c r="S162" s="37"/>
      <c r="T162" s="37"/>
      <c r="U162" s="37"/>
      <c r="V162" s="37"/>
      <c r="W162" s="37"/>
      <c r="X162" s="37"/>
      <c r="Y162" s="37"/>
      <c r="Z162" s="37"/>
    </row>
    <row r="163" ht="12.75" customHeight="1" spans="1:26">
      <c r="A163" s="37"/>
      <c r="B163" s="37"/>
      <c r="C163" s="61"/>
      <c r="D163" s="37"/>
      <c r="E163" s="37"/>
      <c r="F163" s="62"/>
      <c r="G163" s="62"/>
      <c r="H163" s="62"/>
      <c r="I163" s="65"/>
      <c r="J163" s="43"/>
      <c r="K163" s="54"/>
      <c r="L163" s="37"/>
      <c r="M163" s="37"/>
      <c r="N163" s="37"/>
      <c r="O163" s="37"/>
      <c r="P163" s="37"/>
      <c r="Q163" s="37"/>
      <c r="R163" s="37"/>
      <c r="S163" s="37"/>
      <c r="T163" s="37"/>
      <c r="U163" s="37"/>
      <c r="V163" s="37"/>
      <c r="W163" s="37"/>
      <c r="X163" s="37"/>
      <c r="Y163" s="37"/>
      <c r="Z163" s="37"/>
    </row>
    <row r="164" ht="12.75" customHeight="1" spans="1:26">
      <c r="A164" s="37"/>
      <c r="B164" s="37"/>
      <c r="C164" s="61"/>
      <c r="D164" s="37"/>
      <c r="E164" s="37"/>
      <c r="F164" s="62"/>
      <c r="G164" s="62"/>
      <c r="H164" s="62"/>
      <c r="I164" s="65"/>
      <c r="J164" s="43"/>
      <c r="K164" s="54"/>
      <c r="L164" s="37"/>
      <c r="M164" s="37"/>
      <c r="N164" s="37"/>
      <c r="O164" s="37"/>
      <c r="P164" s="37"/>
      <c r="Q164" s="37"/>
      <c r="R164" s="37"/>
      <c r="S164" s="37"/>
      <c r="T164" s="37"/>
      <c r="U164" s="37"/>
      <c r="V164" s="37"/>
      <c r="W164" s="37"/>
      <c r="X164" s="37"/>
      <c r="Y164" s="37"/>
      <c r="Z164" s="37"/>
    </row>
    <row r="165" ht="12.75" customHeight="1" spans="1:26">
      <c r="A165" s="37"/>
      <c r="B165" s="37"/>
      <c r="C165" s="61"/>
      <c r="D165" s="37"/>
      <c r="E165" s="37"/>
      <c r="F165" s="62"/>
      <c r="G165" s="62"/>
      <c r="H165" s="62"/>
      <c r="I165" s="65"/>
      <c r="J165" s="43"/>
      <c r="K165" s="54"/>
      <c r="L165" s="37"/>
      <c r="M165" s="37"/>
      <c r="N165" s="37"/>
      <c r="O165" s="37"/>
      <c r="P165" s="37"/>
      <c r="Q165" s="37"/>
      <c r="R165" s="37"/>
      <c r="S165" s="37"/>
      <c r="T165" s="37"/>
      <c r="U165" s="37"/>
      <c r="V165" s="37"/>
      <c r="W165" s="37"/>
      <c r="X165" s="37"/>
      <c r="Y165" s="37"/>
      <c r="Z165" s="37"/>
    </row>
    <row r="166" ht="12.75" customHeight="1" spans="1:26">
      <c r="A166" s="37"/>
      <c r="B166" s="37"/>
      <c r="C166" s="61"/>
      <c r="D166" s="37"/>
      <c r="E166" s="37"/>
      <c r="F166" s="62"/>
      <c r="G166" s="62"/>
      <c r="H166" s="62"/>
      <c r="I166" s="65"/>
      <c r="J166" s="43"/>
      <c r="K166" s="54"/>
      <c r="L166" s="37"/>
      <c r="M166" s="37"/>
      <c r="N166" s="37"/>
      <c r="O166" s="37"/>
      <c r="P166" s="37"/>
      <c r="Q166" s="37"/>
      <c r="R166" s="37"/>
      <c r="S166" s="37"/>
      <c r="T166" s="37"/>
      <c r="U166" s="37"/>
      <c r="V166" s="37"/>
      <c r="W166" s="37"/>
      <c r="X166" s="37"/>
      <c r="Y166" s="37"/>
      <c r="Z166" s="37"/>
    </row>
    <row r="167" ht="12.75" customHeight="1" spans="1:26">
      <c r="A167" s="37"/>
      <c r="B167" s="37"/>
      <c r="C167" s="61"/>
      <c r="D167" s="37"/>
      <c r="E167" s="37"/>
      <c r="F167" s="62"/>
      <c r="G167" s="62"/>
      <c r="H167" s="62"/>
      <c r="I167" s="65"/>
      <c r="J167" s="43"/>
      <c r="K167" s="54"/>
      <c r="L167" s="37"/>
      <c r="M167" s="37"/>
      <c r="N167" s="37"/>
      <c r="O167" s="37"/>
      <c r="P167" s="37"/>
      <c r="Q167" s="37"/>
      <c r="R167" s="37"/>
      <c r="S167" s="37"/>
      <c r="T167" s="37"/>
      <c r="U167" s="37"/>
      <c r="V167" s="37"/>
      <c r="W167" s="37"/>
      <c r="X167" s="37"/>
      <c r="Y167" s="37"/>
      <c r="Z167" s="37"/>
    </row>
    <row r="168" ht="12.75" customHeight="1" spans="1:26">
      <c r="A168" s="37"/>
      <c r="B168" s="37"/>
      <c r="C168" s="61"/>
      <c r="D168" s="37"/>
      <c r="E168" s="37"/>
      <c r="F168" s="62"/>
      <c r="G168" s="62"/>
      <c r="H168" s="62"/>
      <c r="I168" s="65"/>
      <c r="J168" s="43"/>
      <c r="K168" s="54"/>
      <c r="L168" s="37"/>
      <c r="M168" s="37"/>
      <c r="N168" s="37"/>
      <c r="O168" s="37"/>
      <c r="P168" s="37"/>
      <c r="Q168" s="37"/>
      <c r="R168" s="37"/>
      <c r="S168" s="37"/>
      <c r="T168" s="37"/>
      <c r="U168" s="37"/>
      <c r="V168" s="37"/>
      <c r="W168" s="37"/>
      <c r="X168" s="37"/>
      <c r="Y168" s="37"/>
      <c r="Z168" s="37"/>
    </row>
    <row r="169" ht="12.75" customHeight="1" spans="1:26">
      <c r="A169" s="37"/>
      <c r="B169" s="37"/>
      <c r="C169" s="61"/>
      <c r="D169" s="37"/>
      <c r="E169" s="37"/>
      <c r="F169" s="62"/>
      <c r="G169" s="62"/>
      <c r="H169" s="62"/>
      <c r="I169" s="65"/>
      <c r="J169" s="43"/>
      <c r="K169" s="54"/>
      <c r="L169" s="37"/>
      <c r="M169" s="37"/>
      <c r="N169" s="37"/>
      <c r="O169" s="37"/>
      <c r="P169" s="37"/>
      <c r="Q169" s="37"/>
      <c r="R169" s="37"/>
      <c r="S169" s="37"/>
      <c r="T169" s="37"/>
      <c r="U169" s="37"/>
      <c r="V169" s="37"/>
      <c r="W169" s="37"/>
      <c r="X169" s="37"/>
      <c r="Y169" s="37"/>
      <c r="Z169" s="37"/>
    </row>
    <row r="170" ht="12.75" customHeight="1" spans="1:26">
      <c r="A170" s="37"/>
      <c r="B170" s="37"/>
      <c r="C170" s="61"/>
      <c r="D170" s="37"/>
      <c r="E170" s="37"/>
      <c r="F170" s="62"/>
      <c r="G170" s="62"/>
      <c r="H170" s="62"/>
      <c r="I170" s="65"/>
      <c r="J170" s="43"/>
      <c r="K170" s="54"/>
      <c r="L170" s="37"/>
      <c r="M170" s="37"/>
      <c r="N170" s="37"/>
      <c r="O170" s="37"/>
      <c r="P170" s="37"/>
      <c r="Q170" s="37"/>
      <c r="R170" s="37"/>
      <c r="S170" s="37"/>
      <c r="T170" s="37"/>
      <c r="U170" s="37"/>
      <c r="V170" s="37"/>
      <c r="W170" s="37"/>
      <c r="X170" s="37"/>
      <c r="Y170" s="37"/>
      <c r="Z170" s="37"/>
    </row>
    <row r="171" ht="12.75" customHeight="1" spans="1:26">
      <c r="A171" s="37"/>
      <c r="B171" s="37"/>
      <c r="C171" s="61"/>
      <c r="D171" s="37"/>
      <c r="E171" s="37"/>
      <c r="F171" s="62"/>
      <c r="G171" s="62"/>
      <c r="H171" s="62"/>
      <c r="I171" s="65"/>
      <c r="J171" s="43"/>
      <c r="K171" s="54"/>
      <c r="L171" s="37"/>
      <c r="M171" s="37"/>
      <c r="N171" s="37"/>
      <c r="O171" s="37"/>
      <c r="P171" s="37"/>
      <c r="Q171" s="37"/>
      <c r="R171" s="37"/>
      <c r="S171" s="37"/>
      <c r="T171" s="37"/>
      <c r="U171" s="37"/>
      <c r="V171" s="37"/>
      <c r="W171" s="37"/>
      <c r="X171" s="37"/>
      <c r="Y171" s="37"/>
      <c r="Z171" s="37"/>
    </row>
    <row r="172" ht="12.75" customHeight="1" spans="1:26">
      <c r="A172" s="37"/>
      <c r="B172" s="37"/>
      <c r="C172" s="61"/>
      <c r="D172" s="37"/>
      <c r="E172" s="37"/>
      <c r="F172" s="62"/>
      <c r="G172" s="62"/>
      <c r="H172" s="62"/>
      <c r="I172" s="65"/>
      <c r="J172" s="43"/>
      <c r="K172" s="54"/>
      <c r="L172" s="37"/>
      <c r="M172" s="37"/>
      <c r="N172" s="37"/>
      <c r="O172" s="37"/>
      <c r="P172" s="37"/>
      <c r="Q172" s="37"/>
      <c r="R172" s="37"/>
      <c r="S172" s="37"/>
      <c r="T172" s="37"/>
      <c r="U172" s="37"/>
      <c r="V172" s="37"/>
      <c r="W172" s="37"/>
      <c r="X172" s="37"/>
      <c r="Y172" s="37"/>
      <c r="Z172" s="37"/>
    </row>
    <row r="173" ht="12.75" customHeight="1" spans="1:26">
      <c r="A173" s="37"/>
      <c r="B173" s="37"/>
      <c r="C173" s="61"/>
      <c r="D173" s="37"/>
      <c r="E173" s="37"/>
      <c r="F173" s="62"/>
      <c r="G173" s="62"/>
      <c r="H173" s="62"/>
      <c r="I173" s="65"/>
      <c r="J173" s="43"/>
      <c r="K173" s="54"/>
      <c r="L173" s="37"/>
      <c r="M173" s="37"/>
      <c r="N173" s="37"/>
      <c r="O173" s="37"/>
      <c r="P173" s="37"/>
      <c r="Q173" s="37"/>
      <c r="R173" s="37"/>
      <c r="S173" s="37"/>
      <c r="T173" s="37"/>
      <c r="U173" s="37"/>
      <c r="V173" s="37"/>
      <c r="W173" s="37"/>
      <c r="X173" s="37"/>
      <c r="Y173" s="37"/>
      <c r="Z173" s="37"/>
    </row>
    <row r="174" ht="12.75" customHeight="1" spans="1:26">
      <c r="A174" s="37"/>
      <c r="B174" s="37"/>
      <c r="C174" s="61"/>
      <c r="D174" s="37"/>
      <c r="E174" s="37"/>
      <c r="F174" s="62"/>
      <c r="G174" s="62"/>
      <c r="H174" s="62"/>
      <c r="I174" s="65"/>
      <c r="J174" s="43"/>
      <c r="K174" s="54"/>
      <c r="L174" s="37"/>
      <c r="M174" s="37"/>
      <c r="N174" s="37"/>
      <c r="O174" s="37"/>
      <c r="P174" s="37"/>
      <c r="Q174" s="37"/>
      <c r="R174" s="37"/>
      <c r="S174" s="37"/>
      <c r="T174" s="37"/>
      <c r="U174" s="37"/>
      <c r="V174" s="37"/>
      <c r="W174" s="37"/>
      <c r="X174" s="37"/>
      <c r="Y174" s="37"/>
      <c r="Z174" s="37"/>
    </row>
    <row r="175" ht="12.75" customHeight="1" spans="1:26">
      <c r="A175" s="37"/>
      <c r="B175" s="37"/>
      <c r="C175" s="61"/>
      <c r="D175" s="37"/>
      <c r="E175" s="37"/>
      <c r="F175" s="62"/>
      <c r="G175" s="62"/>
      <c r="H175" s="62"/>
      <c r="I175" s="65"/>
      <c r="J175" s="43"/>
      <c r="K175" s="54"/>
      <c r="L175" s="37"/>
      <c r="M175" s="37"/>
      <c r="N175" s="37"/>
      <c r="O175" s="37"/>
      <c r="P175" s="37"/>
      <c r="Q175" s="37"/>
      <c r="R175" s="37"/>
      <c r="S175" s="37"/>
      <c r="T175" s="37"/>
      <c r="U175" s="37"/>
      <c r="V175" s="37"/>
      <c r="W175" s="37"/>
      <c r="X175" s="37"/>
      <c r="Y175" s="37"/>
      <c r="Z175" s="37"/>
    </row>
    <row r="176" ht="12.75" customHeight="1" spans="1:26">
      <c r="A176" s="37"/>
      <c r="B176" s="37"/>
      <c r="C176" s="61"/>
      <c r="D176" s="37"/>
      <c r="E176" s="37"/>
      <c r="F176" s="62"/>
      <c r="G176" s="62"/>
      <c r="H176" s="62"/>
      <c r="I176" s="65"/>
      <c r="J176" s="43"/>
      <c r="K176" s="54"/>
      <c r="L176" s="37"/>
      <c r="M176" s="37"/>
      <c r="N176" s="37"/>
      <c r="O176" s="37"/>
      <c r="P176" s="37"/>
      <c r="Q176" s="37"/>
      <c r="R176" s="37"/>
      <c r="S176" s="37"/>
      <c r="T176" s="37"/>
      <c r="U176" s="37"/>
      <c r="V176" s="37"/>
      <c r="W176" s="37"/>
      <c r="X176" s="37"/>
      <c r="Y176" s="37"/>
      <c r="Z176" s="37"/>
    </row>
    <row r="177" ht="12.75" customHeight="1" spans="1:26">
      <c r="A177" s="37"/>
      <c r="B177" s="37"/>
      <c r="C177" s="61"/>
      <c r="D177" s="37"/>
      <c r="E177" s="37"/>
      <c r="F177" s="62"/>
      <c r="G177" s="62"/>
      <c r="H177" s="62"/>
      <c r="I177" s="65"/>
      <c r="J177" s="43"/>
      <c r="K177" s="54"/>
      <c r="L177" s="37"/>
      <c r="M177" s="37"/>
      <c r="N177" s="37"/>
      <c r="O177" s="37"/>
      <c r="P177" s="37"/>
      <c r="Q177" s="37"/>
      <c r="R177" s="37"/>
      <c r="S177" s="37"/>
      <c r="T177" s="37"/>
      <c r="U177" s="37"/>
      <c r="V177" s="37"/>
      <c r="W177" s="37"/>
      <c r="X177" s="37"/>
      <c r="Y177" s="37"/>
      <c r="Z177" s="37"/>
    </row>
    <row r="178" ht="12.75" customHeight="1" spans="1:26">
      <c r="A178" s="37"/>
      <c r="B178" s="37"/>
      <c r="C178" s="61"/>
      <c r="D178" s="37"/>
      <c r="E178" s="37"/>
      <c r="F178" s="62"/>
      <c r="G178" s="62"/>
      <c r="H178" s="62"/>
      <c r="I178" s="65"/>
      <c r="J178" s="43"/>
      <c r="K178" s="54"/>
      <c r="L178" s="37"/>
      <c r="M178" s="37"/>
      <c r="N178" s="37"/>
      <c r="O178" s="37"/>
      <c r="P178" s="37"/>
      <c r="Q178" s="37"/>
      <c r="R178" s="37"/>
      <c r="S178" s="37"/>
      <c r="T178" s="37"/>
      <c r="U178" s="37"/>
      <c r="V178" s="37"/>
      <c r="W178" s="37"/>
      <c r="X178" s="37"/>
      <c r="Y178" s="37"/>
      <c r="Z178" s="37"/>
    </row>
    <row r="179" ht="12.75" customHeight="1" spans="1:26">
      <c r="A179" s="37"/>
      <c r="B179" s="37"/>
      <c r="C179" s="61"/>
      <c r="D179" s="37"/>
      <c r="E179" s="37"/>
      <c r="F179" s="62"/>
      <c r="G179" s="62"/>
      <c r="H179" s="62"/>
      <c r="I179" s="65"/>
      <c r="J179" s="43"/>
      <c r="K179" s="54"/>
      <c r="L179" s="37"/>
      <c r="M179" s="37"/>
      <c r="N179" s="37"/>
      <c r="O179" s="37"/>
      <c r="P179" s="37"/>
      <c r="Q179" s="37"/>
      <c r="R179" s="37"/>
      <c r="S179" s="37"/>
      <c r="T179" s="37"/>
      <c r="U179" s="37"/>
      <c r="V179" s="37"/>
      <c r="W179" s="37"/>
      <c r="X179" s="37"/>
      <c r="Y179" s="37"/>
      <c r="Z179" s="37"/>
    </row>
    <row r="180" ht="12.75" customHeight="1" spans="1:26">
      <c r="A180" s="37"/>
      <c r="B180" s="37"/>
      <c r="C180" s="61"/>
      <c r="D180" s="37"/>
      <c r="E180" s="37"/>
      <c r="F180" s="62"/>
      <c r="G180" s="62"/>
      <c r="H180" s="62"/>
      <c r="I180" s="65"/>
      <c r="J180" s="43"/>
      <c r="K180" s="54"/>
      <c r="L180" s="37"/>
      <c r="M180" s="37"/>
      <c r="N180" s="37"/>
      <c r="O180" s="37"/>
      <c r="P180" s="37"/>
      <c r="Q180" s="37"/>
      <c r="R180" s="37"/>
      <c r="S180" s="37"/>
      <c r="T180" s="37"/>
      <c r="U180" s="37"/>
      <c r="V180" s="37"/>
      <c r="W180" s="37"/>
      <c r="X180" s="37"/>
      <c r="Y180" s="37"/>
      <c r="Z180" s="37"/>
    </row>
    <row r="181" ht="12.75" customHeight="1" spans="1:26">
      <c r="A181" s="37"/>
      <c r="B181" s="37"/>
      <c r="C181" s="61"/>
      <c r="D181" s="37"/>
      <c r="E181" s="37"/>
      <c r="F181" s="62"/>
      <c r="G181" s="62"/>
      <c r="H181" s="62"/>
      <c r="I181" s="65"/>
      <c r="J181" s="43"/>
      <c r="K181" s="54"/>
      <c r="L181" s="37"/>
      <c r="M181" s="37"/>
      <c r="N181" s="37"/>
      <c r="O181" s="37"/>
      <c r="P181" s="37"/>
      <c r="Q181" s="37"/>
      <c r="R181" s="37"/>
      <c r="S181" s="37"/>
      <c r="T181" s="37"/>
      <c r="U181" s="37"/>
      <c r="V181" s="37"/>
      <c r="W181" s="37"/>
      <c r="X181" s="37"/>
      <c r="Y181" s="37"/>
      <c r="Z181" s="37"/>
    </row>
    <row r="182" ht="12.75" customHeight="1" spans="1:26">
      <c r="A182" s="37"/>
      <c r="B182" s="37"/>
      <c r="C182" s="61"/>
      <c r="D182" s="37"/>
      <c r="E182" s="37"/>
      <c r="F182" s="62"/>
      <c r="G182" s="62"/>
      <c r="H182" s="62"/>
      <c r="I182" s="65"/>
      <c r="J182" s="43"/>
      <c r="K182" s="54"/>
      <c r="L182" s="37"/>
      <c r="M182" s="37"/>
      <c r="N182" s="37"/>
      <c r="O182" s="37"/>
      <c r="P182" s="37"/>
      <c r="Q182" s="37"/>
      <c r="R182" s="37"/>
      <c r="S182" s="37"/>
      <c r="T182" s="37"/>
      <c r="U182" s="37"/>
      <c r="V182" s="37"/>
      <c r="W182" s="37"/>
      <c r="X182" s="37"/>
      <c r="Y182" s="37"/>
      <c r="Z182" s="37"/>
    </row>
    <row r="183" ht="12.75" customHeight="1" spans="1:26">
      <c r="A183" s="37"/>
      <c r="B183" s="37"/>
      <c r="C183" s="61"/>
      <c r="D183" s="37"/>
      <c r="E183" s="37"/>
      <c r="F183" s="62"/>
      <c r="G183" s="62"/>
      <c r="H183" s="62"/>
      <c r="I183" s="65"/>
      <c r="J183" s="43"/>
      <c r="K183" s="54"/>
      <c r="L183" s="37"/>
      <c r="M183" s="37"/>
      <c r="N183" s="37"/>
      <c r="O183" s="37"/>
      <c r="P183" s="37"/>
      <c r="Q183" s="37"/>
      <c r="R183" s="37"/>
      <c r="S183" s="37"/>
      <c r="T183" s="37"/>
      <c r="U183" s="37"/>
      <c r="V183" s="37"/>
      <c r="W183" s="37"/>
      <c r="X183" s="37"/>
      <c r="Y183" s="37"/>
      <c r="Z183" s="37"/>
    </row>
    <row r="184" ht="12.75" customHeight="1" spans="1:26">
      <c r="A184" s="37"/>
      <c r="B184" s="37"/>
      <c r="C184" s="61"/>
      <c r="D184" s="37"/>
      <c r="E184" s="37"/>
      <c r="F184" s="62"/>
      <c r="G184" s="62"/>
      <c r="H184" s="62"/>
      <c r="I184" s="65"/>
      <c r="J184" s="43"/>
      <c r="K184" s="54"/>
      <c r="L184" s="37"/>
      <c r="M184" s="37"/>
      <c r="N184" s="37"/>
      <c r="O184" s="37"/>
      <c r="P184" s="37"/>
      <c r="Q184" s="37"/>
      <c r="R184" s="37"/>
      <c r="S184" s="37"/>
      <c r="T184" s="37"/>
      <c r="U184" s="37"/>
      <c r="V184" s="37"/>
      <c r="W184" s="37"/>
      <c r="X184" s="37"/>
      <c r="Y184" s="37"/>
      <c r="Z184" s="37"/>
    </row>
    <row r="185" ht="12.75" customHeight="1" spans="1:26">
      <c r="A185" s="37"/>
      <c r="B185" s="37"/>
      <c r="C185" s="61"/>
      <c r="D185" s="37"/>
      <c r="E185" s="37"/>
      <c r="F185" s="62"/>
      <c r="G185" s="62"/>
      <c r="H185" s="62"/>
      <c r="I185" s="65"/>
      <c r="J185" s="43"/>
      <c r="K185" s="54"/>
      <c r="L185" s="37"/>
      <c r="M185" s="37"/>
      <c r="N185" s="37"/>
      <c r="O185" s="37"/>
      <c r="P185" s="37"/>
      <c r="Q185" s="37"/>
      <c r="R185" s="37"/>
      <c r="S185" s="37"/>
      <c r="T185" s="37"/>
      <c r="U185" s="37"/>
      <c r="V185" s="37"/>
      <c r="W185" s="37"/>
      <c r="X185" s="37"/>
      <c r="Y185" s="37"/>
      <c r="Z185" s="37"/>
    </row>
    <row r="186" ht="12.75" customHeight="1" spans="1:26">
      <c r="A186" s="37"/>
      <c r="B186" s="37"/>
      <c r="C186" s="61"/>
      <c r="D186" s="37"/>
      <c r="E186" s="37"/>
      <c r="F186" s="62"/>
      <c r="G186" s="62"/>
      <c r="H186" s="62"/>
      <c r="I186" s="65"/>
      <c r="J186" s="43"/>
      <c r="K186" s="54"/>
      <c r="L186" s="37"/>
      <c r="M186" s="37"/>
      <c r="N186" s="37"/>
      <c r="O186" s="37"/>
      <c r="P186" s="37"/>
      <c r="Q186" s="37"/>
      <c r="R186" s="37"/>
      <c r="S186" s="37"/>
      <c r="T186" s="37"/>
      <c r="U186" s="37"/>
      <c r="V186" s="37"/>
      <c r="W186" s="37"/>
      <c r="X186" s="37"/>
      <c r="Y186" s="37"/>
      <c r="Z186" s="37"/>
    </row>
    <row r="187" ht="12.75" customHeight="1" spans="1:26">
      <c r="A187" s="37"/>
      <c r="B187" s="37"/>
      <c r="C187" s="61"/>
      <c r="D187" s="37"/>
      <c r="E187" s="37"/>
      <c r="F187" s="62"/>
      <c r="G187" s="62"/>
      <c r="H187" s="62"/>
      <c r="I187" s="65"/>
      <c r="J187" s="43"/>
      <c r="K187" s="54"/>
      <c r="L187" s="37"/>
      <c r="M187" s="37"/>
      <c r="N187" s="37"/>
      <c r="O187" s="37"/>
      <c r="P187" s="37"/>
      <c r="Q187" s="37"/>
      <c r="R187" s="37"/>
      <c r="S187" s="37"/>
      <c r="T187" s="37"/>
      <c r="U187" s="37"/>
      <c r="V187" s="37"/>
      <c r="W187" s="37"/>
      <c r="X187" s="37"/>
      <c r="Y187" s="37"/>
      <c r="Z187" s="37"/>
    </row>
    <row r="188" ht="12.75" customHeight="1" spans="1:26">
      <c r="A188" s="37"/>
      <c r="B188" s="37"/>
      <c r="C188" s="61"/>
      <c r="D188" s="37"/>
      <c r="E188" s="37"/>
      <c r="F188" s="62"/>
      <c r="G188" s="62"/>
      <c r="H188" s="62"/>
      <c r="I188" s="65"/>
      <c r="J188" s="43"/>
      <c r="K188" s="54"/>
      <c r="L188" s="37"/>
      <c r="M188" s="37"/>
      <c r="N188" s="37"/>
      <c r="O188" s="37"/>
      <c r="P188" s="37"/>
      <c r="Q188" s="37"/>
      <c r="R188" s="37"/>
      <c r="S188" s="37"/>
      <c r="T188" s="37"/>
      <c r="U188" s="37"/>
      <c r="V188" s="37"/>
      <c r="W188" s="37"/>
      <c r="X188" s="37"/>
      <c r="Y188" s="37"/>
      <c r="Z188" s="37"/>
    </row>
    <row r="189" ht="12.75" customHeight="1" spans="1:26">
      <c r="A189" s="37"/>
      <c r="B189" s="37"/>
      <c r="C189" s="61"/>
      <c r="D189" s="37"/>
      <c r="E189" s="37"/>
      <c r="F189" s="62"/>
      <c r="G189" s="62"/>
      <c r="H189" s="62"/>
      <c r="I189" s="65"/>
      <c r="J189" s="43"/>
      <c r="K189" s="54"/>
      <c r="L189" s="37"/>
      <c r="M189" s="37"/>
      <c r="N189" s="37"/>
      <c r="O189" s="37"/>
      <c r="P189" s="37"/>
      <c r="Q189" s="37"/>
      <c r="R189" s="37"/>
      <c r="S189" s="37"/>
      <c r="T189" s="37"/>
      <c r="U189" s="37"/>
      <c r="V189" s="37"/>
      <c r="W189" s="37"/>
      <c r="X189" s="37"/>
      <c r="Y189" s="37"/>
      <c r="Z189" s="37"/>
    </row>
    <row r="190" ht="12.75" customHeight="1" spans="1:26">
      <c r="A190" s="37"/>
      <c r="B190" s="37"/>
      <c r="C190" s="61"/>
      <c r="D190" s="37"/>
      <c r="E190" s="37"/>
      <c r="F190" s="62"/>
      <c r="G190" s="62"/>
      <c r="H190" s="62"/>
      <c r="I190" s="65"/>
      <c r="J190" s="43"/>
      <c r="K190" s="54"/>
      <c r="L190" s="37"/>
      <c r="M190" s="37"/>
      <c r="N190" s="37"/>
      <c r="O190" s="37"/>
      <c r="P190" s="37"/>
      <c r="Q190" s="37"/>
      <c r="R190" s="37"/>
      <c r="S190" s="37"/>
      <c r="T190" s="37"/>
      <c r="U190" s="37"/>
      <c r="V190" s="37"/>
      <c r="W190" s="37"/>
      <c r="X190" s="37"/>
      <c r="Y190" s="37"/>
      <c r="Z190" s="37"/>
    </row>
    <row r="191" ht="12.75" customHeight="1" spans="1:26">
      <c r="A191" s="37"/>
      <c r="B191" s="37"/>
      <c r="C191" s="61"/>
      <c r="D191" s="37"/>
      <c r="E191" s="37"/>
      <c r="F191" s="62"/>
      <c r="G191" s="62"/>
      <c r="H191" s="62"/>
      <c r="I191" s="65"/>
      <c r="J191" s="43"/>
      <c r="K191" s="54"/>
      <c r="L191" s="37"/>
      <c r="M191" s="37"/>
      <c r="N191" s="37"/>
      <c r="O191" s="37"/>
      <c r="P191" s="37"/>
      <c r="Q191" s="37"/>
      <c r="R191" s="37"/>
      <c r="S191" s="37"/>
      <c r="T191" s="37"/>
      <c r="U191" s="37"/>
      <c r="V191" s="37"/>
      <c r="W191" s="37"/>
      <c r="X191" s="37"/>
      <c r="Y191" s="37"/>
      <c r="Z191" s="37"/>
    </row>
    <row r="192" ht="12.75" customHeight="1" spans="1:26">
      <c r="A192" s="37"/>
      <c r="B192" s="37"/>
      <c r="C192" s="61"/>
      <c r="D192" s="37"/>
      <c r="E192" s="37"/>
      <c r="F192" s="62"/>
      <c r="G192" s="62"/>
      <c r="H192" s="62"/>
      <c r="I192" s="65"/>
      <c r="J192" s="43"/>
      <c r="K192" s="54"/>
      <c r="L192" s="37"/>
      <c r="M192" s="37"/>
      <c r="N192" s="37"/>
      <c r="O192" s="37"/>
      <c r="P192" s="37"/>
      <c r="Q192" s="37"/>
      <c r="R192" s="37"/>
      <c r="S192" s="37"/>
      <c r="T192" s="37"/>
      <c r="U192" s="37"/>
      <c r="V192" s="37"/>
      <c r="W192" s="37"/>
      <c r="X192" s="37"/>
      <c r="Y192" s="37"/>
      <c r="Z192" s="37"/>
    </row>
    <row r="193" ht="12.75" customHeight="1" spans="1:26">
      <c r="A193" s="37"/>
      <c r="B193" s="37"/>
      <c r="C193" s="61"/>
      <c r="D193" s="37"/>
      <c r="E193" s="37"/>
      <c r="F193" s="62"/>
      <c r="G193" s="62"/>
      <c r="H193" s="62"/>
      <c r="I193" s="65"/>
      <c r="J193" s="43"/>
      <c r="K193" s="54"/>
      <c r="L193" s="37"/>
      <c r="M193" s="37"/>
      <c r="N193" s="37"/>
      <c r="O193" s="37"/>
      <c r="P193" s="37"/>
      <c r="Q193" s="37"/>
      <c r="R193" s="37"/>
      <c r="S193" s="37"/>
      <c r="T193" s="37"/>
      <c r="U193" s="37"/>
      <c r="V193" s="37"/>
      <c r="W193" s="37"/>
      <c r="X193" s="37"/>
      <c r="Y193" s="37"/>
      <c r="Z193" s="37"/>
    </row>
    <row r="194" ht="12.75" customHeight="1" spans="1:26">
      <c r="A194" s="37"/>
      <c r="B194" s="37"/>
      <c r="C194" s="61"/>
      <c r="D194" s="37"/>
      <c r="E194" s="37"/>
      <c r="F194" s="62"/>
      <c r="G194" s="62"/>
      <c r="H194" s="62"/>
      <c r="I194" s="65"/>
      <c r="J194" s="43"/>
      <c r="K194" s="54"/>
      <c r="L194" s="37"/>
      <c r="M194" s="37"/>
      <c r="N194" s="37"/>
      <c r="O194" s="37"/>
      <c r="P194" s="37"/>
      <c r="Q194" s="37"/>
      <c r="R194" s="37"/>
      <c r="S194" s="37"/>
      <c r="T194" s="37"/>
      <c r="U194" s="37"/>
      <c r="V194" s="37"/>
      <c r="W194" s="37"/>
      <c r="X194" s="37"/>
      <c r="Y194" s="37"/>
      <c r="Z194" s="37"/>
    </row>
    <row r="195" ht="12.75" customHeight="1" spans="1:26">
      <c r="A195" s="37"/>
      <c r="B195" s="37"/>
      <c r="C195" s="61"/>
      <c r="D195" s="37"/>
      <c r="E195" s="37"/>
      <c r="F195" s="62"/>
      <c r="G195" s="62"/>
      <c r="H195" s="62"/>
      <c r="I195" s="65"/>
      <c r="J195" s="43"/>
      <c r="K195" s="54"/>
      <c r="L195" s="37"/>
      <c r="M195" s="37"/>
      <c r="N195" s="37"/>
      <c r="O195" s="37"/>
      <c r="P195" s="37"/>
      <c r="Q195" s="37"/>
      <c r="R195" s="37"/>
      <c r="S195" s="37"/>
      <c r="T195" s="37"/>
      <c r="U195" s="37"/>
      <c r="V195" s="37"/>
      <c r="W195" s="37"/>
      <c r="X195" s="37"/>
      <c r="Y195" s="37"/>
      <c r="Z195" s="37"/>
    </row>
    <row r="196" ht="12.75" customHeight="1" spans="1:26">
      <c r="A196" s="37"/>
      <c r="B196" s="37"/>
      <c r="C196" s="61"/>
      <c r="D196" s="37"/>
      <c r="E196" s="37"/>
      <c r="F196" s="62"/>
      <c r="G196" s="62"/>
      <c r="H196" s="62"/>
      <c r="I196" s="65"/>
      <c r="J196" s="43"/>
      <c r="K196" s="54"/>
      <c r="L196" s="37"/>
      <c r="M196" s="37"/>
      <c r="N196" s="37"/>
      <c r="O196" s="37"/>
      <c r="P196" s="37"/>
      <c r="Q196" s="37"/>
      <c r="R196" s="37"/>
      <c r="S196" s="37"/>
      <c r="T196" s="37"/>
      <c r="U196" s="37"/>
      <c r="V196" s="37"/>
      <c r="W196" s="37"/>
      <c r="X196" s="37"/>
      <c r="Y196" s="37"/>
      <c r="Z196" s="37"/>
    </row>
    <row r="197" ht="12.75" customHeight="1" spans="1:26">
      <c r="A197" s="37"/>
      <c r="B197" s="37"/>
      <c r="C197" s="61"/>
      <c r="D197" s="37"/>
      <c r="E197" s="37"/>
      <c r="F197" s="62"/>
      <c r="G197" s="62"/>
      <c r="H197" s="62"/>
      <c r="I197" s="65"/>
      <c r="J197" s="43"/>
      <c r="K197" s="54"/>
      <c r="L197" s="37"/>
      <c r="M197" s="37"/>
      <c r="N197" s="37"/>
      <c r="O197" s="37"/>
      <c r="P197" s="37"/>
      <c r="Q197" s="37"/>
      <c r="R197" s="37"/>
      <c r="S197" s="37"/>
      <c r="T197" s="37"/>
      <c r="U197" s="37"/>
      <c r="V197" s="37"/>
      <c r="W197" s="37"/>
      <c r="X197" s="37"/>
      <c r="Y197" s="37"/>
      <c r="Z197" s="37"/>
    </row>
    <row r="198" ht="12.75" customHeight="1" spans="1:26">
      <c r="A198" s="37"/>
      <c r="B198" s="37"/>
      <c r="C198" s="61"/>
      <c r="D198" s="37"/>
      <c r="E198" s="37"/>
      <c r="F198" s="62"/>
      <c r="G198" s="62"/>
      <c r="H198" s="62"/>
      <c r="I198" s="65"/>
      <c r="J198" s="43"/>
      <c r="K198" s="54"/>
      <c r="L198" s="37"/>
      <c r="M198" s="37"/>
      <c r="N198" s="37"/>
      <c r="O198" s="37"/>
      <c r="P198" s="37"/>
      <c r="Q198" s="37"/>
      <c r="R198" s="37"/>
      <c r="S198" s="37"/>
      <c r="T198" s="37"/>
      <c r="U198" s="37"/>
      <c r="V198" s="37"/>
      <c r="W198" s="37"/>
      <c r="X198" s="37"/>
      <c r="Y198" s="37"/>
      <c r="Z198" s="37"/>
    </row>
    <row r="199" ht="12.75" customHeight="1" spans="1:26">
      <c r="A199" s="37"/>
      <c r="B199" s="37"/>
      <c r="C199" s="61"/>
      <c r="D199" s="37"/>
      <c r="E199" s="37"/>
      <c r="F199" s="62"/>
      <c r="G199" s="62"/>
      <c r="H199" s="62"/>
      <c r="I199" s="65"/>
      <c r="J199" s="43"/>
      <c r="K199" s="54"/>
      <c r="L199" s="37"/>
      <c r="M199" s="37"/>
      <c r="N199" s="37"/>
      <c r="O199" s="37"/>
      <c r="P199" s="37"/>
      <c r="Q199" s="37"/>
      <c r="R199" s="37"/>
      <c r="S199" s="37"/>
      <c r="T199" s="37"/>
      <c r="U199" s="37"/>
      <c r="V199" s="37"/>
      <c r="W199" s="37"/>
      <c r="X199" s="37"/>
      <c r="Y199" s="37"/>
      <c r="Z199" s="37"/>
    </row>
    <row r="200" ht="12.75" customHeight="1" spans="1:26">
      <c r="A200" s="37"/>
      <c r="B200" s="37"/>
      <c r="C200" s="61"/>
      <c r="D200" s="37"/>
      <c r="E200" s="37"/>
      <c r="F200" s="62"/>
      <c r="G200" s="62"/>
      <c r="H200" s="62"/>
      <c r="I200" s="65"/>
      <c r="J200" s="43"/>
      <c r="K200" s="54"/>
      <c r="L200" s="37"/>
      <c r="M200" s="37"/>
      <c r="N200" s="37"/>
      <c r="O200" s="37"/>
      <c r="P200" s="37"/>
      <c r="Q200" s="37"/>
      <c r="R200" s="37"/>
      <c r="S200" s="37"/>
      <c r="T200" s="37"/>
      <c r="U200" s="37"/>
      <c r="V200" s="37"/>
      <c r="W200" s="37"/>
      <c r="X200" s="37"/>
      <c r="Y200" s="37"/>
      <c r="Z200" s="37"/>
    </row>
    <row r="201" ht="12.75" customHeight="1" spans="1:26">
      <c r="A201" s="37"/>
      <c r="B201" s="37"/>
      <c r="C201" s="61"/>
      <c r="D201" s="37"/>
      <c r="E201" s="37"/>
      <c r="F201" s="62"/>
      <c r="G201" s="62"/>
      <c r="H201" s="62"/>
      <c r="I201" s="65"/>
      <c r="J201" s="43"/>
      <c r="K201" s="54"/>
      <c r="L201" s="37"/>
      <c r="M201" s="37"/>
      <c r="N201" s="37"/>
      <c r="O201" s="37"/>
      <c r="P201" s="37"/>
      <c r="Q201" s="37"/>
      <c r="R201" s="37"/>
      <c r="S201" s="37"/>
      <c r="T201" s="37"/>
      <c r="U201" s="37"/>
      <c r="V201" s="37"/>
      <c r="W201" s="37"/>
      <c r="X201" s="37"/>
      <c r="Y201" s="37"/>
      <c r="Z201" s="37"/>
    </row>
    <row r="202" ht="12.75" customHeight="1" spans="1:26">
      <c r="A202" s="37"/>
      <c r="B202" s="37"/>
      <c r="C202" s="61"/>
      <c r="D202" s="37"/>
      <c r="E202" s="37"/>
      <c r="F202" s="62"/>
      <c r="G202" s="62"/>
      <c r="H202" s="62"/>
      <c r="I202" s="65"/>
      <c r="J202" s="43"/>
      <c r="K202" s="54"/>
      <c r="L202" s="37"/>
      <c r="M202" s="37"/>
      <c r="N202" s="37"/>
      <c r="O202" s="37"/>
      <c r="P202" s="37"/>
      <c r="Q202" s="37"/>
      <c r="R202" s="37"/>
      <c r="S202" s="37"/>
      <c r="T202" s="37"/>
      <c r="U202" s="37"/>
      <c r="V202" s="37"/>
      <c r="W202" s="37"/>
      <c r="X202" s="37"/>
      <c r="Y202" s="37"/>
      <c r="Z202" s="37"/>
    </row>
    <row r="203" ht="12.75" customHeight="1" spans="1:26">
      <c r="A203" s="37"/>
      <c r="B203" s="37"/>
      <c r="C203" s="61"/>
      <c r="D203" s="37"/>
      <c r="E203" s="37"/>
      <c r="F203" s="62"/>
      <c r="G203" s="62"/>
      <c r="H203" s="62"/>
      <c r="I203" s="65"/>
      <c r="J203" s="43"/>
      <c r="K203" s="54"/>
      <c r="L203" s="37"/>
      <c r="M203" s="37"/>
      <c r="N203" s="37"/>
      <c r="O203" s="37"/>
      <c r="P203" s="37"/>
      <c r="Q203" s="37"/>
      <c r="R203" s="37"/>
      <c r="S203" s="37"/>
      <c r="T203" s="37"/>
      <c r="U203" s="37"/>
      <c r="V203" s="37"/>
      <c r="W203" s="37"/>
      <c r="X203" s="37"/>
      <c r="Y203" s="37"/>
      <c r="Z203" s="37"/>
    </row>
    <row r="204" ht="12.75" customHeight="1" spans="1:26">
      <c r="A204" s="37"/>
      <c r="B204" s="37"/>
      <c r="C204" s="61"/>
      <c r="D204" s="37"/>
      <c r="E204" s="37"/>
      <c r="F204" s="62"/>
      <c r="G204" s="62"/>
      <c r="H204" s="62"/>
      <c r="I204" s="65"/>
      <c r="J204" s="43"/>
      <c r="K204" s="54"/>
      <c r="L204" s="37"/>
      <c r="M204" s="37"/>
      <c r="N204" s="37"/>
      <c r="O204" s="37"/>
      <c r="P204" s="37"/>
      <c r="Q204" s="37"/>
      <c r="R204" s="37"/>
      <c r="S204" s="37"/>
      <c r="T204" s="37"/>
      <c r="U204" s="37"/>
      <c r="V204" s="37"/>
      <c r="W204" s="37"/>
      <c r="X204" s="37"/>
      <c r="Y204" s="37"/>
      <c r="Z204" s="37"/>
    </row>
    <row r="205" ht="12.75" customHeight="1" spans="1:26">
      <c r="A205" s="37"/>
      <c r="B205" s="37"/>
      <c r="C205" s="61"/>
      <c r="D205" s="37"/>
      <c r="E205" s="37"/>
      <c r="F205" s="62"/>
      <c r="G205" s="62"/>
      <c r="H205" s="62"/>
      <c r="I205" s="65"/>
      <c r="J205" s="43"/>
      <c r="K205" s="54"/>
      <c r="L205" s="37"/>
      <c r="M205" s="37"/>
      <c r="N205" s="37"/>
      <c r="O205" s="37"/>
      <c r="P205" s="37"/>
      <c r="Q205" s="37"/>
      <c r="R205" s="37"/>
      <c r="S205" s="37"/>
      <c r="T205" s="37"/>
      <c r="U205" s="37"/>
      <c r="V205" s="37"/>
      <c r="W205" s="37"/>
      <c r="X205" s="37"/>
      <c r="Y205" s="37"/>
      <c r="Z205" s="37"/>
    </row>
    <row r="206" ht="12.75" customHeight="1" spans="1:26">
      <c r="A206" s="37"/>
      <c r="B206" s="37"/>
      <c r="C206" s="61"/>
      <c r="D206" s="37"/>
      <c r="E206" s="37"/>
      <c r="F206" s="62"/>
      <c r="G206" s="62"/>
      <c r="H206" s="62"/>
      <c r="I206" s="65"/>
      <c r="J206" s="43"/>
      <c r="K206" s="54"/>
      <c r="L206" s="37"/>
      <c r="M206" s="37"/>
      <c r="N206" s="37"/>
      <c r="O206" s="37"/>
      <c r="P206" s="37"/>
      <c r="Q206" s="37"/>
      <c r="R206" s="37"/>
      <c r="S206" s="37"/>
      <c r="T206" s="37"/>
      <c r="U206" s="37"/>
      <c r="V206" s="37"/>
      <c r="W206" s="37"/>
      <c r="X206" s="37"/>
      <c r="Y206" s="37"/>
      <c r="Z206" s="37"/>
    </row>
    <row r="207" ht="12.75" customHeight="1" spans="1:26">
      <c r="A207" s="37"/>
      <c r="B207" s="37"/>
      <c r="C207" s="61"/>
      <c r="D207" s="37"/>
      <c r="E207" s="37"/>
      <c r="F207" s="62"/>
      <c r="G207" s="62"/>
      <c r="H207" s="62"/>
      <c r="I207" s="65"/>
      <c r="J207" s="43"/>
      <c r="K207" s="54"/>
      <c r="L207" s="37"/>
      <c r="M207" s="37"/>
      <c r="N207" s="37"/>
      <c r="O207" s="37"/>
      <c r="P207" s="37"/>
      <c r="Q207" s="37"/>
      <c r="R207" s="37"/>
      <c r="S207" s="37"/>
      <c r="T207" s="37"/>
      <c r="U207" s="37"/>
      <c r="V207" s="37"/>
      <c r="W207" s="37"/>
      <c r="X207" s="37"/>
      <c r="Y207" s="37"/>
      <c r="Z207" s="37"/>
    </row>
    <row r="208" ht="12.75" customHeight="1" spans="1:26">
      <c r="A208" s="37"/>
      <c r="B208" s="37"/>
      <c r="C208" s="61"/>
      <c r="D208" s="37"/>
      <c r="E208" s="37"/>
      <c r="F208" s="62"/>
      <c r="G208" s="62"/>
      <c r="H208" s="62"/>
      <c r="I208" s="65"/>
      <c r="J208" s="43"/>
      <c r="K208" s="54"/>
      <c r="L208" s="37"/>
      <c r="M208" s="37"/>
      <c r="N208" s="37"/>
      <c r="O208" s="37"/>
      <c r="P208" s="37"/>
      <c r="Q208" s="37"/>
      <c r="R208" s="37"/>
      <c r="S208" s="37"/>
      <c r="T208" s="37"/>
      <c r="U208" s="37"/>
      <c r="V208" s="37"/>
      <c r="W208" s="37"/>
      <c r="X208" s="37"/>
      <c r="Y208" s="37"/>
      <c r="Z208" s="37"/>
    </row>
    <row r="209" ht="12.75" customHeight="1" spans="1:26">
      <c r="A209" s="37"/>
      <c r="B209" s="37"/>
      <c r="C209" s="61"/>
      <c r="D209" s="37"/>
      <c r="E209" s="37"/>
      <c r="F209" s="62"/>
      <c r="G209" s="62"/>
      <c r="H209" s="62"/>
      <c r="I209" s="65"/>
      <c r="J209" s="43"/>
      <c r="K209" s="54"/>
      <c r="L209" s="37"/>
      <c r="M209" s="37"/>
      <c r="N209" s="37"/>
      <c r="O209" s="37"/>
      <c r="P209" s="37"/>
      <c r="Q209" s="37"/>
      <c r="R209" s="37"/>
      <c r="S209" s="37"/>
      <c r="T209" s="37"/>
      <c r="U209" s="37"/>
      <c r="V209" s="37"/>
      <c r="W209" s="37"/>
      <c r="X209" s="37"/>
      <c r="Y209" s="37"/>
      <c r="Z209" s="37"/>
    </row>
    <row r="210" ht="12.75" customHeight="1" spans="1:26">
      <c r="A210" s="37"/>
      <c r="B210" s="37"/>
      <c r="C210" s="61"/>
      <c r="D210" s="37"/>
      <c r="E210" s="37"/>
      <c r="F210" s="62"/>
      <c r="G210" s="62"/>
      <c r="H210" s="62"/>
      <c r="I210" s="65"/>
      <c r="J210" s="43"/>
      <c r="K210" s="54"/>
      <c r="L210" s="37"/>
      <c r="M210" s="37"/>
      <c r="N210" s="37"/>
      <c r="O210" s="37"/>
      <c r="P210" s="37"/>
      <c r="Q210" s="37"/>
      <c r="R210" s="37"/>
      <c r="S210" s="37"/>
      <c r="T210" s="37"/>
      <c r="U210" s="37"/>
      <c r="V210" s="37"/>
      <c r="W210" s="37"/>
      <c r="X210" s="37"/>
      <c r="Y210" s="37"/>
      <c r="Z210" s="37"/>
    </row>
    <row r="211" ht="12.75" customHeight="1" spans="1:26">
      <c r="A211" s="37"/>
      <c r="B211" s="37"/>
      <c r="C211" s="61"/>
      <c r="D211" s="37"/>
      <c r="E211" s="37"/>
      <c r="F211" s="62"/>
      <c r="G211" s="62"/>
      <c r="H211" s="62"/>
      <c r="I211" s="65"/>
      <c r="J211" s="43"/>
      <c r="K211" s="54"/>
      <c r="L211" s="37"/>
      <c r="M211" s="37"/>
      <c r="N211" s="37"/>
      <c r="O211" s="37"/>
      <c r="P211" s="37"/>
      <c r="Q211" s="37"/>
      <c r="R211" s="37"/>
      <c r="S211" s="37"/>
      <c r="T211" s="37"/>
      <c r="U211" s="37"/>
      <c r="V211" s="37"/>
      <c r="W211" s="37"/>
      <c r="X211" s="37"/>
      <c r="Y211" s="37"/>
      <c r="Z211" s="37"/>
    </row>
    <row r="212" ht="12.75" customHeight="1" spans="1:26">
      <c r="A212" s="37"/>
      <c r="B212" s="37"/>
      <c r="C212" s="61"/>
      <c r="D212" s="37"/>
      <c r="E212" s="37"/>
      <c r="F212" s="62"/>
      <c r="G212" s="62"/>
      <c r="H212" s="62"/>
      <c r="I212" s="65"/>
      <c r="J212" s="43"/>
      <c r="K212" s="54"/>
      <c r="L212" s="37"/>
      <c r="M212" s="37"/>
      <c r="N212" s="37"/>
      <c r="O212" s="37"/>
      <c r="P212" s="37"/>
      <c r="Q212" s="37"/>
      <c r="R212" s="37"/>
      <c r="S212" s="37"/>
      <c r="T212" s="37"/>
      <c r="U212" s="37"/>
      <c r="V212" s="37"/>
      <c r="W212" s="37"/>
      <c r="X212" s="37"/>
      <c r="Y212" s="37"/>
      <c r="Z212" s="37"/>
    </row>
    <row r="213" ht="12.75" customHeight="1" spans="1:26">
      <c r="A213" s="37"/>
      <c r="B213" s="37"/>
      <c r="C213" s="61"/>
      <c r="D213" s="37"/>
      <c r="E213" s="37"/>
      <c r="F213" s="62"/>
      <c r="G213" s="62"/>
      <c r="H213" s="62"/>
      <c r="I213" s="65"/>
      <c r="J213" s="43"/>
      <c r="K213" s="54"/>
      <c r="L213" s="37"/>
      <c r="M213" s="37"/>
      <c r="N213" s="37"/>
      <c r="O213" s="37"/>
      <c r="P213" s="37"/>
      <c r="Q213" s="37"/>
      <c r="R213" s="37"/>
      <c r="S213" s="37"/>
      <c r="T213" s="37"/>
      <c r="U213" s="37"/>
      <c r="V213" s="37"/>
      <c r="W213" s="37"/>
      <c r="X213" s="37"/>
      <c r="Y213" s="37"/>
      <c r="Z213" s="37"/>
    </row>
    <row r="214" ht="12.75" customHeight="1" spans="1:26">
      <c r="A214" s="37"/>
      <c r="B214" s="37"/>
      <c r="C214" s="61"/>
      <c r="D214" s="37"/>
      <c r="E214" s="37"/>
      <c r="F214" s="62"/>
      <c r="G214" s="62"/>
      <c r="H214" s="62"/>
      <c r="I214" s="65"/>
      <c r="J214" s="43"/>
      <c r="K214" s="54"/>
      <c r="L214" s="37"/>
      <c r="M214" s="37"/>
      <c r="N214" s="37"/>
      <c r="O214" s="37"/>
      <c r="P214" s="37"/>
      <c r="Q214" s="37"/>
      <c r="R214" s="37"/>
      <c r="S214" s="37"/>
      <c r="T214" s="37"/>
      <c r="U214" s="37"/>
      <c r="V214" s="37"/>
      <c r="W214" s="37"/>
      <c r="X214" s="37"/>
      <c r="Y214" s="37"/>
      <c r="Z214" s="37"/>
    </row>
    <row r="215" ht="12.75" customHeight="1" spans="1:26">
      <c r="A215" s="37"/>
      <c r="B215" s="37"/>
      <c r="C215" s="61"/>
      <c r="D215" s="37"/>
      <c r="E215" s="37"/>
      <c r="F215" s="62"/>
      <c r="G215" s="62"/>
      <c r="H215" s="62"/>
      <c r="I215" s="65"/>
      <c r="J215" s="43"/>
      <c r="K215" s="54"/>
      <c r="L215" s="37"/>
      <c r="M215" s="37"/>
      <c r="N215" s="37"/>
      <c r="O215" s="37"/>
      <c r="P215" s="37"/>
      <c r="Q215" s="37"/>
      <c r="R215" s="37"/>
      <c r="S215" s="37"/>
      <c r="T215" s="37"/>
      <c r="U215" s="37"/>
      <c r="V215" s="37"/>
      <c r="W215" s="37"/>
      <c r="X215" s="37"/>
      <c r="Y215" s="37"/>
      <c r="Z215" s="37"/>
    </row>
    <row r="216" ht="12.75" customHeight="1" spans="1:26">
      <c r="A216" s="37"/>
      <c r="B216" s="37"/>
      <c r="C216" s="61"/>
      <c r="D216" s="37"/>
      <c r="E216" s="37"/>
      <c r="F216" s="62"/>
      <c r="G216" s="62"/>
      <c r="H216" s="62"/>
      <c r="I216" s="65"/>
      <c r="J216" s="43"/>
      <c r="K216" s="54"/>
      <c r="L216" s="37"/>
      <c r="M216" s="37"/>
      <c r="N216" s="37"/>
      <c r="O216" s="37"/>
      <c r="P216" s="37"/>
      <c r="Q216" s="37"/>
      <c r="R216" s="37"/>
      <c r="S216" s="37"/>
      <c r="T216" s="37"/>
      <c r="U216" s="37"/>
      <c r="V216" s="37"/>
      <c r="W216" s="37"/>
      <c r="X216" s="37"/>
      <c r="Y216" s="37"/>
      <c r="Z216" s="37"/>
    </row>
    <row r="217" ht="12.75" customHeight="1" spans="1:26">
      <c r="A217" s="37"/>
      <c r="B217" s="37"/>
      <c r="C217" s="61"/>
      <c r="D217" s="37"/>
      <c r="E217" s="37"/>
      <c r="F217" s="62"/>
      <c r="G217" s="62"/>
      <c r="H217" s="62"/>
      <c r="I217" s="65"/>
      <c r="J217" s="43"/>
      <c r="K217" s="54"/>
      <c r="L217" s="37"/>
      <c r="M217" s="37"/>
      <c r="N217" s="37"/>
      <c r="O217" s="37"/>
      <c r="P217" s="37"/>
      <c r="Q217" s="37"/>
      <c r="R217" s="37"/>
      <c r="S217" s="37"/>
      <c r="T217" s="37"/>
      <c r="U217" s="37"/>
      <c r="V217" s="37"/>
      <c r="W217" s="37"/>
      <c r="X217" s="37"/>
      <c r="Y217" s="37"/>
      <c r="Z217" s="37"/>
    </row>
    <row r="218" ht="12.75" customHeight="1" spans="1:26">
      <c r="A218" s="37"/>
      <c r="B218" s="37"/>
      <c r="C218" s="61"/>
      <c r="D218" s="37"/>
      <c r="E218" s="37"/>
      <c r="F218" s="62"/>
      <c r="G218" s="62"/>
      <c r="H218" s="62"/>
      <c r="I218" s="65"/>
      <c r="J218" s="43"/>
      <c r="K218" s="54"/>
      <c r="L218" s="37"/>
      <c r="M218" s="37"/>
      <c r="N218" s="37"/>
      <c r="O218" s="37"/>
      <c r="P218" s="37"/>
      <c r="Q218" s="37"/>
      <c r="R218" s="37"/>
      <c r="S218" s="37"/>
      <c r="T218" s="37"/>
      <c r="U218" s="37"/>
      <c r="V218" s="37"/>
      <c r="W218" s="37"/>
      <c r="X218" s="37"/>
      <c r="Y218" s="37"/>
      <c r="Z218" s="37"/>
    </row>
    <row r="219" ht="12.75" customHeight="1" spans="1:26">
      <c r="A219" s="37"/>
      <c r="B219" s="37"/>
      <c r="C219" s="61"/>
      <c r="D219" s="37"/>
      <c r="E219" s="37"/>
      <c r="F219" s="62"/>
      <c r="G219" s="62"/>
      <c r="H219" s="62"/>
      <c r="I219" s="65"/>
      <c r="J219" s="43"/>
      <c r="K219" s="54"/>
      <c r="L219" s="37"/>
      <c r="M219" s="37"/>
      <c r="N219" s="37"/>
      <c r="O219" s="37"/>
      <c r="P219" s="37"/>
      <c r="Q219" s="37"/>
      <c r="R219" s="37"/>
      <c r="S219" s="37"/>
      <c r="T219" s="37"/>
      <c r="U219" s="37"/>
      <c r="V219" s="37"/>
      <c r="W219" s="37"/>
      <c r="X219" s="37"/>
      <c r="Y219" s="37"/>
      <c r="Z219" s="37"/>
    </row>
    <row r="220" ht="12.75" customHeight="1" spans="1:26">
      <c r="A220" s="37"/>
      <c r="B220" s="37"/>
      <c r="C220" s="61"/>
      <c r="D220" s="37"/>
      <c r="E220" s="37"/>
      <c r="F220" s="62"/>
      <c r="G220" s="62"/>
      <c r="H220" s="62"/>
      <c r="I220" s="65"/>
      <c r="J220" s="43"/>
      <c r="K220" s="54"/>
      <c r="L220" s="37"/>
      <c r="M220" s="37"/>
      <c r="N220" s="37"/>
      <c r="O220" s="37"/>
      <c r="P220" s="37"/>
      <c r="Q220" s="37"/>
      <c r="R220" s="37"/>
      <c r="S220" s="37"/>
      <c r="T220" s="37"/>
      <c r="U220" s="37"/>
      <c r="V220" s="37"/>
      <c r="W220" s="37"/>
      <c r="X220" s="37"/>
      <c r="Y220" s="37"/>
      <c r="Z220" s="37"/>
    </row>
    <row r="221" ht="12.75" customHeight="1" spans="1:26">
      <c r="A221" s="37"/>
      <c r="B221" s="37"/>
      <c r="C221" s="61"/>
      <c r="D221" s="37"/>
      <c r="E221" s="37"/>
      <c r="F221" s="62"/>
      <c r="G221" s="62"/>
      <c r="H221" s="62"/>
      <c r="I221" s="65"/>
      <c r="J221" s="43"/>
      <c r="K221" s="54"/>
      <c r="L221" s="37"/>
      <c r="M221" s="37"/>
      <c r="N221" s="37"/>
      <c r="O221" s="37"/>
      <c r="P221" s="37"/>
      <c r="Q221" s="37"/>
      <c r="R221" s="37"/>
      <c r="S221" s="37"/>
      <c r="T221" s="37"/>
      <c r="U221" s="37"/>
      <c r="V221" s="37"/>
      <c r="W221" s="37"/>
      <c r="X221" s="37"/>
      <c r="Y221" s="37"/>
      <c r="Z221" s="37"/>
    </row>
    <row r="222" ht="12.75" customHeight="1" spans="1:26">
      <c r="A222" s="37"/>
      <c r="B222" s="37"/>
      <c r="C222" s="61"/>
      <c r="D222" s="37"/>
      <c r="E222" s="37"/>
      <c r="F222" s="62"/>
      <c r="G222" s="62"/>
      <c r="H222" s="62"/>
      <c r="I222" s="65"/>
      <c r="J222" s="43"/>
      <c r="K222" s="54"/>
      <c r="L222" s="37"/>
      <c r="M222" s="37"/>
      <c r="N222" s="37"/>
      <c r="O222" s="37"/>
      <c r="P222" s="37"/>
      <c r="Q222" s="37"/>
      <c r="R222" s="37"/>
      <c r="S222" s="37"/>
      <c r="T222" s="37"/>
      <c r="U222" s="37"/>
      <c r="V222" s="37"/>
      <c r="W222" s="37"/>
      <c r="X222" s="37"/>
      <c r="Y222" s="37"/>
      <c r="Z222" s="37"/>
    </row>
    <row r="223" ht="12.75" customHeight="1" spans="1:26">
      <c r="A223" s="37"/>
      <c r="B223" s="37"/>
      <c r="C223" s="61"/>
      <c r="D223" s="37"/>
      <c r="E223" s="37"/>
      <c r="F223" s="62"/>
      <c r="G223" s="62"/>
      <c r="H223" s="62"/>
      <c r="I223" s="65"/>
      <c r="J223" s="43"/>
      <c r="K223" s="54"/>
      <c r="L223" s="37"/>
      <c r="M223" s="37"/>
      <c r="N223" s="37"/>
      <c r="O223" s="37"/>
      <c r="P223" s="37"/>
      <c r="Q223" s="37"/>
      <c r="R223" s="37"/>
      <c r="S223" s="37"/>
      <c r="T223" s="37"/>
      <c r="U223" s="37"/>
      <c r="V223" s="37"/>
      <c r="W223" s="37"/>
      <c r="X223" s="37"/>
      <c r="Y223" s="37"/>
      <c r="Z223" s="37"/>
    </row>
    <row r="224" ht="12.75" customHeight="1" spans="1:26">
      <c r="A224" s="37"/>
      <c r="B224" s="37"/>
      <c r="C224" s="61"/>
      <c r="D224" s="37"/>
      <c r="E224" s="37"/>
      <c r="F224" s="62"/>
      <c r="G224" s="62"/>
      <c r="H224" s="62"/>
      <c r="I224" s="65"/>
      <c r="J224" s="43"/>
      <c r="K224" s="54"/>
      <c r="L224" s="37"/>
      <c r="M224" s="37"/>
      <c r="N224" s="37"/>
      <c r="O224" s="37"/>
      <c r="P224" s="37"/>
      <c r="Q224" s="37"/>
      <c r="R224" s="37"/>
      <c r="S224" s="37"/>
      <c r="T224" s="37"/>
      <c r="U224" s="37"/>
      <c r="V224" s="37"/>
      <c r="W224" s="37"/>
      <c r="X224" s="37"/>
      <c r="Y224" s="37"/>
      <c r="Z224" s="37"/>
    </row>
    <row r="225" ht="12.75" customHeight="1" spans="1:26">
      <c r="A225" s="37"/>
      <c r="B225" s="37"/>
      <c r="C225" s="61"/>
      <c r="D225" s="37"/>
      <c r="E225" s="37"/>
      <c r="F225" s="62"/>
      <c r="G225" s="62"/>
      <c r="H225" s="62"/>
      <c r="I225" s="65"/>
      <c r="J225" s="43"/>
      <c r="K225" s="54"/>
      <c r="L225" s="37"/>
      <c r="M225" s="37"/>
      <c r="N225" s="37"/>
      <c r="O225" s="37"/>
      <c r="P225" s="37"/>
      <c r="Q225" s="37"/>
      <c r="R225" s="37"/>
      <c r="S225" s="37"/>
      <c r="T225" s="37"/>
      <c r="U225" s="37"/>
      <c r="V225" s="37"/>
      <c r="W225" s="37"/>
      <c r="X225" s="37"/>
      <c r="Y225" s="37"/>
      <c r="Z225" s="37"/>
    </row>
    <row r="226" ht="12.75" customHeight="1" spans="1:26">
      <c r="A226" s="37"/>
      <c r="B226" s="37"/>
      <c r="C226" s="61"/>
      <c r="D226" s="37"/>
      <c r="E226" s="37"/>
      <c r="F226" s="62"/>
      <c r="G226" s="62"/>
      <c r="H226" s="62"/>
      <c r="I226" s="65"/>
      <c r="J226" s="43"/>
      <c r="K226" s="54"/>
      <c r="L226" s="37"/>
      <c r="M226" s="37"/>
      <c r="N226" s="37"/>
      <c r="O226" s="37"/>
      <c r="P226" s="37"/>
      <c r="Q226" s="37"/>
      <c r="R226" s="37"/>
      <c r="S226" s="37"/>
      <c r="T226" s="37"/>
      <c r="U226" s="37"/>
      <c r="V226" s="37"/>
      <c r="W226" s="37"/>
      <c r="X226" s="37"/>
      <c r="Y226" s="37"/>
      <c r="Z226" s="37"/>
    </row>
    <row r="227" ht="12.75" customHeight="1" spans="1:26">
      <c r="A227" s="37"/>
      <c r="B227" s="37"/>
      <c r="C227" s="61"/>
      <c r="D227" s="37"/>
      <c r="E227" s="37"/>
      <c r="F227" s="62"/>
      <c r="G227" s="62"/>
      <c r="H227" s="62"/>
      <c r="I227" s="65"/>
      <c r="J227" s="43"/>
      <c r="K227" s="54"/>
      <c r="L227" s="37"/>
      <c r="M227" s="37"/>
      <c r="N227" s="37"/>
      <c r="O227" s="37"/>
      <c r="P227" s="37"/>
      <c r="Q227" s="37"/>
      <c r="R227" s="37"/>
      <c r="S227" s="37"/>
      <c r="T227" s="37"/>
      <c r="U227" s="37"/>
      <c r="V227" s="37"/>
      <c r="W227" s="37"/>
      <c r="X227" s="37"/>
      <c r="Y227" s="37"/>
      <c r="Z227" s="37"/>
    </row>
    <row r="228" ht="12.75" customHeight="1" spans="1:26">
      <c r="A228" s="37"/>
      <c r="B228" s="37"/>
      <c r="C228" s="61"/>
      <c r="D228" s="37"/>
      <c r="E228" s="37"/>
      <c r="F228" s="62"/>
      <c r="G228" s="62"/>
      <c r="H228" s="62"/>
      <c r="I228" s="65"/>
      <c r="J228" s="43"/>
      <c r="K228" s="54"/>
      <c r="L228" s="37"/>
      <c r="M228" s="37"/>
      <c r="N228" s="37"/>
      <c r="O228" s="37"/>
      <c r="P228" s="37"/>
      <c r="Q228" s="37"/>
      <c r="R228" s="37"/>
      <c r="S228" s="37"/>
      <c r="T228" s="37"/>
      <c r="U228" s="37"/>
      <c r="V228" s="37"/>
      <c r="W228" s="37"/>
      <c r="X228" s="37"/>
      <c r="Y228" s="37"/>
      <c r="Z228" s="37"/>
    </row>
    <row r="229" ht="12.75" customHeight="1" spans="1:26">
      <c r="A229" s="37"/>
      <c r="B229" s="37"/>
      <c r="C229" s="61"/>
      <c r="D229" s="37"/>
      <c r="E229" s="37"/>
      <c r="F229" s="62"/>
      <c r="G229" s="62"/>
      <c r="H229" s="62"/>
      <c r="I229" s="65"/>
      <c r="J229" s="43"/>
      <c r="K229" s="54"/>
      <c r="L229" s="37"/>
      <c r="M229" s="37"/>
      <c r="N229" s="37"/>
      <c r="O229" s="37"/>
      <c r="P229" s="37"/>
      <c r="Q229" s="37"/>
      <c r="R229" s="37"/>
      <c r="S229" s="37"/>
      <c r="T229" s="37"/>
      <c r="U229" s="37"/>
      <c r="V229" s="37"/>
      <c r="W229" s="37"/>
      <c r="X229" s="37"/>
      <c r="Y229" s="37"/>
      <c r="Z229" s="37"/>
    </row>
    <row r="230" ht="12.75" customHeight="1" spans="1:26">
      <c r="A230" s="37"/>
      <c r="B230" s="37"/>
      <c r="C230" s="61"/>
      <c r="D230" s="37"/>
      <c r="E230" s="37"/>
      <c r="F230" s="62"/>
      <c r="G230" s="62"/>
      <c r="H230" s="62"/>
      <c r="I230" s="65"/>
      <c r="J230" s="43"/>
      <c r="K230" s="54"/>
      <c r="L230" s="37"/>
      <c r="M230" s="37"/>
      <c r="N230" s="37"/>
      <c r="O230" s="37"/>
      <c r="P230" s="37"/>
      <c r="Q230" s="37"/>
      <c r="R230" s="37"/>
      <c r="S230" s="37"/>
      <c r="T230" s="37"/>
      <c r="U230" s="37"/>
      <c r="V230" s="37"/>
      <c r="W230" s="37"/>
      <c r="X230" s="37"/>
      <c r="Y230" s="37"/>
      <c r="Z230" s="37"/>
    </row>
    <row r="231" ht="12.75" customHeight="1" spans="1:26">
      <c r="A231" s="37"/>
      <c r="B231" s="37"/>
      <c r="C231" s="61"/>
      <c r="D231" s="37"/>
      <c r="E231" s="37"/>
      <c r="F231" s="62"/>
      <c r="G231" s="62"/>
      <c r="H231" s="62"/>
      <c r="I231" s="65"/>
      <c r="J231" s="43"/>
      <c r="K231" s="54"/>
      <c r="L231" s="37"/>
      <c r="M231" s="37"/>
      <c r="N231" s="37"/>
      <c r="O231" s="37"/>
      <c r="P231" s="37"/>
      <c r="Q231" s="37"/>
      <c r="R231" s="37"/>
      <c r="S231" s="37"/>
      <c r="T231" s="37"/>
      <c r="U231" s="37"/>
      <c r="V231" s="37"/>
      <c r="W231" s="37"/>
      <c r="X231" s="37"/>
      <c r="Y231" s="37"/>
      <c r="Z231" s="37"/>
    </row>
    <row r="232" ht="12.75" customHeight="1" spans="1:26">
      <c r="A232" s="37"/>
      <c r="B232" s="37"/>
      <c r="C232" s="61"/>
      <c r="D232" s="37"/>
      <c r="E232" s="37"/>
      <c r="F232" s="62"/>
      <c r="G232" s="62"/>
      <c r="H232" s="62"/>
      <c r="I232" s="65"/>
      <c r="J232" s="43"/>
      <c r="K232" s="54"/>
      <c r="L232" s="37"/>
      <c r="M232" s="37"/>
      <c r="N232" s="37"/>
      <c r="O232" s="37"/>
      <c r="P232" s="37"/>
      <c r="Q232" s="37"/>
      <c r="R232" s="37"/>
      <c r="S232" s="37"/>
      <c r="T232" s="37"/>
      <c r="U232" s="37"/>
      <c r="V232" s="37"/>
      <c r="W232" s="37"/>
      <c r="X232" s="37"/>
      <c r="Y232" s="37"/>
      <c r="Z232" s="37"/>
    </row>
    <row r="233" ht="12.75" customHeight="1" spans="1:26">
      <c r="A233" s="37"/>
      <c r="B233" s="37"/>
      <c r="C233" s="61"/>
      <c r="D233" s="37"/>
      <c r="E233" s="37"/>
      <c r="F233" s="62"/>
      <c r="G233" s="62"/>
      <c r="H233" s="62"/>
      <c r="I233" s="65"/>
      <c r="J233" s="43"/>
      <c r="K233" s="54"/>
      <c r="L233" s="37"/>
      <c r="M233" s="37"/>
      <c r="N233" s="37"/>
      <c r="O233" s="37"/>
      <c r="P233" s="37"/>
      <c r="Q233" s="37"/>
      <c r="R233" s="37"/>
      <c r="S233" s="37"/>
      <c r="T233" s="37"/>
      <c r="U233" s="37"/>
      <c r="V233" s="37"/>
      <c r="W233" s="37"/>
      <c r="X233" s="37"/>
      <c r="Y233" s="37"/>
      <c r="Z233" s="37"/>
    </row>
    <row r="234" ht="12.75" customHeight="1" spans="1:26">
      <c r="A234" s="37"/>
      <c r="B234" s="37"/>
      <c r="C234" s="61"/>
      <c r="D234" s="37"/>
      <c r="E234" s="37"/>
      <c r="F234" s="62"/>
      <c r="G234" s="62"/>
      <c r="H234" s="62"/>
      <c r="I234" s="65"/>
      <c r="J234" s="43"/>
      <c r="K234" s="54"/>
      <c r="L234" s="37"/>
      <c r="M234" s="37"/>
      <c r="N234" s="37"/>
      <c r="O234" s="37"/>
      <c r="P234" s="37"/>
      <c r="Q234" s="37"/>
      <c r="R234" s="37"/>
      <c r="S234" s="37"/>
      <c r="T234" s="37"/>
      <c r="U234" s="37"/>
      <c r="V234" s="37"/>
      <c r="W234" s="37"/>
      <c r="X234" s="37"/>
      <c r="Y234" s="37"/>
      <c r="Z234" s="37"/>
    </row>
    <row r="235" ht="12.75" customHeight="1" spans="1:26">
      <c r="A235" s="37"/>
      <c r="B235" s="37"/>
      <c r="C235" s="61"/>
      <c r="D235" s="37"/>
      <c r="E235" s="37"/>
      <c r="F235" s="62"/>
      <c r="G235" s="62"/>
      <c r="H235" s="62"/>
      <c r="I235" s="65"/>
      <c r="J235" s="43"/>
      <c r="K235" s="54"/>
      <c r="L235" s="37"/>
      <c r="M235" s="37"/>
      <c r="N235" s="37"/>
      <c r="O235" s="37"/>
      <c r="P235" s="37"/>
      <c r="Q235" s="37"/>
      <c r="R235" s="37"/>
      <c r="S235" s="37"/>
      <c r="T235" s="37"/>
      <c r="U235" s="37"/>
      <c r="V235" s="37"/>
      <c r="W235" s="37"/>
      <c r="X235" s="37"/>
      <c r="Y235" s="37"/>
      <c r="Z235" s="37"/>
    </row>
    <row r="236" ht="12.75" customHeight="1" spans="1:26">
      <c r="A236" s="37"/>
      <c r="B236" s="37"/>
      <c r="C236" s="61"/>
      <c r="D236" s="37"/>
      <c r="E236" s="37"/>
      <c r="F236" s="62"/>
      <c r="G236" s="62"/>
      <c r="H236" s="62"/>
      <c r="I236" s="65"/>
      <c r="J236" s="43"/>
      <c r="K236" s="54"/>
      <c r="L236" s="37"/>
      <c r="M236" s="37"/>
      <c r="N236" s="37"/>
      <c r="O236" s="37"/>
      <c r="P236" s="37"/>
      <c r="Q236" s="37"/>
      <c r="R236" s="37"/>
      <c r="S236" s="37"/>
      <c r="T236" s="37"/>
      <c r="U236" s="37"/>
      <c r="V236" s="37"/>
      <c r="W236" s="37"/>
      <c r="X236" s="37"/>
      <c r="Y236" s="37"/>
      <c r="Z236" s="37"/>
    </row>
    <row r="237" ht="12.75" customHeight="1" spans="1:26">
      <c r="A237" s="37"/>
      <c r="B237" s="37"/>
      <c r="C237" s="61"/>
      <c r="D237" s="37"/>
      <c r="E237" s="37"/>
      <c r="F237" s="62"/>
      <c r="G237" s="62"/>
      <c r="H237" s="62"/>
      <c r="I237" s="65"/>
      <c r="J237" s="43"/>
      <c r="K237" s="54"/>
      <c r="L237" s="37"/>
      <c r="M237" s="37"/>
      <c r="N237" s="37"/>
      <c r="O237" s="37"/>
      <c r="P237" s="37"/>
      <c r="Q237" s="37"/>
      <c r="R237" s="37"/>
      <c r="S237" s="37"/>
      <c r="T237" s="37"/>
      <c r="U237" s="37"/>
      <c r="V237" s="37"/>
      <c r="W237" s="37"/>
      <c r="X237" s="37"/>
      <c r="Y237" s="37"/>
      <c r="Z237" s="37"/>
    </row>
    <row r="238" ht="12.75" customHeight="1" spans="1:26">
      <c r="A238" s="37"/>
      <c r="B238" s="37"/>
      <c r="C238" s="61"/>
      <c r="D238" s="37"/>
      <c r="E238" s="37"/>
      <c r="F238" s="62"/>
      <c r="G238" s="62"/>
      <c r="H238" s="62"/>
      <c r="I238" s="65"/>
      <c r="J238" s="43"/>
      <c r="K238" s="54"/>
      <c r="L238" s="37"/>
      <c r="M238" s="37"/>
      <c r="N238" s="37"/>
      <c r="O238" s="37"/>
      <c r="P238" s="37"/>
      <c r="Q238" s="37"/>
      <c r="R238" s="37"/>
      <c r="S238" s="37"/>
      <c r="T238" s="37"/>
      <c r="U238" s="37"/>
      <c r="V238" s="37"/>
      <c r="W238" s="37"/>
      <c r="X238" s="37"/>
      <c r="Y238" s="37"/>
      <c r="Z238" s="37"/>
    </row>
    <row r="239" ht="12.75" customHeight="1" spans="1:26">
      <c r="A239" s="37"/>
      <c r="B239" s="37"/>
      <c r="C239" s="61"/>
      <c r="D239" s="37"/>
      <c r="E239" s="37"/>
      <c r="F239" s="62"/>
      <c r="G239" s="62"/>
      <c r="H239" s="62"/>
      <c r="I239" s="65"/>
      <c r="J239" s="43"/>
      <c r="K239" s="54"/>
      <c r="L239" s="37"/>
      <c r="M239" s="37"/>
      <c r="N239" s="37"/>
      <c r="O239" s="37"/>
      <c r="P239" s="37"/>
      <c r="Q239" s="37"/>
      <c r="R239" s="37"/>
      <c r="S239" s="37"/>
      <c r="T239" s="37"/>
      <c r="U239" s="37"/>
      <c r="V239" s="37"/>
      <c r="W239" s="37"/>
      <c r="X239" s="37"/>
      <c r="Y239" s="37"/>
      <c r="Z239" s="37"/>
    </row>
    <row r="240" ht="12.75" customHeight="1" spans="1:26">
      <c r="A240" s="37"/>
      <c r="B240" s="37"/>
      <c r="C240" s="61"/>
      <c r="D240" s="37"/>
      <c r="E240" s="37"/>
      <c r="F240" s="62"/>
      <c r="G240" s="62"/>
      <c r="H240" s="62"/>
      <c r="I240" s="65"/>
      <c r="J240" s="43"/>
      <c r="K240" s="54"/>
      <c r="L240" s="37"/>
      <c r="M240" s="37"/>
      <c r="N240" s="37"/>
      <c r="O240" s="37"/>
      <c r="P240" s="37"/>
      <c r="Q240" s="37"/>
      <c r="R240" s="37"/>
      <c r="S240" s="37"/>
      <c r="T240" s="37"/>
      <c r="U240" s="37"/>
      <c r="V240" s="37"/>
      <c r="W240" s="37"/>
      <c r="X240" s="37"/>
      <c r="Y240" s="37"/>
      <c r="Z240" s="37"/>
    </row>
    <row r="241" ht="12.75" customHeight="1" spans="1:26">
      <c r="A241" s="37"/>
      <c r="B241" s="37"/>
      <c r="C241" s="61"/>
      <c r="D241" s="37"/>
      <c r="E241" s="37"/>
      <c r="F241" s="62"/>
      <c r="G241" s="62"/>
      <c r="H241" s="62"/>
      <c r="I241" s="65"/>
      <c r="J241" s="43"/>
      <c r="K241" s="54"/>
      <c r="L241" s="37"/>
      <c r="M241" s="37"/>
      <c r="N241" s="37"/>
      <c r="O241" s="37"/>
      <c r="P241" s="37"/>
      <c r="Q241" s="37"/>
      <c r="R241" s="37"/>
      <c r="S241" s="37"/>
      <c r="T241" s="37"/>
      <c r="U241" s="37"/>
      <c r="V241" s="37"/>
      <c r="W241" s="37"/>
      <c r="X241" s="37"/>
      <c r="Y241" s="37"/>
      <c r="Z241" s="37"/>
    </row>
    <row r="242" ht="12.75" customHeight="1" spans="1:26">
      <c r="A242" s="37"/>
      <c r="B242" s="37"/>
      <c r="C242" s="61"/>
      <c r="D242" s="37"/>
      <c r="E242" s="37"/>
      <c r="F242" s="62"/>
      <c r="G242" s="62"/>
      <c r="H242" s="62"/>
      <c r="I242" s="65"/>
      <c r="J242" s="43"/>
      <c r="K242" s="54"/>
      <c r="L242" s="37"/>
      <c r="M242" s="37"/>
      <c r="N242" s="37"/>
      <c r="O242" s="37"/>
      <c r="P242" s="37"/>
      <c r="Q242" s="37"/>
      <c r="R242" s="37"/>
      <c r="S242" s="37"/>
      <c r="T242" s="37"/>
      <c r="U242" s="37"/>
      <c r="V242" s="37"/>
      <c r="W242" s="37"/>
      <c r="X242" s="37"/>
      <c r="Y242" s="37"/>
      <c r="Z242" s="37"/>
    </row>
    <row r="243" ht="12.75" customHeight="1" spans="1:26">
      <c r="A243" s="37"/>
      <c r="B243" s="37"/>
      <c r="C243" s="61"/>
      <c r="D243" s="37"/>
      <c r="E243" s="37"/>
      <c r="F243" s="62"/>
      <c r="G243" s="62"/>
      <c r="H243" s="62"/>
      <c r="I243" s="65"/>
      <c r="J243" s="43"/>
      <c r="K243" s="54"/>
      <c r="L243" s="37"/>
      <c r="M243" s="37"/>
      <c r="N243" s="37"/>
      <c r="O243" s="37"/>
      <c r="P243" s="37"/>
      <c r="Q243" s="37"/>
      <c r="R243" s="37"/>
      <c r="S243" s="37"/>
      <c r="T243" s="37"/>
      <c r="U243" s="37"/>
      <c r="V243" s="37"/>
      <c r="W243" s="37"/>
      <c r="X243" s="37"/>
      <c r="Y243" s="37"/>
      <c r="Z243" s="37"/>
    </row>
    <row r="244" ht="12.75" customHeight="1" spans="1:26">
      <c r="A244" s="37"/>
      <c r="B244" s="37"/>
      <c r="C244" s="61"/>
      <c r="D244" s="37"/>
      <c r="E244" s="37"/>
      <c r="F244" s="62"/>
      <c r="G244" s="62"/>
      <c r="H244" s="62"/>
      <c r="I244" s="65"/>
      <c r="J244" s="43"/>
      <c r="K244" s="54"/>
      <c r="L244" s="37"/>
      <c r="M244" s="37"/>
      <c r="N244" s="37"/>
      <c r="O244" s="37"/>
      <c r="P244" s="37"/>
      <c r="Q244" s="37"/>
      <c r="R244" s="37"/>
      <c r="S244" s="37"/>
      <c r="T244" s="37"/>
      <c r="U244" s="37"/>
      <c r="V244" s="37"/>
      <c r="W244" s="37"/>
      <c r="X244" s="37"/>
      <c r="Y244" s="37"/>
      <c r="Z244" s="37"/>
    </row>
    <row r="245" ht="12.75" customHeight="1" spans="1:26">
      <c r="A245" s="37"/>
      <c r="B245" s="37"/>
      <c r="C245" s="61"/>
      <c r="D245" s="37"/>
      <c r="E245" s="37"/>
      <c r="F245" s="62"/>
      <c r="G245" s="62"/>
      <c r="H245" s="62"/>
      <c r="I245" s="65"/>
      <c r="J245" s="43"/>
      <c r="K245" s="54"/>
      <c r="L245" s="37"/>
      <c r="M245" s="37"/>
      <c r="N245" s="37"/>
      <c r="O245" s="37"/>
      <c r="P245" s="37"/>
      <c r="Q245" s="37"/>
      <c r="R245" s="37"/>
      <c r="S245" s="37"/>
      <c r="T245" s="37"/>
      <c r="U245" s="37"/>
      <c r="V245" s="37"/>
      <c r="W245" s="37"/>
      <c r="X245" s="37"/>
      <c r="Y245" s="37"/>
      <c r="Z245" s="37"/>
    </row>
    <row r="246" ht="12.75" customHeight="1" spans="1:26">
      <c r="A246" s="37"/>
      <c r="B246" s="37"/>
      <c r="C246" s="61"/>
      <c r="D246" s="37"/>
      <c r="E246" s="37"/>
      <c r="F246" s="62"/>
      <c r="G246" s="62"/>
      <c r="H246" s="62"/>
      <c r="I246" s="65"/>
      <c r="J246" s="43"/>
      <c r="K246" s="54"/>
      <c r="L246" s="37"/>
      <c r="M246" s="37"/>
      <c r="N246" s="37"/>
      <c r="O246" s="37"/>
      <c r="P246" s="37"/>
      <c r="Q246" s="37"/>
      <c r="R246" s="37"/>
      <c r="S246" s="37"/>
      <c r="T246" s="37"/>
      <c r="U246" s="37"/>
      <c r="V246" s="37"/>
      <c r="W246" s="37"/>
      <c r="X246" s="37"/>
      <c r="Y246" s="37"/>
      <c r="Z246" s="37"/>
    </row>
    <row r="247" ht="12.75" customHeight="1" spans="1:26">
      <c r="A247" s="37"/>
      <c r="B247" s="37"/>
      <c r="C247" s="61"/>
      <c r="D247" s="37"/>
      <c r="E247" s="37"/>
      <c r="F247" s="62"/>
      <c r="G247" s="62"/>
      <c r="H247" s="62"/>
      <c r="I247" s="65"/>
      <c r="J247" s="43"/>
      <c r="K247" s="54"/>
      <c r="L247" s="37"/>
      <c r="M247" s="37"/>
      <c r="N247" s="37"/>
      <c r="O247" s="37"/>
      <c r="P247" s="37"/>
      <c r="Q247" s="37"/>
      <c r="R247" s="37"/>
      <c r="S247" s="37"/>
      <c r="T247" s="37"/>
      <c r="U247" s="37"/>
      <c r="V247" s="37"/>
      <c r="W247" s="37"/>
      <c r="X247" s="37"/>
      <c r="Y247" s="37"/>
      <c r="Z247" s="37"/>
    </row>
    <row r="248" ht="12.75" customHeight="1" spans="1:26">
      <c r="A248" s="37"/>
      <c r="B248" s="37"/>
      <c r="C248" s="61"/>
      <c r="D248" s="37"/>
      <c r="E248" s="37"/>
      <c r="F248" s="62"/>
      <c r="G248" s="62"/>
      <c r="H248" s="62"/>
      <c r="I248" s="65"/>
      <c r="J248" s="43"/>
      <c r="K248" s="54"/>
      <c r="L248" s="37"/>
      <c r="M248" s="37"/>
      <c r="N248" s="37"/>
      <c r="O248" s="37"/>
      <c r="P248" s="37"/>
      <c r="Q248" s="37"/>
      <c r="R248" s="37"/>
      <c r="S248" s="37"/>
      <c r="T248" s="37"/>
      <c r="U248" s="37"/>
      <c r="V248" s="37"/>
      <c r="W248" s="37"/>
      <c r="X248" s="37"/>
      <c r="Y248" s="37"/>
      <c r="Z248" s="37"/>
    </row>
    <row r="249" ht="12.75" customHeight="1" spans="1:26">
      <c r="A249" s="37"/>
      <c r="B249" s="37"/>
      <c r="C249" s="61"/>
      <c r="D249" s="37"/>
      <c r="E249" s="37"/>
      <c r="F249" s="62"/>
      <c r="G249" s="62"/>
      <c r="H249" s="62"/>
      <c r="I249" s="65"/>
      <c r="J249" s="43"/>
      <c r="K249" s="54"/>
      <c r="L249" s="37"/>
      <c r="M249" s="37"/>
      <c r="N249" s="37"/>
      <c r="O249" s="37"/>
      <c r="P249" s="37"/>
      <c r="Q249" s="37"/>
      <c r="R249" s="37"/>
      <c r="S249" s="37"/>
      <c r="T249" s="37"/>
      <c r="U249" s="37"/>
      <c r="V249" s="37"/>
      <c r="W249" s="37"/>
      <c r="X249" s="37"/>
      <c r="Y249" s="37"/>
      <c r="Z249" s="37"/>
    </row>
    <row r="250" ht="12.75" customHeight="1" spans="1:26">
      <c r="A250" s="37"/>
      <c r="B250" s="37"/>
      <c r="C250" s="61"/>
      <c r="D250" s="37"/>
      <c r="E250" s="37"/>
      <c r="F250" s="62"/>
      <c r="G250" s="62"/>
      <c r="H250" s="62"/>
      <c r="I250" s="65"/>
      <c r="J250" s="43"/>
      <c r="K250" s="54"/>
      <c r="L250" s="37"/>
      <c r="M250" s="37"/>
      <c r="N250" s="37"/>
      <c r="O250" s="37"/>
      <c r="P250" s="37"/>
      <c r="Q250" s="37"/>
      <c r="R250" s="37"/>
      <c r="S250" s="37"/>
      <c r="T250" s="37"/>
      <c r="U250" s="37"/>
      <c r="V250" s="37"/>
      <c r="W250" s="37"/>
      <c r="X250" s="37"/>
      <c r="Y250" s="37"/>
      <c r="Z250" s="37"/>
    </row>
    <row r="251" ht="12.75" customHeight="1" spans="1:26">
      <c r="A251" s="37"/>
      <c r="B251" s="37"/>
      <c r="C251" s="61"/>
      <c r="D251" s="37"/>
      <c r="E251" s="37"/>
      <c r="F251" s="62"/>
      <c r="G251" s="62"/>
      <c r="H251" s="62"/>
      <c r="I251" s="65"/>
      <c r="J251" s="43"/>
      <c r="K251" s="54"/>
      <c r="L251" s="37"/>
      <c r="M251" s="37"/>
      <c r="N251" s="37"/>
      <c r="O251" s="37"/>
      <c r="P251" s="37"/>
      <c r="Q251" s="37"/>
      <c r="R251" s="37"/>
      <c r="S251" s="37"/>
      <c r="T251" s="37"/>
      <c r="U251" s="37"/>
      <c r="V251" s="37"/>
      <c r="W251" s="37"/>
      <c r="X251" s="37"/>
      <c r="Y251" s="37"/>
      <c r="Z251" s="37"/>
    </row>
    <row r="252" ht="12.75" customHeight="1" spans="1:26">
      <c r="A252" s="37"/>
      <c r="B252" s="37"/>
      <c r="C252" s="61"/>
      <c r="D252" s="37"/>
      <c r="E252" s="37"/>
      <c r="F252" s="62"/>
      <c r="G252" s="62"/>
      <c r="H252" s="62"/>
      <c r="I252" s="65"/>
      <c r="J252" s="43"/>
      <c r="K252" s="54"/>
      <c r="L252" s="37"/>
      <c r="M252" s="37"/>
      <c r="N252" s="37"/>
      <c r="O252" s="37"/>
      <c r="P252" s="37"/>
      <c r="Q252" s="37"/>
      <c r="R252" s="37"/>
      <c r="S252" s="37"/>
      <c r="T252" s="37"/>
      <c r="U252" s="37"/>
      <c r="V252" s="37"/>
      <c r="W252" s="37"/>
      <c r="X252" s="37"/>
      <c r="Y252" s="37"/>
      <c r="Z252" s="37"/>
    </row>
    <row r="253" ht="12.75" customHeight="1" spans="1:26">
      <c r="A253" s="37"/>
      <c r="B253" s="37"/>
      <c r="C253" s="61"/>
      <c r="D253" s="37"/>
      <c r="E253" s="37"/>
      <c r="F253" s="62"/>
      <c r="G253" s="62"/>
      <c r="H253" s="62"/>
      <c r="I253" s="65"/>
      <c r="J253" s="43"/>
      <c r="K253" s="54"/>
      <c r="L253" s="37"/>
      <c r="M253" s="37"/>
      <c r="N253" s="37"/>
      <c r="O253" s="37"/>
      <c r="P253" s="37"/>
      <c r="Q253" s="37"/>
      <c r="R253" s="37"/>
      <c r="S253" s="37"/>
      <c r="T253" s="37"/>
      <c r="U253" s="37"/>
      <c r="V253" s="37"/>
      <c r="W253" s="37"/>
      <c r="X253" s="37"/>
      <c r="Y253" s="37"/>
      <c r="Z253" s="37"/>
    </row>
    <row r="254" ht="12.75" customHeight="1" spans="1:26">
      <c r="A254" s="37"/>
      <c r="B254" s="37"/>
      <c r="C254" s="61"/>
      <c r="D254" s="37"/>
      <c r="E254" s="37"/>
      <c r="F254" s="62"/>
      <c r="G254" s="62"/>
      <c r="H254" s="62"/>
      <c r="I254" s="65"/>
      <c r="J254" s="43"/>
      <c r="K254" s="54"/>
      <c r="L254" s="37"/>
      <c r="M254" s="37"/>
      <c r="N254" s="37"/>
      <c r="O254" s="37"/>
      <c r="P254" s="37"/>
      <c r="Q254" s="37"/>
      <c r="R254" s="37"/>
      <c r="S254" s="37"/>
      <c r="T254" s="37"/>
      <c r="U254" s="37"/>
      <c r="V254" s="37"/>
      <c r="W254" s="37"/>
      <c r="X254" s="37"/>
      <c r="Y254" s="37"/>
      <c r="Z254" s="37"/>
    </row>
    <row r="255" ht="12.75" customHeight="1" spans="1:26">
      <c r="A255" s="37"/>
      <c r="B255" s="37"/>
      <c r="C255" s="61"/>
      <c r="D255" s="37"/>
      <c r="E255" s="37"/>
      <c r="F255" s="62"/>
      <c r="G255" s="62"/>
      <c r="H255" s="62"/>
      <c r="I255" s="65"/>
      <c r="J255" s="43"/>
      <c r="K255" s="54"/>
      <c r="L255" s="37"/>
      <c r="M255" s="37"/>
      <c r="N255" s="37"/>
      <c r="O255" s="37"/>
      <c r="P255" s="37"/>
      <c r="Q255" s="37"/>
      <c r="R255" s="37"/>
      <c r="S255" s="37"/>
      <c r="T255" s="37"/>
      <c r="U255" s="37"/>
      <c r="V255" s="37"/>
      <c r="W255" s="37"/>
      <c r="X255" s="37"/>
      <c r="Y255" s="37"/>
      <c r="Z255" s="37"/>
    </row>
    <row r="256" ht="12.75" customHeight="1" spans="1:26">
      <c r="A256" s="37"/>
      <c r="B256" s="37"/>
      <c r="C256" s="61"/>
      <c r="D256" s="37"/>
      <c r="E256" s="37"/>
      <c r="F256" s="62"/>
      <c r="G256" s="62"/>
      <c r="H256" s="62"/>
      <c r="I256" s="65"/>
      <c r="J256" s="43"/>
      <c r="K256" s="54"/>
      <c r="L256" s="37"/>
      <c r="M256" s="37"/>
      <c r="N256" s="37"/>
      <c r="O256" s="37"/>
      <c r="P256" s="37"/>
      <c r="Q256" s="37"/>
      <c r="R256" s="37"/>
      <c r="S256" s="37"/>
      <c r="T256" s="37"/>
      <c r="U256" s="37"/>
      <c r="V256" s="37"/>
      <c r="W256" s="37"/>
      <c r="X256" s="37"/>
      <c r="Y256" s="37"/>
      <c r="Z256" s="37"/>
    </row>
    <row r="257" ht="12.75" customHeight="1" spans="1:26">
      <c r="A257" s="37"/>
      <c r="B257" s="37"/>
      <c r="C257" s="61"/>
      <c r="D257" s="37"/>
      <c r="E257" s="37"/>
      <c r="F257" s="62"/>
      <c r="G257" s="62"/>
      <c r="H257" s="62"/>
      <c r="I257" s="65"/>
      <c r="J257" s="43"/>
      <c r="K257" s="54"/>
      <c r="L257" s="37"/>
      <c r="M257" s="37"/>
      <c r="N257" s="37"/>
      <c r="O257" s="37"/>
      <c r="P257" s="37"/>
      <c r="Q257" s="37"/>
      <c r="R257" s="37"/>
      <c r="S257" s="37"/>
      <c r="T257" s="37"/>
      <c r="U257" s="37"/>
      <c r="V257" s="37"/>
      <c r="W257" s="37"/>
      <c r="X257" s="37"/>
      <c r="Y257" s="37"/>
      <c r="Z257" s="37"/>
    </row>
    <row r="258" ht="12.75" customHeight="1" spans="1:26">
      <c r="A258" s="37"/>
      <c r="B258" s="37"/>
      <c r="C258" s="61"/>
      <c r="D258" s="37"/>
      <c r="E258" s="37"/>
      <c r="F258" s="62"/>
      <c r="G258" s="62"/>
      <c r="H258" s="62"/>
      <c r="I258" s="65"/>
      <c r="J258" s="43"/>
      <c r="K258" s="54"/>
      <c r="L258" s="37"/>
      <c r="M258" s="37"/>
      <c r="N258" s="37"/>
      <c r="O258" s="37"/>
      <c r="P258" s="37"/>
      <c r="Q258" s="37"/>
      <c r="R258" s="37"/>
      <c r="S258" s="37"/>
      <c r="T258" s="37"/>
      <c r="U258" s="37"/>
      <c r="V258" s="37"/>
      <c r="W258" s="37"/>
      <c r="X258" s="37"/>
      <c r="Y258" s="37"/>
      <c r="Z258" s="37"/>
    </row>
    <row r="259" ht="12.75" customHeight="1" spans="1:26">
      <c r="A259" s="37"/>
      <c r="B259" s="37"/>
      <c r="C259" s="61"/>
      <c r="D259" s="37"/>
      <c r="E259" s="37"/>
      <c r="F259" s="62"/>
      <c r="G259" s="62"/>
      <c r="H259" s="62"/>
      <c r="I259" s="65"/>
      <c r="J259" s="43"/>
      <c r="K259" s="54"/>
      <c r="L259" s="37"/>
      <c r="M259" s="37"/>
      <c r="N259" s="37"/>
      <c r="O259" s="37"/>
      <c r="P259" s="37"/>
      <c r="Q259" s="37"/>
      <c r="R259" s="37"/>
      <c r="S259" s="37"/>
      <c r="T259" s="37"/>
      <c r="U259" s="37"/>
      <c r="V259" s="37"/>
      <c r="W259" s="37"/>
      <c r="X259" s="37"/>
      <c r="Y259" s="37"/>
      <c r="Z259" s="37"/>
    </row>
    <row r="260" ht="12.75" customHeight="1" spans="1:26">
      <c r="A260" s="37"/>
      <c r="B260" s="37"/>
      <c r="C260" s="61"/>
      <c r="D260" s="37"/>
      <c r="E260" s="37"/>
      <c r="F260" s="62"/>
      <c r="G260" s="62"/>
      <c r="H260" s="62"/>
      <c r="I260" s="65"/>
      <c r="J260" s="43"/>
      <c r="K260" s="54"/>
      <c r="L260" s="37"/>
      <c r="M260" s="37"/>
      <c r="N260" s="37"/>
      <c r="O260" s="37"/>
      <c r="P260" s="37"/>
      <c r="Q260" s="37"/>
      <c r="R260" s="37"/>
      <c r="S260" s="37"/>
      <c r="T260" s="37"/>
      <c r="U260" s="37"/>
      <c r="V260" s="37"/>
      <c r="W260" s="37"/>
      <c r="X260" s="37"/>
      <c r="Y260" s="37"/>
      <c r="Z260" s="37"/>
    </row>
    <row r="261" ht="12.75" customHeight="1" spans="1:26">
      <c r="A261" s="37"/>
      <c r="B261" s="37"/>
      <c r="C261" s="61"/>
      <c r="D261" s="37"/>
      <c r="E261" s="37"/>
      <c r="F261" s="62"/>
      <c r="G261" s="62"/>
      <c r="H261" s="62"/>
      <c r="I261" s="65"/>
      <c r="J261" s="43"/>
      <c r="K261" s="54"/>
      <c r="L261" s="37"/>
      <c r="M261" s="37"/>
      <c r="N261" s="37"/>
      <c r="O261" s="37"/>
      <c r="P261" s="37"/>
      <c r="Q261" s="37"/>
      <c r="R261" s="37"/>
      <c r="S261" s="37"/>
      <c r="T261" s="37"/>
      <c r="U261" s="37"/>
      <c r="V261" s="37"/>
      <c r="W261" s="37"/>
      <c r="X261" s="37"/>
      <c r="Y261" s="37"/>
      <c r="Z261" s="37"/>
    </row>
    <row r="262" ht="12.75" customHeight="1" spans="1:26">
      <c r="A262" s="37"/>
      <c r="B262" s="37"/>
      <c r="C262" s="61"/>
      <c r="D262" s="37"/>
      <c r="E262" s="37"/>
      <c r="F262" s="62"/>
      <c r="G262" s="62"/>
      <c r="H262" s="62"/>
      <c r="I262" s="65"/>
      <c r="J262" s="43"/>
      <c r="K262" s="54"/>
      <c r="L262" s="37"/>
      <c r="M262" s="37"/>
      <c r="N262" s="37"/>
      <c r="O262" s="37"/>
      <c r="P262" s="37"/>
      <c r="Q262" s="37"/>
      <c r="R262" s="37"/>
      <c r="S262" s="37"/>
      <c r="T262" s="37"/>
      <c r="U262" s="37"/>
      <c r="V262" s="37"/>
      <c r="W262" s="37"/>
      <c r="X262" s="37"/>
      <c r="Y262" s="37"/>
      <c r="Z262" s="37"/>
    </row>
    <row r="263" ht="12.75" customHeight="1" spans="1:26">
      <c r="A263" s="37"/>
      <c r="B263" s="37"/>
      <c r="C263" s="61"/>
      <c r="D263" s="37"/>
      <c r="E263" s="37"/>
      <c r="F263" s="62"/>
      <c r="G263" s="62"/>
      <c r="H263" s="62"/>
      <c r="I263" s="65"/>
      <c r="J263" s="43"/>
      <c r="K263" s="54"/>
      <c r="L263" s="37"/>
      <c r="M263" s="37"/>
      <c r="N263" s="37"/>
      <c r="O263" s="37"/>
      <c r="P263" s="37"/>
      <c r="Q263" s="37"/>
      <c r="R263" s="37"/>
      <c r="S263" s="37"/>
      <c r="T263" s="37"/>
      <c r="U263" s="37"/>
      <c r="V263" s="37"/>
      <c r="W263" s="37"/>
      <c r="X263" s="37"/>
      <c r="Y263" s="37"/>
      <c r="Z263" s="37"/>
    </row>
    <row r="264" ht="12.75" customHeight="1" spans="1:26">
      <c r="A264" s="37"/>
      <c r="B264" s="37"/>
      <c r="C264" s="61"/>
      <c r="D264" s="37"/>
      <c r="E264" s="37"/>
      <c r="F264" s="62"/>
      <c r="G264" s="62"/>
      <c r="H264" s="62"/>
      <c r="I264" s="65"/>
      <c r="J264" s="43"/>
      <c r="K264" s="54"/>
      <c r="L264" s="37"/>
      <c r="M264" s="37"/>
      <c r="N264" s="37"/>
      <c r="O264" s="37"/>
      <c r="P264" s="37"/>
      <c r="Q264" s="37"/>
      <c r="R264" s="37"/>
      <c r="S264" s="37"/>
      <c r="T264" s="37"/>
      <c r="U264" s="37"/>
      <c r="V264" s="37"/>
      <c r="W264" s="37"/>
      <c r="X264" s="37"/>
      <c r="Y264" s="37"/>
      <c r="Z264" s="37"/>
    </row>
    <row r="265" ht="12.75" customHeight="1" spans="1:26">
      <c r="A265" s="37"/>
      <c r="B265" s="37"/>
      <c r="C265" s="61"/>
      <c r="D265" s="37"/>
      <c r="E265" s="37"/>
      <c r="F265" s="62"/>
      <c r="G265" s="62"/>
      <c r="H265" s="62"/>
      <c r="I265" s="65"/>
      <c r="J265" s="43"/>
      <c r="K265" s="54"/>
      <c r="L265" s="37"/>
      <c r="M265" s="37"/>
      <c r="N265" s="37"/>
      <c r="O265" s="37"/>
      <c r="P265" s="37"/>
      <c r="Q265" s="37"/>
      <c r="R265" s="37"/>
      <c r="S265" s="37"/>
      <c r="T265" s="37"/>
      <c r="U265" s="37"/>
      <c r="V265" s="37"/>
      <c r="W265" s="37"/>
      <c r="X265" s="37"/>
      <c r="Y265" s="37"/>
      <c r="Z265" s="37"/>
    </row>
    <row r="266" ht="12.75" customHeight="1" spans="1:26">
      <c r="A266" s="37"/>
      <c r="B266" s="37"/>
      <c r="C266" s="61"/>
      <c r="D266" s="37"/>
      <c r="E266" s="37"/>
      <c r="F266" s="62"/>
      <c r="G266" s="62"/>
      <c r="H266" s="62"/>
      <c r="I266" s="65"/>
      <c r="J266" s="43"/>
      <c r="K266" s="54"/>
      <c r="L266" s="37"/>
      <c r="M266" s="37"/>
      <c r="N266" s="37"/>
      <c r="O266" s="37"/>
      <c r="P266" s="37"/>
      <c r="Q266" s="37"/>
      <c r="R266" s="37"/>
      <c r="S266" s="37"/>
      <c r="T266" s="37"/>
      <c r="U266" s="37"/>
      <c r="V266" s="37"/>
      <c r="W266" s="37"/>
      <c r="X266" s="37"/>
      <c r="Y266" s="37"/>
      <c r="Z266" s="37"/>
    </row>
    <row r="267" ht="12.75" customHeight="1" spans="1:26">
      <c r="A267" s="37"/>
      <c r="B267" s="37"/>
      <c r="C267" s="61"/>
      <c r="D267" s="37"/>
      <c r="E267" s="37"/>
      <c r="F267" s="62"/>
      <c r="G267" s="62"/>
      <c r="H267" s="62"/>
      <c r="I267" s="65"/>
      <c r="J267" s="43"/>
      <c r="K267" s="54"/>
      <c r="L267" s="37"/>
      <c r="M267" s="37"/>
      <c r="N267" s="37"/>
      <c r="O267" s="37"/>
      <c r="P267" s="37"/>
      <c r="Q267" s="37"/>
      <c r="R267" s="37"/>
      <c r="S267" s="37"/>
      <c r="T267" s="37"/>
      <c r="U267" s="37"/>
      <c r="V267" s="37"/>
      <c r="W267" s="37"/>
      <c r="X267" s="37"/>
      <c r="Y267" s="37"/>
      <c r="Z267" s="37"/>
    </row>
    <row r="268" ht="12.75" customHeight="1" spans="1:26">
      <c r="A268" s="37"/>
      <c r="B268" s="37"/>
      <c r="C268" s="61"/>
      <c r="D268" s="37"/>
      <c r="E268" s="37"/>
      <c r="F268" s="62"/>
      <c r="G268" s="62"/>
      <c r="H268" s="62"/>
      <c r="I268" s="65"/>
      <c r="J268" s="43"/>
      <c r="K268" s="54"/>
      <c r="L268" s="37"/>
      <c r="M268" s="37"/>
      <c r="N268" s="37"/>
      <c r="O268" s="37"/>
      <c r="P268" s="37"/>
      <c r="Q268" s="37"/>
      <c r="R268" s="37"/>
      <c r="S268" s="37"/>
      <c r="T268" s="37"/>
      <c r="U268" s="37"/>
      <c r="V268" s="37"/>
      <c r="W268" s="37"/>
      <c r="X268" s="37"/>
      <c r="Y268" s="37"/>
      <c r="Z268" s="37"/>
    </row>
    <row r="269" ht="12.75" customHeight="1" spans="1:26">
      <c r="A269" s="37"/>
      <c r="B269" s="37"/>
      <c r="C269" s="61"/>
      <c r="D269" s="37"/>
      <c r="E269" s="37"/>
      <c r="F269" s="62"/>
      <c r="G269" s="62"/>
      <c r="H269" s="62"/>
      <c r="I269" s="65"/>
      <c r="J269" s="43"/>
      <c r="K269" s="54"/>
      <c r="L269" s="37"/>
      <c r="M269" s="37"/>
      <c r="N269" s="37"/>
      <c r="O269" s="37"/>
      <c r="P269" s="37"/>
      <c r="Q269" s="37"/>
      <c r="R269" s="37"/>
      <c r="S269" s="37"/>
      <c r="T269" s="37"/>
      <c r="U269" s="37"/>
      <c r="V269" s="37"/>
      <c r="W269" s="37"/>
      <c r="X269" s="37"/>
      <c r="Y269" s="37"/>
      <c r="Z269" s="37"/>
    </row>
    <row r="270" ht="12.75" customHeight="1" spans="1:26">
      <c r="A270" s="37"/>
      <c r="B270" s="37"/>
      <c r="C270" s="61"/>
      <c r="D270" s="37"/>
      <c r="E270" s="37"/>
      <c r="F270" s="62"/>
      <c r="G270" s="62"/>
      <c r="H270" s="62"/>
      <c r="I270" s="65"/>
      <c r="J270" s="43"/>
      <c r="K270" s="54"/>
      <c r="L270" s="37"/>
      <c r="M270" s="37"/>
      <c r="N270" s="37"/>
      <c r="O270" s="37"/>
      <c r="P270" s="37"/>
      <c r="Q270" s="37"/>
      <c r="R270" s="37"/>
      <c r="S270" s="37"/>
      <c r="T270" s="37"/>
      <c r="U270" s="37"/>
      <c r="V270" s="37"/>
      <c r="W270" s="37"/>
      <c r="X270" s="37"/>
      <c r="Y270" s="37"/>
      <c r="Z270" s="37"/>
    </row>
    <row r="271" ht="12.75" customHeight="1" spans="1:26">
      <c r="A271" s="37"/>
      <c r="B271" s="37"/>
      <c r="C271" s="61"/>
      <c r="D271" s="37"/>
      <c r="E271" s="37"/>
      <c r="F271" s="62"/>
      <c r="G271" s="62"/>
      <c r="H271" s="62"/>
      <c r="I271" s="65"/>
      <c r="J271" s="43"/>
      <c r="K271" s="54"/>
      <c r="L271" s="37"/>
      <c r="M271" s="37"/>
      <c r="N271" s="37"/>
      <c r="O271" s="37"/>
      <c r="P271" s="37"/>
      <c r="Q271" s="37"/>
      <c r="R271" s="37"/>
      <c r="S271" s="37"/>
      <c r="T271" s="37"/>
      <c r="U271" s="37"/>
      <c r="V271" s="37"/>
      <c r="W271" s="37"/>
      <c r="X271" s="37"/>
      <c r="Y271" s="37"/>
      <c r="Z271" s="37"/>
    </row>
    <row r="272" ht="12.75" customHeight="1" spans="1:26">
      <c r="A272" s="37"/>
      <c r="B272" s="37"/>
      <c r="C272" s="61"/>
      <c r="D272" s="37"/>
      <c r="E272" s="37"/>
      <c r="F272" s="62"/>
      <c r="G272" s="62"/>
      <c r="H272" s="62"/>
      <c r="I272" s="65"/>
      <c r="J272" s="43"/>
      <c r="K272" s="54"/>
      <c r="L272" s="37"/>
      <c r="M272" s="37"/>
      <c r="N272" s="37"/>
      <c r="O272" s="37"/>
      <c r="P272" s="37"/>
      <c r="Q272" s="37"/>
      <c r="R272" s="37"/>
      <c r="S272" s="37"/>
      <c r="T272" s="37"/>
      <c r="U272" s="37"/>
      <c r="V272" s="37"/>
      <c r="W272" s="37"/>
      <c r="X272" s="37"/>
      <c r="Y272" s="37"/>
      <c r="Z272" s="37"/>
    </row>
    <row r="273" ht="12.75" spans="10:10">
      <c r="J273" s="16"/>
    </row>
    <row r="274" ht="12.75" spans="10:10">
      <c r="J274" s="16"/>
    </row>
    <row r="275" ht="12.75" spans="10:10">
      <c r="J275" s="16"/>
    </row>
    <row r="276" ht="12.75" spans="10:10">
      <c r="J276" s="16"/>
    </row>
    <row r="277" ht="12.75" spans="10:10">
      <c r="J277" s="16"/>
    </row>
    <row r="278" ht="12.75" spans="10:10">
      <c r="J278" s="16"/>
    </row>
    <row r="279" ht="12.75" spans="10:10">
      <c r="J279" s="16"/>
    </row>
    <row r="280" ht="12.75" spans="10:10">
      <c r="J280" s="16"/>
    </row>
    <row r="281" ht="12.75" spans="10:10">
      <c r="J281" s="16"/>
    </row>
    <row r="282" ht="12.75" spans="10:10">
      <c r="J282" s="16"/>
    </row>
    <row r="283" ht="12.75" spans="10:10">
      <c r="J283" s="16"/>
    </row>
    <row r="284" ht="12.75" spans="10:10">
      <c r="J284" s="16"/>
    </row>
    <row r="285" ht="12.75" spans="10:10">
      <c r="J285" s="16"/>
    </row>
    <row r="286" ht="12.75" spans="10:10">
      <c r="J286" s="16"/>
    </row>
    <row r="287" ht="12.75" spans="10:10">
      <c r="J287" s="16"/>
    </row>
    <row r="288" ht="12.75" spans="10:10">
      <c r="J288" s="16"/>
    </row>
    <row r="289" ht="12.75" spans="10:10">
      <c r="J289" s="16"/>
    </row>
    <row r="290" ht="12.75" spans="10:10">
      <c r="J290" s="16"/>
    </row>
    <row r="291" ht="12.75" spans="10:10">
      <c r="J291" s="16"/>
    </row>
    <row r="292" ht="12.75" spans="10:10">
      <c r="J292" s="16"/>
    </row>
    <row r="293" ht="12.75" spans="10:10">
      <c r="J293" s="16"/>
    </row>
    <row r="294" ht="12.75" spans="10:10">
      <c r="J294" s="16"/>
    </row>
    <row r="295" ht="12.75" spans="10:10">
      <c r="J295" s="16"/>
    </row>
    <row r="296" ht="12.75" spans="10:10">
      <c r="J296" s="16"/>
    </row>
    <row r="297" ht="12.75" spans="10:10">
      <c r="J297" s="16"/>
    </row>
    <row r="298" ht="12.75" spans="10:10">
      <c r="J298" s="16"/>
    </row>
    <row r="299" ht="12.75" spans="10:10">
      <c r="J299" s="16"/>
    </row>
    <row r="300" ht="12.75" spans="10:10">
      <c r="J300" s="16"/>
    </row>
    <row r="301" ht="12.75" spans="10:10">
      <c r="J301" s="16"/>
    </row>
    <row r="302" ht="12.75" spans="10:10">
      <c r="J302" s="16"/>
    </row>
    <row r="303" ht="12.75" spans="10:10">
      <c r="J303" s="16"/>
    </row>
    <row r="304" ht="12.75" spans="10:10">
      <c r="J304" s="16"/>
    </row>
    <row r="305" ht="12.75" spans="10:10">
      <c r="J305" s="16"/>
    </row>
    <row r="306" ht="12.75" spans="10:10">
      <c r="J306" s="16"/>
    </row>
    <row r="307" ht="12.75" spans="10:10">
      <c r="J307" s="16"/>
    </row>
    <row r="308" ht="12.75" spans="10:10">
      <c r="J308" s="16"/>
    </row>
    <row r="309" ht="12.75" spans="10:10">
      <c r="J309" s="16"/>
    </row>
    <row r="310" ht="12.75" spans="10:10">
      <c r="J310" s="16"/>
    </row>
    <row r="311" ht="12.75" spans="10:10">
      <c r="J311" s="16"/>
    </row>
    <row r="312" ht="12.75" spans="10:10">
      <c r="J312" s="16"/>
    </row>
    <row r="313" ht="12.75" spans="10:10">
      <c r="J313" s="16"/>
    </row>
    <row r="314" ht="12.75" spans="10:10">
      <c r="J314" s="16"/>
    </row>
    <row r="315" ht="12.75" spans="10:10">
      <c r="J315" s="16"/>
    </row>
    <row r="316" ht="12.75" spans="10:10">
      <c r="J316" s="16"/>
    </row>
    <row r="317" ht="12.75" spans="10:10">
      <c r="J317" s="16"/>
    </row>
    <row r="318" ht="12.75" spans="10:10">
      <c r="J318" s="16"/>
    </row>
    <row r="319" ht="12.75" spans="10:10">
      <c r="J319" s="16"/>
    </row>
    <row r="320" ht="12.75" spans="10:10">
      <c r="J320" s="16"/>
    </row>
    <row r="321" ht="12.75" spans="10:10">
      <c r="J321" s="16"/>
    </row>
    <row r="322" ht="12.75" spans="10:10">
      <c r="J322" s="16"/>
    </row>
    <row r="323" ht="12.75" spans="10:10">
      <c r="J323" s="16"/>
    </row>
    <row r="324" ht="12.75" spans="10:10">
      <c r="J324" s="16"/>
    </row>
    <row r="325" ht="12.75" spans="10:10">
      <c r="J325" s="16"/>
    </row>
    <row r="326" ht="12.75" spans="10:10">
      <c r="J326" s="16"/>
    </row>
    <row r="327" ht="12.75" spans="10:10">
      <c r="J327" s="16"/>
    </row>
    <row r="328" ht="12.75" spans="10:10">
      <c r="J328" s="16"/>
    </row>
    <row r="329" ht="12.75" spans="10:10">
      <c r="J329" s="16"/>
    </row>
    <row r="330" ht="12.75" spans="10:10">
      <c r="J330" s="16"/>
    </row>
    <row r="331" ht="12.75" spans="10:10">
      <c r="J331" s="16"/>
    </row>
    <row r="332" ht="12.75" spans="10:10">
      <c r="J332" s="16"/>
    </row>
    <row r="333" ht="12.75" spans="10:10">
      <c r="J333" s="16"/>
    </row>
    <row r="334" ht="12.75" spans="10:10">
      <c r="J334" s="16"/>
    </row>
    <row r="335" ht="12.75" spans="10:10">
      <c r="J335" s="16"/>
    </row>
    <row r="336" ht="12.75" spans="10:10">
      <c r="J336" s="16"/>
    </row>
    <row r="337" ht="12.75" spans="10:10">
      <c r="J337" s="16"/>
    </row>
    <row r="338" ht="12.75" spans="10:10">
      <c r="J338" s="16"/>
    </row>
    <row r="339" ht="12.75" spans="10:10">
      <c r="J339" s="16"/>
    </row>
    <row r="340" ht="12.75" spans="10:10">
      <c r="J340" s="16"/>
    </row>
    <row r="341" ht="12.75" spans="10:10">
      <c r="J341" s="16"/>
    </row>
    <row r="342" ht="12.75" spans="10:10">
      <c r="J342" s="16"/>
    </row>
    <row r="343" ht="12.75" spans="10:10">
      <c r="J343" s="16"/>
    </row>
    <row r="344" ht="12.75" spans="10:10">
      <c r="J344" s="16"/>
    </row>
    <row r="345" ht="12.75" spans="10:10">
      <c r="J345" s="16"/>
    </row>
    <row r="346" ht="12.75" spans="10:10">
      <c r="J346" s="16"/>
    </row>
    <row r="347" ht="12.75" spans="10:10">
      <c r="J347" s="16"/>
    </row>
    <row r="348" ht="12.75" spans="10:10">
      <c r="J348" s="16"/>
    </row>
    <row r="349" ht="12.75" spans="10:10">
      <c r="J349" s="16"/>
    </row>
    <row r="350" ht="12.75" spans="10:10">
      <c r="J350" s="16"/>
    </row>
    <row r="351" ht="12.75" spans="10:10">
      <c r="J351" s="16"/>
    </row>
    <row r="352" ht="12.75" spans="10:10">
      <c r="J352" s="16"/>
    </row>
    <row r="353" ht="12.75" spans="10:10">
      <c r="J353" s="16"/>
    </row>
    <row r="354" ht="12.75" spans="10:10">
      <c r="J354" s="16"/>
    </row>
    <row r="355" ht="12.75" spans="10:10">
      <c r="J355" s="16"/>
    </row>
    <row r="356" ht="12.75" spans="10:10">
      <c r="J356" s="16"/>
    </row>
    <row r="357" ht="12.75" spans="10:10">
      <c r="J357" s="16"/>
    </row>
    <row r="358" ht="12.75" spans="10:10">
      <c r="J358" s="16"/>
    </row>
    <row r="359" ht="12.75" spans="10:10">
      <c r="J359" s="16"/>
    </row>
    <row r="360" ht="12.75" spans="10:10">
      <c r="J360" s="16"/>
    </row>
    <row r="361" ht="12.75" spans="10:10">
      <c r="J361" s="16"/>
    </row>
    <row r="362" ht="12.75" spans="10:10">
      <c r="J362" s="16"/>
    </row>
    <row r="363" ht="12.75" spans="10:10">
      <c r="J363" s="16"/>
    </row>
    <row r="364" ht="12.75" spans="10:10">
      <c r="J364" s="16"/>
    </row>
    <row r="365" ht="12.75" spans="10:10">
      <c r="J365" s="16"/>
    </row>
    <row r="366" ht="12.75" spans="10:10">
      <c r="J366" s="16"/>
    </row>
    <row r="367" ht="12.75" spans="10:10">
      <c r="J367" s="16"/>
    </row>
    <row r="368" ht="12.75" spans="10:10">
      <c r="J368" s="16"/>
    </row>
    <row r="369" ht="12.75" spans="10:10">
      <c r="J369" s="16"/>
    </row>
    <row r="370" ht="12.75" spans="10:10">
      <c r="J370" s="16"/>
    </row>
    <row r="371" ht="12.75" spans="10:10">
      <c r="J371" s="16"/>
    </row>
    <row r="372" ht="12.75" spans="10:10">
      <c r="J372" s="16"/>
    </row>
    <row r="373" ht="12.75" spans="10:10">
      <c r="J373" s="16"/>
    </row>
    <row r="374" ht="12.75" spans="10:10">
      <c r="J374" s="16"/>
    </row>
    <row r="375" ht="12.75" spans="10:10">
      <c r="J375" s="16"/>
    </row>
    <row r="376" ht="12.75" spans="10:10">
      <c r="J376" s="16"/>
    </row>
    <row r="377" ht="12.75" spans="10:10">
      <c r="J377" s="16"/>
    </row>
    <row r="378" ht="12.75" spans="10:10">
      <c r="J378" s="16"/>
    </row>
    <row r="379" ht="12.75" spans="10:10">
      <c r="J379" s="16"/>
    </row>
    <row r="380" ht="12.75" spans="10:10">
      <c r="J380" s="16"/>
    </row>
    <row r="381" ht="12.75" spans="10:10">
      <c r="J381" s="16"/>
    </row>
    <row r="382" ht="12.75" spans="10:10">
      <c r="J382" s="16"/>
    </row>
    <row r="383" ht="12.75" spans="10:10">
      <c r="J383" s="16"/>
    </row>
    <row r="384" ht="12.75" spans="10:10">
      <c r="J384" s="16"/>
    </row>
    <row r="385" ht="12.75" spans="10:10">
      <c r="J385" s="16"/>
    </row>
    <row r="386" ht="12.75" spans="10:10">
      <c r="J386" s="16"/>
    </row>
    <row r="387" ht="12.75" spans="10:10">
      <c r="J387" s="16"/>
    </row>
    <row r="388" ht="12.75" spans="10:10">
      <c r="J388" s="16"/>
    </row>
    <row r="389" ht="12.75" spans="10:10">
      <c r="J389" s="16"/>
    </row>
    <row r="390" ht="12.75" spans="10:10">
      <c r="J390" s="16"/>
    </row>
    <row r="391" ht="12.75" spans="10:10">
      <c r="J391" s="16"/>
    </row>
    <row r="392" ht="12.75" spans="10:10">
      <c r="J392" s="16"/>
    </row>
    <row r="393" ht="12.75" spans="10:10">
      <c r="J393" s="16"/>
    </row>
    <row r="394" ht="12.75" spans="10:10">
      <c r="J394" s="16"/>
    </row>
    <row r="395" ht="12.75" spans="10:10">
      <c r="J395" s="16"/>
    </row>
    <row r="396" ht="12.75" spans="10:10">
      <c r="J396" s="16"/>
    </row>
    <row r="397" ht="12.75" spans="10:10">
      <c r="J397" s="16"/>
    </row>
    <row r="398" ht="12.75" spans="10:10">
      <c r="J398" s="16"/>
    </row>
    <row r="399" ht="12.75" spans="10:10">
      <c r="J399" s="16"/>
    </row>
    <row r="400" ht="12.75" spans="10:10">
      <c r="J400" s="16"/>
    </row>
    <row r="401" ht="12.75" spans="10:10">
      <c r="J401" s="16"/>
    </row>
    <row r="402" ht="12.75" spans="10:10">
      <c r="J402" s="16"/>
    </row>
    <row r="403" ht="12.75" spans="10:10">
      <c r="J403" s="16"/>
    </row>
    <row r="404" ht="12.75" spans="10:10">
      <c r="J404" s="16"/>
    </row>
    <row r="405" ht="12.75" spans="10:10">
      <c r="J405" s="16"/>
    </row>
    <row r="406" ht="12.75" spans="10:10">
      <c r="J406" s="16"/>
    </row>
    <row r="407" ht="12.75" spans="10:10">
      <c r="J407" s="16"/>
    </row>
    <row r="408" ht="12.75" spans="10:10">
      <c r="J408" s="16"/>
    </row>
    <row r="409" ht="12.75" spans="10:10">
      <c r="J409" s="16"/>
    </row>
    <row r="410" ht="12.75" spans="10:10">
      <c r="J410" s="16"/>
    </row>
    <row r="411" ht="12.75" spans="10:10">
      <c r="J411" s="16"/>
    </row>
    <row r="412" ht="12.75" spans="10:10">
      <c r="J412" s="16"/>
    </row>
    <row r="413" ht="12.75" spans="10:10">
      <c r="J413" s="16"/>
    </row>
    <row r="414" ht="12.75" spans="10:10">
      <c r="J414" s="16"/>
    </row>
    <row r="415" ht="12.75" spans="10:10">
      <c r="J415" s="16"/>
    </row>
    <row r="416" ht="12.75" spans="10:10">
      <c r="J416" s="16"/>
    </row>
    <row r="417" ht="12.75" spans="10:10">
      <c r="J417" s="16"/>
    </row>
    <row r="418" ht="12.75" spans="10:10">
      <c r="J418" s="16"/>
    </row>
    <row r="419" ht="12.75" spans="10:10">
      <c r="J419" s="16"/>
    </row>
    <row r="420" ht="12.75" spans="10:10">
      <c r="J420" s="16"/>
    </row>
    <row r="421" ht="12.75" spans="10:10">
      <c r="J421" s="16"/>
    </row>
    <row r="422" ht="12.75" spans="10:10">
      <c r="J422" s="16"/>
    </row>
    <row r="423" ht="12.75" spans="10:10">
      <c r="J423" s="16"/>
    </row>
    <row r="424" ht="12.75" spans="10:10">
      <c r="J424" s="16"/>
    </row>
    <row r="425" ht="12.75" spans="10:10">
      <c r="J425" s="16"/>
    </row>
    <row r="426" ht="12.75" spans="10:10">
      <c r="J426" s="16"/>
    </row>
    <row r="427" ht="12.75" spans="10:10">
      <c r="J427" s="16"/>
    </row>
    <row r="428" ht="12.75" spans="10:10">
      <c r="J428" s="16"/>
    </row>
    <row r="429" ht="12.75" spans="10:10">
      <c r="J429" s="16"/>
    </row>
    <row r="430" ht="12.75" spans="10:10">
      <c r="J430" s="16"/>
    </row>
    <row r="431" ht="12.75" spans="10:10">
      <c r="J431" s="16"/>
    </row>
    <row r="432" ht="12.75" spans="10:10">
      <c r="J432" s="16"/>
    </row>
    <row r="433" ht="12.75" spans="10:10">
      <c r="J433" s="16"/>
    </row>
    <row r="434" ht="12.75" spans="10:10">
      <c r="J434" s="16"/>
    </row>
    <row r="435" ht="12.75" spans="10:10">
      <c r="J435" s="16"/>
    </row>
    <row r="436" ht="12.75" spans="10:10">
      <c r="J436" s="16"/>
    </row>
    <row r="437" ht="12.75" spans="10:10">
      <c r="J437" s="16"/>
    </row>
    <row r="438" ht="12.75" spans="10:10">
      <c r="J438" s="16"/>
    </row>
    <row r="439" ht="12.75" spans="10:10">
      <c r="J439" s="16"/>
    </row>
    <row r="440" ht="12.75" spans="10:10">
      <c r="J440" s="16"/>
    </row>
    <row r="441" ht="12.75" spans="10:10">
      <c r="J441" s="16"/>
    </row>
    <row r="442" ht="12.75" spans="10:10">
      <c r="J442" s="16"/>
    </row>
    <row r="443" ht="12.75" spans="10:10">
      <c r="J443" s="16"/>
    </row>
    <row r="444" ht="12.75" spans="10:10">
      <c r="J444" s="16"/>
    </row>
    <row r="445" ht="12.75" spans="10:10">
      <c r="J445" s="16"/>
    </row>
    <row r="446" ht="12.75" spans="10:10">
      <c r="J446" s="16"/>
    </row>
    <row r="447" ht="12.75" spans="10:10">
      <c r="J447" s="16"/>
    </row>
    <row r="448" ht="12.75" spans="10:10">
      <c r="J448" s="16"/>
    </row>
    <row r="449" ht="12.75" spans="10:10">
      <c r="J449" s="16"/>
    </row>
    <row r="450" ht="12.75" spans="10:10">
      <c r="J450" s="16"/>
    </row>
    <row r="451" ht="12.75" spans="10:10">
      <c r="J451" s="16"/>
    </row>
    <row r="452" ht="12.75" spans="10:10">
      <c r="J452" s="16"/>
    </row>
    <row r="453" ht="12.75" spans="10:10">
      <c r="J453" s="16"/>
    </row>
    <row r="454" ht="12.75" spans="10:10">
      <c r="J454" s="16"/>
    </row>
    <row r="455" ht="12.75" spans="10:10">
      <c r="J455" s="16"/>
    </row>
    <row r="456" ht="12.75" spans="10:10">
      <c r="J456" s="16"/>
    </row>
    <row r="457" ht="12.75" spans="10:10">
      <c r="J457" s="16"/>
    </row>
    <row r="458" ht="12.75" spans="10:10">
      <c r="J458" s="16"/>
    </row>
    <row r="459" ht="12.75" spans="10:10">
      <c r="J459" s="16"/>
    </row>
    <row r="460" ht="12.75" spans="10:10">
      <c r="J460" s="16"/>
    </row>
    <row r="461" ht="12.75" spans="10:10">
      <c r="J461" s="16"/>
    </row>
    <row r="462" ht="12.75" spans="10:10">
      <c r="J462" s="16"/>
    </row>
    <row r="463" ht="12.75" spans="10:10">
      <c r="J463" s="16"/>
    </row>
    <row r="464" ht="12.75" spans="10:10">
      <c r="J464" s="16"/>
    </row>
    <row r="465" ht="12.75" spans="10:10">
      <c r="J465" s="16"/>
    </row>
    <row r="466" ht="12.75" spans="10:10">
      <c r="J466" s="16"/>
    </row>
    <row r="467" ht="12.75" spans="10:10">
      <c r="J467" s="16"/>
    </row>
    <row r="468" ht="12.75" spans="10:10">
      <c r="J468" s="16"/>
    </row>
    <row r="469" ht="12.75" spans="10:10">
      <c r="J469" s="16"/>
    </row>
    <row r="470" ht="12.75" spans="10:10">
      <c r="J470" s="16"/>
    </row>
    <row r="471" ht="12.75" spans="10:10">
      <c r="J471" s="16"/>
    </row>
    <row r="472" ht="12.75" spans="10:10">
      <c r="J472" s="16"/>
    </row>
    <row r="473" ht="12.75" spans="10:10">
      <c r="J473" s="16"/>
    </row>
    <row r="474" ht="12.75" spans="10:10">
      <c r="J474" s="16"/>
    </row>
    <row r="475" ht="12.75" spans="10:10">
      <c r="J475" s="16"/>
    </row>
    <row r="476" ht="12.75" spans="10:10">
      <c r="J476" s="16"/>
    </row>
    <row r="477" ht="12.75" spans="10:10">
      <c r="J477" s="16"/>
    </row>
    <row r="478" ht="12.75" spans="10:10">
      <c r="J478" s="16"/>
    </row>
    <row r="479" ht="12.75" spans="10:10">
      <c r="J479" s="16"/>
    </row>
    <row r="480" ht="12.75" spans="10:10">
      <c r="J480" s="16"/>
    </row>
    <row r="481" ht="12.75" spans="10:10">
      <c r="J481" s="16"/>
    </row>
    <row r="482" ht="12.75" spans="10:10">
      <c r="J482" s="16"/>
    </row>
    <row r="483" ht="12.75" spans="10:10">
      <c r="J483" s="16"/>
    </row>
    <row r="484" ht="12.75" spans="10:10">
      <c r="J484" s="16"/>
    </row>
    <row r="485" ht="12.75" spans="10:10">
      <c r="J485" s="16"/>
    </row>
    <row r="486" ht="12.75" spans="10:10">
      <c r="J486" s="16"/>
    </row>
    <row r="487" ht="12.75" spans="10:10">
      <c r="J487" s="16"/>
    </row>
    <row r="488" ht="12.75" spans="10:10">
      <c r="J488" s="16"/>
    </row>
    <row r="489" ht="12.75" spans="10:10">
      <c r="J489" s="16"/>
    </row>
    <row r="490" ht="12.75" spans="10:10">
      <c r="J490" s="16"/>
    </row>
    <row r="491" ht="12.75" spans="10:10">
      <c r="J491" s="16"/>
    </row>
    <row r="492" ht="12.75" spans="10:10">
      <c r="J492" s="16"/>
    </row>
    <row r="493" ht="12.75" spans="10:10">
      <c r="J493" s="16"/>
    </row>
    <row r="494" ht="12.75" spans="10:10">
      <c r="J494" s="16"/>
    </row>
    <row r="495" ht="12.75" spans="10:10">
      <c r="J495" s="16"/>
    </row>
    <row r="496" ht="12.75" spans="10:10">
      <c r="J496" s="16"/>
    </row>
    <row r="497" ht="12.75" spans="10:10">
      <c r="J497" s="16"/>
    </row>
    <row r="498" ht="12.75" spans="10:10">
      <c r="J498" s="16"/>
    </row>
    <row r="499" ht="12.75" spans="10:10">
      <c r="J499" s="16"/>
    </row>
    <row r="500" ht="12.75" spans="10:10">
      <c r="J500" s="16"/>
    </row>
    <row r="501" ht="12.75" spans="10:10">
      <c r="J501" s="16"/>
    </row>
    <row r="502" ht="12.75" spans="10:10">
      <c r="J502" s="16"/>
    </row>
    <row r="503" ht="12.75" spans="10:10">
      <c r="J503" s="16"/>
    </row>
    <row r="504" ht="12.75" spans="10:10">
      <c r="J504" s="16"/>
    </row>
    <row r="505" ht="12.75" spans="10:10">
      <c r="J505" s="16"/>
    </row>
    <row r="506" ht="12.75" spans="10:10">
      <c r="J506" s="16"/>
    </row>
    <row r="507" ht="12.75" spans="10:10">
      <c r="J507" s="16"/>
    </row>
    <row r="508" ht="12.75" spans="10:10">
      <c r="J508" s="16"/>
    </row>
    <row r="509" ht="12.75" spans="10:10">
      <c r="J509" s="16"/>
    </row>
    <row r="510" ht="12.75" spans="10:10">
      <c r="J510" s="16"/>
    </row>
    <row r="511" ht="12.75" spans="10:10">
      <c r="J511" s="16"/>
    </row>
    <row r="512" ht="12.75" spans="10:10">
      <c r="J512" s="16"/>
    </row>
    <row r="513" ht="12.75" spans="10:10">
      <c r="J513" s="16"/>
    </row>
    <row r="514" ht="12.75" spans="10:10">
      <c r="J514" s="16"/>
    </row>
    <row r="515" ht="12.75" spans="10:10">
      <c r="J515" s="16"/>
    </row>
    <row r="516" ht="12.75" spans="10:10">
      <c r="J516" s="16"/>
    </row>
    <row r="517" ht="12.75" spans="10:10">
      <c r="J517" s="16"/>
    </row>
    <row r="518" ht="12.75" spans="10:10">
      <c r="J518" s="16"/>
    </row>
    <row r="519" ht="12.75" spans="10:10">
      <c r="J519" s="16"/>
    </row>
    <row r="520" ht="12.75" spans="10:10">
      <c r="J520" s="16"/>
    </row>
    <row r="521" ht="12.75" spans="10:10">
      <c r="J521" s="16"/>
    </row>
    <row r="522" ht="12.75" spans="10:10">
      <c r="J522" s="16"/>
    </row>
    <row r="523" ht="12.75" spans="10:10">
      <c r="J523" s="16"/>
    </row>
    <row r="524" ht="12.75" spans="10:10">
      <c r="J524" s="16"/>
    </row>
    <row r="525" ht="12.75" spans="10:10">
      <c r="J525" s="16"/>
    </row>
    <row r="526" ht="12.75" spans="10:10">
      <c r="J526" s="16"/>
    </row>
    <row r="527" ht="12.75" spans="10:10">
      <c r="J527" s="16"/>
    </row>
    <row r="528" ht="12.75" spans="10:10">
      <c r="J528" s="16"/>
    </row>
    <row r="529" ht="12.75" spans="10:10">
      <c r="J529" s="16"/>
    </row>
    <row r="530" ht="12.75" spans="10:10">
      <c r="J530" s="16"/>
    </row>
    <row r="531" ht="12.75" spans="10:10">
      <c r="J531" s="16"/>
    </row>
    <row r="532" ht="12.75" spans="10:10">
      <c r="J532" s="16"/>
    </row>
    <row r="533" ht="12.75" spans="10:10">
      <c r="J533" s="16"/>
    </row>
    <row r="534" ht="12.75" spans="10:10">
      <c r="J534" s="16"/>
    </row>
    <row r="535" ht="12.75" spans="10:10">
      <c r="J535" s="16"/>
    </row>
    <row r="536" ht="12.75" spans="10:10">
      <c r="J536" s="16"/>
    </row>
    <row r="537" ht="12.75" spans="10:10">
      <c r="J537" s="16"/>
    </row>
    <row r="538" ht="12.75" spans="10:10">
      <c r="J538" s="16"/>
    </row>
    <row r="539" ht="12.75" spans="10:10">
      <c r="J539" s="16"/>
    </row>
    <row r="540" ht="12.75" spans="10:10">
      <c r="J540" s="16"/>
    </row>
    <row r="541" ht="12.75" spans="10:10">
      <c r="J541" s="16"/>
    </row>
    <row r="542" ht="12.75" spans="10:10">
      <c r="J542" s="16"/>
    </row>
    <row r="543" ht="12.75" spans="10:10">
      <c r="J543" s="16"/>
    </row>
    <row r="544" ht="12.75" spans="10:10">
      <c r="J544" s="16"/>
    </row>
    <row r="545" ht="12.75" spans="10:10">
      <c r="J545" s="16"/>
    </row>
    <row r="546" ht="12.75" spans="10:10">
      <c r="J546" s="16"/>
    </row>
    <row r="547" ht="12.75" spans="10:10">
      <c r="J547" s="16"/>
    </row>
    <row r="548" ht="12.75" spans="10:10">
      <c r="J548" s="16"/>
    </row>
    <row r="549" ht="12.75" spans="10:10">
      <c r="J549" s="16"/>
    </row>
    <row r="550" ht="12.75" spans="10:10">
      <c r="J550" s="16"/>
    </row>
    <row r="551" ht="12.75" spans="10:10">
      <c r="J551" s="16"/>
    </row>
    <row r="552" ht="12.75" spans="10:10">
      <c r="J552" s="16"/>
    </row>
    <row r="553" ht="12.75" spans="10:10">
      <c r="J553" s="16"/>
    </row>
    <row r="554" ht="12.75" spans="10:10">
      <c r="J554" s="16"/>
    </row>
    <row r="555" ht="12.75" spans="10:10">
      <c r="J555" s="16"/>
    </row>
    <row r="556" ht="12.75" spans="10:10">
      <c r="J556" s="16"/>
    </row>
    <row r="557" ht="12.75" spans="10:10">
      <c r="J557" s="16"/>
    </row>
    <row r="558" ht="12.75" spans="10:10">
      <c r="J558" s="16"/>
    </row>
    <row r="559" ht="12.75" spans="10:10">
      <c r="J559" s="16"/>
    </row>
    <row r="560" ht="12.75" spans="10:10">
      <c r="J560" s="16"/>
    </row>
    <row r="561" ht="12.75" spans="10:10">
      <c r="J561" s="16"/>
    </row>
    <row r="562" ht="12.75" spans="10:10">
      <c r="J562" s="16"/>
    </row>
    <row r="563" ht="12.75" spans="10:10">
      <c r="J563" s="16"/>
    </row>
    <row r="564" ht="12.75" spans="10:10">
      <c r="J564" s="16"/>
    </row>
    <row r="565" ht="12.75" spans="10:10">
      <c r="J565" s="16"/>
    </row>
    <row r="566" ht="12.75" spans="10:10">
      <c r="J566" s="16"/>
    </row>
    <row r="567" ht="12.75" spans="10:10">
      <c r="J567" s="16"/>
    </row>
    <row r="568" ht="12.75" spans="10:10">
      <c r="J568" s="16"/>
    </row>
    <row r="569" ht="12.75" spans="10:10">
      <c r="J569" s="16"/>
    </row>
    <row r="570" ht="12.75" spans="10:10">
      <c r="J570" s="16"/>
    </row>
    <row r="571" ht="12.75" spans="10:10">
      <c r="J571" s="16"/>
    </row>
    <row r="572" ht="12.75" spans="10:10">
      <c r="J572" s="16"/>
    </row>
    <row r="573" ht="12.75" spans="10:10">
      <c r="J573" s="16"/>
    </row>
    <row r="574" ht="12.75" spans="10:10">
      <c r="J574" s="16"/>
    </row>
    <row r="575" ht="12.75" spans="10:10">
      <c r="J575" s="16"/>
    </row>
    <row r="576" ht="12.75" spans="10:10">
      <c r="J576" s="16"/>
    </row>
    <row r="577" ht="12.75" spans="10:10">
      <c r="J577" s="16"/>
    </row>
    <row r="578" ht="12.75" spans="10:10">
      <c r="J578" s="16"/>
    </row>
    <row r="579" ht="12.75" spans="10:10">
      <c r="J579" s="16"/>
    </row>
    <row r="580" ht="12.75" spans="10:10">
      <c r="J580" s="16"/>
    </row>
    <row r="581" ht="12.75" spans="10:10">
      <c r="J581" s="16"/>
    </row>
    <row r="582" ht="12.75" spans="10:10">
      <c r="J582" s="16"/>
    </row>
    <row r="583" ht="12.75" spans="10:10">
      <c r="J583" s="16"/>
    </row>
    <row r="584" ht="12.75" spans="10:10">
      <c r="J584" s="16"/>
    </row>
    <row r="585" ht="12.75" spans="10:10">
      <c r="J585" s="16"/>
    </row>
    <row r="586" ht="12.75" spans="10:10">
      <c r="J586" s="16"/>
    </row>
    <row r="587" ht="12.75" spans="10:10">
      <c r="J587" s="16"/>
    </row>
    <row r="588" ht="12.75" spans="10:10">
      <c r="J588" s="16"/>
    </row>
    <row r="589" ht="12.75" spans="10:10">
      <c r="J589" s="16"/>
    </row>
    <row r="590" ht="12.75" spans="10:10">
      <c r="J590" s="16"/>
    </row>
    <row r="591" ht="12.75" spans="10:10">
      <c r="J591" s="16"/>
    </row>
    <row r="592" ht="12.75" spans="10:10">
      <c r="J592" s="16"/>
    </row>
    <row r="593" ht="12.75" spans="10:10">
      <c r="J593" s="16"/>
    </row>
    <row r="594" ht="12.75" spans="10:10">
      <c r="J594" s="16"/>
    </row>
    <row r="595" ht="12.75" spans="10:10">
      <c r="J595" s="16"/>
    </row>
    <row r="596" ht="12.75" spans="10:10">
      <c r="J596" s="16"/>
    </row>
    <row r="597" ht="12.75" spans="10:10">
      <c r="J597" s="16"/>
    </row>
    <row r="598" ht="12.75" spans="10:10">
      <c r="J598" s="16"/>
    </row>
    <row r="599" ht="12.75" spans="10:10">
      <c r="J599" s="16"/>
    </row>
    <row r="600" ht="12.75" spans="10:10">
      <c r="J600" s="16"/>
    </row>
    <row r="601" ht="12.75" spans="10:10">
      <c r="J601" s="16"/>
    </row>
    <row r="602" ht="12.75" spans="10:10">
      <c r="J602" s="16"/>
    </row>
    <row r="603" ht="12.75" spans="10:10">
      <c r="J603" s="16"/>
    </row>
    <row r="604" ht="12.75" spans="10:10">
      <c r="J604" s="16"/>
    </row>
    <row r="605" ht="12.75" spans="10:10">
      <c r="J605" s="16"/>
    </row>
    <row r="606" ht="12.75" spans="10:10">
      <c r="J606" s="16"/>
    </row>
    <row r="607" ht="12.75" spans="10:10">
      <c r="J607" s="16"/>
    </row>
    <row r="608" ht="12.75" spans="10:10">
      <c r="J608" s="16"/>
    </row>
    <row r="609" ht="12.75" spans="10:10">
      <c r="J609" s="16"/>
    </row>
    <row r="610" ht="12.75" spans="10:10">
      <c r="J610" s="16"/>
    </row>
    <row r="611" ht="12.75" spans="10:10">
      <c r="J611" s="16"/>
    </row>
    <row r="612" ht="12.75" spans="10:10">
      <c r="J612" s="16"/>
    </row>
    <row r="613" ht="12.75" spans="10:10">
      <c r="J613" s="16"/>
    </row>
    <row r="614" ht="12.75" spans="10:10">
      <c r="J614" s="16"/>
    </row>
    <row r="615" ht="12.75" spans="10:10">
      <c r="J615" s="16"/>
    </row>
    <row r="616" ht="12.75" spans="10:10">
      <c r="J616" s="16"/>
    </row>
    <row r="617" ht="12.75" spans="10:10">
      <c r="J617" s="16"/>
    </row>
    <row r="618" ht="12.75" spans="10:10">
      <c r="J618" s="16"/>
    </row>
    <row r="619" ht="12.75" spans="10:10">
      <c r="J619" s="16"/>
    </row>
    <row r="620" ht="12.75" spans="10:10">
      <c r="J620" s="16"/>
    </row>
    <row r="621" ht="12.75" spans="10:10">
      <c r="J621" s="16"/>
    </row>
    <row r="622" ht="12.75" spans="10:10">
      <c r="J622" s="16"/>
    </row>
    <row r="623" ht="12.75" spans="10:10">
      <c r="J623" s="16"/>
    </row>
    <row r="624" ht="12.75" spans="10:10">
      <c r="J624" s="16"/>
    </row>
    <row r="625" ht="12.75" spans="10:10">
      <c r="J625" s="16"/>
    </row>
    <row r="626" ht="12.75" spans="10:10">
      <c r="J626" s="16"/>
    </row>
    <row r="627" ht="12.75" spans="10:10">
      <c r="J627" s="16"/>
    </row>
    <row r="628" ht="12.75" spans="10:10">
      <c r="J628" s="16"/>
    </row>
    <row r="629" ht="12.75" spans="10:10">
      <c r="J629" s="16"/>
    </row>
    <row r="630" ht="12.75" spans="10:10">
      <c r="J630" s="16"/>
    </row>
    <row r="631" ht="12.75" spans="10:10">
      <c r="J631" s="16"/>
    </row>
    <row r="632" ht="12.75" spans="10:10">
      <c r="J632" s="16"/>
    </row>
    <row r="633" ht="12.75" spans="10:10">
      <c r="J633" s="16"/>
    </row>
    <row r="634" ht="12.75" spans="10:10">
      <c r="J634" s="16"/>
    </row>
    <row r="635" ht="12.75" spans="10:10">
      <c r="J635" s="16"/>
    </row>
    <row r="636" ht="12.75" spans="10:10">
      <c r="J636" s="16"/>
    </row>
    <row r="637" ht="12.75" spans="10:10">
      <c r="J637" s="16"/>
    </row>
    <row r="638" ht="12.75" spans="10:10">
      <c r="J638" s="16"/>
    </row>
    <row r="639" ht="12.75" spans="10:10">
      <c r="J639" s="16"/>
    </row>
    <row r="640" ht="12.75" spans="10:10">
      <c r="J640" s="16"/>
    </row>
    <row r="641" ht="12.75" spans="10:10">
      <c r="J641" s="16"/>
    </row>
    <row r="642" ht="12.75" spans="10:10">
      <c r="J642" s="16"/>
    </row>
    <row r="643" ht="12.75" spans="10:10">
      <c r="J643" s="16"/>
    </row>
    <row r="644" ht="12.75" spans="10:10">
      <c r="J644" s="16"/>
    </row>
    <row r="645" ht="12.75" spans="10:10">
      <c r="J645" s="16"/>
    </row>
    <row r="646" ht="12.75" spans="10:10">
      <c r="J646" s="16"/>
    </row>
    <row r="647" ht="12.75" spans="10:10">
      <c r="J647" s="16"/>
    </row>
    <row r="648" ht="12.75" spans="10:10">
      <c r="J648" s="16"/>
    </row>
    <row r="649" ht="12.75" spans="10:10">
      <c r="J649" s="16"/>
    </row>
    <row r="650" ht="12.75" spans="10:10">
      <c r="J650" s="16"/>
    </row>
    <row r="651" ht="12.75" spans="10:10">
      <c r="J651" s="16"/>
    </row>
    <row r="652" ht="12.75" spans="10:10">
      <c r="J652" s="16"/>
    </row>
    <row r="653" ht="12.75" spans="10:10">
      <c r="J653" s="16"/>
    </row>
    <row r="654" ht="12.75" spans="10:10">
      <c r="J654" s="16"/>
    </row>
    <row r="655" ht="12.75" spans="10:10">
      <c r="J655" s="16"/>
    </row>
    <row r="656" ht="12.75" spans="10:10">
      <c r="J656" s="16"/>
    </row>
    <row r="657" ht="12.75" spans="10:10">
      <c r="J657" s="16"/>
    </row>
    <row r="658" ht="12.75" spans="10:10">
      <c r="J658" s="16"/>
    </row>
    <row r="659" ht="12.75" spans="10:10">
      <c r="J659" s="16"/>
    </row>
    <row r="660" ht="12.75" spans="10:10">
      <c r="J660" s="16"/>
    </row>
    <row r="661" ht="12.75" spans="10:10">
      <c r="J661" s="16"/>
    </row>
    <row r="662" ht="12.75" spans="10:10">
      <c r="J662" s="16"/>
    </row>
    <row r="663" ht="12.75" spans="10:10">
      <c r="J663" s="16"/>
    </row>
    <row r="664" ht="12.75" spans="10:10">
      <c r="J664" s="16"/>
    </row>
    <row r="665" ht="12.75" spans="10:10">
      <c r="J665" s="16"/>
    </row>
    <row r="666" ht="12.75" spans="10:10">
      <c r="J666" s="16"/>
    </row>
    <row r="667" ht="12.75" spans="10:10">
      <c r="J667" s="16"/>
    </row>
    <row r="668" ht="12.75" spans="10:10">
      <c r="J668" s="16"/>
    </row>
    <row r="669" ht="12.75" spans="10:10">
      <c r="J669" s="16"/>
    </row>
    <row r="670" ht="12.75" spans="10:10">
      <c r="J670" s="16"/>
    </row>
    <row r="671" ht="12.75" spans="10:10">
      <c r="J671" s="16"/>
    </row>
    <row r="672" ht="12.75" spans="10:10">
      <c r="J672" s="16"/>
    </row>
    <row r="673" ht="12.75" spans="10:10">
      <c r="J673" s="16"/>
    </row>
    <row r="674" ht="12.75" spans="10:10">
      <c r="J674" s="16"/>
    </row>
    <row r="675" ht="12.75" spans="10:10">
      <c r="J675" s="16"/>
    </row>
    <row r="676" ht="12.75" spans="10:10">
      <c r="J676" s="16"/>
    </row>
    <row r="677" ht="12.75" spans="10:10">
      <c r="J677" s="16"/>
    </row>
    <row r="678" ht="12.75" spans="10:10">
      <c r="J678" s="16"/>
    </row>
    <row r="679" ht="12.75" spans="10:10">
      <c r="J679" s="16"/>
    </row>
    <row r="680" ht="12.75" spans="10:10">
      <c r="J680" s="16"/>
    </row>
    <row r="681" ht="12.75" spans="10:10">
      <c r="J681" s="16"/>
    </row>
    <row r="682" ht="12.75" spans="10:10">
      <c r="J682" s="16"/>
    </row>
    <row r="683" ht="12.75" spans="10:10">
      <c r="J683" s="16"/>
    </row>
    <row r="684" ht="12.75" spans="10:10">
      <c r="J684" s="16"/>
    </row>
    <row r="685" ht="12.75" spans="10:10">
      <c r="J685" s="16"/>
    </row>
    <row r="686" ht="12.75" spans="10:10">
      <c r="J686" s="16"/>
    </row>
    <row r="687" ht="12.75" spans="10:10">
      <c r="J687" s="16"/>
    </row>
    <row r="688" ht="12.75" spans="10:10">
      <c r="J688" s="16"/>
    </row>
    <row r="689" ht="12.75" spans="10:10">
      <c r="J689" s="16"/>
    </row>
    <row r="690" ht="12.75" spans="10:10">
      <c r="J690" s="16"/>
    </row>
    <row r="691" ht="12.75" spans="10:10">
      <c r="J691" s="16"/>
    </row>
    <row r="692" ht="12.75" spans="10:10">
      <c r="J692" s="16"/>
    </row>
    <row r="693" ht="12.75" spans="10:10">
      <c r="J693" s="16"/>
    </row>
    <row r="694" ht="12.75" spans="10:10">
      <c r="J694" s="16"/>
    </row>
    <row r="695" ht="12.75" spans="10:10">
      <c r="J695" s="16"/>
    </row>
    <row r="696" ht="12.75" spans="10:10">
      <c r="J696" s="16"/>
    </row>
    <row r="697" ht="12.75" spans="10:10">
      <c r="J697" s="16"/>
    </row>
    <row r="698" ht="12.75" spans="10:10">
      <c r="J698" s="16"/>
    </row>
    <row r="699" ht="12.75" spans="10:10">
      <c r="J699" s="16"/>
    </row>
    <row r="700" ht="12.75" spans="10:10">
      <c r="J700" s="16"/>
    </row>
    <row r="701" ht="12.75" spans="10:10">
      <c r="J701" s="16"/>
    </row>
    <row r="702" ht="12.75" spans="10:10">
      <c r="J702" s="16"/>
    </row>
    <row r="703" ht="12.75" spans="10:10">
      <c r="J703" s="16"/>
    </row>
    <row r="704" ht="12.75" spans="10:10">
      <c r="J704" s="16"/>
    </row>
    <row r="705" ht="12.75" spans="10:10">
      <c r="J705" s="16"/>
    </row>
    <row r="706" ht="12.75" spans="10:10">
      <c r="J706" s="16"/>
    </row>
    <row r="707" ht="12.75" spans="10:10">
      <c r="J707" s="16"/>
    </row>
    <row r="708" ht="12.75" spans="10:10">
      <c r="J708" s="16"/>
    </row>
    <row r="709" ht="12.75" spans="10:10">
      <c r="J709" s="16"/>
    </row>
    <row r="710" ht="12.75" spans="10:10">
      <c r="J710" s="16"/>
    </row>
    <row r="711" ht="12.75" spans="10:10">
      <c r="J711" s="16"/>
    </row>
    <row r="712" ht="12.75" spans="10:10">
      <c r="J712" s="16"/>
    </row>
    <row r="713" ht="12.75" spans="10:10">
      <c r="J713" s="16"/>
    </row>
    <row r="714" ht="12.75" spans="10:10">
      <c r="J714" s="16"/>
    </row>
    <row r="715" ht="12.75" spans="10:10">
      <c r="J715" s="16"/>
    </row>
    <row r="716" ht="12.75" spans="10:10">
      <c r="J716" s="16"/>
    </row>
    <row r="717" ht="12.75" spans="10:10">
      <c r="J717" s="16"/>
    </row>
    <row r="718" ht="12.75" spans="10:10">
      <c r="J718" s="16"/>
    </row>
    <row r="719" ht="12.75" spans="10:10">
      <c r="J719" s="16"/>
    </row>
    <row r="720" ht="12.75" spans="10:10">
      <c r="J720" s="16"/>
    </row>
    <row r="721" ht="12.75" spans="10:10">
      <c r="J721" s="16"/>
    </row>
    <row r="722" ht="12.75" spans="10:10">
      <c r="J722" s="16"/>
    </row>
    <row r="723" ht="12.75" spans="10:10">
      <c r="J723" s="16"/>
    </row>
    <row r="724" ht="12.75" spans="10:10">
      <c r="J724" s="16"/>
    </row>
    <row r="725" ht="12.75" spans="10:10">
      <c r="J725" s="16"/>
    </row>
    <row r="726" ht="12.75" spans="10:10">
      <c r="J726" s="16"/>
    </row>
    <row r="727" ht="12.75" spans="10:10">
      <c r="J727" s="16"/>
    </row>
    <row r="728" ht="12.75" spans="10:10">
      <c r="J728" s="16"/>
    </row>
    <row r="729" ht="12.75" spans="10:10">
      <c r="J729" s="16"/>
    </row>
    <row r="730" ht="12.75" spans="10:10">
      <c r="J730" s="16"/>
    </row>
    <row r="731" ht="12.75" spans="10:10">
      <c r="J731" s="16"/>
    </row>
    <row r="732" ht="12.75" spans="10:10">
      <c r="J732" s="16"/>
    </row>
    <row r="733" ht="12.75" spans="10:10">
      <c r="J733" s="16"/>
    </row>
    <row r="734" ht="12.75" spans="10:10">
      <c r="J734" s="16"/>
    </row>
    <row r="735" ht="12.75" spans="10:10">
      <c r="J735" s="16"/>
    </row>
    <row r="736" ht="12.75" spans="10:10">
      <c r="J736" s="16"/>
    </row>
    <row r="737" ht="12.75" spans="10:10">
      <c r="J737" s="16"/>
    </row>
    <row r="738" ht="12.75" spans="10:10">
      <c r="J738" s="16"/>
    </row>
    <row r="739" ht="12.75" spans="10:10">
      <c r="J739" s="16"/>
    </row>
    <row r="740" ht="12.75" spans="10:10">
      <c r="J740" s="16"/>
    </row>
    <row r="741" ht="12.75" spans="10:10">
      <c r="J741" s="16"/>
    </row>
    <row r="742" ht="12.75" spans="10:10">
      <c r="J742" s="16"/>
    </row>
    <row r="743" ht="12.75" spans="10:10">
      <c r="J743" s="16"/>
    </row>
    <row r="744" ht="12.75" spans="10:10">
      <c r="J744" s="16"/>
    </row>
    <row r="745" ht="12.75" spans="10:10">
      <c r="J745" s="16"/>
    </row>
    <row r="746" ht="12.75" spans="10:10">
      <c r="J746" s="16"/>
    </row>
    <row r="747" ht="12.75" spans="10:10">
      <c r="J747" s="16"/>
    </row>
    <row r="748" ht="12.75" spans="10:10">
      <c r="J748" s="16"/>
    </row>
    <row r="749" ht="12.75" spans="10:10">
      <c r="J749" s="16"/>
    </row>
    <row r="750" ht="12.75" spans="10:10">
      <c r="J750" s="16"/>
    </row>
    <row r="751" ht="12.75" spans="10:10">
      <c r="J751" s="16"/>
    </row>
    <row r="752" ht="12.75" spans="10:10">
      <c r="J752" s="16"/>
    </row>
    <row r="753" ht="12.75" spans="10:10">
      <c r="J753" s="16"/>
    </row>
    <row r="754" ht="12.75" spans="10:10">
      <c r="J754" s="16"/>
    </row>
    <row r="755" ht="12.75" spans="10:10">
      <c r="J755" s="16"/>
    </row>
    <row r="756" ht="12.75" spans="10:10">
      <c r="J756" s="16"/>
    </row>
    <row r="757" ht="12.75" spans="10:10">
      <c r="J757" s="16"/>
    </row>
    <row r="758" ht="12.75" spans="10:10">
      <c r="J758" s="16"/>
    </row>
    <row r="759" ht="12.75" spans="10:10">
      <c r="J759" s="16"/>
    </row>
    <row r="760" ht="12.75" spans="10:10">
      <c r="J760" s="16"/>
    </row>
    <row r="761" ht="12.75" spans="10:10">
      <c r="J761" s="16"/>
    </row>
    <row r="762" ht="12.75" spans="10:10">
      <c r="J762" s="16"/>
    </row>
    <row r="763" ht="12.75" spans="10:10">
      <c r="J763" s="16"/>
    </row>
    <row r="764" ht="12.75" spans="10:10">
      <c r="J764" s="16"/>
    </row>
    <row r="765" ht="12.75" spans="10:10">
      <c r="J765" s="16"/>
    </row>
    <row r="766" ht="12.75" spans="10:10">
      <c r="J766" s="16"/>
    </row>
    <row r="767" ht="12.75" spans="10:10">
      <c r="J767" s="16"/>
    </row>
    <row r="768" ht="12.75" spans="10:10">
      <c r="J768" s="16"/>
    </row>
    <row r="769" ht="12.75" spans="10:10">
      <c r="J769" s="16"/>
    </row>
    <row r="770" ht="12.75" spans="10:10">
      <c r="J770" s="16"/>
    </row>
    <row r="771" ht="12.75" spans="10:10">
      <c r="J771" s="16"/>
    </row>
    <row r="772" ht="12.75" spans="10:10">
      <c r="J772" s="16"/>
    </row>
    <row r="773" ht="12.75" spans="10:10">
      <c r="J773" s="16"/>
    </row>
    <row r="774" ht="12.75" spans="10:10">
      <c r="J774" s="16"/>
    </row>
    <row r="775" ht="12.75" spans="10:10">
      <c r="J775" s="16"/>
    </row>
    <row r="776" ht="12.75" spans="10:10">
      <c r="J776" s="16"/>
    </row>
    <row r="777" ht="12.75" spans="10:10">
      <c r="J777" s="16"/>
    </row>
    <row r="778" ht="12.75" spans="10:10">
      <c r="J778" s="16"/>
    </row>
    <row r="779" ht="12.75" spans="10:10">
      <c r="J779" s="16"/>
    </row>
    <row r="780" ht="12.75" spans="10:10">
      <c r="J780" s="16"/>
    </row>
    <row r="781" ht="12.75" spans="10:10">
      <c r="J781" s="16"/>
    </row>
    <row r="782" ht="12.75" spans="10:10">
      <c r="J782" s="16"/>
    </row>
    <row r="783" ht="12.75" spans="10:10">
      <c r="J783" s="16"/>
    </row>
    <row r="784" ht="12.75" spans="10:10">
      <c r="J784" s="16"/>
    </row>
    <row r="785" ht="12.75" spans="10:10">
      <c r="J785" s="16"/>
    </row>
    <row r="786" ht="12.75" spans="10:10">
      <c r="J786" s="16"/>
    </row>
    <row r="787" ht="12.75" spans="10:10">
      <c r="J787" s="16"/>
    </row>
    <row r="788" ht="12.75" spans="10:10">
      <c r="J788" s="16"/>
    </row>
    <row r="789" ht="12.75" spans="10:10">
      <c r="J789" s="16"/>
    </row>
    <row r="790" ht="12.75" spans="10:10">
      <c r="J790" s="16"/>
    </row>
    <row r="791" ht="12.75" spans="10:10">
      <c r="J791" s="16"/>
    </row>
    <row r="792" ht="12.75" spans="10:10">
      <c r="J792" s="16"/>
    </row>
    <row r="793" ht="12.75" spans="10:10">
      <c r="J793" s="16"/>
    </row>
    <row r="794" ht="12.75" spans="10:10">
      <c r="J794" s="16"/>
    </row>
    <row r="795" ht="12.75" spans="10:10">
      <c r="J795" s="16"/>
    </row>
    <row r="796" ht="12.75" spans="10:10">
      <c r="J796" s="16"/>
    </row>
    <row r="797" ht="12.75" spans="10:10">
      <c r="J797" s="16"/>
    </row>
    <row r="798" ht="12.75" spans="10:10">
      <c r="J798" s="16"/>
    </row>
    <row r="799" ht="12.75" spans="10:10">
      <c r="J799" s="16"/>
    </row>
    <row r="800" ht="12.75" spans="10:10">
      <c r="J800" s="16"/>
    </row>
    <row r="801" ht="12.75" spans="10:10">
      <c r="J801" s="16"/>
    </row>
    <row r="802" ht="12.75" spans="10:10">
      <c r="J802" s="16"/>
    </row>
    <row r="803" ht="12.75" spans="10:10">
      <c r="J803" s="16"/>
    </row>
    <row r="804" ht="12.75" spans="10:10">
      <c r="J804" s="16"/>
    </row>
    <row r="805" ht="12.75" spans="10:10">
      <c r="J805" s="16"/>
    </row>
    <row r="806" ht="12.75" spans="10:10">
      <c r="J806" s="16"/>
    </row>
    <row r="807" ht="12.75" spans="10:10">
      <c r="J807" s="16"/>
    </row>
    <row r="808" ht="12.75" spans="10:10">
      <c r="J808" s="16"/>
    </row>
    <row r="809" ht="12.75" spans="10:10">
      <c r="J809" s="16"/>
    </row>
    <row r="810" ht="12.75" spans="10:10">
      <c r="J810" s="16"/>
    </row>
    <row r="811" ht="12.75" spans="10:10">
      <c r="J811" s="16"/>
    </row>
    <row r="812" ht="12.75" spans="10:10">
      <c r="J812" s="16"/>
    </row>
    <row r="813" ht="12.75" spans="10:10">
      <c r="J813" s="16"/>
    </row>
    <row r="814" ht="12.75" spans="10:10">
      <c r="J814" s="16"/>
    </row>
    <row r="815" ht="12.75" spans="10:10">
      <c r="J815" s="16"/>
    </row>
    <row r="816" ht="12.75" spans="10:10">
      <c r="J816" s="16"/>
    </row>
    <row r="817" ht="12.75" spans="10:10">
      <c r="J817" s="16"/>
    </row>
    <row r="818" ht="12.75" spans="10:10">
      <c r="J818" s="16"/>
    </row>
    <row r="819" ht="12.75" spans="10:10">
      <c r="J819" s="16"/>
    </row>
    <row r="820" ht="12.75" spans="10:10">
      <c r="J820" s="16"/>
    </row>
    <row r="821" ht="12.75" spans="10:10">
      <c r="J821" s="16"/>
    </row>
    <row r="822" ht="12.75" spans="10:10">
      <c r="J822" s="16"/>
    </row>
    <row r="823" ht="12.75" spans="10:10">
      <c r="J823" s="16"/>
    </row>
    <row r="824" ht="12.75" spans="10:10">
      <c r="J824" s="16"/>
    </row>
    <row r="825" ht="12.75" spans="10:10">
      <c r="J825" s="16"/>
    </row>
    <row r="826" ht="12.75" spans="10:10">
      <c r="J826" s="16"/>
    </row>
    <row r="827" ht="12.75" spans="10:10">
      <c r="J827" s="16"/>
    </row>
    <row r="828" ht="12.75" spans="10:10">
      <c r="J828" s="16"/>
    </row>
    <row r="829" ht="12.75" spans="10:10">
      <c r="J829" s="16"/>
    </row>
    <row r="830" ht="12.75" spans="10:10">
      <c r="J830" s="16"/>
    </row>
    <row r="831" ht="12.75" spans="10:10">
      <c r="J831" s="16"/>
    </row>
    <row r="832" ht="12.75" spans="10:10">
      <c r="J832" s="16"/>
    </row>
    <row r="833" ht="12.75" spans="10:10">
      <c r="J833" s="16"/>
    </row>
    <row r="834" ht="12.75" spans="10:10">
      <c r="J834" s="16"/>
    </row>
    <row r="835" ht="12.75" spans="10:10">
      <c r="J835" s="16"/>
    </row>
    <row r="836" ht="12.75" spans="10:10">
      <c r="J836" s="16"/>
    </row>
    <row r="837" ht="12.75" spans="10:10">
      <c r="J837" s="16"/>
    </row>
    <row r="838" ht="12.75" spans="10:10">
      <c r="J838" s="16"/>
    </row>
    <row r="839" ht="12.75" spans="10:10">
      <c r="J839" s="16"/>
    </row>
    <row r="840" ht="12.75" spans="10:10">
      <c r="J840" s="16"/>
    </row>
    <row r="841" ht="12.75" spans="10:10">
      <c r="J841" s="16"/>
    </row>
    <row r="842" ht="12.75" spans="10:10">
      <c r="J842" s="16"/>
    </row>
    <row r="843" ht="12.75" spans="10:10">
      <c r="J843" s="16"/>
    </row>
    <row r="844" ht="12.75" spans="10:10">
      <c r="J844" s="16"/>
    </row>
    <row r="845" ht="12.75" spans="10:10">
      <c r="J845" s="16"/>
    </row>
    <row r="846" ht="12.75" spans="10:10">
      <c r="J846" s="16"/>
    </row>
    <row r="847" ht="12.75" spans="10:10">
      <c r="J847" s="16"/>
    </row>
    <row r="848" ht="12.75" spans="10:10">
      <c r="J848" s="16"/>
    </row>
    <row r="849" ht="12.75" spans="10:10">
      <c r="J849" s="16"/>
    </row>
    <row r="850" ht="12.75" spans="10:10">
      <c r="J850" s="16"/>
    </row>
    <row r="851" ht="12.75" spans="10:10">
      <c r="J851" s="16"/>
    </row>
    <row r="852" ht="12.75" spans="10:10">
      <c r="J852" s="16"/>
    </row>
    <row r="853" ht="12.75" spans="10:10">
      <c r="J853" s="16"/>
    </row>
    <row r="854" ht="12.75" spans="10:10">
      <c r="J854" s="16"/>
    </row>
    <row r="855" ht="12.75" spans="10:10">
      <c r="J855" s="16"/>
    </row>
    <row r="856" ht="12.75" spans="10:10">
      <c r="J856" s="16"/>
    </row>
    <row r="857" ht="12.75" spans="10:10">
      <c r="J857" s="16"/>
    </row>
    <row r="858" ht="12.75" spans="10:10">
      <c r="J858" s="16"/>
    </row>
    <row r="859" ht="12.75" spans="10:10">
      <c r="J859" s="16"/>
    </row>
    <row r="860" ht="12.75" spans="10:10">
      <c r="J860" s="16"/>
    </row>
    <row r="861" ht="12.75" spans="10:10">
      <c r="J861" s="16"/>
    </row>
    <row r="862" ht="12.75" spans="10:10">
      <c r="J862" s="16"/>
    </row>
    <row r="863" ht="12.75" spans="10:10">
      <c r="J863" s="16"/>
    </row>
    <row r="864" ht="12.75" spans="10:10">
      <c r="J864" s="16"/>
    </row>
    <row r="865" ht="12.75" spans="10:10">
      <c r="J865" s="16"/>
    </row>
    <row r="866" ht="12.75" spans="10:10">
      <c r="J866" s="16"/>
    </row>
    <row r="867" ht="12.75" spans="10:10">
      <c r="J867" s="16"/>
    </row>
    <row r="868" ht="12.75" spans="10:10">
      <c r="J868" s="16"/>
    </row>
    <row r="869" ht="12.75" spans="10:10">
      <c r="J869" s="16"/>
    </row>
    <row r="870" ht="12.75" spans="10:10">
      <c r="J870" s="16"/>
    </row>
    <row r="871" ht="12.75" spans="10:10">
      <c r="J871" s="16"/>
    </row>
    <row r="872" ht="12.75" spans="10:10">
      <c r="J872" s="16"/>
    </row>
    <row r="873" ht="12.75" spans="10:10">
      <c r="J873" s="16"/>
    </row>
    <row r="874" ht="12.75" spans="10:10">
      <c r="J874" s="16"/>
    </row>
    <row r="875" ht="12.75" spans="10:10">
      <c r="J875" s="16"/>
    </row>
    <row r="876" ht="12.75" spans="10:10">
      <c r="J876" s="16"/>
    </row>
    <row r="877" ht="12.75" spans="10:10">
      <c r="J877" s="16"/>
    </row>
    <row r="878" ht="12.75" spans="10:10">
      <c r="J878" s="16"/>
    </row>
    <row r="879" ht="12.75" spans="10:10">
      <c r="J879" s="16"/>
    </row>
    <row r="880" ht="12.75" spans="10:10">
      <c r="J880" s="16"/>
    </row>
    <row r="881" ht="12.75" spans="10:10">
      <c r="J881" s="16"/>
    </row>
    <row r="882" ht="12.75" spans="10:10">
      <c r="J882" s="16"/>
    </row>
    <row r="883" ht="12.75" spans="10:10">
      <c r="J883" s="16"/>
    </row>
    <row r="884" ht="12.75" spans="10:10">
      <c r="J884" s="16"/>
    </row>
    <row r="885" ht="12.75" spans="10:10">
      <c r="J885" s="16"/>
    </row>
    <row r="886" ht="12.75" spans="10:10">
      <c r="J886" s="16"/>
    </row>
    <row r="887" ht="12.75" spans="10:10">
      <c r="J887" s="16"/>
    </row>
    <row r="888" ht="12.75" spans="10:10">
      <c r="J888" s="16"/>
    </row>
    <row r="889" ht="12.75" spans="10:10">
      <c r="J889" s="16"/>
    </row>
    <row r="890" ht="12.75" spans="10:10">
      <c r="J890" s="16"/>
    </row>
    <row r="891" ht="12.75" spans="10:10">
      <c r="J891" s="16"/>
    </row>
    <row r="892" ht="12.75" spans="10:10">
      <c r="J892" s="16"/>
    </row>
    <row r="893" ht="12.75" spans="10:10">
      <c r="J893" s="16"/>
    </row>
    <row r="894" ht="12.75" spans="10:10">
      <c r="J894" s="16"/>
    </row>
    <row r="895" ht="12.75" spans="10:10">
      <c r="J895" s="16"/>
    </row>
    <row r="896" ht="12.75" spans="10:10">
      <c r="J896" s="16"/>
    </row>
    <row r="897" ht="12.75" spans="10:10">
      <c r="J897" s="16"/>
    </row>
    <row r="898" ht="12.75" spans="10:10">
      <c r="J898" s="16"/>
    </row>
    <row r="899" ht="12.75" spans="10:10">
      <c r="J899" s="16"/>
    </row>
    <row r="900" ht="12.75" spans="10:10">
      <c r="J900" s="16"/>
    </row>
    <row r="901" ht="12.75" spans="10:10">
      <c r="J901" s="16"/>
    </row>
    <row r="902" ht="12.75" spans="10:10">
      <c r="J902" s="16"/>
    </row>
    <row r="903" ht="12.75" spans="10:10">
      <c r="J903" s="16"/>
    </row>
    <row r="904" ht="12.75" spans="10:10">
      <c r="J904" s="16"/>
    </row>
    <row r="905" ht="12.75" spans="10:10">
      <c r="J905" s="16"/>
    </row>
    <row r="906" ht="12.75" spans="10:10">
      <c r="J906" s="16"/>
    </row>
    <row r="907" ht="12.75" spans="10:10">
      <c r="J907" s="16"/>
    </row>
    <row r="908" ht="12.75" spans="10:10">
      <c r="J908" s="16"/>
    </row>
    <row r="909" ht="12.75" spans="10:10">
      <c r="J909" s="16"/>
    </row>
    <row r="910" ht="12.75" spans="10:10">
      <c r="J910" s="16"/>
    </row>
    <row r="911" ht="12.75" spans="10:10">
      <c r="J911" s="16"/>
    </row>
    <row r="912" ht="12.75" spans="10:10">
      <c r="J912" s="16"/>
    </row>
    <row r="913" ht="12.75" spans="10:10">
      <c r="J913" s="16"/>
    </row>
    <row r="914" ht="12.75" spans="10:10">
      <c r="J914" s="16"/>
    </row>
    <row r="915" ht="12.75" spans="10:10">
      <c r="J915" s="16"/>
    </row>
    <row r="916" ht="12.75" spans="10:10">
      <c r="J916" s="16"/>
    </row>
    <row r="917" ht="12.75" spans="10:10">
      <c r="J917" s="16"/>
    </row>
    <row r="918" ht="12.75" spans="10:10">
      <c r="J918" s="16"/>
    </row>
    <row r="919" ht="12.75" spans="10:10">
      <c r="J919" s="16"/>
    </row>
    <row r="920" ht="12.75" spans="10:10">
      <c r="J920" s="16"/>
    </row>
    <row r="921" ht="12.75" spans="10:10">
      <c r="J921" s="16"/>
    </row>
    <row r="922" ht="12.75" spans="10:10">
      <c r="J922" s="16"/>
    </row>
    <row r="923" ht="12.75" spans="10:10">
      <c r="J923" s="16"/>
    </row>
    <row r="924" ht="12.75" spans="10:10">
      <c r="J924" s="16"/>
    </row>
    <row r="925" ht="12.75" spans="10:10">
      <c r="J925" s="16"/>
    </row>
    <row r="926" ht="12.75" spans="10:10">
      <c r="J926" s="16"/>
    </row>
    <row r="927" ht="12.75" spans="10:10">
      <c r="J927" s="16"/>
    </row>
    <row r="928" ht="12.75" spans="10:10">
      <c r="J928" s="16"/>
    </row>
    <row r="929" ht="12.75" spans="10:10">
      <c r="J929" s="16"/>
    </row>
    <row r="930" ht="12.75" spans="10:10">
      <c r="J930" s="16"/>
    </row>
    <row r="931" ht="12.75" spans="10:10">
      <c r="J931" s="16"/>
    </row>
    <row r="932" ht="12.75" spans="10:10">
      <c r="J932" s="16"/>
    </row>
    <row r="933" ht="12.75" spans="10:10">
      <c r="J933" s="16"/>
    </row>
    <row r="934" ht="12.75" spans="10:10">
      <c r="J934" s="16"/>
    </row>
    <row r="935" ht="12.75" spans="10:10">
      <c r="J935" s="16"/>
    </row>
    <row r="936" ht="12.75" spans="10:10">
      <c r="J936" s="16"/>
    </row>
    <row r="937" ht="12.75" spans="10:10">
      <c r="J937" s="16"/>
    </row>
    <row r="938" ht="12.75" spans="10:10">
      <c r="J938" s="16"/>
    </row>
    <row r="939" ht="12.75" spans="10:10">
      <c r="J939" s="16"/>
    </row>
    <row r="940" ht="12.75" spans="10:10">
      <c r="J940" s="16"/>
    </row>
    <row r="941" ht="12.75" spans="10:10">
      <c r="J941" s="16"/>
    </row>
    <row r="942" ht="12.75" spans="10:10">
      <c r="J942" s="16"/>
    </row>
    <row r="943" ht="12.75" spans="10:10">
      <c r="J943" s="16"/>
    </row>
    <row r="944" ht="12.75" spans="10:10">
      <c r="J944" s="16"/>
    </row>
    <row r="945" ht="12.75" spans="10:10">
      <c r="J945" s="16"/>
    </row>
    <row r="946" ht="12.75" spans="10:10">
      <c r="J946" s="16"/>
    </row>
    <row r="947" ht="12.75" spans="10:10">
      <c r="J947" s="16"/>
    </row>
    <row r="948" ht="12.75" spans="10:10">
      <c r="J948" s="16"/>
    </row>
    <row r="949" ht="12.75" spans="10:10">
      <c r="J949" s="16"/>
    </row>
    <row r="950" ht="12.75" spans="10:10">
      <c r="J950" s="16"/>
    </row>
    <row r="951" ht="12.75" spans="10:10">
      <c r="J951" s="16"/>
    </row>
    <row r="952" ht="12.75" spans="10:10">
      <c r="J952" s="16"/>
    </row>
    <row r="953" ht="12.75" spans="10:10">
      <c r="J953" s="16"/>
    </row>
    <row r="954" ht="12.75" spans="10:10">
      <c r="J954" s="16"/>
    </row>
    <row r="955" ht="12.75" spans="10:10">
      <c r="J955" s="16"/>
    </row>
    <row r="956" ht="12.75" spans="10:10">
      <c r="J956" s="16"/>
    </row>
    <row r="957" ht="12.75" spans="10:10">
      <c r="J957" s="16"/>
    </row>
    <row r="958" ht="12.75" spans="10:10">
      <c r="J958" s="16"/>
    </row>
    <row r="959" ht="12.75" spans="10:10">
      <c r="J959" s="16"/>
    </row>
    <row r="960" ht="12.75" spans="10:10">
      <c r="J960" s="16"/>
    </row>
    <row r="961" ht="12.75" spans="10:10">
      <c r="J961" s="16"/>
    </row>
    <row r="962" ht="12.75" spans="10:10">
      <c r="J962" s="16"/>
    </row>
    <row r="963" ht="12.75" spans="10:10">
      <c r="J963" s="16"/>
    </row>
    <row r="964" ht="12.75" spans="10:10">
      <c r="J964" s="16"/>
    </row>
    <row r="965" ht="12.75" spans="10:10">
      <c r="J965" s="16"/>
    </row>
    <row r="966" ht="12.75" spans="10:10">
      <c r="J966" s="16"/>
    </row>
    <row r="967" ht="12.75" spans="10:10">
      <c r="J967" s="16"/>
    </row>
    <row r="968" ht="12.75" spans="10:10">
      <c r="J968" s="16"/>
    </row>
    <row r="969" ht="12.75" spans="10:10">
      <c r="J969" s="16"/>
    </row>
    <row r="970" ht="12.75" spans="10:10">
      <c r="J970" s="16"/>
    </row>
    <row r="971" ht="12.75" spans="10:10">
      <c r="J971" s="16"/>
    </row>
    <row r="972" ht="12.75" spans="10:10">
      <c r="J972" s="16"/>
    </row>
    <row r="973" ht="12.75" spans="10:10">
      <c r="J973" s="16"/>
    </row>
    <row r="974" ht="12.75" spans="10:10">
      <c r="J974" s="16"/>
    </row>
    <row r="975" ht="12.75" spans="10:10">
      <c r="J975" s="16"/>
    </row>
    <row r="976" ht="12.75" spans="10:10">
      <c r="J976" s="16"/>
    </row>
    <row r="977" ht="12.75" spans="10:10">
      <c r="J977" s="16"/>
    </row>
    <row r="978" ht="12.75" spans="10:10">
      <c r="J978" s="16"/>
    </row>
    <row r="979" ht="12.75" spans="10:10">
      <c r="J979" s="16"/>
    </row>
    <row r="980" ht="12.75" spans="10:10">
      <c r="J980" s="16"/>
    </row>
    <row r="981" ht="12.75" spans="10:10">
      <c r="J981" s="16"/>
    </row>
    <row r="982" ht="12.75" spans="10:10">
      <c r="J982" s="16"/>
    </row>
    <row r="983" ht="12.75" spans="10:10">
      <c r="J983" s="16"/>
    </row>
    <row r="984" ht="12.75" spans="10:10">
      <c r="J984" s="16"/>
    </row>
    <row r="985" ht="12.75" spans="10:10">
      <c r="J985" s="16"/>
    </row>
    <row r="986" ht="12.75" spans="10:10">
      <c r="J986" s="16"/>
    </row>
    <row r="987" ht="12.75" spans="10:10">
      <c r="J987" s="16"/>
    </row>
    <row r="988" ht="12.75" spans="10:10">
      <c r="J988" s="16"/>
    </row>
    <row r="989" ht="12.75" spans="10:10">
      <c r="J989" s="16"/>
    </row>
    <row r="990" ht="12.75" spans="10:10">
      <c r="J990" s="16"/>
    </row>
    <row r="991" ht="12.75" spans="10:10">
      <c r="J991" s="16"/>
    </row>
    <row r="992" ht="12.75" spans="10:10">
      <c r="J992" s="16"/>
    </row>
    <row r="993" ht="12.75" spans="10:10">
      <c r="J993" s="16"/>
    </row>
    <row r="994" ht="12.75" spans="10:10">
      <c r="J994" s="16"/>
    </row>
    <row r="995" ht="12.75" spans="10:10">
      <c r="J995" s="16"/>
    </row>
    <row r="996" ht="12.75" spans="10:10">
      <c r="J996" s="16"/>
    </row>
    <row r="997" ht="12.75" spans="10:10">
      <c r="J997" s="16"/>
    </row>
    <row r="998" ht="12.75" spans="10:10">
      <c r="J998" s="16"/>
    </row>
    <row r="999" ht="12.75" spans="10:10">
      <c r="J999" s="16"/>
    </row>
    <row r="1000" ht="12.75" spans="10:10">
      <c r="J1000" s="16"/>
    </row>
    <row r="1001" ht="12.75" spans="10:10">
      <c r="J1001" s="16"/>
    </row>
    <row r="1002" ht="12.75" spans="10:10">
      <c r="J1002" s="16"/>
    </row>
    <row r="1003" ht="12.75" spans="10:10">
      <c r="J1003" s="16"/>
    </row>
    <row r="1004" ht="12.75" spans="10:10">
      <c r="J1004" s="16"/>
    </row>
    <row r="1005" ht="12.75" spans="10:10">
      <c r="J1005" s="16"/>
    </row>
    <row r="1006" ht="12.75" spans="10:10">
      <c r="J1006" s="16"/>
    </row>
    <row r="1007" ht="12.75" spans="10:10">
      <c r="J1007" s="16"/>
    </row>
    <row r="1008" ht="12.75" spans="10:10">
      <c r="J1008" s="16"/>
    </row>
    <row r="1009" ht="12.75" spans="10:10">
      <c r="J1009" s="16"/>
    </row>
    <row r="1010" ht="12.75" spans="10:10">
      <c r="J1010" s="16"/>
    </row>
    <row r="1011" ht="12.75" spans="10:10">
      <c r="J1011" s="16"/>
    </row>
    <row r="1012" ht="12.75" spans="10:10">
      <c r="J1012" s="16"/>
    </row>
    <row r="1013" ht="12.75" spans="10:10">
      <c r="J1013" s="16"/>
    </row>
    <row r="1014" ht="12.75" spans="10:10">
      <c r="J1014" s="16"/>
    </row>
    <row r="1015" ht="12.75" spans="10:10">
      <c r="J1015" s="16"/>
    </row>
    <row r="1016" ht="12.75" spans="10:10">
      <c r="J1016" s="16"/>
    </row>
    <row r="1017" ht="12.75" spans="10:10">
      <c r="J1017" s="16"/>
    </row>
    <row r="1018" ht="12.75" spans="10:10">
      <c r="J1018" s="16"/>
    </row>
    <row r="1019" ht="12.75" spans="10:10">
      <c r="J1019" s="16"/>
    </row>
    <row r="1020" ht="12.75" spans="10:10">
      <c r="J1020" s="16"/>
    </row>
    <row r="1021" ht="12.75" spans="10:10">
      <c r="J1021" s="16"/>
    </row>
  </sheetData>
  <dataValidations count="2">
    <dataValidation type="list" allowBlank="1" showInputMessage="1" showErrorMessage="1" prompt="Level of Preparation - These percentages can be changed per line item below (see &quot;0%&quot; below) if you don't want to change all rates by the same factor." sqref="J1">
      <formula1>'[1]#REF'!$A$11:$A$14</formula1>
    </dataValidation>
    <dataValidation type="list" allowBlank="1" showInputMessage="1" showErrorMessage="1" prompt="Units" sqref="C5:C19 C21:C29 C31:C37 C39:C52 C54:C62 C65:C71 C73:C77">
      <formula1>#REF!</formula1>
    </dataValidation>
  </dataValidations>
  <pageMargins left="0.75" right="0.75" top="1" bottom="1" header="0" footer="0"/>
  <pageSetup paperSize="1" orientation="portrait"/>
  <headerFooter/>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CFFCC"/>
  </sheetPr>
  <dimension ref="A1:Z1014"/>
  <sheetViews>
    <sheetView workbookViewId="0">
      <pane xSplit="1" ySplit="3" topLeftCell="B4" activePane="bottomRight" state="frozen"/>
      <selection/>
      <selection pane="topRight"/>
      <selection pane="bottomLeft"/>
      <selection pane="bottomRight" activeCell="B4" sqref="B4"/>
    </sheetView>
  </sheetViews>
  <sheetFormatPr defaultColWidth="12.6285714285714" defaultRowHeight="15.75" customHeight="1"/>
  <cols>
    <col min="1" max="1" width="21.752380952381" customWidth="1"/>
    <col min="2" max="2" width="5.13333333333333" customWidth="1"/>
    <col min="3" max="3" width="7" customWidth="1"/>
    <col min="4" max="4" width="5.38095238095238" customWidth="1"/>
    <col min="5" max="5" width="6.5047619047619" customWidth="1"/>
    <col min="6" max="8" width="6.24761904761905" customWidth="1"/>
    <col min="9" max="9" width="6" customWidth="1"/>
    <col min="10" max="10" width="8.38095238095238" customWidth="1"/>
    <col min="11" max="11" width="6.87619047619048" customWidth="1"/>
    <col min="12" max="26" width="8" customWidth="1"/>
  </cols>
  <sheetData>
    <row r="1" ht="12.75" customHeight="1" spans="1:26">
      <c r="A1" s="59" t="s">
        <v>2652</v>
      </c>
      <c r="B1" s="60">
        <v>0.25</v>
      </c>
      <c r="C1" s="61"/>
      <c r="D1" s="37"/>
      <c r="E1" s="37"/>
      <c r="F1" s="62"/>
      <c r="G1" s="62"/>
      <c r="H1" s="62"/>
      <c r="I1" s="84" t="s">
        <v>2653</v>
      </c>
      <c r="J1" s="85" t="s">
        <v>2654</v>
      </c>
      <c r="K1" s="54"/>
      <c r="L1" s="37"/>
      <c r="M1" s="37"/>
      <c r="N1" s="37"/>
      <c r="O1" s="37"/>
      <c r="P1" s="37"/>
      <c r="Q1" s="37"/>
      <c r="R1" s="37"/>
      <c r="S1" s="37"/>
      <c r="T1" s="37"/>
      <c r="U1" s="37"/>
      <c r="V1" s="37"/>
      <c r="W1" s="37"/>
      <c r="X1" s="37"/>
      <c r="Y1" s="37"/>
      <c r="Z1" s="37"/>
    </row>
    <row r="2" ht="12.75" customHeight="1" spans="1:26">
      <c r="A2" s="63" t="s">
        <v>2655</v>
      </c>
      <c r="B2" s="61"/>
      <c r="C2" s="64"/>
      <c r="D2" s="37"/>
      <c r="E2" s="62"/>
      <c r="F2" s="62"/>
      <c r="G2" s="62"/>
      <c r="H2" s="65"/>
      <c r="I2" s="53"/>
      <c r="J2" s="86"/>
      <c r="K2" s="37"/>
      <c r="L2" s="37"/>
      <c r="M2" s="37"/>
      <c r="N2" s="37"/>
      <c r="O2" s="37"/>
      <c r="P2" s="37"/>
      <c r="Q2" s="37"/>
      <c r="R2" s="37"/>
      <c r="S2" s="37"/>
      <c r="T2" s="37"/>
      <c r="U2" s="37"/>
      <c r="V2" s="37"/>
      <c r="W2" s="37"/>
      <c r="X2" s="37"/>
      <c r="Y2" s="37"/>
      <c r="Z2" s="37"/>
    </row>
    <row r="3" ht="12.75" customHeight="1" spans="1:26">
      <c r="A3" s="66" t="s">
        <v>2656</v>
      </c>
      <c r="B3" s="67" t="s">
        <v>2560</v>
      </c>
      <c r="C3" s="66" t="s">
        <v>2561</v>
      </c>
      <c r="D3" s="67" t="s">
        <v>1817</v>
      </c>
      <c r="E3" s="67" t="s">
        <v>1818</v>
      </c>
      <c r="F3" s="67" t="s">
        <v>2180</v>
      </c>
      <c r="G3" s="67" t="s">
        <v>2657</v>
      </c>
      <c r="H3" s="68" t="s">
        <v>2658</v>
      </c>
      <c r="I3" s="87" t="s">
        <v>2659</v>
      </c>
      <c r="J3" s="88" t="s">
        <v>2660</v>
      </c>
      <c r="K3" s="37"/>
      <c r="L3" s="37"/>
      <c r="M3" s="37"/>
      <c r="N3" s="37"/>
      <c r="O3" s="37"/>
      <c r="P3" s="37"/>
      <c r="Q3" s="37"/>
      <c r="R3" s="37"/>
      <c r="S3" s="37"/>
      <c r="T3" s="37"/>
      <c r="U3" s="37"/>
      <c r="V3" s="37"/>
      <c r="W3" s="37"/>
      <c r="X3" s="37"/>
      <c r="Y3" s="37"/>
      <c r="Z3" s="37"/>
    </row>
    <row r="4" ht="19.5" customHeight="1" spans="1:26">
      <c r="A4" s="69" t="s">
        <v>2557</v>
      </c>
      <c r="B4" s="70"/>
      <c r="C4" s="71"/>
      <c r="D4" s="71"/>
      <c r="E4" s="71"/>
      <c r="F4" s="71"/>
      <c r="G4" s="71"/>
      <c r="H4" s="71"/>
      <c r="I4" s="89"/>
      <c r="J4" s="90"/>
      <c r="K4" s="37"/>
      <c r="L4" s="37"/>
      <c r="M4" s="37"/>
      <c r="N4" s="37"/>
      <c r="O4" s="37"/>
      <c r="P4" s="37"/>
      <c r="Q4" s="37"/>
      <c r="R4" s="37"/>
      <c r="S4" s="37"/>
      <c r="T4" s="37"/>
      <c r="U4" s="37"/>
      <c r="V4" s="37"/>
      <c r="W4" s="37"/>
      <c r="X4" s="37"/>
      <c r="Y4" s="37"/>
      <c r="Z4" s="37"/>
    </row>
    <row r="5" ht="12.75" customHeight="1" spans="1:26">
      <c r="A5" s="42" t="s">
        <v>2716</v>
      </c>
      <c r="B5" s="72">
        <v>500</v>
      </c>
      <c r="C5" s="73" t="s">
        <v>2666</v>
      </c>
      <c r="D5" s="62">
        <f t="shared" ref="D5:D12" si="0">IF(J5="",B5,B5*(1-J5))</f>
        <v>500</v>
      </c>
      <c r="E5" s="62">
        <f t="shared" ref="E5:E12" si="1">$D5/2*(1+$B$1)</f>
        <v>312.5</v>
      </c>
      <c r="F5" s="62">
        <f t="shared" ref="F5:F12" si="2">$D5/3*(1+$B$1)</f>
        <v>208.333333333333</v>
      </c>
      <c r="G5" s="62">
        <f t="shared" ref="G5:G12" si="3">$D5/4*(1+$B$1)</f>
        <v>156.25</v>
      </c>
      <c r="H5" s="74"/>
      <c r="I5" s="39">
        <f>40/750</f>
        <v>0.0533333333333333</v>
      </c>
      <c r="J5" s="41"/>
      <c r="K5" s="37"/>
      <c r="L5" s="37"/>
      <c r="M5" s="42"/>
      <c r="N5" s="42"/>
      <c r="O5" s="42"/>
      <c r="P5" s="37"/>
      <c r="Q5" s="42"/>
      <c r="R5" s="37"/>
      <c r="S5" s="37"/>
      <c r="T5" s="37"/>
      <c r="U5" s="37"/>
      <c r="V5" s="37"/>
      <c r="W5" s="37"/>
      <c r="X5" s="37"/>
      <c r="Y5" s="37"/>
      <c r="Z5" s="37"/>
    </row>
    <row r="6" ht="12.75" customHeight="1" spans="1:26">
      <c r="A6" s="42" t="s">
        <v>2717</v>
      </c>
      <c r="B6" s="72">
        <v>350</v>
      </c>
      <c r="C6" s="73" t="s">
        <v>2666</v>
      </c>
      <c r="D6" s="62">
        <f t="shared" si="0"/>
        <v>350</v>
      </c>
      <c r="E6" s="62">
        <f t="shared" si="1"/>
        <v>218.75</v>
      </c>
      <c r="F6" s="62">
        <f t="shared" si="2"/>
        <v>145.833333333333</v>
      </c>
      <c r="G6" s="62">
        <f t="shared" si="3"/>
        <v>109.375</v>
      </c>
      <c r="H6" s="74"/>
      <c r="I6" s="39">
        <v>0.01</v>
      </c>
      <c r="J6" s="41"/>
      <c r="K6" s="37"/>
      <c r="L6" s="37"/>
      <c r="M6" s="42"/>
      <c r="N6" s="42"/>
      <c r="O6" s="42"/>
      <c r="P6" s="37"/>
      <c r="Q6" s="42"/>
      <c r="R6" s="37"/>
      <c r="S6" s="37"/>
      <c r="T6" s="37"/>
      <c r="U6" s="37"/>
      <c r="V6" s="37"/>
      <c r="W6" s="37"/>
      <c r="X6" s="37"/>
      <c r="Y6" s="37"/>
      <c r="Z6" s="37"/>
    </row>
    <row r="7" ht="12.75" customHeight="1" spans="1:26">
      <c r="A7" s="42" t="s">
        <v>2718</v>
      </c>
      <c r="B7" s="72">
        <v>250</v>
      </c>
      <c r="C7" s="73" t="s">
        <v>2666</v>
      </c>
      <c r="D7" s="62">
        <f t="shared" si="0"/>
        <v>250</v>
      </c>
      <c r="E7" s="62">
        <f t="shared" si="1"/>
        <v>156.25</v>
      </c>
      <c r="F7" s="62">
        <f t="shared" si="2"/>
        <v>104.166666666667</v>
      </c>
      <c r="G7" s="62">
        <f t="shared" si="3"/>
        <v>78.125</v>
      </c>
      <c r="H7" s="74"/>
      <c r="I7" s="39">
        <v>0.01</v>
      </c>
      <c r="J7" s="41"/>
      <c r="K7" s="37"/>
      <c r="L7" s="37"/>
      <c r="M7" s="42"/>
      <c r="N7" s="42"/>
      <c r="O7" s="42"/>
      <c r="P7" s="37"/>
      <c r="Q7" s="42"/>
      <c r="R7" s="37"/>
      <c r="S7" s="37"/>
      <c r="T7" s="37"/>
      <c r="U7" s="37"/>
      <c r="V7" s="37"/>
      <c r="W7" s="37"/>
      <c r="X7" s="37"/>
      <c r="Y7" s="37"/>
      <c r="Z7" s="37"/>
    </row>
    <row r="8" ht="12.75" customHeight="1" spans="1:26">
      <c r="A8" s="42" t="s">
        <v>2719</v>
      </c>
      <c r="B8" s="72">
        <v>200</v>
      </c>
      <c r="C8" s="73" t="s">
        <v>2666</v>
      </c>
      <c r="D8" s="62">
        <f t="shared" si="0"/>
        <v>200</v>
      </c>
      <c r="E8" s="62">
        <f t="shared" si="1"/>
        <v>125</v>
      </c>
      <c r="F8" s="62">
        <f t="shared" si="2"/>
        <v>83.3333333333333</v>
      </c>
      <c r="G8" s="62">
        <f t="shared" si="3"/>
        <v>62.5</v>
      </c>
      <c r="H8" s="74"/>
      <c r="I8" s="39">
        <v>0.02</v>
      </c>
      <c r="J8" s="41"/>
      <c r="K8" s="37"/>
      <c r="L8" s="37"/>
      <c r="M8" s="42"/>
      <c r="N8" s="42"/>
      <c r="O8" s="42"/>
      <c r="P8" s="37"/>
      <c r="Q8" s="42"/>
      <c r="R8" s="37"/>
      <c r="S8" s="37"/>
      <c r="T8" s="37"/>
      <c r="U8" s="37"/>
      <c r="V8" s="37"/>
      <c r="W8" s="37"/>
      <c r="X8" s="37"/>
      <c r="Y8" s="37"/>
      <c r="Z8" s="37"/>
    </row>
    <row r="9" ht="12.75" customHeight="1" spans="1:26">
      <c r="A9" s="42" t="s">
        <v>480</v>
      </c>
      <c r="B9" s="72">
        <v>200</v>
      </c>
      <c r="C9" s="73" t="s">
        <v>2666</v>
      </c>
      <c r="D9" s="62">
        <f t="shared" si="0"/>
        <v>200</v>
      </c>
      <c r="E9" s="62">
        <f t="shared" si="1"/>
        <v>125</v>
      </c>
      <c r="F9" s="62">
        <f t="shared" si="2"/>
        <v>83.3333333333333</v>
      </c>
      <c r="G9" s="62">
        <f t="shared" si="3"/>
        <v>62.5</v>
      </c>
      <c r="H9" s="74"/>
      <c r="I9" s="39">
        <f>50/300</f>
        <v>0.166666666666667</v>
      </c>
      <c r="J9" s="41"/>
      <c r="K9" s="37"/>
      <c r="L9" s="37"/>
      <c r="M9" s="42"/>
      <c r="N9" s="42"/>
      <c r="O9" s="42"/>
      <c r="P9" s="37"/>
      <c r="Q9" s="42"/>
      <c r="R9" s="37"/>
      <c r="S9" s="37"/>
      <c r="T9" s="37"/>
      <c r="U9" s="37"/>
      <c r="V9" s="37"/>
      <c r="W9" s="37"/>
      <c r="X9" s="37"/>
      <c r="Y9" s="37"/>
      <c r="Z9" s="37"/>
    </row>
    <row r="10" ht="12.75" customHeight="1" spans="1:26">
      <c r="A10" s="42" t="s">
        <v>481</v>
      </c>
      <c r="B10" s="72">
        <v>500</v>
      </c>
      <c r="C10" s="73" t="s">
        <v>2666</v>
      </c>
      <c r="D10" s="62">
        <f t="shared" si="0"/>
        <v>500</v>
      </c>
      <c r="E10" s="62">
        <f t="shared" si="1"/>
        <v>312.5</v>
      </c>
      <c r="F10" s="62">
        <f t="shared" si="2"/>
        <v>208.333333333333</v>
      </c>
      <c r="G10" s="62">
        <f t="shared" si="3"/>
        <v>156.25</v>
      </c>
      <c r="H10" s="74"/>
      <c r="I10" s="39">
        <f>50/8/300</f>
        <v>0.0208333333333333</v>
      </c>
      <c r="J10" s="41"/>
      <c r="K10" s="37"/>
      <c r="L10" s="37"/>
      <c r="M10" s="42"/>
      <c r="N10" s="42"/>
      <c r="O10" s="42"/>
      <c r="P10" s="37"/>
      <c r="Q10" s="42"/>
      <c r="R10" s="37"/>
      <c r="S10" s="37"/>
      <c r="T10" s="37"/>
      <c r="U10" s="37"/>
      <c r="V10" s="37"/>
      <c r="W10" s="37"/>
      <c r="X10" s="37"/>
      <c r="Y10" s="37"/>
      <c r="Z10" s="37"/>
    </row>
    <row r="11" ht="12.75" customHeight="1" spans="1:26">
      <c r="A11" s="42" t="s">
        <v>482</v>
      </c>
      <c r="B11" s="72">
        <v>80</v>
      </c>
      <c r="C11" s="73" t="s">
        <v>2668</v>
      </c>
      <c r="D11" s="62">
        <f t="shared" si="0"/>
        <v>80</v>
      </c>
      <c r="E11" s="62">
        <f t="shared" si="1"/>
        <v>50</v>
      </c>
      <c r="F11" s="62">
        <f t="shared" si="2"/>
        <v>33.3333333333333</v>
      </c>
      <c r="G11" s="62">
        <f t="shared" si="3"/>
        <v>25</v>
      </c>
      <c r="H11" s="75"/>
      <c r="I11" s="39">
        <v>0.01</v>
      </c>
      <c r="J11" s="41"/>
      <c r="K11" s="37"/>
      <c r="L11" s="37"/>
      <c r="M11" s="42"/>
      <c r="N11" s="42"/>
      <c r="O11" s="42"/>
      <c r="P11" s="37"/>
      <c r="Q11" s="42"/>
      <c r="R11" s="37"/>
      <c r="S11" s="37"/>
      <c r="T11" s="37"/>
      <c r="U11" s="37"/>
      <c r="V11" s="37"/>
      <c r="W11" s="37"/>
      <c r="X11" s="37"/>
      <c r="Y11" s="37"/>
      <c r="Z11" s="37"/>
    </row>
    <row r="12" ht="12.75" customHeight="1" spans="1:26">
      <c r="A12" s="37"/>
      <c r="B12" s="72"/>
      <c r="C12" s="73"/>
      <c r="D12" s="62">
        <f t="shared" si="0"/>
        <v>0</v>
      </c>
      <c r="E12" s="62">
        <f t="shared" si="1"/>
        <v>0</v>
      </c>
      <c r="F12" s="62">
        <f t="shared" si="2"/>
        <v>0</v>
      </c>
      <c r="G12" s="62">
        <f t="shared" si="3"/>
        <v>0</v>
      </c>
      <c r="H12" s="75"/>
      <c r="I12" s="48"/>
      <c r="J12" s="41"/>
      <c r="K12" s="37"/>
      <c r="L12" s="37"/>
      <c r="M12" s="37"/>
      <c r="N12" s="37"/>
      <c r="O12" s="37"/>
      <c r="P12" s="37"/>
      <c r="Q12" s="37"/>
      <c r="R12" s="37"/>
      <c r="S12" s="37"/>
      <c r="T12" s="37"/>
      <c r="U12" s="37"/>
      <c r="V12" s="37"/>
      <c r="W12" s="37"/>
      <c r="X12" s="37"/>
      <c r="Y12" s="37"/>
      <c r="Z12" s="37"/>
    </row>
    <row r="13" ht="18" customHeight="1" spans="1:26">
      <c r="A13" s="69" t="s">
        <v>2661</v>
      </c>
      <c r="B13" s="76"/>
      <c r="C13" s="77"/>
      <c r="D13" s="78"/>
      <c r="E13" s="78"/>
      <c r="F13" s="78"/>
      <c r="G13" s="78"/>
      <c r="H13" s="79"/>
      <c r="I13" s="91"/>
      <c r="J13" s="90"/>
      <c r="K13" s="37"/>
      <c r="L13" s="37"/>
      <c r="M13" s="37"/>
      <c r="N13" s="37"/>
      <c r="O13" s="37"/>
      <c r="P13" s="37"/>
      <c r="Q13" s="37"/>
      <c r="R13" s="37"/>
      <c r="S13" s="37"/>
      <c r="T13" s="37"/>
      <c r="U13" s="37"/>
      <c r="V13" s="37"/>
      <c r="W13" s="37"/>
      <c r="X13" s="37"/>
      <c r="Y13" s="37"/>
      <c r="Z13" s="37"/>
    </row>
    <row r="14" ht="12.75" customHeight="1" spans="1:26">
      <c r="A14" s="42" t="s">
        <v>249</v>
      </c>
      <c r="B14" s="72">
        <v>50</v>
      </c>
      <c r="C14" s="73" t="s">
        <v>2666</v>
      </c>
      <c r="D14" s="62" t="e">
        <f t="shared" ref="D14:D27" si="4">IF(J14="",B14,B14*(1-J14))</f>
        <v>#REF!</v>
      </c>
      <c r="E14" s="62" t="e">
        <f t="shared" ref="E14:E27" si="5">$D14/2*(1+$B$1)</f>
        <v>#REF!</v>
      </c>
      <c r="F14" s="62" t="e">
        <f t="shared" ref="F14:F27" si="6">$D14/3*(1+$B$1)</f>
        <v>#REF!</v>
      </c>
      <c r="G14" s="62" t="e">
        <f t="shared" ref="G14:G27" si="7">$D14/4*(1+$B$1)</f>
        <v>#REF!</v>
      </c>
      <c r="H14" s="74"/>
      <c r="I14" s="39">
        <v>0.18</v>
      </c>
      <c r="J14" s="41" t="e">
        <f>IF(J$1='[1]#REF'!$A$10,'[1]#REF'!$B$10,IF(J$1='[1]#REF'!$A$11,'[1]#REF'!$B$11,IF(J$1='[1]#REF'!$A$12,'[1]#REF'!$B$12,IF(J$1='[1]#REF'!$A$13,'[1]#REF'!$B$13))))</f>
        <v>#REF!</v>
      </c>
      <c r="K14" s="37"/>
      <c r="L14" s="37"/>
      <c r="M14" s="37"/>
      <c r="N14" s="37"/>
      <c r="O14" s="37"/>
      <c r="P14" s="37"/>
      <c r="Q14" s="37"/>
      <c r="R14" s="37"/>
      <c r="S14" s="37"/>
      <c r="T14" s="37"/>
      <c r="U14" s="37"/>
      <c r="V14" s="37"/>
      <c r="W14" s="37"/>
      <c r="X14" s="37"/>
      <c r="Y14" s="37"/>
      <c r="Z14" s="37"/>
    </row>
    <row r="15" ht="12.75" customHeight="1" spans="1:26">
      <c r="A15" s="42" t="s">
        <v>483</v>
      </c>
      <c r="B15" s="72">
        <v>4</v>
      </c>
      <c r="C15" s="73" t="s">
        <v>370</v>
      </c>
      <c r="D15" s="62" t="e">
        <f t="shared" si="4"/>
        <v>#REF!</v>
      </c>
      <c r="E15" s="62" t="e">
        <f t="shared" si="5"/>
        <v>#REF!</v>
      </c>
      <c r="F15" s="62" t="e">
        <f t="shared" si="6"/>
        <v>#REF!</v>
      </c>
      <c r="G15" s="62" t="e">
        <f t="shared" si="7"/>
        <v>#REF!</v>
      </c>
      <c r="H15" s="75"/>
      <c r="I15" s="39">
        <v>2.5</v>
      </c>
      <c r="J15" s="41" t="e">
        <f>IF(J$1='[1]#REF'!$A$10,'[1]#REF'!$B$10,IF(J$1='[1]#REF'!$A$11,'[1]#REF'!$B$11,IF(J$1='[1]#REF'!$A$12,'[1]#REF'!$B$12,IF(J$1='[1]#REF'!$A$13,'[1]#REF'!$B$13))))</f>
        <v>#REF!</v>
      </c>
      <c r="K15" s="37"/>
      <c r="L15" s="37"/>
      <c r="M15" s="37"/>
      <c r="N15" s="37"/>
      <c r="O15" s="37"/>
      <c r="P15" s="37"/>
      <c r="Q15" s="37"/>
      <c r="R15" s="37"/>
      <c r="S15" s="37"/>
      <c r="T15" s="37"/>
      <c r="U15" s="37"/>
      <c r="V15" s="37"/>
      <c r="W15" s="37"/>
      <c r="X15" s="37"/>
      <c r="Y15" s="37"/>
      <c r="Z15" s="37"/>
    </row>
    <row r="16" ht="12.75" customHeight="1" spans="1:26">
      <c r="A16" s="42" t="s">
        <v>484</v>
      </c>
      <c r="B16" s="72">
        <v>4</v>
      </c>
      <c r="C16" s="73" t="s">
        <v>370</v>
      </c>
      <c r="D16" s="62" t="e">
        <f t="shared" si="4"/>
        <v>#REF!</v>
      </c>
      <c r="E16" s="62" t="e">
        <f t="shared" si="5"/>
        <v>#REF!</v>
      </c>
      <c r="F16" s="62" t="e">
        <f t="shared" si="6"/>
        <v>#REF!</v>
      </c>
      <c r="G16" s="62" t="e">
        <f t="shared" si="7"/>
        <v>#REF!</v>
      </c>
      <c r="H16" s="75"/>
      <c r="I16" s="39">
        <v>5</v>
      </c>
      <c r="J16" s="41" t="e">
        <f>IF(J$1='[1]#REF'!$A$10,'[1]#REF'!$B$10,IF(J$1='[1]#REF'!$A$11,'[1]#REF'!$B$11,IF(J$1='[1]#REF'!$A$12,'[1]#REF'!$B$12,IF(J$1='[1]#REF'!$A$13,'[1]#REF'!$B$13))))</f>
        <v>#REF!</v>
      </c>
      <c r="K16" s="37"/>
      <c r="L16" s="37"/>
      <c r="M16" s="37"/>
      <c r="N16" s="37"/>
      <c r="O16" s="37"/>
      <c r="P16" s="37"/>
      <c r="Q16" s="37"/>
      <c r="R16" s="37"/>
      <c r="S16" s="37"/>
      <c r="T16" s="37"/>
      <c r="U16" s="37"/>
      <c r="V16" s="37"/>
      <c r="W16" s="37"/>
      <c r="X16" s="37"/>
      <c r="Y16" s="37"/>
      <c r="Z16" s="37"/>
    </row>
    <row r="17" ht="12.75" customHeight="1" spans="1:26">
      <c r="A17" s="42" t="s">
        <v>485</v>
      </c>
      <c r="B17" s="72">
        <v>400</v>
      </c>
      <c r="C17" s="73" t="s">
        <v>2666</v>
      </c>
      <c r="D17" s="62" t="e">
        <f t="shared" si="4"/>
        <v>#REF!</v>
      </c>
      <c r="E17" s="62" t="e">
        <f t="shared" si="5"/>
        <v>#REF!</v>
      </c>
      <c r="F17" s="62" t="e">
        <f t="shared" si="6"/>
        <v>#REF!</v>
      </c>
      <c r="G17" s="62" t="e">
        <f t="shared" si="7"/>
        <v>#REF!</v>
      </c>
      <c r="H17" s="75"/>
      <c r="I17" s="39">
        <v>0.01</v>
      </c>
      <c r="J17" s="41" t="e">
        <f>IF(J$1='[1]#REF'!$A$10,'[1]#REF'!$B$10,IF(J$1='[1]#REF'!$A$11,'[1]#REF'!$B$11,IF(J$1='[1]#REF'!$A$12,'[1]#REF'!$B$12,IF(J$1='[1]#REF'!$A$13,'[1]#REF'!$B$13))))</f>
        <v>#REF!</v>
      </c>
      <c r="K17" s="37"/>
      <c r="L17" s="37"/>
      <c r="M17" s="37"/>
      <c r="N17" s="37"/>
      <c r="O17" s="37"/>
      <c r="P17" s="37"/>
      <c r="Q17" s="37"/>
      <c r="R17" s="37"/>
      <c r="S17" s="37"/>
      <c r="T17" s="37"/>
      <c r="U17" s="37"/>
      <c r="V17" s="37"/>
      <c r="W17" s="37"/>
      <c r="X17" s="37"/>
      <c r="Y17" s="37"/>
      <c r="Z17" s="37"/>
    </row>
    <row r="18" ht="12.75" customHeight="1" spans="1:26">
      <c r="A18" s="80" t="s">
        <v>486</v>
      </c>
      <c r="B18" s="72">
        <v>100</v>
      </c>
      <c r="C18" s="73" t="s">
        <v>2668</v>
      </c>
      <c r="D18" s="62" t="e">
        <f t="shared" si="4"/>
        <v>#REF!</v>
      </c>
      <c r="E18" s="62" t="e">
        <f t="shared" si="5"/>
        <v>#REF!</v>
      </c>
      <c r="F18" s="62" t="e">
        <f t="shared" si="6"/>
        <v>#REF!</v>
      </c>
      <c r="G18" s="62" t="e">
        <f t="shared" si="7"/>
        <v>#REF!</v>
      </c>
      <c r="H18" s="75"/>
      <c r="I18" s="39">
        <f>5/300</f>
        <v>0.0166666666666667</v>
      </c>
      <c r="J18" s="41" t="e">
        <f>IF(J$1='[1]#REF'!$A$10,'[1]#REF'!$B$10,IF(J$1='[1]#REF'!$A$11,'[1]#REF'!$B$11,IF(J$1='[1]#REF'!$A$12,'[1]#REF'!$B$12,IF(J$1='[1]#REF'!$A$13,'[1]#REF'!$B$13))))</f>
        <v>#REF!</v>
      </c>
      <c r="K18" s="37"/>
      <c r="L18" s="37"/>
      <c r="M18" s="37"/>
      <c r="N18" s="37"/>
      <c r="O18" s="37"/>
      <c r="P18" s="37"/>
      <c r="Q18" s="37"/>
      <c r="R18" s="37"/>
      <c r="S18" s="37"/>
      <c r="T18" s="37"/>
      <c r="U18" s="37"/>
      <c r="V18" s="37"/>
      <c r="W18" s="37"/>
      <c r="X18" s="37"/>
      <c r="Y18" s="37"/>
      <c r="Z18" s="37"/>
    </row>
    <row r="19" ht="12.75" customHeight="1" spans="1:26">
      <c r="A19" s="42" t="s">
        <v>487</v>
      </c>
      <c r="B19" s="72">
        <v>4</v>
      </c>
      <c r="C19" s="73" t="s">
        <v>370</v>
      </c>
      <c r="D19" s="62">
        <f t="shared" si="4"/>
        <v>4</v>
      </c>
      <c r="E19" s="62">
        <f t="shared" si="5"/>
        <v>2.5</v>
      </c>
      <c r="F19" s="62">
        <f t="shared" si="6"/>
        <v>1.66666666666667</v>
      </c>
      <c r="G19" s="62">
        <f t="shared" si="7"/>
        <v>1.25</v>
      </c>
      <c r="H19" s="75"/>
      <c r="I19" s="39"/>
      <c r="J19" s="41"/>
      <c r="K19" s="37"/>
      <c r="L19" s="37"/>
      <c r="M19" s="37"/>
      <c r="N19" s="37"/>
      <c r="O19" s="37"/>
      <c r="P19" s="37"/>
      <c r="Q19" s="37"/>
      <c r="R19" s="37"/>
      <c r="S19" s="37"/>
      <c r="T19" s="37"/>
      <c r="U19" s="37"/>
      <c r="V19" s="37"/>
      <c r="W19" s="37"/>
      <c r="X19" s="37"/>
      <c r="Y19" s="37"/>
      <c r="Z19" s="37"/>
    </row>
    <row r="20" ht="12.75" customHeight="1" spans="1:26">
      <c r="A20" s="42" t="s">
        <v>488</v>
      </c>
      <c r="B20" s="72">
        <v>4</v>
      </c>
      <c r="C20" s="73" t="s">
        <v>370</v>
      </c>
      <c r="D20" s="62" t="e">
        <f t="shared" si="4"/>
        <v>#REF!</v>
      </c>
      <c r="E20" s="62" t="e">
        <f t="shared" si="5"/>
        <v>#REF!</v>
      </c>
      <c r="F20" s="62" t="e">
        <f t="shared" si="6"/>
        <v>#REF!</v>
      </c>
      <c r="G20" s="62" t="e">
        <f t="shared" si="7"/>
        <v>#REF!</v>
      </c>
      <c r="H20" s="75"/>
      <c r="I20" s="39">
        <v>1.3</v>
      </c>
      <c r="J20" s="41" t="e">
        <f>IF(J$1='[1]#REF'!$A$10,'[1]#REF'!$B$10,IF(J$1='[1]#REF'!$A$11,'[1]#REF'!$B$11,IF(J$1='[1]#REF'!$A$12,'[1]#REF'!$B$12,IF(J$1='[1]#REF'!$A$13,'[1]#REF'!$B$13))))</f>
        <v>#REF!</v>
      </c>
      <c r="K20" s="37"/>
      <c r="L20" s="37"/>
      <c r="M20" s="37"/>
      <c r="N20" s="37"/>
      <c r="O20" s="37"/>
      <c r="P20" s="37"/>
      <c r="Q20" s="37"/>
      <c r="R20" s="37"/>
      <c r="S20" s="37"/>
      <c r="T20" s="37"/>
      <c r="U20" s="37"/>
      <c r="V20" s="37"/>
      <c r="W20" s="37"/>
      <c r="X20" s="37"/>
      <c r="Y20" s="37"/>
      <c r="Z20" s="37"/>
    </row>
    <row r="21" ht="12.75" customHeight="1" spans="1:26">
      <c r="A21" s="42" t="s">
        <v>489</v>
      </c>
      <c r="B21" s="72">
        <v>6</v>
      </c>
      <c r="C21" s="73" t="s">
        <v>370</v>
      </c>
      <c r="D21" s="62" t="e">
        <f t="shared" si="4"/>
        <v>#REF!</v>
      </c>
      <c r="E21" s="62" t="e">
        <f t="shared" si="5"/>
        <v>#REF!</v>
      </c>
      <c r="F21" s="62" t="e">
        <f t="shared" si="6"/>
        <v>#REF!</v>
      </c>
      <c r="G21" s="62" t="e">
        <f t="shared" si="7"/>
        <v>#REF!</v>
      </c>
      <c r="H21" s="75"/>
      <c r="I21" s="39">
        <v>0.9</v>
      </c>
      <c r="J21" s="41" t="e">
        <f>IF(J$1='[1]#REF'!$A$10,'[1]#REF'!$B$10,IF(J$1='[1]#REF'!$A$11,'[1]#REF'!$B$11,IF(J$1='[1]#REF'!$A$12,'[1]#REF'!$B$12,IF(J$1='[1]#REF'!$A$13,'[1]#REF'!$B$13))))</f>
        <v>#REF!</v>
      </c>
      <c r="K21" s="37"/>
      <c r="L21" s="37"/>
      <c r="M21" s="37"/>
      <c r="N21" s="37"/>
      <c r="O21" s="37"/>
      <c r="P21" s="37"/>
      <c r="Q21" s="37"/>
      <c r="R21" s="37"/>
      <c r="S21" s="37"/>
      <c r="T21" s="37"/>
      <c r="U21" s="37"/>
      <c r="V21" s="37"/>
      <c r="W21" s="37"/>
      <c r="X21" s="37"/>
      <c r="Y21" s="37"/>
      <c r="Z21" s="37"/>
    </row>
    <row r="22" ht="12.75" customHeight="1" spans="1:26">
      <c r="A22" s="42" t="s">
        <v>490</v>
      </c>
      <c r="B22" s="72">
        <v>2</v>
      </c>
      <c r="C22" s="73" t="s">
        <v>370</v>
      </c>
      <c r="D22" s="62">
        <f t="shared" si="4"/>
        <v>2</v>
      </c>
      <c r="E22" s="62">
        <f t="shared" si="5"/>
        <v>1.25</v>
      </c>
      <c r="F22" s="62">
        <f t="shared" si="6"/>
        <v>0.833333333333333</v>
      </c>
      <c r="G22" s="62">
        <f t="shared" si="7"/>
        <v>0.625</v>
      </c>
      <c r="H22" s="75"/>
      <c r="I22" s="48"/>
      <c r="J22" s="41"/>
      <c r="K22" s="37"/>
      <c r="L22" s="37"/>
      <c r="M22" s="37"/>
      <c r="N22" s="37"/>
      <c r="O22" s="37"/>
      <c r="P22" s="37"/>
      <c r="Q22" s="37"/>
      <c r="R22" s="37"/>
      <c r="S22" s="37"/>
      <c r="T22" s="37"/>
      <c r="U22" s="37"/>
      <c r="V22" s="37"/>
      <c r="W22" s="37"/>
      <c r="X22" s="37"/>
      <c r="Y22" s="37"/>
      <c r="Z22" s="37"/>
    </row>
    <row r="23" ht="12.75" customHeight="1" spans="1:26">
      <c r="A23" s="42" t="s">
        <v>491</v>
      </c>
      <c r="B23" s="72">
        <v>200</v>
      </c>
      <c r="C23" s="73" t="s">
        <v>2666</v>
      </c>
      <c r="D23" s="62">
        <f t="shared" si="4"/>
        <v>200</v>
      </c>
      <c r="E23" s="62">
        <f t="shared" si="5"/>
        <v>125</v>
      </c>
      <c r="F23" s="62">
        <f t="shared" si="6"/>
        <v>83.3333333333333</v>
      </c>
      <c r="G23" s="62">
        <f t="shared" si="7"/>
        <v>62.5</v>
      </c>
      <c r="H23" s="81">
        <v>300</v>
      </c>
      <c r="I23" s="39">
        <v>0.01</v>
      </c>
      <c r="J23" s="41"/>
      <c r="K23" s="37"/>
      <c r="L23" s="37"/>
      <c r="M23" s="37"/>
      <c r="N23" s="37"/>
      <c r="O23" s="37"/>
      <c r="P23" s="37"/>
      <c r="Q23" s="37"/>
      <c r="R23" s="37"/>
      <c r="S23" s="37"/>
      <c r="T23" s="37"/>
      <c r="U23" s="37"/>
      <c r="V23" s="37"/>
      <c r="W23" s="37"/>
      <c r="X23" s="37"/>
      <c r="Y23" s="37"/>
      <c r="Z23" s="37"/>
    </row>
    <row r="24" ht="12.75" customHeight="1" spans="1:26">
      <c r="A24" s="42" t="s">
        <v>492</v>
      </c>
      <c r="B24" s="72">
        <v>4</v>
      </c>
      <c r="C24" s="73" t="s">
        <v>370</v>
      </c>
      <c r="D24" s="62">
        <f t="shared" si="4"/>
        <v>4</v>
      </c>
      <c r="E24" s="62">
        <f t="shared" si="5"/>
        <v>2.5</v>
      </c>
      <c r="F24" s="62">
        <f t="shared" si="6"/>
        <v>1.66666666666667</v>
      </c>
      <c r="G24" s="62">
        <f t="shared" si="7"/>
        <v>1.25</v>
      </c>
      <c r="H24" s="81">
        <v>100</v>
      </c>
      <c r="I24" s="39">
        <v>0.01</v>
      </c>
      <c r="J24" s="41"/>
      <c r="K24" s="37"/>
      <c r="L24" s="37"/>
      <c r="M24" s="37"/>
      <c r="N24" s="37"/>
      <c r="O24" s="37"/>
      <c r="P24" s="37"/>
      <c r="Q24" s="37"/>
      <c r="R24" s="37"/>
      <c r="S24" s="37"/>
      <c r="T24" s="37"/>
      <c r="U24" s="37"/>
      <c r="V24" s="37"/>
      <c r="W24" s="37"/>
      <c r="X24" s="37"/>
      <c r="Y24" s="37"/>
      <c r="Z24" s="37"/>
    </row>
    <row r="25" ht="12.75" customHeight="1" spans="1:26">
      <c r="A25" s="42" t="s">
        <v>493</v>
      </c>
      <c r="B25" s="72">
        <v>175</v>
      </c>
      <c r="C25" s="73" t="s">
        <v>2666</v>
      </c>
      <c r="D25" s="62">
        <f t="shared" si="4"/>
        <v>175</v>
      </c>
      <c r="E25" s="62">
        <f t="shared" si="5"/>
        <v>109.375</v>
      </c>
      <c r="F25" s="62">
        <f t="shared" si="6"/>
        <v>72.9166666666667</v>
      </c>
      <c r="G25" s="62">
        <f t="shared" si="7"/>
        <v>54.6875</v>
      </c>
      <c r="H25" s="81">
        <v>100</v>
      </c>
      <c r="I25" s="39">
        <v>0.01</v>
      </c>
      <c r="J25" s="41"/>
      <c r="K25" s="37"/>
      <c r="L25" s="37"/>
      <c r="M25" s="37"/>
      <c r="N25" s="37"/>
      <c r="O25" s="37"/>
      <c r="P25" s="37"/>
      <c r="Q25" s="37"/>
      <c r="R25" s="37"/>
      <c r="S25" s="37"/>
      <c r="T25" s="37"/>
      <c r="U25" s="37"/>
      <c r="V25" s="37"/>
      <c r="W25" s="37"/>
      <c r="X25" s="37"/>
      <c r="Y25" s="37"/>
      <c r="Z25" s="37"/>
    </row>
    <row r="26" ht="12.75" customHeight="1" spans="1:26">
      <c r="A26" s="37" t="s">
        <v>494</v>
      </c>
      <c r="B26" s="72"/>
      <c r="C26" s="73" t="s">
        <v>1064</v>
      </c>
      <c r="D26" s="62">
        <f t="shared" si="4"/>
        <v>0</v>
      </c>
      <c r="E26" s="62">
        <f t="shared" si="5"/>
        <v>0</v>
      </c>
      <c r="F26" s="62">
        <f t="shared" si="6"/>
        <v>0</v>
      </c>
      <c r="G26" s="62">
        <f t="shared" si="7"/>
        <v>0</v>
      </c>
      <c r="H26" s="81"/>
      <c r="I26" s="39"/>
      <c r="J26" s="41"/>
      <c r="K26" s="37"/>
      <c r="L26" s="37"/>
      <c r="M26" s="37"/>
      <c r="N26" s="37"/>
      <c r="O26" s="37"/>
      <c r="P26" s="37"/>
      <c r="Q26" s="37"/>
      <c r="R26" s="37"/>
      <c r="S26" s="37"/>
      <c r="T26" s="37"/>
      <c r="U26" s="37"/>
      <c r="V26" s="37"/>
      <c r="W26" s="37"/>
      <c r="X26" s="37"/>
      <c r="Y26" s="37"/>
      <c r="Z26" s="37"/>
    </row>
    <row r="27" ht="12.75" customHeight="1" spans="1:26">
      <c r="A27" s="37"/>
      <c r="B27" s="72"/>
      <c r="C27" s="73"/>
      <c r="D27" s="62">
        <f t="shared" si="4"/>
        <v>0</v>
      </c>
      <c r="E27" s="62">
        <f t="shared" si="5"/>
        <v>0</v>
      </c>
      <c r="F27" s="62">
        <f t="shared" si="6"/>
        <v>0</v>
      </c>
      <c r="G27" s="62">
        <f t="shared" si="7"/>
        <v>0</v>
      </c>
      <c r="H27" s="81"/>
      <c r="I27" s="39"/>
      <c r="J27" s="41"/>
      <c r="K27" s="37"/>
      <c r="L27" s="37"/>
      <c r="M27" s="37"/>
      <c r="N27" s="37"/>
      <c r="O27" s="37"/>
      <c r="P27" s="37"/>
      <c r="Q27" s="37"/>
      <c r="R27" s="37"/>
      <c r="S27" s="37"/>
      <c r="T27" s="37"/>
      <c r="U27" s="37"/>
      <c r="V27" s="37"/>
      <c r="W27" s="37"/>
      <c r="X27" s="37"/>
      <c r="Y27" s="37"/>
      <c r="Z27" s="37"/>
    </row>
    <row r="28" ht="18" customHeight="1" spans="1:26">
      <c r="A28" s="69" t="s">
        <v>2720</v>
      </c>
      <c r="B28" s="76"/>
      <c r="C28" s="77"/>
      <c r="D28" s="78"/>
      <c r="E28" s="78"/>
      <c r="F28" s="78"/>
      <c r="G28" s="78"/>
      <c r="H28" s="79"/>
      <c r="I28" s="91"/>
      <c r="J28" s="90"/>
      <c r="K28" s="37"/>
      <c r="L28" s="37"/>
      <c r="M28" s="37"/>
      <c r="N28" s="37"/>
      <c r="O28" s="37"/>
      <c r="P28" s="37"/>
      <c r="Q28" s="37"/>
      <c r="R28" s="37"/>
      <c r="S28" s="37"/>
      <c r="T28" s="37"/>
      <c r="U28" s="37"/>
      <c r="V28" s="37"/>
      <c r="W28" s="37"/>
      <c r="X28" s="37"/>
      <c r="Y28" s="37"/>
      <c r="Z28" s="37"/>
    </row>
    <row r="29" ht="12.75" customHeight="1" spans="1:26">
      <c r="A29" s="42" t="s">
        <v>2721</v>
      </c>
      <c r="B29" s="72">
        <v>225</v>
      </c>
      <c r="C29" s="73" t="s">
        <v>2666</v>
      </c>
      <c r="D29" s="62">
        <f t="shared" ref="D29:D36" si="8">IF(J29="",B29,B29*(1-J29))</f>
        <v>225</v>
      </c>
      <c r="E29" s="62">
        <f t="shared" ref="E29:E36" si="9">$D29/2*(1+$B$1)</f>
        <v>140.625</v>
      </c>
      <c r="F29" s="62">
        <f t="shared" ref="F29:F36" si="10">$D29/3*(1+$B$1)</f>
        <v>93.75</v>
      </c>
      <c r="G29" s="62">
        <f t="shared" ref="G29:G36" si="11">$D29/4*(1+$B$1)</f>
        <v>70.3125</v>
      </c>
      <c r="H29" s="81">
        <v>350</v>
      </c>
      <c r="I29" s="39">
        <v>0.01</v>
      </c>
      <c r="J29" s="41"/>
      <c r="K29" s="37"/>
      <c r="L29" s="37"/>
      <c r="M29" s="37"/>
      <c r="N29" s="37"/>
      <c r="O29" s="37"/>
      <c r="P29" s="37"/>
      <c r="Q29" s="37"/>
      <c r="R29" s="37"/>
      <c r="S29" s="37"/>
      <c r="T29" s="37"/>
      <c r="U29" s="37"/>
      <c r="V29" s="37"/>
      <c r="W29" s="37"/>
      <c r="X29" s="37"/>
      <c r="Y29" s="37"/>
      <c r="Z29" s="37"/>
    </row>
    <row r="30" ht="12.75" customHeight="1" spans="1:26">
      <c r="A30" s="42" t="s">
        <v>2722</v>
      </c>
      <c r="B30" s="72">
        <v>175</v>
      </c>
      <c r="C30" s="73" t="s">
        <v>2666</v>
      </c>
      <c r="D30" s="62">
        <f t="shared" si="8"/>
        <v>175</v>
      </c>
      <c r="E30" s="62">
        <f t="shared" si="9"/>
        <v>109.375</v>
      </c>
      <c r="F30" s="62">
        <f t="shared" si="10"/>
        <v>72.9166666666667</v>
      </c>
      <c r="G30" s="62">
        <f t="shared" si="11"/>
        <v>54.6875</v>
      </c>
      <c r="H30" s="81">
        <v>300</v>
      </c>
      <c r="I30" s="39">
        <v>0.01</v>
      </c>
      <c r="J30" s="41"/>
      <c r="K30" s="37"/>
      <c r="L30" s="37"/>
      <c r="M30" s="37"/>
      <c r="N30" s="37"/>
      <c r="O30" s="37"/>
      <c r="P30" s="37"/>
      <c r="Q30" s="37"/>
      <c r="R30" s="37"/>
      <c r="S30" s="37"/>
      <c r="T30" s="37"/>
      <c r="U30" s="37"/>
      <c r="V30" s="37"/>
      <c r="W30" s="37"/>
      <c r="X30" s="37"/>
      <c r="Y30" s="37"/>
      <c r="Z30" s="37"/>
    </row>
    <row r="31" ht="12.75" customHeight="1" spans="1:26">
      <c r="A31" s="42" t="s">
        <v>495</v>
      </c>
      <c r="B31" s="72">
        <v>125</v>
      </c>
      <c r="C31" s="73" t="s">
        <v>2666</v>
      </c>
      <c r="D31" s="62">
        <f t="shared" si="8"/>
        <v>125</v>
      </c>
      <c r="E31" s="62">
        <f t="shared" si="9"/>
        <v>78.125</v>
      </c>
      <c r="F31" s="62">
        <f t="shared" si="10"/>
        <v>52.0833333333333</v>
      </c>
      <c r="G31" s="62">
        <f t="shared" si="11"/>
        <v>39.0625</v>
      </c>
      <c r="H31" s="81">
        <v>300</v>
      </c>
      <c r="I31" s="39">
        <v>0.01</v>
      </c>
      <c r="J31" s="41"/>
      <c r="K31" s="37"/>
      <c r="L31" s="37"/>
      <c r="M31" s="37"/>
      <c r="N31" s="37"/>
      <c r="O31" s="37"/>
      <c r="P31" s="37"/>
      <c r="Q31" s="37"/>
      <c r="R31" s="37"/>
      <c r="S31" s="37"/>
      <c r="T31" s="37"/>
      <c r="U31" s="37"/>
      <c r="V31" s="37"/>
      <c r="W31" s="37"/>
      <c r="X31" s="37"/>
      <c r="Y31" s="37"/>
      <c r="Z31" s="37"/>
    </row>
    <row r="32" ht="12.75" customHeight="1" spans="1:26">
      <c r="A32" s="42" t="s">
        <v>496</v>
      </c>
      <c r="B32" s="72">
        <v>200</v>
      </c>
      <c r="C32" s="73" t="s">
        <v>2666</v>
      </c>
      <c r="D32" s="62">
        <f t="shared" si="8"/>
        <v>200</v>
      </c>
      <c r="E32" s="62">
        <f t="shared" si="9"/>
        <v>125</v>
      </c>
      <c r="F32" s="62">
        <f t="shared" si="10"/>
        <v>83.3333333333333</v>
      </c>
      <c r="G32" s="62">
        <f t="shared" si="11"/>
        <v>62.5</v>
      </c>
      <c r="H32" s="81">
        <v>250</v>
      </c>
      <c r="I32" s="39">
        <v>0.01</v>
      </c>
      <c r="J32" s="41"/>
      <c r="K32" s="37"/>
      <c r="L32" s="37"/>
      <c r="M32" s="37"/>
      <c r="N32" s="37"/>
      <c r="O32" s="37"/>
      <c r="P32" s="37"/>
      <c r="Q32" s="37"/>
      <c r="R32" s="37"/>
      <c r="S32" s="37"/>
      <c r="T32" s="37"/>
      <c r="U32" s="37"/>
      <c r="V32" s="37"/>
      <c r="W32" s="37"/>
      <c r="X32" s="37"/>
      <c r="Y32" s="37"/>
      <c r="Z32" s="37"/>
    </row>
    <row r="33" ht="12.75" customHeight="1" spans="1:26">
      <c r="A33" s="42" t="s">
        <v>241</v>
      </c>
      <c r="B33" s="72">
        <v>250</v>
      </c>
      <c r="C33" s="73" t="s">
        <v>2666</v>
      </c>
      <c r="D33" s="62">
        <f t="shared" si="8"/>
        <v>250</v>
      </c>
      <c r="E33" s="62">
        <f t="shared" si="9"/>
        <v>156.25</v>
      </c>
      <c r="F33" s="62">
        <f t="shared" si="10"/>
        <v>104.166666666667</v>
      </c>
      <c r="G33" s="62">
        <f t="shared" si="11"/>
        <v>78.125</v>
      </c>
      <c r="H33" s="81">
        <v>330</v>
      </c>
      <c r="I33" s="39">
        <v>0.01</v>
      </c>
      <c r="J33" s="41"/>
      <c r="K33" s="37"/>
      <c r="L33" s="37"/>
      <c r="M33" s="37"/>
      <c r="N33" s="37"/>
      <c r="O33" s="37"/>
      <c r="P33" s="37"/>
      <c r="Q33" s="37"/>
      <c r="R33" s="37"/>
      <c r="S33" s="37"/>
      <c r="T33" s="37"/>
      <c r="U33" s="37"/>
      <c r="V33" s="37"/>
      <c r="W33" s="37"/>
      <c r="X33" s="37"/>
      <c r="Y33" s="37"/>
      <c r="Z33" s="37"/>
    </row>
    <row r="34" ht="12.75" customHeight="1" spans="1:26">
      <c r="A34" s="42" t="s">
        <v>479</v>
      </c>
      <c r="B34" s="72">
        <v>150</v>
      </c>
      <c r="C34" s="73" t="s">
        <v>2666</v>
      </c>
      <c r="D34" s="62">
        <f t="shared" si="8"/>
        <v>150</v>
      </c>
      <c r="E34" s="62">
        <f t="shared" si="9"/>
        <v>93.75</v>
      </c>
      <c r="F34" s="62">
        <f t="shared" si="10"/>
        <v>62.5</v>
      </c>
      <c r="G34" s="62">
        <f t="shared" si="11"/>
        <v>46.875</v>
      </c>
      <c r="H34" s="81">
        <v>120</v>
      </c>
      <c r="I34" s="39">
        <v>0.01</v>
      </c>
      <c r="J34" s="41"/>
      <c r="K34" s="37"/>
      <c r="L34" s="37"/>
      <c r="M34" s="37"/>
      <c r="N34" s="37"/>
      <c r="O34" s="37"/>
      <c r="P34" s="37"/>
      <c r="Q34" s="37"/>
      <c r="R34" s="37"/>
      <c r="S34" s="37"/>
      <c r="T34" s="37"/>
      <c r="U34" s="37"/>
      <c r="V34" s="37"/>
      <c r="W34" s="37"/>
      <c r="X34" s="37"/>
      <c r="Y34" s="37"/>
      <c r="Z34" s="37"/>
    </row>
    <row r="35" ht="12.75" customHeight="1" spans="1:26">
      <c r="A35" s="42" t="s">
        <v>2723</v>
      </c>
      <c r="B35" s="72">
        <v>75</v>
      </c>
      <c r="C35" s="73" t="s">
        <v>2668</v>
      </c>
      <c r="D35" s="62">
        <f t="shared" si="8"/>
        <v>75</v>
      </c>
      <c r="E35" s="62">
        <f t="shared" si="9"/>
        <v>46.875</v>
      </c>
      <c r="F35" s="62">
        <f t="shared" si="10"/>
        <v>31.25</v>
      </c>
      <c r="G35" s="62">
        <f t="shared" si="11"/>
        <v>23.4375</v>
      </c>
      <c r="H35" s="81">
        <v>100</v>
      </c>
      <c r="I35" s="39">
        <v>0.01</v>
      </c>
      <c r="J35" s="41"/>
      <c r="K35" s="37"/>
      <c r="L35" s="37"/>
      <c r="M35" s="37"/>
      <c r="N35" s="37"/>
      <c r="O35" s="37"/>
      <c r="P35" s="37"/>
      <c r="Q35" s="37"/>
      <c r="R35" s="37"/>
      <c r="S35" s="37"/>
      <c r="T35" s="37"/>
      <c r="U35" s="37"/>
      <c r="V35" s="37"/>
      <c r="W35" s="37"/>
      <c r="X35" s="37"/>
      <c r="Y35" s="37"/>
      <c r="Z35" s="37"/>
    </row>
    <row r="36" ht="12.75" customHeight="1" spans="1:26">
      <c r="A36" s="42"/>
      <c r="B36" s="72"/>
      <c r="C36" s="73"/>
      <c r="D36" s="62">
        <f t="shared" si="8"/>
        <v>0</v>
      </c>
      <c r="E36" s="62">
        <f t="shared" si="9"/>
        <v>0</v>
      </c>
      <c r="F36" s="62">
        <f t="shared" si="10"/>
        <v>0</v>
      </c>
      <c r="G36" s="62">
        <f t="shared" si="11"/>
        <v>0</v>
      </c>
      <c r="H36" s="81"/>
      <c r="I36" s="39"/>
      <c r="J36" s="41"/>
      <c r="K36" s="37"/>
      <c r="L36" s="37"/>
      <c r="M36" s="37"/>
      <c r="N36" s="37"/>
      <c r="O36" s="37"/>
      <c r="P36" s="37"/>
      <c r="Q36" s="37"/>
      <c r="R36" s="37"/>
      <c r="S36" s="37"/>
      <c r="T36" s="37"/>
      <c r="U36" s="37"/>
      <c r="V36" s="37"/>
      <c r="W36" s="37"/>
      <c r="X36" s="37"/>
      <c r="Y36" s="37"/>
      <c r="Z36" s="37"/>
    </row>
    <row r="37" ht="18" customHeight="1" spans="1:26">
      <c r="A37" s="69" t="s">
        <v>2724</v>
      </c>
      <c r="B37" s="76"/>
      <c r="C37" s="77"/>
      <c r="D37" s="78"/>
      <c r="E37" s="78"/>
      <c r="F37" s="78"/>
      <c r="G37" s="78"/>
      <c r="H37" s="79"/>
      <c r="I37" s="91"/>
      <c r="J37" s="90"/>
      <c r="K37" s="37"/>
      <c r="L37" s="62"/>
      <c r="M37" s="37"/>
      <c r="N37" s="37"/>
      <c r="O37" s="37"/>
      <c r="P37" s="37"/>
      <c r="Q37" s="37"/>
      <c r="R37" s="37"/>
      <c r="S37" s="37"/>
      <c r="T37" s="37"/>
      <c r="U37" s="37"/>
      <c r="V37" s="37"/>
      <c r="W37" s="37"/>
      <c r="X37" s="37"/>
      <c r="Y37" s="37"/>
      <c r="Z37" s="37"/>
    </row>
    <row r="38" ht="12.75" customHeight="1" spans="1:26">
      <c r="A38" s="42" t="s">
        <v>1885</v>
      </c>
      <c r="B38" s="72">
        <v>45</v>
      </c>
      <c r="C38" s="73" t="s">
        <v>2668</v>
      </c>
      <c r="D38" s="62">
        <f t="shared" ref="D38:D48" si="12">IF(J38="",B38,B38*(1-J38))</f>
        <v>45</v>
      </c>
      <c r="E38" s="62">
        <f t="shared" ref="E38:E48" si="13">$D38/2*(1+$B$1)</f>
        <v>28.125</v>
      </c>
      <c r="F38" s="62">
        <f t="shared" ref="F38:F48" si="14">$D38/3*(1+$B$1)</f>
        <v>18.75</v>
      </c>
      <c r="G38" s="62">
        <f t="shared" ref="G38:G48" si="15">$D38/4*(1+$B$1)</f>
        <v>14.0625</v>
      </c>
      <c r="H38" s="81">
        <v>450</v>
      </c>
      <c r="I38" s="39">
        <v>0.03</v>
      </c>
      <c r="J38" s="41"/>
      <c r="K38" s="37"/>
      <c r="L38" s="62"/>
      <c r="M38" s="37"/>
      <c r="N38" s="37"/>
      <c r="O38" s="37"/>
      <c r="P38" s="37"/>
      <c r="Q38" s="37"/>
      <c r="R38" s="37"/>
      <c r="S38" s="37"/>
      <c r="T38" s="37"/>
      <c r="U38" s="37"/>
      <c r="V38" s="37"/>
      <c r="W38" s="37"/>
      <c r="X38" s="37"/>
      <c r="Y38" s="37"/>
      <c r="Z38" s="37"/>
    </row>
    <row r="39" ht="12.75" customHeight="1" spans="1:26">
      <c r="A39" s="42" t="s">
        <v>2725</v>
      </c>
      <c r="B39" s="72">
        <v>3.33</v>
      </c>
      <c r="C39" s="73" t="s">
        <v>370</v>
      </c>
      <c r="D39" s="62">
        <f t="shared" si="12"/>
        <v>3.33</v>
      </c>
      <c r="E39" s="62">
        <f t="shared" si="13"/>
        <v>2.08125</v>
      </c>
      <c r="F39" s="62">
        <f t="shared" si="14"/>
        <v>1.3875</v>
      </c>
      <c r="G39" s="62">
        <f t="shared" si="15"/>
        <v>1.040625</v>
      </c>
      <c r="H39" s="81">
        <v>33</v>
      </c>
      <c r="I39" s="39">
        <v>0.22</v>
      </c>
      <c r="J39" s="41"/>
      <c r="K39" s="37"/>
      <c r="L39" s="37"/>
      <c r="M39" s="37"/>
      <c r="N39" s="37"/>
      <c r="O39" s="37"/>
      <c r="P39" s="37"/>
      <c r="Q39" s="37"/>
      <c r="R39" s="37"/>
      <c r="S39" s="37"/>
      <c r="T39" s="37"/>
      <c r="U39" s="37"/>
      <c r="V39" s="37"/>
      <c r="W39" s="37"/>
      <c r="X39" s="37"/>
      <c r="Y39" s="37"/>
      <c r="Z39" s="37"/>
    </row>
    <row r="40" ht="12.75" customHeight="1" spans="1:26">
      <c r="A40" s="42" t="s">
        <v>2726</v>
      </c>
      <c r="B40" s="72">
        <v>4</v>
      </c>
      <c r="C40" s="73" t="s">
        <v>370</v>
      </c>
      <c r="D40" s="62">
        <f t="shared" si="12"/>
        <v>4</v>
      </c>
      <c r="E40" s="62">
        <f t="shared" si="13"/>
        <v>2.5</v>
      </c>
      <c r="F40" s="62">
        <f t="shared" si="14"/>
        <v>1.66666666666667</v>
      </c>
      <c r="G40" s="62">
        <f t="shared" si="15"/>
        <v>1.25</v>
      </c>
      <c r="H40" s="81">
        <v>48</v>
      </c>
      <c r="I40" s="39">
        <v>0.15</v>
      </c>
      <c r="J40" s="41"/>
      <c r="K40" s="37"/>
      <c r="L40" s="37"/>
      <c r="M40" s="37"/>
      <c r="N40" s="37"/>
      <c r="O40" s="37"/>
      <c r="P40" s="37"/>
      <c r="Q40" s="37"/>
      <c r="R40" s="37"/>
      <c r="S40" s="37"/>
      <c r="T40" s="37"/>
      <c r="U40" s="37"/>
      <c r="V40" s="37"/>
      <c r="W40" s="37"/>
      <c r="X40" s="37"/>
      <c r="Y40" s="37"/>
      <c r="Z40" s="37"/>
    </row>
    <row r="41" ht="12.75" customHeight="1" spans="1:26">
      <c r="A41" s="42" t="s">
        <v>2727</v>
      </c>
      <c r="B41" s="72">
        <v>2</v>
      </c>
      <c r="C41" s="73" t="s">
        <v>370</v>
      </c>
      <c r="D41" s="62">
        <f t="shared" si="12"/>
        <v>2</v>
      </c>
      <c r="E41" s="62">
        <f t="shared" si="13"/>
        <v>1.25</v>
      </c>
      <c r="F41" s="62">
        <f t="shared" si="14"/>
        <v>0.833333333333333</v>
      </c>
      <c r="G41" s="62">
        <f t="shared" si="15"/>
        <v>0.625</v>
      </c>
      <c r="H41" s="81">
        <v>8</v>
      </c>
      <c r="I41" s="39">
        <v>0.22</v>
      </c>
      <c r="J41" s="41"/>
      <c r="K41" s="37"/>
      <c r="L41" s="37"/>
      <c r="M41" s="37"/>
      <c r="N41" s="37"/>
      <c r="O41" s="37"/>
      <c r="P41" s="37"/>
      <c r="Q41" s="37"/>
      <c r="R41" s="37"/>
      <c r="S41" s="37"/>
      <c r="T41" s="37"/>
      <c r="U41" s="37"/>
      <c r="V41" s="37"/>
      <c r="W41" s="37"/>
      <c r="X41" s="37"/>
      <c r="Y41" s="37"/>
      <c r="Z41" s="37"/>
    </row>
    <row r="42" ht="12.75" customHeight="1" spans="1:26">
      <c r="A42" s="42" t="s">
        <v>2728</v>
      </c>
      <c r="B42" s="72">
        <v>1.5</v>
      </c>
      <c r="C42" s="73" t="s">
        <v>370</v>
      </c>
      <c r="D42" s="62">
        <f t="shared" si="12"/>
        <v>1.5</v>
      </c>
      <c r="E42" s="62">
        <f t="shared" si="13"/>
        <v>0.9375</v>
      </c>
      <c r="F42" s="62">
        <f t="shared" si="14"/>
        <v>0.625</v>
      </c>
      <c r="G42" s="62">
        <f t="shared" si="15"/>
        <v>0.46875</v>
      </c>
      <c r="H42" s="81">
        <v>8</v>
      </c>
      <c r="I42" s="39">
        <v>0.22</v>
      </c>
      <c r="J42" s="41"/>
      <c r="K42" s="37"/>
      <c r="L42" s="37"/>
      <c r="M42" s="37"/>
      <c r="N42" s="37"/>
      <c r="O42" s="37"/>
      <c r="P42" s="37"/>
      <c r="Q42" s="37"/>
      <c r="R42" s="37"/>
      <c r="S42" s="37"/>
      <c r="T42" s="37"/>
      <c r="U42" s="37"/>
      <c r="V42" s="37"/>
      <c r="W42" s="37"/>
      <c r="X42" s="37"/>
      <c r="Y42" s="37"/>
      <c r="Z42" s="37"/>
    </row>
    <row r="43" ht="12.75" customHeight="1" spans="1:26">
      <c r="A43" s="42" t="s">
        <v>502</v>
      </c>
      <c r="B43" s="72">
        <v>12</v>
      </c>
      <c r="C43" s="73" t="s">
        <v>370</v>
      </c>
      <c r="D43" s="62">
        <f t="shared" si="12"/>
        <v>12</v>
      </c>
      <c r="E43" s="62">
        <f t="shared" si="13"/>
        <v>7.5</v>
      </c>
      <c r="F43" s="62">
        <f t="shared" si="14"/>
        <v>5</v>
      </c>
      <c r="G43" s="62">
        <f t="shared" si="15"/>
        <v>3.75</v>
      </c>
      <c r="H43" s="81">
        <v>150</v>
      </c>
      <c r="I43" s="39">
        <v>0.05</v>
      </c>
      <c r="J43" s="41"/>
      <c r="K43" s="37"/>
      <c r="L43" s="37"/>
      <c r="M43" s="37"/>
      <c r="N43" s="37"/>
      <c r="O43" s="37"/>
      <c r="P43" s="37"/>
      <c r="Q43" s="37"/>
      <c r="R43" s="37"/>
      <c r="S43" s="37"/>
      <c r="T43" s="37"/>
      <c r="U43" s="37"/>
      <c r="V43" s="37"/>
      <c r="W43" s="37"/>
      <c r="X43" s="37"/>
      <c r="Y43" s="37"/>
      <c r="Z43" s="37"/>
    </row>
    <row r="44" ht="12.75" customHeight="1" spans="1:26">
      <c r="A44" s="42" t="s">
        <v>2729</v>
      </c>
      <c r="B44" s="72">
        <v>2</v>
      </c>
      <c r="C44" s="73" t="s">
        <v>370</v>
      </c>
      <c r="D44" s="62">
        <f t="shared" si="12"/>
        <v>2</v>
      </c>
      <c r="E44" s="62">
        <f t="shared" si="13"/>
        <v>1.25</v>
      </c>
      <c r="F44" s="62">
        <f t="shared" si="14"/>
        <v>0.833333333333333</v>
      </c>
      <c r="G44" s="62">
        <f t="shared" si="15"/>
        <v>0.625</v>
      </c>
      <c r="H44" s="81">
        <v>28</v>
      </c>
      <c r="I44" s="39">
        <v>0.01</v>
      </c>
      <c r="J44" s="41"/>
      <c r="K44" s="37"/>
      <c r="L44" s="37"/>
      <c r="M44" s="37"/>
      <c r="N44" s="37"/>
      <c r="O44" s="37"/>
      <c r="P44" s="37"/>
      <c r="Q44" s="37"/>
      <c r="R44" s="37"/>
      <c r="S44" s="37"/>
      <c r="T44" s="37"/>
      <c r="U44" s="37"/>
      <c r="V44" s="37"/>
      <c r="W44" s="37"/>
      <c r="X44" s="37"/>
      <c r="Y44" s="37"/>
      <c r="Z44" s="37"/>
    </row>
    <row r="45" ht="12.75" customHeight="1" spans="1:26">
      <c r="A45" s="42" t="s">
        <v>1992</v>
      </c>
      <c r="B45" s="72">
        <v>2</v>
      </c>
      <c r="C45" s="73" t="s">
        <v>370</v>
      </c>
      <c r="D45" s="62">
        <f t="shared" si="12"/>
        <v>2</v>
      </c>
      <c r="E45" s="62">
        <f t="shared" si="13"/>
        <v>1.25</v>
      </c>
      <c r="F45" s="62">
        <f t="shared" si="14"/>
        <v>0.833333333333333</v>
      </c>
      <c r="G45" s="62">
        <f t="shared" si="15"/>
        <v>0.625</v>
      </c>
      <c r="H45" s="81">
        <v>24</v>
      </c>
      <c r="I45" s="39">
        <v>1</v>
      </c>
      <c r="J45" s="41"/>
      <c r="K45" s="37"/>
      <c r="L45" s="37"/>
      <c r="M45" s="37"/>
      <c r="N45" s="37"/>
      <c r="O45" s="37"/>
      <c r="P45" s="37"/>
      <c r="Q45" s="37"/>
      <c r="R45" s="37"/>
      <c r="S45" s="37"/>
      <c r="T45" s="37"/>
      <c r="U45" s="37"/>
      <c r="V45" s="37"/>
      <c r="W45" s="37"/>
      <c r="X45" s="37"/>
      <c r="Y45" s="37"/>
      <c r="Z45" s="37"/>
    </row>
    <row r="46" ht="12.75" customHeight="1" spans="1:26">
      <c r="A46" s="42" t="s">
        <v>2730</v>
      </c>
      <c r="B46" s="72">
        <v>75</v>
      </c>
      <c r="C46" s="73" t="s">
        <v>2668</v>
      </c>
      <c r="D46" s="62">
        <f t="shared" si="12"/>
        <v>75</v>
      </c>
      <c r="E46" s="62">
        <f t="shared" si="13"/>
        <v>46.875</v>
      </c>
      <c r="F46" s="62">
        <f t="shared" si="14"/>
        <v>31.25</v>
      </c>
      <c r="G46" s="62">
        <f t="shared" si="15"/>
        <v>23.4375</v>
      </c>
      <c r="H46" s="81">
        <v>1000</v>
      </c>
      <c r="I46" s="39">
        <v>0.01</v>
      </c>
      <c r="J46" s="41"/>
      <c r="K46" s="37"/>
      <c r="L46" s="37"/>
      <c r="M46" s="37"/>
      <c r="N46" s="37"/>
      <c r="O46" s="37"/>
      <c r="P46" s="37"/>
      <c r="Q46" s="37"/>
      <c r="R46" s="37"/>
      <c r="S46" s="37"/>
      <c r="T46" s="37"/>
      <c r="U46" s="37"/>
      <c r="V46" s="37"/>
      <c r="W46" s="37"/>
      <c r="X46" s="37"/>
      <c r="Y46" s="37"/>
      <c r="Z46" s="37"/>
    </row>
    <row r="47" ht="12.75" customHeight="1" spans="1:26">
      <c r="A47" s="42" t="s">
        <v>2731</v>
      </c>
      <c r="B47" s="72">
        <v>40</v>
      </c>
      <c r="C47" s="73" t="s">
        <v>2668</v>
      </c>
      <c r="D47" s="62">
        <f t="shared" si="12"/>
        <v>40</v>
      </c>
      <c r="E47" s="62">
        <f t="shared" si="13"/>
        <v>25</v>
      </c>
      <c r="F47" s="62">
        <f t="shared" si="14"/>
        <v>16.6666666666667</v>
      </c>
      <c r="G47" s="62">
        <f t="shared" si="15"/>
        <v>12.5</v>
      </c>
      <c r="H47" s="81">
        <v>550</v>
      </c>
      <c r="I47" s="39">
        <v>0.03</v>
      </c>
      <c r="J47" s="41"/>
      <c r="K47" s="37"/>
      <c r="L47" s="37"/>
      <c r="M47" s="37"/>
      <c r="N47" s="37"/>
      <c r="O47" s="37"/>
      <c r="P47" s="37"/>
      <c r="Q47" s="37"/>
      <c r="R47" s="37"/>
      <c r="S47" s="37"/>
      <c r="T47" s="37"/>
      <c r="U47" s="37"/>
      <c r="V47" s="37"/>
      <c r="W47" s="37"/>
      <c r="X47" s="37"/>
      <c r="Y47" s="37"/>
      <c r="Z47" s="37"/>
    </row>
    <row r="48" ht="12.75" customHeight="1" spans="1:26">
      <c r="A48" s="37"/>
      <c r="B48" s="72"/>
      <c r="C48" s="73"/>
      <c r="D48" s="62">
        <f t="shared" si="12"/>
        <v>0</v>
      </c>
      <c r="E48" s="62">
        <f t="shared" si="13"/>
        <v>0</v>
      </c>
      <c r="F48" s="62">
        <f t="shared" si="14"/>
        <v>0</v>
      </c>
      <c r="G48" s="62">
        <f t="shared" si="15"/>
        <v>0</v>
      </c>
      <c r="H48" s="75"/>
      <c r="I48" s="48"/>
      <c r="J48" s="41"/>
      <c r="K48" s="37"/>
      <c r="L48" s="37"/>
      <c r="M48" s="37"/>
      <c r="N48" s="37"/>
      <c r="O48" s="37"/>
      <c r="P48" s="37"/>
      <c r="Q48" s="37"/>
      <c r="R48" s="37"/>
      <c r="S48" s="37"/>
      <c r="T48" s="37"/>
      <c r="U48" s="37"/>
      <c r="V48" s="37"/>
      <c r="W48" s="37"/>
      <c r="X48" s="37"/>
      <c r="Y48" s="37"/>
      <c r="Z48" s="37"/>
    </row>
    <row r="49" ht="18" customHeight="1" spans="1:26">
      <c r="A49" s="69" t="s">
        <v>2732</v>
      </c>
      <c r="B49" s="76"/>
      <c r="C49" s="77"/>
      <c r="D49" s="78"/>
      <c r="E49" s="78"/>
      <c r="F49" s="78"/>
      <c r="G49" s="78"/>
      <c r="H49" s="79"/>
      <c r="I49" s="91"/>
      <c r="J49" s="90"/>
      <c r="K49" s="37"/>
      <c r="L49" s="37"/>
      <c r="M49" s="37"/>
      <c r="N49" s="37"/>
      <c r="O49" s="37"/>
      <c r="P49" s="37"/>
      <c r="Q49" s="37"/>
      <c r="R49" s="37"/>
      <c r="S49" s="37"/>
      <c r="T49" s="37"/>
      <c r="U49" s="37"/>
      <c r="V49" s="37"/>
      <c r="W49" s="37"/>
      <c r="X49" s="37"/>
      <c r="Y49" s="37"/>
      <c r="Z49" s="37"/>
    </row>
    <row r="50" ht="12.75" customHeight="1" spans="1:26">
      <c r="A50" s="42" t="s">
        <v>497</v>
      </c>
      <c r="B50" s="72">
        <v>1.33</v>
      </c>
      <c r="C50" s="73" t="s">
        <v>370</v>
      </c>
      <c r="D50" s="62">
        <f t="shared" ref="D50:D57" si="16">IF(J50="",B50,B50*(1-J50))</f>
        <v>1.33</v>
      </c>
      <c r="E50" s="62">
        <f t="shared" ref="E50:E55" si="17">$D50/2*(1+$B$1)</f>
        <v>0.83125</v>
      </c>
      <c r="F50" s="62">
        <f t="shared" ref="F50:F55" si="18">$D50/3*(1+$B$1)</f>
        <v>0.554166666666667</v>
      </c>
      <c r="G50" s="62">
        <f t="shared" ref="G50:G55" si="19">$D50/4*(1+$B$1)</f>
        <v>0.415625</v>
      </c>
      <c r="H50" s="81">
        <v>24</v>
      </c>
      <c r="I50" s="39">
        <v>0.5</v>
      </c>
      <c r="J50" s="41"/>
      <c r="K50" s="37"/>
      <c r="L50" s="37"/>
      <c r="M50" s="37"/>
      <c r="N50" s="37"/>
      <c r="O50" s="37"/>
      <c r="P50" s="37"/>
      <c r="Q50" s="37"/>
      <c r="R50" s="37"/>
      <c r="S50" s="37"/>
      <c r="T50" s="37"/>
      <c r="U50" s="37"/>
      <c r="V50" s="37"/>
      <c r="W50" s="37"/>
      <c r="X50" s="37"/>
      <c r="Y50" s="37"/>
      <c r="Z50" s="37"/>
    </row>
    <row r="51" ht="10.5" customHeight="1" spans="1:26">
      <c r="A51" s="42" t="s">
        <v>498</v>
      </c>
      <c r="B51" s="72">
        <v>4</v>
      </c>
      <c r="C51" s="73" t="s">
        <v>370</v>
      </c>
      <c r="D51" s="62">
        <f t="shared" si="16"/>
        <v>4</v>
      </c>
      <c r="E51" s="62">
        <f t="shared" si="17"/>
        <v>2.5</v>
      </c>
      <c r="F51" s="62">
        <f t="shared" si="18"/>
        <v>1.66666666666667</v>
      </c>
      <c r="G51" s="62">
        <f t="shared" si="19"/>
        <v>1.25</v>
      </c>
      <c r="H51" s="82">
        <v>72</v>
      </c>
      <c r="I51" s="39">
        <v>0.22</v>
      </c>
      <c r="J51" s="41"/>
      <c r="K51" s="37"/>
      <c r="L51" s="37"/>
      <c r="M51" s="37"/>
      <c r="N51" s="37"/>
      <c r="O51" s="37"/>
      <c r="P51" s="37"/>
      <c r="Q51" s="37"/>
      <c r="R51" s="37"/>
      <c r="S51" s="37"/>
      <c r="T51" s="37"/>
      <c r="U51" s="37"/>
      <c r="V51" s="37"/>
      <c r="W51" s="37"/>
      <c r="X51" s="37"/>
      <c r="Y51" s="37"/>
      <c r="Z51" s="37"/>
    </row>
    <row r="52" ht="12.75" customHeight="1" spans="1:26">
      <c r="A52" s="42" t="s">
        <v>2733</v>
      </c>
      <c r="B52" s="72">
        <v>2</v>
      </c>
      <c r="C52" s="73" t="s">
        <v>370</v>
      </c>
      <c r="D52" s="62">
        <f t="shared" si="16"/>
        <v>2</v>
      </c>
      <c r="E52" s="62">
        <f t="shared" si="17"/>
        <v>1.25</v>
      </c>
      <c r="F52" s="62">
        <f t="shared" si="18"/>
        <v>0.833333333333333</v>
      </c>
      <c r="G52" s="62">
        <f t="shared" si="19"/>
        <v>0.625</v>
      </c>
      <c r="H52" s="82">
        <v>20</v>
      </c>
      <c r="I52" s="39">
        <v>1</v>
      </c>
      <c r="J52" s="41"/>
      <c r="K52" s="37"/>
      <c r="L52" s="37"/>
      <c r="M52" s="37"/>
      <c r="N52" s="37"/>
      <c r="O52" s="37"/>
      <c r="P52" s="37"/>
      <c r="Q52" s="37"/>
      <c r="R52" s="37"/>
      <c r="S52" s="37"/>
      <c r="T52" s="37"/>
      <c r="U52" s="37"/>
      <c r="V52" s="37"/>
      <c r="W52" s="37"/>
      <c r="X52" s="37"/>
      <c r="Y52" s="37"/>
      <c r="Z52" s="37"/>
    </row>
    <row r="53" ht="12.75" customHeight="1" spans="1:26">
      <c r="A53" s="42" t="s">
        <v>2734</v>
      </c>
      <c r="B53" s="72">
        <v>1.5</v>
      </c>
      <c r="C53" s="73" t="s">
        <v>370</v>
      </c>
      <c r="D53" s="62">
        <f t="shared" si="16"/>
        <v>1.5</v>
      </c>
      <c r="E53" s="62">
        <f t="shared" si="17"/>
        <v>0.9375</v>
      </c>
      <c r="F53" s="62">
        <f t="shared" si="18"/>
        <v>0.625</v>
      </c>
      <c r="G53" s="62">
        <f t="shared" si="19"/>
        <v>0.46875</v>
      </c>
      <c r="H53" s="82">
        <v>20</v>
      </c>
      <c r="I53" s="39">
        <v>1</v>
      </c>
      <c r="J53" s="41"/>
      <c r="K53" s="37"/>
      <c r="L53" s="37"/>
      <c r="M53" s="37"/>
      <c r="N53" s="37"/>
      <c r="O53" s="37"/>
      <c r="P53" s="37"/>
      <c r="Q53" s="37"/>
      <c r="R53" s="37"/>
      <c r="S53" s="37"/>
      <c r="T53" s="37"/>
      <c r="U53" s="37"/>
      <c r="V53" s="37"/>
      <c r="W53" s="37"/>
      <c r="X53" s="37"/>
      <c r="Y53" s="37"/>
      <c r="Z53" s="37"/>
    </row>
    <row r="54" ht="12.75" customHeight="1" spans="1:26">
      <c r="A54" s="42" t="s">
        <v>2735</v>
      </c>
      <c r="B54" s="72">
        <v>0.5</v>
      </c>
      <c r="C54" s="73" t="s">
        <v>370</v>
      </c>
      <c r="D54" s="62">
        <f t="shared" si="16"/>
        <v>0.5</v>
      </c>
      <c r="E54" s="62">
        <f t="shared" si="17"/>
        <v>0.3125</v>
      </c>
      <c r="F54" s="62">
        <f t="shared" si="18"/>
        <v>0.208333333333333</v>
      </c>
      <c r="G54" s="62">
        <f t="shared" si="19"/>
        <v>0.15625</v>
      </c>
      <c r="H54" s="81">
        <v>24</v>
      </c>
      <c r="I54" s="39">
        <v>3.3</v>
      </c>
      <c r="J54" s="41"/>
      <c r="K54" s="37"/>
      <c r="L54" s="37"/>
      <c r="M54" s="37"/>
      <c r="N54" s="37"/>
      <c r="O54" s="37"/>
      <c r="P54" s="37"/>
      <c r="Q54" s="37"/>
      <c r="R54" s="37"/>
      <c r="S54" s="37"/>
      <c r="T54" s="37"/>
      <c r="U54" s="37"/>
      <c r="V54" s="37"/>
      <c r="W54" s="37"/>
      <c r="X54" s="37"/>
      <c r="Y54" s="37"/>
      <c r="Z54" s="37"/>
    </row>
    <row r="55" ht="12.75" customHeight="1" spans="1:26">
      <c r="A55" s="42" t="s">
        <v>323</v>
      </c>
      <c r="B55" s="72">
        <v>1</v>
      </c>
      <c r="C55" s="73" t="s">
        <v>370</v>
      </c>
      <c r="D55" s="62">
        <f t="shared" si="16"/>
        <v>1</v>
      </c>
      <c r="E55" s="62">
        <f t="shared" si="17"/>
        <v>0.625</v>
      </c>
      <c r="F55" s="62">
        <f t="shared" si="18"/>
        <v>0.416666666666667</v>
      </c>
      <c r="G55" s="62">
        <f t="shared" si="19"/>
        <v>0.3125</v>
      </c>
      <c r="H55" s="81">
        <v>4</v>
      </c>
      <c r="I55" s="39">
        <v>5</v>
      </c>
      <c r="J55" s="41"/>
      <c r="K55" s="37"/>
      <c r="L55" s="37"/>
      <c r="M55" s="37"/>
      <c r="N55" s="37"/>
      <c r="O55" s="37"/>
      <c r="P55" s="37"/>
      <c r="Q55" s="37"/>
      <c r="R55" s="37"/>
      <c r="S55" s="37"/>
      <c r="T55" s="37"/>
      <c r="U55" s="37"/>
      <c r="V55" s="37"/>
      <c r="W55" s="37"/>
      <c r="X55" s="37"/>
      <c r="Y55" s="37"/>
      <c r="Z55" s="37"/>
    </row>
    <row r="56" ht="12.75" customHeight="1" spans="1:26">
      <c r="A56" s="42" t="s">
        <v>499</v>
      </c>
      <c r="B56" s="72">
        <f>1/3</f>
        <v>0.333333333333333</v>
      </c>
      <c r="C56" s="73" t="s">
        <v>370</v>
      </c>
      <c r="D56" s="62">
        <f t="shared" si="16"/>
        <v>0.333333333333333</v>
      </c>
      <c r="E56" s="62">
        <f>$D56/2*(1+$B$1)</f>
        <v>0.208333333333333</v>
      </c>
      <c r="F56" s="62">
        <f>$D56/3*(1+$B$1)</f>
        <v>0.138888888888889</v>
      </c>
      <c r="G56" s="62">
        <f>$D56/4*(1+$B$1)</f>
        <v>0.104166666666667</v>
      </c>
      <c r="H56" s="81">
        <v>8</v>
      </c>
      <c r="I56" s="39">
        <v>10</v>
      </c>
      <c r="J56" s="41"/>
      <c r="K56" s="37"/>
      <c r="L56" s="37"/>
      <c r="M56" s="37"/>
      <c r="N56" s="37"/>
      <c r="O56" s="37"/>
      <c r="P56" s="37"/>
      <c r="Q56" s="37"/>
      <c r="R56" s="37"/>
      <c r="S56" s="37"/>
      <c r="T56" s="37"/>
      <c r="U56" s="37"/>
      <c r="V56" s="37"/>
      <c r="W56" s="37"/>
      <c r="X56" s="37"/>
      <c r="Y56" s="37"/>
      <c r="Z56" s="37"/>
    </row>
    <row r="57" ht="12.75" customHeight="1" spans="1:26">
      <c r="A57" s="42"/>
      <c r="B57" s="72"/>
      <c r="C57" s="73"/>
      <c r="D57" s="62">
        <f t="shared" si="16"/>
        <v>0</v>
      </c>
      <c r="E57" s="62">
        <f>$D57/2*(1+$B$1)</f>
        <v>0</v>
      </c>
      <c r="F57" s="62">
        <f>$D57/3*(1+$B$1)</f>
        <v>0</v>
      </c>
      <c r="G57" s="62">
        <f>$D57/4*(1+$B$1)</f>
        <v>0</v>
      </c>
      <c r="H57" s="81"/>
      <c r="I57" s="39"/>
      <c r="J57" s="41"/>
      <c r="K57" s="37"/>
      <c r="L57" s="37"/>
      <c r="M57" s="37"/>
      <c r="N57" s="37"/>
      <c r="O57" s="37"/>
      <c r="P57" s="37"/>
      <c r="Q57" s="37"/>
      <c r="R57" s="37"/>
      <c r="S57" s="37"/>
      <c r="T57" s="37"/>
      <c r="U57" s="37"/>
      <c r="V57" s="37"/>
      <c r="W57" s="37"/>
      <c r="X57" s="37"/>
      <c r="Y57" s="37"/>
      <c r="Z57" s="37"/>
    </row>
    <row r="58" ht="18" customHeight="1" spans="1:26">
      <c r="A58" s="83"/>
      <c r="B58" s="61"/>
      <c r="C58" s="37"/>
      <c r="D58" s="62"/>
      <c r="E58" s="62"/>
      <c r="F58" s="62"/>
      <c r="G58" s="62"/>
      <c r="H58" s="65"/>
      <c r="I58" s="53"/>
      <c r="J58" s="86"/>
      <c r="K58" s="37"/>
      <c r="L58" s="37"/>
      <c r="M58" s="37"/>
      <c r="N58" s="37"/>
      <c r="O58" s="37"/>
      <c r="P58" s="37"/>
      <c r="Q58" s="37"/>
      <c r="R58" s="37"/>
      <c r="S58" s="37"/>
      <c r="T58" s="37"/>
      <c r="U58" s="37"/>
      <c r="V58" s="37"/>
      <c r="W58" s="37"/>
      <c r="X58" s="37"/>
      <c r="Y58" s="37"/>
      <c r="Z58" s="37"/>
    </row>
    <row r="59" ht="18" customHeight="1" spans="1:26">
      <c r="A59" s="69" t="s">
        <v>523</v>
      </c>
      <c r="B59" s="76"/>
      <c r="C59" s="77"/>
      <c r="D59" s="78"/>
      <c r="E59" s="78"/>
      <c r="F59" s="78"/>
      <c r="G59" s="78"/>
      <c r="H59" s="79"/>
      <c r="I59" s="91"/>
      <c r="J59" s="90"/>
      <c r="K59" s="37"/>
      <c r="L59" s="37"/>
      <c r="M59" s="37"/>
      <c r="N59" s="37"/>
      <c r="O59" s="37"/>
      <c r="P59" s="37"/>
      <c r="Q59" s="37"/>
      <c r="R59" s="37"/>
      <c r="S59" s="37"/>
      <c r="T59" s="37"/>
      <c r="U59" s="37"/>
      <c r="V59" s="37"/>
      <c r="W59" s="37"/>
      <c r="X59" s="37"/>
      <c r="Y59" s="37"/>
      <c r="Z59" s="37"/>
    </row>
    <row r="60" ht="12.75" customHeight="1" spans="1:26">
      <c r="A60" s="42" t="s">
        <v>496</v>
      </c>
      <c r="B60" s="72">
        <v>100</v>
      </c>
      <c r="C60" s="73" t="s">
        <v>2666</v>
      </c>
      <c r="D60" s="62">
        <f t="shared" ref="D60:D65" si="20">IF(J60="",B60,B60*(1-J60))</f>
        <v>100</v>
      </c>
      <c r="E60" s="62">
        <f t="shared" ref="E60:E65" si="21">$D60/2*(1+$B$1)</f>
        <v>62.5</v>
      </c>
      <c r="F60" s="62">
        <f t="shared" ref="F60:F65" si="22">$D60/3*(1+$B$1)</f>
        <v>41.6666666666667</v>
      </c>
      <c r="G60" s="62">
        <f t="shared" ref="G60:G65" si="23">$D60/4*(1+$B$1)</f>
        <v>31.25</v>
      </c>
      <c r="H60" s="81">
        <v>250</v>
      </c>
      <c r="I60" s="39">
        <v>0.01</v>
      </c>
      <c r="J60" s="41"/>
      <c r="K60" s="37"/>
      <c r="L60" s="37"/>
      <c r="M60" s="37"/>
      <c r="N60" s="37"/>
      <c r="O60" s="37"/>
      <c r="P60" s="37"/>
      <c r="Q60" s="37"/>
      <c r="R60" s="37"/>
      <c r="S60" s="37"/>
      <c r="T60" s="37"/>
      <c r="U60" s="37"/>
      <c r="V60" s="37"/>
      <c r="W60" s="37"/>
      <c r="X60" s="37"/>
      <c r="Y60" s="37"/>
      <c r="Z60" s="37"/>
    </row>
    <row r="61" ht="10.5" customHeight="1" spans="1:26">
      <c r="A61" s="42" t="s">
        <v>500</v>
      </c>
      <c r="B61" s="72">
        <v>60</v>
      </c>
      <c r="C61" s="73" t="s">
        <v>2666</v>
      </c>
      <c r="D61" s="62">
        <f t="shared" si="20"/>
        <v>60</v>
      </c>
      <c r="E61" s="62">
        <f t="shared" si="21"/>
        <v>37.5</v>
      </c>
      <c r="F61" s="62">
        <f t="shared" si="22"/>
        <v>25</v>
      </c>
      <c r="G61" s="62">
        <f t="shared" si="23"/>
        <v>18.75</v>
      </c>
      <c r="H61" s="82">
        <v>200</v>
      </c>
      <c r="I61" s="39">
        <v>0.1</v>
      </c>
      <c r="J61" s="41"/>
      <c r="K61" s="37"/>
      <c r="L61" s="37"/>
      <c r="M61" s="37"/>
      <c r="N61" s="37"/>
      <c r="O61" s="37"/>
      <c r="P61" s="37"/>
      <c r="Q61" s="37"/>
      <c r="R61" s="37"/>
      <c r="S61" s="37"/>
      <c r="T61" s="37"/>
      <c r="U61" s="37"/>
      <c r="V61" s="37"/>
      <c r="W61" s="37"/>
      <c r="X61" s="37"/>
      <c r="Y61" s="37"/>
      <c r="Z61" s="37"/>
    </row>
    <row r="62" ht="12.75" customHeight="1" spans="1:26">
      <c r="A62" s="42" t="s">
        <v>501</v>
      </c>
      <c r="B62" s="72">
        <v>150</v>
      </c>
      <c r="C62" s="73" t="s">
        <v>2666</v>
      </c>
      <c r="D62" s="62">
        <f t="shared" si="20"/>
        <v>150</v>
      </c>
      <c r="E62" s="62">
        <f t="shared" si="21"/>
        <v>93.75</v>
      </c>
      <c r="F62" s="62">
        <f t="shared" si="22"/>
        <v>62.5</v>
      </c>
      <c r="G62" s="62">
        <f t="shared" si="23"/>
        <v>46.875</v>
      </c>
      <c r="H62" s="81">
        <v>225</v>
      </c>
      <c r="I62" s="39">
        <v>0.01</v>
      </c>
      <c r="J62" s="41"/>
      <c r="K62" s="37"/>
      <c r="L62" s="37"/>
      <c r="M62" s="37"/>
      <c r="N62" s="37"/>
      <c r="O62" s="37"/>
      <c r="P62" s="37"/>
      <c r="Q62" s="37"/>
      <c r="R62" s="37"/>
      <c r="S62" s="37"/>
      <c r="T62" s="37"/>
      <c r="U62" s="37"/>
      <c r="V62" s="37"/>
      <c r="W62" s="37"/>
      <c r="X62" s="37"/>
      <c r="Y62" s="37"/>
      <c r="Z62" s="37"/>
    </row>
    <row r="63" ht="12.75" customHeight="1" spans="1:26">
      <c r="A63" s="42" t="s">
        <v>2736</v>
      </c>
      <c r="B63" s="72">
        <v>75</v>
      </c>
      <c r="C63" s="73" t="s">
        <v>2666</v>
      </c>
      <c r="D63" s="62">
        <f t="shared" si="20"/>
        <v>75</v>
      </c>
      <c r="E63" s="62">
        <f t="shared" si="21"/>
        <v>46.875</v>
      </c>
      <c r="F63" s="62">
        <f t="shared" si="22"/>
        <v>31.25</v>
      </c>
      <c r="G63" s="62">
        <f t="shared" si="23"/>
        <v>23.4375</v>
      </c>
      <c r="H63" s="82">
        <v>400</v>
      </c>
      <c r="I63" s="39">
        <v>0.01</v>
      </c>
      <c r="J63" s="41"/>
      <c r="K63" s="37"/>
      <c r="L63" s="37"/>
      <c r="M63" s="37"/>
      <c r="N63" s="37"/>
      <c r="O63" s="37"/>
      <c r="P63" s="37"/>
      <c r="Q63" s="37"/>
      <c r="R63" s="37"/>
      <c r="S63" s="37"/>
      <c r="T63" s="37"/>
      <c r="U63" s="37"/>
      <c r="V63" s="37"/>
      <c r="W63" s="37"/>
      <c r="X63" s="37"/>
      <c r="Y63" s="37"/>
      <c r="Z63" s="37"/>
    </row>
    <row r="64" ht="12.75" customHeight="1" spans="1:26">
      <c r="A64" s="42" t="s">
        <v>502</v>
      </c>
      <c r="B64" s="72">
        <v>15</v>
      </c>
      <c r="C64" s="73" t="s">
        <v>370</v>
      </c>
      <c r="D64" s="62">
        <f t="shared" si="20"/>
        <v>15</v>
      </c>
      <c r="E64" s="62">
        <f t="shared" si="21"/>
        <v>9.375</v>
      </c>
      <c r="F64" s="62">
        <f t="shared" si="22"/>
        <v>6.25</v>
      </c>
      <c r="G64" s="62">
        <f t="shared" si="23"/>
        <v>4.6875</v>
      </c>
      <c r="H64" s="81">
        <v>125</v>
      </c>
      <c r="I64" s="39">
        <v>0.05</v>
      </c>
      <c r="J64" s="41"/>
      <c r="K64" s="37"/>
      <c r="L64" s="37"/>
      <c r="M64" s="37"/>
      <c r="N64" s="37"/>
      <c r="O64" s="37"/>
      <c r="P64" s="37"/>
      <c r="Q64" s="37"/>
      <c r="R64" s="37"/>
      <c r="S64" s="37"/>
      <c r="T64" s="37"/>
      <c r="U64" s="37"/>
      <c r="V64" s="37"/>
      <c r="W64" s="37"/>
      <c r="X64" s="37"/>
      <c r="Y64" s="37"/>
      <c r="Z64" s="37"/>
    </row>
    <row r="65" ht="12.75" customHeight="1" spans="1:26">
      <c r="A65" s="37"/>
      <c r="B65" s="72"/>
      <c r="C65" s="73"/>
      <c r="D65" s="62">
        <f t="shared" si="20"/>
        <v>0</v>
      </c>
      <c r="E65" s="62">
        <f t="shared" si="21"/>
        <v>0</v>
      </c>
      <c r="F65" s="62">
        <f t="shared" si="22"/>
        <v>0</v>
      </c>
      <c r="G65" s="62">
        <f t="shared" si="23"/>
        <v>0</v>
      </c>
      <c r="H65" s="74"/>
      <c r="I65" s="48"/>
      <c r="J65" s="41"/>
      <c r="K65" s="37"/>
      <c r="L65" s="37"/>
      <c r="M65" s="37"/>
      <c r="N65" s="37"/>
      <c r="O65" s="37"/>
      <c r="P65" s="37"/>
      <c r="Q65" s="37"/>
      <c r="R65" s="37"/>
      <c r="S65" s="37"/>
      <c r="T65" s="37"/>
      <c r="U65" s="37"/>
      <c r="V65" s="37"/>
      <c r="W65" s="37"/>
      <c r="X65" s="37"/>
      <c r="Y65" s="37"/>
      <c r="Z65" s="37"/>
    </row>
    <row r="66" ht="18" customHeight="1" spans="1:26">
      <c r="A66" s="69" t="s">
        <v>2711</v>
      </c>
      <c r="B66" s="76"/>
      <c r="C66" s="77"/>
      <c r="D66" s="78"/>
      <c r="E66" s="78"/>
      <c r="F66" s="78"/>
      <c r="G66" s="78"/>
      <c r="H66" s="79"/>
      <c r="I66" s="91"/>
      <c r="J66" s="90"/>
      <c r="K66" s="37"/>
      <c r="L66" s="37"/>
      <c r="M66" s="37"/>
      <c r="N66" s="37"/>
      <c r="O66" s="37"/>
      <c r="P66" s="37"/>
      <c r="Q66" s="37"/>
      <c r="R66" s="37"/>
      <c r="S66" s="37"/>
      <c r="T66" s="37"/>
      <c r="U66" s="37"/>
      <c r="V66" s="37"/>
      <c r="W66" s="37"/>
      <c r="X66" s="37"/>
      <c r="Y66" s="37"/>
      <c r="Z66" s="37"/>
    </row>
    <row r="67" ht="12.75" customHeight="1" spans="1:26">
      <c r="A67" s="42" t="s">
        <v>503</v>
      </c>
      <c r="B67" s="72">
        <v>16</v>
      </c>
      <c r="C67" s="73" t="s">
        <v>2668</v>
      </c>
      <c r="D67" s="62">
        <f t="shared" ref="D67:D70" si="24">IF(J67="",B67,B67*(1-J67))</f>
        <v>16</v>
      </c>
      <c r="E67" s="62">
        <f t="shared" ref="E67:E70" si="25">$D67/2*(1+$B$1)</f>
        <v>10</v>
      </c>
      <c r="F67" s="62">
        <f t="shared" ref="F67:F70" si="26">$D67/3*(1+$B$1)</f>
        <v>6.66666666666667</v>
      </c>
      <c r="G67" s="62">
        <f t="shared" ref="G67:G70" si="27">$D67/4*(1+$B$1)</f>
        <v>5</v>
      </c>
      <c r="H67" s="75"/>
      <c r="I67" s="92">
        <v>3</v>
      </c>
      <c r="J67" s="41"/>
      <c r="K67" s="37"/>
      <c r="L67" s="37"/>
      <c r="M67" s="37"/>
      <c r="N67" s="37"/>
      <c r="O67" s="37"/>
      <c r="P67" s="37"/>
      <c r="Q67" s="37"/>
      <c r="R67" s="37"/>
      <c r="S67" s="37"/>
      <c r="T67" s="37"/>
      <c r="U67" s="37"/>
      <c r="V67" s="37"/>
      <c r="W67" s="37"/>
      <c r="X67" s="37"/>
      <c r="Y67" s="37"/>
      <c r="Z67" s="37"/>
    </row>
    <row r="68" ht="12.75" customHeight="1" spans="1:26">
      <c r="A68" s="42" t="s">
        <v>504</v>
      </c>
      <c r="B68" s="72">
        <v>8</v>
      </c>
      <c r="C68" s="73" t="s">
        <v>2668</v>
      </c>
      <c r="D68" s="62">
        <f t="shared" si="24"/>
        <v>8</v>
      </c>
      <c r="E68" s="62">
        <f t="shared" si="25"/>
        <v>5</v>
      </c>
      <c r="F68" s="62">
        <f t="shared" si="26"/>
        <v>3.33333333333333</v>
      </c>
      <c r="G68" s="62">
        <f t="shared" si="27"/>
        <v>2.5</v>
      </c>
      <c r="H68" s="75"/>
      <c r="I68" s="92">
        <v>6</v>
      </c>
      <c r="J68" s="41"/>
      <c r="K68" s="37"/>
      <c r="L68" s="37"/>
      <c r="M68" s="37"/>
      <c r="N68" s="37"/>
      <c r="O68" s="37"/>
      <c r="P68" s="37"/>
      <c r="Q68" s="37"/>
      <c r="R68" s="37"/>
      <c r="S68" s="37"/>
      <c r="T68" s="37"/>
      <c r="U68" s="37"/>
      <c r="V68" s="37"/>
      <c r="W68" s="37"/>
      <c r="X68" s="37"/>
      <c r="Y68" s="37"/>
      <c r="Z68" s="37"/>
    </row>
    <row r="69" ht="12.75" customHeight="1" spans="1:26">
      <c r="A69" s="37"/>
      <c r="B69" s="72"/>
      <c r="C69" s="73"/>
      <c r="D69" s="62">
        <f t="shared" si="24"/>
        <v>0</v>
      </c>
      <c r="E69" s="62">
        <f t="shared" si="25"/>
        <v>0</v>
      </c>
      <c r="F69" s="62">
        <f t="shared" si="26"/>
        <v>0</v>
      </c>
      <c r="G69" s="62">
        <f t="shared" si="27"/>
        <v>0</v>
      </c>
      <c r="H69" s="75"/>
      <c r="I69" s="93"/>
      <c r="J69" s="41"/>
      <c r="K69" s="37"/>
      <c r="L69" s="37"/>
      <c r="M69" s="37"/>
      <c r="N69" s="37"/>
      <c r="O69" s="37"/>
      <c r="P69" s="37"/>
      <c r="Q69" s="37"/>
      <c r="R69" s="37"/>
      <c r="S69" s="37"/>
      <c r="T69" s="37"/>
      <c r="U69" s="37"/>
      <c r="V69" s="37"/>
      <c r="W69" s="37"/>
      <c r="X69" s="37"/>
      <c r="Y69" s="37"/>
      <c r="Z69" s="37"/>
    </row>
    <row r="70" ht="12.75" customHeight="1" spans="1:26">
      <c r="A70" s="42"/>
      <c r="B70" s="72"/>
      <c r="C70" s="73"/>
      <c r="D70" s="62">
        <f t="shared" si="24"/>
        <v>0</v>
      </c>
      <c r="E70" s="62">
        <f t="shared" si="25"/>
        <v>0</v>
      </c>
      <c r="F70" s="62">
        <f t="shared" si="26"/>
        <v>0</v>
      </c>
      <c r="G70" s="62">
        <f t="shared" si="27"/>
        <v>0</v>
      </c>
      <c r="H70" s="75"/>
      <c r="I70" s="39">
        <v>0</v>
      </c>
      <c r="J70" s="41"/>
      <c r="K70" s="37"/>
      <c r="L70" s="37"/>
      <c r="M70" s="37"/>
      <c r="N70" s="37"/>
      <c r="O70" s="37"/>
      <c r="P70" s="37"/>
      <c r="Q70" s="37"/>
      <c r="R70" s="37"/>
      <c r="S70" s="37"/>
      <c r="T70" s="37"/>
      <c r="U70" s="37"/>
      <c r="V70" s="37"/>
      <c r="W70" s="37"/>
      <c r="X70" s="37"/>
      <c r="Y70" s="37"/>
      <c r="Z70" s="37"/>
    </row>
    <row r="71" ht="12.75" customHeight="1" spans="1:26">
      <c r="A71" s="37"/>
      <c r="B71" s="37"/>
      <c r="C71" s="61"/>
      <c r="D71" s="37"/>
      <c r="E71" s="62"/>
      <c r="F71" s="62"/>
      <c r="G71" s="62"/>
      <c r="H71" s="62"/>
      <c r="I71" s="65"/>
      <c r="J71" s="43"/>
      <c r="K71" s="54"/>
      <c r="L71" s="37"/>
      <c r="M71" s="37"/>
      <c r="N71" s="37"/>
      <c r="O71" s="37"/>
      <c r="P71" s="37"/>
      <c r="Q71" s="37"/>
      <c r="R71" s="37"/>
      <c r="S71" s="37"/>
      <c r="T71" s="37"/>
      <c r="U71" s="37"/>
      <c r="V71" s="37"/>
      <c r="W71" s="37"/>
      <c r="X71" s="37"/>
      <c r="Y71" s="37"/>
      <c r="Z71" s="37"/>
    </row>
    <row r="72" ht="12.75" customHeight="1" spans="1:26">
      <c r="A72" s="37"/>
      <c r="B72" s="37"/>
      <c r="C72" s="61"/>
      <c r="D72" s="37"/>
      <c r="E72" s="62"/>
      <c r="F72" s="62"/>
      <c r="G72" s="62"/>
      <c r="H72" s="62"/>
      <c r="I72" s="65"/>
      <c r="J72" s="43"/>
      <c r="K72" s="54"/>
      <c r="L72" s="37"/>
      <c r="M72" s="37"/>
      <c r="N72" s="37"/>
      <c r="O72" s="37"/>
      <c r="P72" s="37"/>
      <c r="Q72" s="37"/>
      <c r="R72" s="37"/>
      <c r="S72" s="37"/>
      <c r="T72" s="37"/>
      <c r="U72" s="37"/>
      <c r="V72" s="37"/>
      <c r="W72" s="37"/>
      <c r="X72" s="37"/>
      <c r="Y72" s="37"/>
      <c r="Z72" s="37"/>
    </row>
    <row r="73" ht="12.75" customHeight="1" spans="1:26">
      <c r="A73" s="37"/>
      <c r="B73" s="37"/>
      <c r="C73" s="61"/>
      <c r="D73" s="37"/>
      <c r="E73" s="62"/>
      <c r="F73" s="62"/>
      <c r="G73" s="62"/>
      <c r="H73" s="62"/>
      <c r="I73" s="65"/>
      <c r="J73" s="43"/>
      <c r="K73" s="54"/>
      <c r="L73" s="37"/>
      <c r="M73" s="37"/>
      <c r="N73" s="37"/>
      <c r="O73" s="37"/>
      <c r="P73" s="37"/>
      <c r="Q73" s="37"/>
      <c r="R73" s="37"/>
      <c r="S73" s="37"/>
      <c r="T73" s="37"/>
      <c r="U73" s="37"/>
      <c r="V73" s="37"/>
      <c r="W73" s="37"/>
      <c r="X73" s="37"/>
      <c r="Y73" s="37"/>
      <c r="Z73" s="37"/>
    </row>
    <row r="74" ht="12.75" customHeight="1" spans="1:26">
      <c r="A74" s="37"/>
      <c r="B74" s="37"/>
      <c r="C74" s="61"/>
      <c r="D74" s="37"/>
      <c r="E74" s="62"/>
      <c r="F74" s="62"/>
      <c r="G74" s="62"/>
      <c r="H74" s="62"/>
      <c r="I74" s="65"/>
      <c r="J74" s="43"/>
      <c r="K74" s="54"/>
      <c r="L74" s="37"/>
      <c r="M74" s="37"/>
      <c r="N74" s="37"/>
      <c r="O74" s="37"/>
      <c r="P74" s="37"/>
      <c r="Q74" s="37"/>
      <c r="R74" s="37"/>
      <c r="S74" s="37"/>
      <c r="T74" s="37"/>
      <c r="U74" s="37"/>
      <c r="V74" s="37"/>
      <c r="W74" s="37"/>
      <c r="X74" s="37"/>
      <c r="Y74" s="37"/>
      <c r="Z74" s="37"/>
    </row>
    <row r="75" ht="12.75" customHeight="1" spans="1:26">
      <c r="A75" s="37"/>
      <c r="B75" s="37"/>
      <c r="C75" s="61"/>
      <c r="D75" s="37"/>
      <c r="E75" s="62"/>
      <c r="F75" s="62"/>
      <c r="G75" s="62"/>
      <c r="H75" s="62"/>
      <c r="I75" s="65"/>
      <c r="J75" s="43"/>
      <c r="K75" s="54"/>
      <c r="L75" s="37"/>
      <c r="M75" s="37"/>
      <c r="N75" s="37"/>
      <c r="O75" s="37"/>
      <c r="P75" s="37"/>
      <c r="Q75" s="37"/>
      <c r="R75" s="37"/>
      <c r="S75" s="37"/>
      <c r="T75" s="37"/>
      <c r="U75" s="37"/>
      <c r="V75" s="37"/>
      <c r="W75" s="37"/>
      <c r="X75" s="37"/>
      <c r="Y75" s="37"/>
      <c r="Z75" s="37"/>
    </row>
    <row r="76" ht="12.75" customHeight="1" spans="1:26">
      <c r="A76" s="37"/>
      <c r="B76" s="37"/>
      <c r="C76" s="61"/>
      <c r="D76" s="37"/>
      <c r="E76" s="62"/>
      <c r="F76" s="62"/>
      <c r="G76" s="62"/>
      <c r="H76" s="62"/>
      <c r="I76" s="65"/>
      <c r="J76" s="43"/>
      <c r="K76" s="54"/>
      <c r="L76" s="37"/>
      <c r="M76" s="37"/>
      <c r="N76" s="37"/>
      <c r="O76" s="37"/>
      <c r="P76" s="37"/>
      <c r="Q76" s="37"/>
      <c r="R76" s="37"/>
      <c r="S76" s="37"/>
      <c r="T76" s="37"/>
      <c r="U76" s="37"/>
      <c r="V76" s="37"/>
      <c r="W76" s="37"/>
      <c r="X76" s="37"/>
      <c r="Y76" s="37"/>
      <c r="Z76" s="37"/>
    </row>
    <row r="77" ht="12.75" customHeight="1" spans="1:26">
      <c r="A77" s="37"/>
      <c r="B77" s="37"/>
      <c r="C77" s="61"/>
      <c r="D77" s="37"/>
      <c r="E77" s="37"/>
      <c r="F77" s="62"/>
      <c r="G77" s="62"/>
      <c r="H77" s="62"/>
      <c r="I77" s="65"/>
      <c r="J77" s="43"/>
      <c r="K77" s="54"/>
      <c r="L77" s="37"/>
      <c r="M77" s="37"/>
      <c r="N77" s="37"/>
      <c r="O77" s="37"/>
      <c r="P77" s="37"/>
      <c r="Q77" s="37"/>
      <c r="R77" s="37"/>
      <c r="S77" s="37"/>
      <c r="T77" s="37"/>
      <c r="U77" s="37"/>
      <c r="V77" s="37"/>
      <c r="W77" s="37"/>
      <c r="X77" s="37"/>
      <c r="Y77" s="37"/>
      <c r="Z77" s="37"/>
    </row>
    <row r="78" ht="12.75" customHeight="1" spans="1:26">
      <c r="A78" s="37"/>
      <c r="B78" s="37"/>
      <c r="C78" s="61"/>
      <c r="D78" s="37"/>
      <c r="E78" s="37"/>
      <c r="F78" s="62"/>
      <c r="G78" s="62"/>
      <c r="H78" s="62"/>
      <c r="I78" s="65"/>
      <c r="J78" s="43"/>
      <c r="K78" s="54"/>
      <c r="L78" s="37"/>
      <c r="M78" s="37"/>
      <c r="N78" s="37"/>
      <c r="O78" s="37"/>
      <c r="P78" s="37"/>
      <c r="Q78" s="37"/>
      <c r="R78" s="37"/>
      <c r="S78" s="37"/>
      <c r="T78" s="37"/>
      <c r="U78" s="37"/>
      <c r="V78" s="37"/>
      <c r="W78" s="37"/>
      <c r="X78" s="37"/>
      <c r="Y78" s="37"/>
      <c r="Z78" s="37"/>
    </row>
    <row r="79" ht="12.75" customHeight="1" spans="1:26">
      <c r="A79" s="37"/>
      <c r="B79" s="37"/>
      <c r="C79" s="61"/>
      <c r="D79" s="37"/>
      <c r="E79" s="37"/>
      <c r="F79" s="62"/>
      <c r="G79" s="62"/>
      <c r="H79" s="62"/>
      <c r="I79" s="65"/>
      <c r="J79" s="43"/>
      <c r="K79" s="54"/>
      <c r="L79" s="37"/>
      <c r="M79" s="37"/>
      <c r="N79" s="37"/>
      <c r="O79" s="37"/>
      <c r="P79" s="37"/>
      <c r="Q79" s="37"/>
      <c r="R79" s="37"/>
      <c r="S79" s="37"/>
      <c r="T79" s="37"/>
      <c r="U79" s="37"/>
      <c r="V79" s="37"/>
      <c r="W79" s="37"/>
      <c r="X79" s="37"/>
      <c r="Y79" s="37"/>
      <c r="Z79" s="37"/>
    </row>
    <row r="80" ht="12.75" customHeight="1" spans="1:26">
      <c r="A80" s="37"/>
      <c r="B80" s="37"/>
      <c r="C80" s="61"/>
      <c r="D80" s="37"/>
      <c r="E80" s="37"/>
      <c r="F80" s="62"/>
      <c r="G80" s="62"/>
      <c r="H80" s="62"/>
      <c r="I80" s="65"/>
      <c r="J80" s="43"/>
      <c r="K80" s="54"/>
      <c r="L80" s="37"/>
      <c r="M80" s="37"/>
      <c r="N80" s="37"/>
      <c r="O80" s="37"/>
      <c r="P80" s="37"/>
      <c r="Q80" s="37"/>
      <c r="R80" s="37"/>
      <c r="S80" s="37"/>
      <c r="T80" s="37"/>
      <c r="U80" s="37"/>
      <c r="V80" s="37"/>
      <c r="W80" s="37"/>
      <c r="X80" s="37"/>
      <c r="Y80" s="37"/>
      <c r="Z80" s="37"/>
    </row>
    <row r="81" ht="12.75" customHeight="1" spans="1:26">
      <c r="A81" s="37"/>
      <c r="B81" s="37"/>
      <c r="C81" s="61"/>
      <c r="D81" s="37"/>
      <c r="E81" s="37"/>
      <c r="F81" s="62"/>
      <c r="G81" s="62"/>
      <c r="H81" s="62"/>
      <c r="I81" s="65"/>
      <c r="J81" s="43"/>
      <c r="K81" s="54"/>
      <c r="L81" s="37"/>
      <c r="M81" s="37"/>
      <c r="N81" s="37"/>
      <c r="O81" s="37"/>
      <c r="P81" s="37"/>
      <c r="Q81" s="37"/>
      <c r="R81" s="37"/>
      <c r="S81" s="37"/>
      <c r="T81" s="37"/>
      <c r="U81" s="37"/>
      <c r="V81" s="37"/>
      <c r="W81" s="37"/>
      <c r="X81" s="37"/>
      <c r="Y81" s="37"/>
      <c r="Z81" s="37"/>
    </row>
    <row r="82" ht="12.75" customHeight="1" spans="1:26">
      <c r="A82" s="37"/>
      <c r="B82" s="37"/>
      <c r="C82" s="61"/>
      <c r="D82" s="37"/>
      <c r="E82" s="37"/>
      <c r="F82" s="62"/>
      <c r="G82" s="62"/>
      <c r="H82" s="62"/>
      <c r="I82" s="65"/>
      <c r="J82" s="43"/>
      <c r="K82" s="54"/>
      <c r="L82" s="37"/>
      <c r="M82" s="37"/>
      <c r="N82" s="37"/>
      <c r="O82" s="37"/>
      <c r="P82" s="37"/>
      <c r="Q82" s="37"/>
      <c r="R82" s="37"/>
      <c r="S82" s="37"/>
      <c r="T82" s="37"/>
      <c r="U82" s="37"/>
      <c r="V82" s="37"/>
      <c r="W82" s="37"/>
      <c r="X82" s="37"/>
      <c r="Y82" s="37"/>
      <c r="Z82" s="37"/>
    </row>
    <row r="83" ht="12.75" customHeight="1" spans="1:26">
      <c r="A83" s="37"/>
      <c r="B83" s="37"/>
      <c r="C83" s="61"/>
      <c r="D83" s="37"/>
      <c r="E83" s="37"/>
      <c r="F83" s="62"/>
      <c r="G83" s="62"/>
      <c r="H83" s="62"/>
      <c r="I83" s="65"/>
      <c r="J83" s="43"/>
      <c r="K83" s="54"/>
      <c r="L83" s="37"/>
      <c r="M83" s="37"/>
      <c r="N83" s="37"/>
      <c r="O83" s="37"/>
      <c r="P83" s="37"/>
      <c r="Q83" s="37"/>
      <c r="R83" s="37"/>
      <c r="S83" s="37"/>
      <c r="T83" s="37"/>
      <c r="U83" s="37"/>
      <c r="V83" s="37"/>
      <c r="W83" s="37"/>
      <c r="X83" s="37"/>
      <c r="Y83" s="37"/>
      <c r="Z83" s="37"/>
    </row>
    <row r="84" ht="12.75" customHeight="1" spans="1:26">
      <c r="A84" s="37"/>
      <c r="B84" s="37"/>
      <c r="C84" s="61"/>
      <c r="D84" s="37"/>
      <c r="E84" s="37"/>
      <c r="F84" s="62"/>
      <c r="G84" s="62"/>
      <c r="H84" s="62"/>
      <c r="I84" s="65"/>
      <c r="J84" s="43"/>
      <c r="K84" s="54"/>
      <c r="L84" s="37"/>
      <c r="M84" s="37"/>
      <c r="N84" s="37"/>
      <c r="O84" s="37"/>
      <c r="P84" s="37"/>
      <c r="Q84" s="37"/>
      <c r="R84" s="37"/>
      <c r="S84" s="37"/>
      <c r="T84" s="37"/>
      <c r="U84" s="37"/>
      <c r="V84" s="37"/>
      <c r="W84" s="37"/>
      <c r="X84" s="37"/>
      <c r="Y84" s="37"/>
      <c r="Z84" s="37"/>
    </row>
    <row r="85" ht="12.75" customHeight="1" spans="1:26">
      <c r="A85" s="37"/>
      <c r="B85" s="37"/>
      <c r="C85" s="61"/>
      <c r="D85" s="37"/>
      <c r="E85" s="37"/>
      <c r="F85" s="62"/>
      <c r="G85" s="62"/>
      <c r="H85" s="62"/>
      <c r="I85" s="65"/>
      <c r="J85" s="43"/>
      <c r="K85" s="54"/>
      <c r="L85" s="37"/>
      <c r="M85" s="37"/>
      <c r="N85" s="37"/>
      <c r="O85" s="37"/>
      <c r="P85" s="37"/>
      <c r="Q85" s="37"/>
      <c r="R85" s="37"/>
      <c r="S85" s="37"/>
      <c r="T85" s="37"/>
      <c r="U85" s="37"/>
      <c r="V85" s="37"/>
      <c r="W85" s="37"/>
      <c r="X85" s="37"/>
      <c r="Y85" s="37"/>
      <c r="Z85" s="37"/>
    </row>
    <row r="86" ht="12.75" customHeight="1" spans="1:26">
      <c r="A86" s="37"/>
      <c r="B86" s="37"/>
      <c r="C86" s="61"/>
      <c r="D86" s="37"/>
      <c r="E86" s="37"/>
      <c r="F86" s="62"/>
      <c r="G86" s="62"/>
      <c r="H86" s="62"/>
      <c r="I86" s="65"/>
      <c r="J86" s="43"/>
      <c r="K86" s="54"/>
      <c r="L86" s="37"/>
      <c r="M86" s="37"/>
      <c r="N86" s="37"/>
      <c r="O86" s="37"/>
      <c r="P86" s="37"/>
      <c r="Q86" s="37"/>
      <c r="R86" s="37"/>
      <c r="S86" s="37"/>
      <c r="T86" s="37"/>
      <c r="U86" s="37"/>
      <c r="V86" s="37"/>
      <c r="W86" s="37"/>
      <c r="X86" s="37"/>
      <c r="Y86" s="37"/>
      <c r="Z86" s="37"/>
    </row>
    <row r="87" ht="12.75" customHeight="1" spans="1:26">
      <c r="A87" s="37"/>
      <c r="B87" s="37"/>
      <c r="C87" s="61"/>
      <c r="D87" s="37"/>
      <c r="E87" s="37"/>
      <c r="F87" s="62"/>
      <c r="G87" s="62"/>
      <c r="H87" s="62"/>
      <c r="I87" s="65"/>
      <c r="J87" s="43"/>
      <c r="K87" s="54"/>
      <c r="L87" s="37"/>
      <c r="M87" s="37"/>
      <c r="N87" s="37"/>
      <c r="O87" s="37"/>
      <c r="P87" s="37"/>
      <c r="Q87" s="37"/>
      <c r="R87" s="37"/>
      <c r="S87" s="37"/>
      <c r="T87" s="37"/>
      <c r="U87" s="37"/>
      <c r="V87" s="37"/>
      <c r="W87" s="37"/>
      <c r="X87" s="37"/>
      <c r="Y87" s="37"/>
      <c r="Z87" s="37"/>
    </row>
    <row r="88" ht="12.75" customHeight="1" spans="1:26">
      <c r="A88" s="37"/>
      <c r="B88" s="37"/>
      <c r="C88" s="61"/>
      <c r="D88" s="37"/>
      <c r="E88" s="37"/>
      <c r="F88" s="62"/>
      <c r="G88" s="62"/>
      <c r="H88" s="62"/>
      <c r="I88" s="65"/>
      <c r="J88" s="43"/>
      <c r="K88" s="54"/>
      <c r="L88" s="37"/>
      <c r="M88" s="37"/>
      <c r="N88" s="37"/>
      <c r="O88" s="37"/>
      <c r="P88" s="37"/>
      <c r="Q88" s="37"/>
      <c r="R88" s="37"/>
      <c r="S88" s="37"/>
      <c r="T88" s="37"/>
      <c r="U88" s="37"/>
      <c r="V88" s="37"/>
      <c r="W88" s="37"/>
      <c r="X88" s="37"/>
      <c r="Y88" s="37"/>
      <c r="Z88" s="37"/>
    </row>
    <row r="89" ht="12.75" customHeight="1" spans="1:26">
      <c r="A89" s="37"/>
      <c r="B89" s="37"/>
      <c r="C89" s="61"/>
      <c r="D89" s="37"/>
      <c r="E89" s="37"/>
      <c r="F89" s="62"/>
      <c r="G89" s="62"/>
      <c r="H89" s="62"/>
      <c r="I89" s="65"/>
      <c r="J89" s="43"/>
      <c r="K89" s="54"/>
      <c r="L89" s="37"/>
      <c r="M89" s="37"/>
      <c r="N89" s="37"/>
      <c r="O89" s="37"/>
      <c r="P89" s="37"/>
      <c r="Q89" s="37"/>
      <c r="R89" s="37"/>
      <c r="S89" s="37"/>
      <c r="T89" s="37"/>
      <c r="U89" s="37"/>
      <c r="V89" s="37"/>
      <c r="W89" s="37"/>
      <c r="X89" s="37"/>
      <c r="Y89" s="37"/>
      <c r="Z89" s="37"/>
    </row>
    <row r="90" ht="12.75" customHeight="1" spans="1:26">
      <c r="A90" s="37"/>
      <c r="B90" s="37"/>
      <c r="C90" s="61"/>
      <c r="D90" s="37"/>
      <c r="E90" s="37"/>
      <c r="F90" s="62"/>
      <c r="G90" s="62"/>
      <c r="H90" s="62"/>
      <c r="I90" s="65"/>
      <c r="J90" s="43"/>
      <c r="K90" s="54"/>
      <c r="L90" s="37"/>
      <c r="M90" s="37"/>
      <c r="N90" s="37"/>
      <c r="O90" s="37"/>
      <c r="P90" s="37"/>
      <c r="Q90" s="37"/>
      <c r="R90" s="37"/>
      <c r="S90" s="37"/>
      <c r="T90" s="37"/>
      <c r="U90" s="37"/>
      <c r="V90" s="37"/>
      <c r="W90" s="37"/>
      <c r="X90" s="37"/>
      <c r="Y90" s="37"/>
      <c r="Z90" s="37"/>
    </row>
    <row r="91" ht="12.75" customHeight="1" spans="1:26">
      <c r="A91" s="37"/>
      <c r="B91" s="37"/>
      <c r="C91" s="61"/>
      <c r="D91" s="37"/>
      <c r="E91" s="37"/>
      <c r="F91" s="62"/>
      <c r="G91" s="62"/>
      <c r="H91" s="62"/>
      <c r="I91" s="65"/>
      <c r="J91" s="43"/>
      <c r="K91" s="54"/>
      <c r="L91" s="37"/>
      <c r="M91" s="37"/>
      <c r="N91" s="37"/>
      <c r="O91" s="37"/>
      <c r="P91" s="37"/>
      <c r="Q91" s="37"/>
      <c r="R91" s="37"/>
      <c r="S91" s="37"/>
      <c r="T91" s="37"/>
      <c r="U91" s="37"/>
      <c r="V91" s="37"/>
      <c r="W91" s="37"/>
      <c r="X91" s="37"/>
      <c r="Y91" s="37"/>
      <c r="Z91" s="37"/>
    </row>
    <row r="92" ht="12.75" customHeight="1" spans="1:26">
      <c r="A92" s="37"/>
      <c r="B92" s="37"/>
      <c r="C92" s="61"/>
      <c r="D92" s="37"/>
      <c r="E92" s="37"/>
      <c r="F92" s="62"/>
      <c r="G92" s="62"/>
      <c r="H92" s="62"/>
      <c r="I92" s="65"/>
      <c r="J92" s="43"/>
      <c r="K92" s="54"/>
      <c r="L92" s="37"/>
      <c r="M92" s="37"/>
      <c r="N92" s="37"/>
      <c r="O92" s="37"/>
      <c r="P92" s="37"/>
      <c r="Q92" s="37"/>
      <c r="R92" s="37"/>
      <c r="S92" s="37"/>
      <c r="T92" s="37"/>
      <c r="U92" s="37"/>
      <c r="V92" s="37"/>
      <c r="W92" s="37"/>
      <c r="X92" s="37"/>
      <c r="Y92" s="37"/>
      <c r="Z92" s="37"/>
    </row>
    <row r="93" ht="12.75" customHeight="1" spans="1:26">
      <c r="A93" s="37"/>
      <c r="B93" s="37"/>
      <c r="C93" s="61"/>
      <c r="D93" s="37"/>
      <c r="E93" s="37"/>
      <c r="F93" s="62"/>
      <c r="G93" s="62"/>
      <c r="H93" s="62"/>
      <c r="I93" s="65"/>
      <c r="J93" s="43"/>
      <c r="K93" s="54"/>
      <c r="L93" s="37"/>
      <c r="M93" s="37"/>
      <c r="N93" s="37"/>
      <c r="O93" s="37"/>
      <c r="P93" s="37"/>
      <c r="Q93" s="37"/>
      <c r="R93" s="37"/>
      <c r="S93" s="37"/>
      <c r="T93" s="37"/>
      <c r="U93" s="37"/>
      <c r="V93" s="37"/>
      <c r="W93" s="37"/>
      <c r="X93" s="37"/>
      <c r="Y93" s="37"/>
      <c r="Z93" s="37"/>
    </row>
    <row r="94" ht="12.75" customHeight="1" spans="1:26">
      <c r="A94" s="37"/>
      <c r="B94" s="37"/>
      <c r="C94" s="61"/>
      <c r="D94" s="37"/>
      <c r="E94" s="37"/>
      <c r="F94" s="62"/>
      <c r="G94" s="62"/>
      <c r="H94" s="62"/>
      <c r="I94" s="65"/>
      <c r="J94" s="43"/>
      <c r="K94" s="54"/>
      <c r="L94" s="37"/>
      <c r="M94" s="37"/>
      <c r="N94" s="37"/>
      <c r="O94" s="37"/>
      <c r="P94" s="37"/>
      <c r="Q94" s="37"/>
      <c r="R94" s="37"/>
      <c r="S94" s="37"/>
      <c r="T94" s="37"/>
      <c r="U94" s="37"/>
      <c r="V94" s="37"/>
      <c r="W94" s="37"/>
      <c r="X94" s="37"/>
      <c r="Y94" s="37"/>
      <c r="Z94" s="37"/>
    </row>
    <row r="95" ht="12.75" customHeight="1" spans="1:26">
      <c r="A95" s="37"/>
      <c r="B95" s="37"/>
      <c r="C95" s="61"/>
      <c r="D95" s="37"/>
      <c r="E95" s="37"/>
      <c r="F95" s="62"/>
      <c r="G95" s="62"/>
      <c r="H95" s="62"/>
      <c r="I95" s="65"/>
      <c r="J95" s="43"/>
      <c r="K95" s="54"/>
      <c r="L95" s="37"/>
      <c r="M95" s="37"/>
      <c r="N95" s="37"/>
      <c r="O95" s="37"/>
      <c r="P95" s="37"/>
      <c r="Q95" s="37"/>
      <c r="R95" s="37"/>
      <c r="S95" s="37"/>
      <c r="T95" s="37"/>
      <c r="U95" s="37"/>
      <c r="V95" s="37"/>
      <c r="W95" s="37"/>
      <c r="X95" s="37"/>
      <c r="Y95" s="37"/>
      <c r="Z95" s="37"/>
    </row>
    <row r="96" ht="12.75" customHeight="1" spans="1:26">
      <c r="A96" s="37"/>
      <c r="B96" s="37"/>
      <c r="C96" s="61"/>
      <c r="D96" s="37"/>
      <c r="E96" s="37"/>
      <c r="F96" s="62"/>
      <c r="G96" s="62"/>
      <c r="H96" s="62"/>
      <c r="I96" s="65"/>
      <c r="J96" s="43"/>
      <c r="K96" s="54"/>
      <c r="L96" s="37"/>
      <c r="M96" s="37"/>
      <c r="N96" s="37"/>
      <c r="O96" s="37"/>
      <c r="P96" s="37"/>
      <c r="Q96" s="37"/>
      <c r="R96" s="37"/>
      <c r="S96" s="37"/>
      <c r="T96" s="37"/>
      <c r="U96" s="37"/>
      <c r="V96" s="37"/>
      <c r="W96" s="37"/>
      <c r="X96" s="37"/>
      <c r="Y96" s="37"/>
      <c r="Z96" s="37"/>
    </row>
    <row r="97" ht="12.75" customHeight="1" spans="1:26">
      <c r="A97" s="37"/>
      <c r="B97" s="37"/>
      <c r="C97" s="61"/>
      <c r="D97" s="37"/>
      <c r="E97" s="37"/>
      <c r="F97" s="62"/>
      <c r="G97" s="62"/>
      <c r="H97" s="62"/>
      <c r="I97" s="65"/>
      <c r="J97" s="43"/>
      <c r="K97" s="54"/>
      <c r="L97" s="37"/>
      <c r="M97" s="37"/>
      <c r="N97" s="37"/>
      <c r="O97" s="37"/>
      <c r="P97" s="37"/>
      <c r="Q97" s="37"/>
      <c r="R97" s="37"/>
      <c r="S97" s="37"/>
      <c r="T97" s="37"/>
      <c r="U97" s="37"/>
      <c r="V97" s="37"/>
      <c r="W97" s="37"/>
      <c r="X97" s="37"/>
      <c r="Y97" s="37"/>
      <c r="Z97" s="37"/>
    </row>
    <row r="98" ht="12.75" customHeight="1" spans="1:26">
      <c r="A98" s="37"/>
      <c r="B98" s="37"/>
      <c r="C98" s="61"/>
      <c r="D98" s="37"/>
      <c r="E98" s="37"/>
      <c r="F98" s="62"/>
      <c r="G98" s="62"/>
      <c r="H98" s="62"/>
      <c r="I98" s="65"/>
      <c r="J98" s="43"/>
      <c r="K98" s="54"/>
      <c r="L98" s="37"/>
      <c r="M98" s="37"/>
      <c r="N98" s="37"/>
      <c r="O98" s="37"/>
      <c r="P98" s="37"/>
      <c r="Q98" s="37"/>
      <c r="R98" s="37"/>
      <c r="S98" s="37"/>
      <c r="T98" s="37"/>
      <c r="U98" s="37"/>
      <c r="V98" s="37"/>
      <c r="W98" s="37"/>
      <c r="X98" s="37"/>
      <c r="Y98" s="37"/>
      <c r="Z98" s="37"/>
    </row>
    <row r="99" ht="12.75" customHeight="1" spans="1:26">
      <c r="A99" s="37"/>
      <c r="B99" s="37"/>
      <c r="C99" s="61"/>
      <c r="D99" s="37"/>
      <c r="E99" s="37"/>
      <c r="F99" s="62"/>
      <c r="G99" s="62"/>
      <c r="H99" s="62"/>
      <c r="I99" s="65"/>
      <c r="J99" s="43"/>
      <c r="K99" s="54"/>
      <c r="L99" s="37"/>
      <c r="M99" s="37"/>
      <c r="N99" s="37"/>
      <c r="O99" s="37"/>
      <c r="P99" s="37"/>
      <c r="Q99" s="37"/>
      <c r="R99" s="37"/>
      <c r="S99" s="37"/>
      <c r="T99" s="37"/>
      <c r="U99" s="37"/>
      <c r="V99" s="37"/>
      <c r="W99" s="37"/>
      <c r="X99" s="37"/>
      <c r="Y99" s="37"/>
      <c r="Z99" s="37"/>
    </row>
    <row r="100" ht="12.75" customHeight="1" spans="1:26">
      <c r="A100" s="37"/>
      <c r="B100" s="37"/>
      <c r="C100" s="61"/>
      <c r="D100" s="37"/>
      <c r="E100" s="37"/>
      <c r="F100" s="62"/>
      <c r="G100" s="62"/>
      <c r="H100" s="62"/>
      <c r="I100" s="65"/>
      <c r="J100" s="43"/>
      <c r="K100" s="54"/>
      <c r="L100" s="37"/>
      <c r="M100" s="37"/>
      <c r="N100" s="37"/>
      <c r="O100" s="37"/>
      <c r="P100" s="37"/>
      <c r="Q100" s="37"/>
      <c r="R100" s="37"/>
      <c r="S100" s="37"/>
      <c r="T100" s="37"/>
      <c r="U100" s="37"/>
      <c r="V100" s="37"/>
      <c r="W100" s="37"/>
      <c r="X100" s="37"/>
      <c r="Y100" s="37"/>
      <c r="Z100" s="37"/>
    </row>
    <row r="101" ht="12.75" customHeight="1" spans="1:26">
      <c r="A101" s="37"/>
      <c r="B101" s="37"/>
      <c r="C101" s="61"/>
      <c r="D101" s="37"/>
      <c r="E101" s="37"/>
      <c r="F101" s="62"/>
      <c r="G101" s="62"/>
      <c r="H101" s="62"/>
      <c r="I101" s="65"/>
      <c r="J101" s="43"/>
      <c r="K101" s="54"/>
      <c r="L101" s="37"/>
      <c r="M101" s="37"/>
      <c r="N101" s="37"/>
      <c r="O101" s="37"/>
      <c r="P101" s="37"/>
      <c r="Q101" s="37"/>
      <c r="R101" s="37"/>
      <c r="S101" s="37"/>
      <c r="T101" s="37"/>
      <c r="U101" s="37"/>
      <c r="V101" s="37"/>
      <c r="W101" s="37"/>
      <c r="X101" s="37"/>
      <c r="Y101" s="37"/>
      <c r="Z101" s="37"/>
    </row>
    <row r="102" ht="12.75" customHeight="1" spans="1:26">
      <c r="A102" s="37"/>
      <c r="B102" s="37"/>
      <c r="C102" s="61"/>
      <c r="D102" s="37"/>
      <c r="E102" s="37"/>
      <c r="F102" s="62"/>
      <c r="G102" s="62"/>
      <c r="H102" s="62"/>
      <c r="I102" s="65"/>
      <c r="J102" s="43"/>
      <c r="K102" s="54"/>
      <c r="L102" s="37"/>
      <c r="M102" s="37"/>
      <c r="N102" s="37"/>
      <c r="O102" s="37"/>
      <c r="P102" s="37"/>
      <c r="Q102" s="37"/>
      <c r="R102" s="37"/>
      <c r="S102" s="37"/>
      <c r="T102" s="37"/>
      <c r="U102" s="37"/>
      <c r="V102" s="37"/>
      <c r="W102" s="37"/>
      <c r="X102" s="37"/>
      <c r="Y102" s="37"/>
      <c r="Z102" s="37"/>
    </row>
    <row r="103" ht="12.75" customHeight="1" spans="1:26">
      <c r="A103" s="37"/>
      <c r="B103" s="37"/>
      <c r="C103" s="61"/>
      <c r="D103" s="37"/>
      <c r="E103" s="37"/>
      <c r="F103" s="62"/>
      <c r="G103" s="62"/>
      <c r="H103" s="62"/>
      <c r="I103" s="65"/>
      <c r="J103" s="43"/>
      <c r="K103" s="54"/>
      <c r="L103" s="37"/>
      <c r="M103" s="37"/>
      <c r="N103" s="37"/>
      <c r="O103" s="37"/>
      <c r="P103" s="37"/>
      <c r="Q103" s="37"/>
      <c r="R103" s="37"/>
      <c r="S103" s="37"/>
      <c r="T103" s="37"/>
      <c r="U103" s="37"/>
      <c r="V103" s="37"/>
      <c r="W103" s="37"/>
      <c r="X103" s="37"/>
      <c r="Y103" s="37"/>
      <c r="Z103" s="37"/>
    </row>
    <row r="104" ht="12.75" customHeight="1" spans="1:26">
      <c r="A104" s="37"/>
      <c r="B104" s="37"/>
      <c r="C104" s="61"/>
      <c r="D104" s="37"/>
      <c r="E104" s="37"/>
      <c r="F104" s="62"/>
      <c r="G104" s="62"/>
      <c r="H104" s="62"/>
      <c r="I104" s="65"/>
      <c r="J104" s="43"/>
      <c r="K104" s="54"/>
      <c r="L104" s="37"/>
      <c r="M104" s="37"/>
      <c r="N104" s="37"/>
      <c r="O104" s="37"/>
      <c r="P104" s="37"/>
      <c r="Q104" s="37"/>
      <c r="R104" s="37"/>
      <c r="S104" s="37"/>
      <c r="T104" s="37"/>
      <c r="U104" s="37"/>
      <c r="V104" s="37"/>
      <c r="W104" s="37"/>
      <c r="X104" s="37"/>
      <c r="Y104" s="37"/>
      <c r="Z104" s="37"/>
    </row>
    <row r="105" ht="12.75" customHeight="1" spans="1:26">
      <c r="A105" s="37"/>
      <c r="B105" s="37"/>
      <c r="C105" s="61"/>
      <c r="D105" s="37"/>
      <c r="E105" s="37"/>
      <c r="F105" s="62"/>
      <c r="G105" s="62"/>
      <c r="H105" s="62"/>
      <c r="I105" s="65"/>
      <c r="J105" s="43"/>
      <c r="K105" s="54"/>
      <c r="L105" s="37"/>
      <c r="M105" s="37"/>
      <c r="N105" s="37"/>
      <c r="O105" s="37"/>
      <c r="P105" s="37"/>
      <c r="Q105" s="37"/>
      <c r="R105" s="37"/>
      <c r="S105" s="37"/>
      <c r="T105" s="37"/>
      <c r="U105" s="37"/>
      <c r="V105" s="37"/>
      <c r="W105" s="37"/>
      <c r="X105" s="37"/>
      <c r="Y105" s="37"/>
      <c r="Z105" s="37"/>
    </row>
    <row r="106" ht="12.75" customHeight="1" spans="1:26">
      <c r="A106" s="37"/>
      <c r="B106" s="37"/>
      <c r="C106" s="61"/>
      <c r="D106" s="37"/>
      <c r="E106" s="37"/>
      <c r="F106" s="62"/>
      <c r="G106" s="62"/>
      <c r="H106" s="62"/>
      <c r="I106" s="65"/>
      <c r="J106" s="43"/>
      <c r="K106" s="54"/>
      <c r="L106" s="37"/>
      <c r="M106" s="37"/>
      <c r="N106" s="37"/>
      <c r="O106" s="37"/>
      <c r="P106" s="37"/>
      <c r="Q106" s="37"/>
      <c r="R106" s="37"/>
      <c r="S106" s="37"/>
      <c r="T106" s="37"/>
      <c r="U106" s="37"/>
      <c r="V106" s="37"/>
      <c r="W106" s="37"/>
      <c r="X106" s="37"/>
      <c r="Y106" s="37"/>
      <c r="Z106" s="37"/>
    </row>
    <row r="107" ht="12.75" customHeight="1" spans="1:26">
      <c r="A107" s="37"/>
      <c r="B107" s="37"/>
      <c r="C107" s="61"/>
      <c r="D107" s="37"/>
      <c r="E107" s="37"/>
      <c r="F107" s="62"/>
      <c r="G107" s="62"/>
      <c r="H107" s="62"/>
      <c r="I107" s="65"/>
      <c r="J107" s="43"/>
      <c r="K107" s="54"/>
      <c r="L107" s="37"/>
      <c r="M107" s="37"/>
      <c r="N107" s="37"/>
      <c r="O107" s="37"/>
      <c r="P107" s="37"/>
      <c r="Q107" s="37"/>
      <c r="R107" s="37"/>
      <c r="S107" s="37"/>
      <c r="T107" s="37"/>
      <c r="U107" s="37"/>
      <c r="V107" s="37"/>
      <c r="W107" s="37"/>
      <c r="X107" s="37"/>
      <c r="Y107" s="37"/>
      <c r="Z107" s="37"/>
    </row>
    <row r="108" ht="12.75" customHeight="1" spans="1:26">
      <c r="A108" s="37"/>
      <c r="B108" s="37"/>
      <c r="C108" s="61"/>
      <c r="D108" s="37"/>
      <c r="E108" s="37"/>
      <c r="F108" s="62"/>
      <c r="G108" s="62"/>
      <c r="H108" s="62"/>
      <c r="I108" s="65"/>
      <c r="J108" s="43"/>
      <c r="K108" s="54"/>
      <c r="L108" s="37"/>
      <c r="M108" s="37"/>
      <c r="N108" s="37"/>
      <c r="O108" s="37"/>
      <c r="P108" s="37"/>
      <c r="Q108" s="37"/>
      <c r="R108" s="37"/>
      <c r="S108" s="37"/>
      <c r="T108" s="37"/>
      <c r="U108" s="37"/>
      <c r="V108" s="37"/>
      <c r="W108" s="37"/>
      <c r="X108" s="37"/>
      <c r="Y108" s="37"/>
      <c r="Z108" s="37"/>
    </row>
    <row r="109" ht="12.75" customHeight="1" spans="1:26">
      <c r="A109" s="37"/>
      <c r="B109" s="37"/>
      <c r="C109" s="61"/>
      <c r="D109" s="37"/>
      <c r="E109" s="37"/>
      <c r="F109" s="62"/>
      <c r="G109" s="62"/>
      <c r="H109" s="62"/>
      <c r="I109" s="65"/>
      <c r="J109" s="43"/>
      <c r="K109" s="54"/>
      <c r="L109" s="37"/>
      <c r="M109" s="37"/>
      <c r="N109" s="37"/>
      <c r="O109" s="37"/>
      <c r="P109" s="37"/>
      <c r="Q109" s="37"/>
      <c r="R109" s="37"/>
      <c r="S109" s="37"/>
      <c r="T109" s="37"/>
      <c r="U109" s="37"/>
      <c r="V109" s="37"/>
      <c r="W109" s="37"/>
      <c r="X109" s="37"/>
      <c r="Y109" s="37"/>
      <c r="Z109" s="37"/>
    </row>
    <row r="110" ht="12.75" customHeight="1" spans="1:26">
      <c r="A110" s="37"/>
      <c r="B110" s="37"/>
      <c r="C110" s="61"/>
      <c r="D110" s="37"/>
      <c r="E110" s="37"/>
      <c r="F110" s="62"/>
      <c r="G110" s="62"/>
      <c r="H110" s="62"/>
      <c r="I110" s="65"/>
      <c r="J110" s="43"/>
      <c r="K110" s="54"/>
      <c r="L110" s="37"/>
      <c r="M110" s="37"/>
      <c r="N110" s="37"/>
      <c r="O110" s="37"/>
      <c r="P110" s="37"/>
      <c r="Q110" s="37"/>
      <c r="R110" s="37"/>
      <c r="S110" s="37"/>
      <c r="T110" s="37"/>
      <c r="U110" s="37"/>
      <c r="V110" s="37"/>
      <c r="W110" s="37"/>
      <c r="X110" s="37"/>
      <c r="Y110" s="37"/>
      <c r="Z110" s="37"/>
    </row>
    <row r="111" ht="12.75" customHeight="1" spans="1:26">
      <c r="A111" s="37"/>
      <c r="B111" s="37"/>
      <c r="C111" s="61"/>
      <c r="D111" s="37"/>
      <c r="E111" s="37"/>
      <c r="F111" s="62"/>
      <c r="G111" s="62"/>
      <c r="H111" s="62"/>
      <c r="I111" s="65"/>
      <c r="J111" s="43"/>
      <c r="K111" s="54"/>
      <c r="L111" s="37"/>
      <c r="M111" s="37"/>
      <c r="N111" s="37"/>
      <c r="O111" s="37"/>
      <c r="P111" s="37"/>
      <c r="Q111" s="37"/>
      <c r="R111" s="37"/>
      <c r="S111" s="37"/>
      <c r="T111" s="37"/>
      <c r="U111" s="37"/>
      <c r="V111" s="37"/>
      <c r="W111" s="37"/>
      <c r="X111" s="37"/>
      <c r="Y111" s="37"/>
      <c r="Z111" s="37"/>
    </row>
    <row r="112" ht="12.75" customHeight="1" spans="1:26">
      <c r="A112" s="37"/>
      <c r="B112" s="37"/>
      <c r="C112" s="61"/>
      <c r="D112" s="37"/>
      <c r="E112" s="37"/>
      <c r="F112" s="62"/>
      <c r="G112" s="62"/>
      <c r="H112" s="62"/>
      <c r="I112" s="65"/>
      <c r="J112" s="43"/>
      <c r="K112" s="54"/>
      <c r="L112" s="37"/>
      <c r="M112" s="37"/>
      <c r="N112" s="37"/>
      <c r="O112" s="37"/>
      <c r="P112" s="37"/>
      <c r="Q112" s="37"/>
      <c r="R112" s="37"/>
      <c r="S112" s="37"/>
      <c r="T112" s="37"/>
      <c r="U112" s="37"/>
      <c r="V112" s="37"/>
      <c r="W112" s="37"/>
      <c r="X112" s="37"/>
      <c r="Y112" s="37"/>
      <c r="Z112" s="37"/>
    </row>
    <row r="113" ht="12.75" customHeight="1" spans="1:26">
      <c r="A113" s="37"/>
      <c r="B113" s="37"/>
      <c r="C113" s="61"/>
      <c r="D113" s="37"/>
      <c r="E113" s="37"/>
      <c r="F113" s="62"/>
      <c r="G113" s="62"/>
      <c r="H113" s="62"/>
      <c r="I113" s="65"/>
      <c r="J113" s="43"/>
      <c r="K113" s="54"/>
      <c r="L113" s="37"/>
      <c r="M113" s="37"/>
      <c r="N113" s="37"/>
      <c r="O113" s="37"/>
      <c r="P113" s="37"/>
      <c r="Q113" s="37"/>
      <c r="R113" s="37"/>
      <c r="S113" s="37"/>
      <c r="T113" s="37"/>
      <c r="U113" s="37"/>
      <c r="V113" s="37"/>
      <c r="W113" s="37"/>
      <c r="X113" s="37"/>
      <c r="Y113" s="37"/>
      <c r="Z113" s="37"/>
    </row>
    <row r="114" ht="12.75" customHeight="1" spans="1:26">
      <c r="A114" s="37"/>
      <c r="B114" s="37"/>
      <c r="C114" s="61"/>
      <c r="D114" s="37"/>
      <c r="E114" s="37"/>
      <c r="F114" s="62"/>
      <c r="G114" s="62"/>
      <c r="H114" s="62"/>
      <c r="I114" s="65"/>
      <c r="J114" s="43"/>
      <c r="K114" s="54"/>
      <c r="L114" s="37"/>
      <c r="M114" s="37"/>
      <c r="N114" s="37"/>
      <c r="O114" s="37"/>
      <c r="P114" s="37"/>
      <c r="Q114" s="37"/>
      <c r="R114" s="37"/>
      <c r="S114" s="37"/>
      <c r="T114" s="37"/>
      <c r="U114" s="37"/>
      <c r="V114" s="37"/>
      <c r="W114" s="37"/>
      <c r="X114" s="37"/>
      <c r="Y114" s="37"/>
      <c r="Z114" s="37"/>
    </row>
    <row r="115" ht="12.75" customHeight="1" spans="1:26">
      <c r="A115" s="37"/>
      <c r="B115" s="37"/>
      <c r="C115" s="61"/>
      <c r="D115" s="37"/>
      <c r="E115" s="37"/>
      <c r="F115" s="62"/>
      <c r="G115" s="62"/>
      <c r="H115" s="62"/>
      <c r="I115" s="65"/>
      <c r="J115" s="43"/>
      <c r="K115" s="54"/>
      <c r="L115" s="37"/>
      <c r="M115" s="37"/>
      <c r="N115" s="37"/>
      <c r="O115" s="37"/>
      <c r="P115" s="37"/>
      <c r="Q115" s="37"/>
      <c r="R115" s="37"/>
      <c r="S115" s="37"/>
      <c r="T115" s="37"/>
      <c r="U115" s="37"/>
      <c r="V115" s="37"/>
      <c r="W115" s="37"/>
      <c r="X115" s="37"/>
      <c r="Y115" s="37"/>
      <c r="Z115" s="37"/>
    </row>
    <row r="116" ht="12.75" customHeight="1" spans="1:26">
      <c r="A116" s="37"/>
      <c r="B116" s="37"/>
      <c r="C116" s="61"/>
      <c r="D116" s="37"/>
      <c r="E116" s="37"/>
      <c r="F116" s="62"/>
      <c r="G116" s="62"/>
      <c r="H116" s="62"/>
      <c r="I116" s="65"/>
      <c r="J116" s="43"/>
      <c r="K116" s="54"/>
      <c r="L116" s="37"/>
      <c r="M116" s="37"/>
      <c r="N116" s="37"/>
      <c r="O116" s="37"/>
      <c r="P116" s="37"/>
      <c r="Q116" s="37"/>
      <c r="R116" s="37"/>
      <c r="S116" s="37"/>
      <c r="T116" s="37"/>
      <c r="U116" s="37"/>
      <c r="V116" s="37"/>
      <c r="W116" s="37"/>
      <c r="X116" s="37"/>
      <c r="Y116" s="37"/>
      <c r="Z116" s="37"/>
    </row>
    <row r="117" ht="12.75" customHeight="1" spans="1:26">
      <c r="A117" s="37"/>
      <c r="B117" s="37"/>
      <c r="C117" s="61"/>
      <c r="D117" s="37"/>
      <c r="E117" s="37"/>
      <c r="F117" s="62"/>
      <c r="G117" s="62"/>
      <c r="H117" s="62"/>
      <c r="I117" s="65"/>
      <c r="J117" s="43"/>
      <c r="K117" s="54"/>
      <c r="L117" s="37"/>
      <c r="M117" s="37"/>
      <c r="N117" s="37"/>
      <c r="O117" s="37"/>
      <c r="P117" s="37"/>
      <c r="Q117" s="37"/>
      <c r="R117" s="37"/>
      <c r="S117" s="37"/>
      <c r="T117" s="37"/>
      <c r="U117" s="37"/>
      <c r="V117" s="37"/>
      <c r="W117" s="37"/>
      <c r="X117" s="37"/>
      <c r="Y117" s="37"/>
      <c r="Z117" s="37"/>
    </row>
    <row r="118" ht="12.75" customHeight="1" spans="1:26">
      <c r="A118" s="37"/>
      <c r="B118" s="37"/>
      <c r="C118" s="61"/>
      <c r="D118" s="37"/>
      <c r="E118" s="37"/>
      <c r="F118" s="62"/>
      <c r="G118" s="62"/>
      <c r="H118" s="62"/>
      <c r="I118" s="65"/>
      <c r="J118" s="43"/>
      <c r="K118" s="54"/>
      <c r="L118" s="37"/>
      <c r="M118" s="37"/>
      <c r="N118" s="37"/>
      <c r="O118" s="37"/>
      <c r="P118" s="37"/>
      <c r="Q118" s="37"/>
      <c r="R118" s="37"/>
      <c r="S118" s="37"/>
      <c r="T118" s="37"/>
      <c r="U118" s="37"/>
      <c r="V118" s="37"/>
      <c r="W118" s="37"/>
      <c r="X118" s="37"/>
      <c r="Y118" s="37"/>
      <c r="Z118" s="37"/>
    </row>
    <row r="119" ht="12.75" customHeight="1" spans="1:26">
      <c r="A119" s="37"/>
      <c r="B119" s="37"/>
      <c r="C119" s="61"/>
      <c r="D119" s="37"/>
      <c r="E119" s="37"/>
      <c r="F119" s="62"/>
      <c r="G119" s="62"/>
      <c r="H119" s="62"/>
      <c r="I119" s="65"/>
      <c r="J119" s="43"/>
      <c r="K119" s="54"/>
      <c r="L119" s="37"/>
      <c r="M119" s="37"/>
      <c r="N119" s="37"/>
      <c r="O119" s="37"/>
      <c r="P119" s="37"/>
      <c r="Q119" s="37"/>
      <c r="R119" s="37"/>
      <c r="S119" s="37"/>
      <c r="T119" s="37"/>
      <c r="U119" s="37"/>
      <c r="V119" s="37"/>
      <c r="W119" s="37"/>
      <c r="X119" s="37"/>
      <c r="Y119" s="37"/>
      <c r="Z119" s="37"/>
    </row>
    <row r="120" ht="12.75" customHeight="1" spans="1:26">
      <c r="A120" s="37"/>
      <c r="B120" s="37"/>
      <c r="C120" s="61"/>
      <c r="D120" s="37"/>
      <c r="E120" s="37"/>
      <c r="F120" s="62"/>
      <c r="G120" s="62"/>
      <c r="H120" s="62"/>
      <c r="I120" s="65"/>
      <c r="J120" s="43"/>
      <c r="K120" s="54"/>
      <c r="L120" s="37"/>
      <c r="M120" s="37"/>
      <c r="N120" s="37"/>
      <c r="O120" s="37"/>
      <c r="P120" s="37"/>
      <c r="Q120" s="37"/>
      <c r="R120" s="37"/>
      <c r="S120" s="37"/>
      <c r="T120" s="37"/>
      <c r="U120" s="37"/>
      <c r="V120" s="37"/>
      <c r="W120" s="37"/>
      <c r="X120" s="37"/>
      <c r="Y120" s="37"/>
      <c r="Z120" s="37"/>
    </row>
    <row r="121" ht="12.75" customHeight="1" spans="1:26">
      <c r="A121" s="37"/>
      <c r="B121" s="37"/>
      <c r="C121" s="61"/>
      <c r="D121" s="37"/>
      <c r="E121" s="37"/>
      <c r="F121" s="62"/>
      <c r="G121" s="62"/>
      <c r="H121" s="62"/>
      <c r="I121" s="65"/>
      <c r="J121" s="43"/>
      <c r="K121" s="54"/>
      <c r="L121" s="37"/>
      <c r="M121" s="37"/>
      <c r="N121" s="37"/>
      <c r="O121" s="37"/>
      <c r="P121" s="37"/>
      <c r="Q121" s="37"/>
      <c r="R121" s="37"/>
      <c r="S121" s="37"/>
      <c r="T121" s="37"/>
      <c r="U121" s="37"/>
      <c r="V121" s="37"/>
      <c r="W121" s="37"/>
      <c r="X121" s="37"/>
      <c r="Y121" s="37"/>
      <c r="Z121" s="37"/>
    </row>
    <row r="122" ht="12.75" customHeight="1" spans="1:26">
      <c r="A122" s="37"/>
      <c r="B122" s="37"/>
      <c r="C122" s="61"/>
      <c r="D122" s="37"/>
      <c r="E122" s="37"/>
      <c r="F122" s="62"/>
      <c r="G122" s="62"/>
      <c r="H122" s="62"/>
      <c r="I122" s="65"/>
      <c r="J122" s="43"/>
      <c r="K122" s="54"/>
      <c r="L122" s="37"/>
      <c r="M122" s="37"/>
      <c r="N122" s="37"/>
      <c r="O122" s="37"/>
      <c r="P122" s="37"/>
      <c r="Q122" s="37"/>
      <c r="R122" s="37"/>
      <c r="S122" s="37"/>
      <c r="T122" s="37"/>
      <c r="U122" s="37"/>
      <c r="V122" s="37"/>
      <c r="W122" s="37"/>
      <c r="X122" s="37"/>
      <c r="Y122" s="37"/>
      <c r="Z122" s="37"/>
    </row>
    <row r="123" ht="12.75" customHeight="1" spans="1:26">
      <c r="A123" s="37"/>
      <c r="B123" s="37"/>
      <c r="C123" s="61"/>
      <c r="D123" s="37"/>
      <c r="E123" s="37"/>
      <c r="F123" s="62"/>
      <c r="G123" s="62"/>
      <c r="H123" s="62"/>
      <c r="I123" s="65"/>
      <c r="J123" s="43"/>
      <c r="K123" s="54"/>
      <c r="L123" s="37"/>
      <c r="M123" s="37"/>
      <c r="N123" s="37"/>
      <c r="O123" s="37"/>
      <c r="P123" s="37"/>
      <c r="Q123" s="37"/>
      <c r="R123" s="37"/>
      <c r="S123" s="37"/>
      <c r="T123" s="37"/>
      <c r="U123" s="37"/>
      <c r="V123" s="37"/>
      <c r="W123" s="37"/>
      <c r="X123" s="37"/>
      <c r="Y123" s="37"/>
      <c r="Z123" s="37"/>
    </row>
    <row r="124" ht="12.75" customHeight="1" spans="1:26">
      <c r="A124" s="37"/>
      <c r="B124" s="37"/>
      <c r="C124" s="61"/>
      <c r="D124" s="37"/>
      <c r="E124" s="37"/>
      <c r="F124" s="62"/>
      <c r="G124" s="62"/>
      <c r="H124" s="62"/>
      <c r="I124" s="65"/>
      <c r="J124" s="43"/>
      <c r="K124" s="54"/>
      <c r="L124" s="37"/>
      <c r="M124" s="37"/>
      <c r="N124" s="37"/>
      <c r="O124" s="37"/>
      <c r="P124" s="37"/>
      <c r="Q124" s="37"/>
      <c r="R124" s="37"/>
      <c r="S124" s="37"/>
      <c r="T124" s="37"/>
      <c r="U124" s="37"/>
      <c r="V124" s="37"/>
      <c r="W124" s="37"/>
      <c r="X124" s="37"/>
      <c r="Y124" s="37"/>
      <c r="Z124" s="37"/>
    </row>
    <row r="125" ht="12.75" customHeight="1" spans="1:26">
      <c r="A125" s="37"/>
      <c r="B125" s="37"/>
      <c r="C125" s="61"/>
      <c r="D125" s="37"/>
      <c r="E125" s="37"/>
      <c r="F125" s="62"/>
      <c r="G125" s="62"/>
      <c r="H125" s="62"/>
      <c r="I125" s="65"/>
      <c r="J125" s="43"/>
      <c r="K125" s="54"/>
      <c r="L125" s="37"/>
      <c r="M125" s="37"/>
      <c r="N125" s="37"/>
      <c r="O125" s="37"/>
      <c r="P125" s="37"/>
      <c r="Q125" s="37"/>
      <c r="R125" s="37"/>
      <c r="S125" s="37"/>
      <c r="T125" s="37"/>
      <c r="U125" s="37"/>
      <c r="V125" s="37"/>
      <c r="W125" s="37"/>
      <c r="X125" s="37"/>
      <c r="Y125" s="37"/>
      <c r="Z125" s="37"/>
    </row>
    <row r="126" ht="12.75" customHeight="1" spans="1:26">
      <c r="A126" s="37"/>
      <c r="B126" s="37"/>
      <c r="C126" s="61"/>
      <c r="D126" s="37"/>
      <c r="E126" s="37"/>
      <c r="F126" s="62"/>
      <c r="G126" s="62"/>
      <c r="H126" s="62"/>
      <c r="I126" s="65"/>
      <c r="J126" s="43"/>
      <c r="K126" s="54"/>
      <c r="L126" s="37"/>
      <c r="M126" s="37"/>
      <c r="N126" s="37"/>
      <c r="O126" s="37"/>
      <c r="P126" s="37"/>
      <c r="Q126" s="37"/>
      <c r="R126" s="37"/>
      <c r="S126" s="37"/>
      <c r="T126" s="37"/>
      <c r="U126" s="37"/>
      <c r="V126" s="37"/>
      <c r="W126" s="37"/>
      <c r="X126" s="37"/>
      <c r="Y126" s="37"/>
      <c r="Z126" s="37"/>
    </row>
    <row r="127" ht="12.75" customHeight="1" spans="1:26">
      <c r="A127" s="37"/>
      <c r="B127" s="37"/>
      <c r="C127" s="61"/>
      <c r="D127" s="37"/>
      <c r="E127" s="37"/>
      <c r="F127" s="62"/>
      <c r="G127" s="62"/>
      <c r="H127" s="62"/>
      <c r="I127" s="65"/>
      <c r="J127" s="43"/>
      <c r="K127" s="54"/>
      <c r="L127" s="37"/>
      <c r="M127" s="37"/>
      <c r="N127" s="37"/>
      <c r="O127" s="37"/>
      <c r="P127" s="37"/>
      <c r="Q127" s="37"/>
      <c r="R127" s="37"/>
      <c r="S127" s="37"/>
      <c r="T127" s="37"/>
      <c r="U127" s="37"/>
      <c r="V127" s="37"/>
      <c r="W127" s="37"/>
      <c r="X127" s="37"/>
      <c r="Y127" s="37"/>
      <c r="Z127" s="37"/>
    </row>
    <row r="128" ht="12.75" customHeight="1" spans="1:26">
      <c r="A128" s="37"/>
      <c r="B128" s="37"/>
      <c r="C128" s="61"/>
      <c r="D128" s="37"/>
      <c r="E128" s="37"/>
      <c r="F128" s="62"/>
      <c r="G128" s="62"/>
      <c r="H128" s="62"/>
      <c r="I128" s="65"/>
      <c r="J128" s="43"/>
      <c r="K128" s="54"/>
      <c r="L128" s="37"/>
      <c r="M128" s="37"/>
      <c r="N128" s="37"/>
      <c r="O128" s="37"/>
      <c r="P128" s="37"/>
      <c r="Q128" s="37"/>
      <c r="R128" s="37"/>
      <c r="S128" s="37"/>
      <c r="T128" s="37"/>
      <c r="U128" s="37"/>
      <c r="V128" s="37"/>
      <c r="W128" s="37"/>
      <c r="X128" s="37"/>
      <c r="Y128" s="37"/>
      <c r="Z128" s="37"/>
    </row>
    <row r="129" ht="12.75" customHeight="1" spans="1:26">
      <c r="A129" s="37"/>
      <c r="B129" s="37"/>
      <c r="C129" s="61"/>
      <c r="D129" s="37"/>
      <c r="E129" s="37"/>
      <c r="F129" s="62"/>
      <c r="G129" s="62"/>
      <c r="H129" s="62"/>
      <c r="I129" s="65"/>
      <c r="J129" s="43"/>
      <c r="K129" s="54"/>
      <c r="L129" s="37"/>
      <c r="M129" s="37"/>
      <c r="N129" s="37"/>
      <c r="O129" s="37"/>
      <c r="P129" s="37"/>
      <c r="Q129" s="37"/>
      <c r="R129" s="37"/>
      <c r="S129" s="37"/>
      <c r="T129" s="37"/>
      <c r="U129" s="37"/>
      <c r="V129" s="37"/>
      <c r="W129" s="37"/>
      <c r="X129" s="37"/>
      <c r="Y129" s="37"/>
      <c r="Z129" s="37"/>
    </row>
    <row r="130" ht="12.75" customHeight="1" spans="1:26">
      <c r="A130" s="37"/>
      <c r="B130" s="37"/>
      <c r="C130" s="61"/>
      <c r="D130" s="37"/>
      <c r="E130" s="37"/>
      <c r="F130" s="62"/>
      <c r="G130" s="62"/>
      <c r="H130" s="62"/>
      <c r="I130" s="65"/>
      <c r="J130" s="43"/>
      <c r="K130" s="54"/>
      <c r="L130" s="37"/>
      <c r="M130" s="37"/>
      <c r="N130" s="37"/>
      <c r="O130" s="37"/>
      <c r="P130" s="37"/>
      <c r="Q130" s="37"/>
      <c r="R130" s="37"/>
      <c r="S130" s="37"/>
      <c r="T130" s="37"/>
      <c r="U130" s="37"/>
      <c r="V130" s="37"/>
      <c r="W130" s="37"/>
      <c r="X130" s="37"/>
      <c r="Y130" s="37"/>
      <c r="Z130" s="37"/>
    </row>
    <row r="131" ht="12.75" customHeight="1" spans="1:26">
      <c r="A131" s="37"/>
      <c r="B131" s="37"/>
      <c r="C131" s="61"/>
      <c r="D131" s="37"/>
      <c r="E131" s="37"/>
      <c r="F131" s="62"/>
      <c r="G131" s="62"/>
      <c r="H131" s="62"/>
      <c r="I131" s="65"/>
      <c r="J131" s="43"/>
      <c r="K131" s="54"/>
      <c r="L131" s="37"/>
      <c r="M131" s="37"/>
      <c r="N131" s="37"/>
      <c r="O131" s="37"/>
      <c r="P131" s="37"/>
      <c r="Q131" s="37"/>
      <c r="R131" s="37"/>
      <c r="S131" s="37"/>
      <c r="T131" s="37"/>
      <c r="U131" s="37"/>
      <c r="V131" s="37"/>
      <c r="W131" s="37"/>
      <c r="X131" s="37"/>
      <c r="Y131" s="37"/>
      <c r="Z131" s="37"/>
    </row>
    <row r="132" ht="12.75" customHeight="1" spans="1:26">
      <c r="A132" s="37"/>
      <c r="B132" s="37"/>
      <c r="C132" s="61"/>
      <c r="D132" s="37"/>
      <c r="E132" s="37"/>
      <c r="F132" s="62"/>
      <c r="G132" s="62"/>
      <c r="H132" s="62"/>
      <c r="I132" s="65"/>
      <c r="J132" s="43"/>
      <c r="K132" s="54"/>
      <c r="L132" s="37"/>
      <c r="M132" s="37"/>
      <c r="N132" s="37"/>
      <c r="O132" s="37"/>
      <c r="P132" s="37"/>
      <c r="Q132" s="37"/>
      <c r="R132" s="37"/>
      <c r="S132" s="37"/>
      <c r="T132" s="37"/>
      <c r="U132" s="37"/>
      <c r="V132" s="37"/>
      <c r="W132" s="37"/>
      <c r="X132" s="37"/>
      <c r="Y132" s="37"/>
      <c r="Z132" s="37"/>
    </row>
    <row r="133" ht="12.75" customHeight="1" spans="1:26">
      <c r="A133" s="37"/>
      <c r="B133" s="37"/>
      <c r="C133" s="61"/>
      <c r="D133" s="37"/>
      <c r="E133" s="37"/>
      <c r="F133" s="62"/>
      <c r="G133" s="62"/>
      <c r="H133" s="62"/>
      <c r="I133" s="65"/>
      <c r="J133" s="43"/>
      <c r="K133" s="54"/>
      <c r="L133" s="37"/>
      <c r="M133" s="37"/>
      <c r="N133" s="37"/>
      <c r="O133" s="37"/>
      <c r="P133" s="37"/>
      <c r="Q133" s="37"/>
      <c r="R133" s="37"/>
      <c r="S133" s="37"/>
      <c r="T133" s="37"/>
      <c r="U133" s="37"/>
      <c r="V133" s="37"/>
      <c r="W133" s="37"/>
      <c r="X133" s="37"/>
      <c r="Y133" s="37"/>
      <c r="Z133" s="37"/>
    </row>
    <row r="134" ht="12.75" customHeight="1" spans="1:26">
      <c r="A134" s="37"/>
      <c r="B134" s="37"/>
      <c r="C134" s="61"/>
      <c r="D134" s="37"/>
      <c r="E134" s="37"/>
      <c r="F134" s="62"/>
      <c r="G134" s="62"/>
      <c r="H134" s="62"/>
      <c r="I134" s="65"/>
      <c r="J134" s="43"/>
      <c r="K134" s="54"/>
      <c r="L134" s="37"/>
      <c r="M134" s="37"/>
      <c r="N134" s="37"/>
      <c r="O134" s="37"/>
      <c r="P134" s="37"/>
      <c r="Q134" s="37"/>
      <c r="R134" s="37"/>
      <c r="S134" s="37"/>
      <c r="T134" s="37"/>
      <c r="U134" s="37"/>
      <c r="V134" s="37"/>
      <c r="W134" s="37"/>
      <c r="X134" s="37"/>
      <c r="Y134" s="37"/>
      <c r="Z134" s="37"/>
    </row>
    <row r="135" ht="12.75" customHeight="1" spans="1:26">
      <c r="A135" s="37"/>
      <c r="B135" s="37"/>
      <c r="C135" s="61"/>
      <c r="D135" s="37"/>
      <c r="E135" s="37"/>
      <c r="F135" s="62"/>
      <c r="G135" s="62"/>
      <c r="H135" s="62"/>
      <c r="I135" s="65"/>
      <c r="J135" s="43"/>
      <c r="K135" s="54"/>
      <c r="L135" s="37"/>
      <c r="M135" s="37"/>
      <c r="N135" s="37"/>
      <c r="O135" s="37"/>
      <c r="P135" s="37"/>
      <c r="Q135" s="37"/>
      <c r="R135" s="37"/>
      <c r="S135" s="37"/>
      <c r="T135" s="37"/>
      <c r="U135" s="37"/>
      <c r="V135" s="37"/>
      <c r="W135" s="37"/>
      <c r="X135" s="37"/>
      <c r="Y135" s="37"/>
      <c r="Z135" s="37"/>
    </row>
    <row r="136" ht="12.75" customHeight="1" spans="1:26">
      <c r="A136" s="37"/>
      <c r="B136" s="37"/>
      <c r="C136" s="61"/>
      <c r="D136" s="37"/>
      <c r="E136" s="37"/>
      <c r="F136" s="62"/>
      <c r="G136" s="62"/>
      <c r="H136" s="62"/>
      <c r="I136" s="65"/>
      <c r="J136" s="43"/>
      <c r="K136" s="54"/>
      <c r="L136" s="37"/>
      <c r="M136" s="37"/>
      <c r="N136" s="37"/>
      <c r="O136" s="37"/>
      <c r="P136" s="37"/>
      <c r="Q136" s="37"/>
      <c r="R136" s="37"/>
      <c r="S136" s="37"/>
      <c r="T136" s="37"/>
      <c r="U136" s="37"/>
      <c r="V136" s="37"/>
      <c r="W136" s="37"/>
      <c r="X136" s="37"/>
      <c r="Y136" s="37"/>
      <c r="Z136" s="37"/>
    </row>
    <row r="137" ht="12.75" customHeight="1" spans="1:26">
      <c r="A137" s="37"/>
      <c r="B137" s="37"/>
      <c r="C137" s="61"/>
      <c r="D137" s="37"/>
      <c r="E137" s="37"/>
      <c r="F137" s="62"/>
      <c r="G137" s="62"/>
      <c r="H137" s="62"/>
      <c r="I137" s="65"/>
      <c r="J137" s="43"/>
      <c r="K137" s="54"/>
      <c r="L137" s="37"/>
      <c r="M137" s="37"/>
      <c r="N137" s="37"/>
      <c r="O137" s="37"/>
      <c r="P137" s="37"/>
      <c r="Q137" s="37"/>
      <c r="R137" s="37"/>
      <c r="S137" s="37"/>
      <c r="T137" s="37"/>
      <c r="U137" s="37"/>
      <c r="V137" s="37"/>
      <c r="W137" s="37"/>
      <c r="X137" s="37"/>
      <c r="Y137" s="37"/>
      <c r="Z137" s="37"/>
    </row>
    <row r="138" ht="12.75" customHeight="1" spans="1:26">
      <c r="A138" s="37"/>
      <c r="B138" s="37"/>
      <c r="C138" s="61"/>
      <c r="D138" s="37"/>
      <c r="E138" s="37"/>
      <c r="F138" s="62"/>
      <c r="G138" s="62"/>
      <c r="H138" s="62"/>
      <c r="I138" s="65"/>
      <c r="J138" s="43"/>
      <c r="K138" s="54"/>
      <c r="L138" s="37"/>
      <c r="M138" s="37"/>
      <c r="N138" s="37"/>
      <c r="O138" s="37"/>
      <c r="P138" s="37"/>
      <c r="Q138" s="37"/>
      <c r="R138" s="37"/>
      <c r="S138" s="37"/>
      <c r="T138" s="37"/>
      <c r="U138" s="37"/>
      <c r="V138" s="37"/>
      <c r="W138" s="37"/>
      <c r="X138" s="37"/>
      <c r="Y138" s="37"/>
      <c r="Z138" s="37"/>
    </row>
    <row r="139" ht="12.75" customHeight="1" spans="1:26">
      <c r="A139" s="37"/>
      <c r="B139" s="37"/>
      <c r="C139" s="61"/>
      <c r="D139" s="37"/>
      <c r="E139" s="37"/>
      <c r="F139" s="62"/>
      <c r="G139" s="62"/>
      <c r="H139" s="62"/>
      <c r="I139" s="65"/>
      <c r="J139" s="43"/>
      <c r="K139" s="54"/>
      <c r="L139" s="37"/>
      <c r="M139" s="37"/>
      <c r="N139" s="37"/>
      <c r="O139" s="37"/>
      <c r="P139" s="37"/>
      <c r="Q139" s="37"/>
      <c r="R139" s="37"/>
      <c r="S139" s="37"/>
      <c r="T139" s="37"/>
      <c r="U139" s="37"/>
      <c r="V139" s="37"/>
      <c r="W139" s="37"/>
      <c r="X139" s="37"/>
      <c r="Y139" s="37"/>
      <c r="Z139" s="37"/>
    </row>
    <row r="140" ht="12.75" customHeight="1" spans="1:26">
      <c r="A140" s="37"/>
      <c r="B140" s="37"/>
      <c r="C140" s="61"/>
      <c r="D140" s="37"/>
      <c r="E140" s="37"/>
      <c r="F140" s="62"/>
      <c r="G140" s="62"/>
      <c r="H140" s="62"/>
      <c r="I140" s="65"/>
      <c r="J140" s="43"/>
      <c r="K140" s="54"/>
      <c r="L140" s="37"/>
      <c r="M140" s="37"/>
      <c r="N140" s="37"/>
      <c r="O140" s="37"/>
      <c r="P140" s="37"/>
      <c r="Q140" s="37"/>
      <c r="R140" s="37"/>
      <c r="S140" s="37"/>
      <c r="T140" s="37"/>
      <c r="U140" s="37"/>
      <c r="V140" s="37"/>
      <c r="W140" s="37"/>
      <c r="X140" s="37"/>
      <c r="Y140" s="37"/>
      <c r="Z140" s="37"/>
    </row>
    <row r="141" ht="12.75" customHeight="1" spans="1:26">
      <c r="A141" s="37"/>
      <c r="B141" s="37"/>
      <c r="C141" s="61"/>
      <c r="D141" s="37"/>
      <c r="E141" s="37"/>
      <c r="F141" s="62"/>
      <c r="G141" s="62"/>
      <c r="H141" s="62"/>
      <c r="I141" s="65"/>
      <c r="J141" s="43"/>
      <c r="K141" s="54"/>
      <c r="L141" s="37"/>
      <c r="M141" s="37"/>
      <c r="N141" s="37"/>
      <c r="O141" s="37"/>
      <c r="P141" s="37"/>
      <c r="Q141" s="37"/>
      <c r="R141" s="37"/>
      <c r="S141" s="37"/>
      <c r="T141" s="37"/>
      <c r="U141" s="37"/>
      <c r="V141" s="37"/>
      <c r="W141" s="37"/>
      <c r="X141" s="37"/>
      <c r="Y141" s="37"/>
      <c r="Z141" s="37"/>
    </row>
    <row r="142" ht="12.75" customHeight="1" spans="1:26">
      <c r="A142" s="37"/>
      <c r="B142" s="37"/>
      <c r="C142" s="61"/>
      <c r="D142" s="37"/>
      <c r="E142" s="37"/>
      <c r="F142" s="62"/>
      <c r="G142" s="62"/>
      <c r="H142" s="62"/>
      <c r="I142" s="65"/>
      <c r="J142" s="43"/>
      <c r="K142" s="54"/>
      <c r="L142" s="37"/>
      <c r="M142" s="37"/>
      <c r="N142" s="37"/>
      <c r="O142" s="37"/>
      <c r="P142" s="37"/>
      <c r="Q142" s="37"/>
      <c r="R142" s="37"/>
      <c r="S142" s="37"/>
      <c r="T142" s="37"/>
      <c r="U142" s="37"/>
      <c r="V142" s="37"/>
      <c r="W142" s="37"/>
      <c r="X142" s="37"/>
      <c r="Y142" s="37"/>
      <c r="Z142" s="37"/>
    </row>
    <row r="143" ht="12.75" customHeight="1" spans="1:26">
      <c r="A143" s="37"/>
      <c r="B143" s="37"/>
      <c r="C143" s="61"/>
      <c r="D143" s="37"/>
      <c r="E143" s="37"/>
      <c r="F143" s="62"/>
      <c r="G143" s="62"/>
      <c r="H143" s="62"/>
      <c r="I143" s="65"/>
      <c r="J143" s="43"/>
      <c r="K143" s="54"/>
      <c r="L143" s="37"/>
      <c r="M143" s="37"/>
      <c r="N143" s="37"/>
      <c r="O143" s="37"/>
      <c r="P143" s="37"/>
      <c r="Q143" s="37"/>
      <c r="R143" s="37"/>
      <c r="S143" s="37"/>
      <c r="T143" s="37"/>
      <c r="U143" s="37"/>
      <c r="V143" s="37"/>
      <c r="W143" s="37"/>
      <c r="X143" s="37"/>
      <c r="Y143" s="37"/>
      <c r="Z143" s="37"/>
    </row>
    <row r="144" ht="12.75" customHeight="1" spans="1:26">
      <c r="A144" s="37"/>
      <c r="B144" s="37"/>
      <c r="C144" s="61"/>
      <c r="D144" s="37"/>
      <c r="E144" s="37"/>
      <c r="F144" s="62"/>
      <c r="G144" s="62"/>
      <c r="H144" s="62"/>
      <c r="I144" s="65"/>
      <c r="J144" s="43"/>
      <c r="K144" s="54"/>
      <c r="L144" s="37"/>
      <c r="M144" s="37"/>
      <c r="N144" s="37"/>
      <c r="O144" s="37"/>
      <c r="P144" s="37"/>
      <c r="Q144" s="37"/>
      <c r="R144" s="37"/>
      <c r="S144" s="37"/>
      <c r="T144" s="37"/>
      <c r="U144" s="37"/>
      <c r="V144" s="37"/>
      <c r="W144" s="37"/>
      <c r="X144" s="37"/>
      <c r="Y144" s="37"/>
      <c r="Z144" s="37"/>
    </row>
    <row r="145" ht="12.75" customHeight="1" spans="1:26">
      <c r="A145" s="37"/>
      <c r="B145" s="37"/>
      <c r="C145" s="61"/>
      <c r="D145" s="37"/>
      <c r="E145" s="37"/>
      <c r="F145" s="62"/>
      <c r="G145" s="62"/>
      <c r="H145" s="62"/>
      <c r="I145" s="65"/>
      <c r="J145" s="43"/>
      <c r="K145" s="54"/>
      <c r="L145" s="37"/>
      <c r="M145" s="37"/>
      <c r="N145" s="37"/>
      <c r="O145" s="37"/>
      <c r="P145" s="37"/>
      <c r="Q145" s="37"/>
      <c r="R145" s="37"/>
      <c r="S145" s="37"/>
      <c r="T145" s="37"/>
      <c r="U145" s="37"/>
      <c r="V145" s="37"/>
      <c r="W145" s="37"/>
      <c r="X145" s="37"/>
      <c r="Y145" s="37"/>
      <c r="Z145" s="37"/>
    </row>
    <row r="146" ht="12.75" customHeight="1" spans="1:26">
      <c r="A146" s="37"/>
      <c r="B146" s="37"/>
      <c r="C146" s="61"/>
      <c r="D146" s="37"/>
      <c r="E146" s="37"/>
      <c r="F146" s="62"/>
      <c r="G146" s="62"/>
      <c r="H146" s="62"/>
      <c r="I146" s="65"/>
      <c r="J146" s="43"/>
      <c r="K146" s="54"/>
      <c r="L146" s="37"/>
      <c r="M146" s="37"/>
      <c r="N146" s="37"/>
      <c r="O146" s="37"/>
      <c r="P146" s="37"/>
      <c r="Q146" s="37"/>
      <c r="R146" s="37"/>
      <c r="S146" s="37"/>
      <c r="T146" s="37"/>
      <c r="U146" s="37"/>
      <c r="V146" s="37"/>
      <c r="W146" s="37"/>
      <c r="X146" s="37"/>
      <c r="Y146" s="37"/>
      <c r="Z146" s="37"/>
    </row>
    <row r="147" ht="12.75" customHeight="1" spans="1:26">
      <c r="A147" s="37"/>
      <c r="B147" s="37"/>
      <c r="C147" s="61"/>
      <c r="D147" s="37"/>
      <c r="E147" s="37"/>
      <c r="F147" s="62"/>
      <c r="G147" s="62"/>
      <c r="H147" s="62"/>
      <c r="I147" s="65"/>
      <c r="J147" s="43"/>
      <c r="K147" s="54"/>
      <c r="L147" s="37"/>
      <c r="M147" s="37"/>
      <c r="N147" s="37"/>
      <c r="O147" s="37"/>
      <c r="P147" s="37"/>
      <c r="Q147" s="37"/>
      <c r="R147" s="37"/>
      <c r="S147" s="37"/>
      <c r="T147" s="37"/>
      <c r="U147" s="37"/>
      <c r="V147" s="37"/>
      <c r="W147" s="37"/>
      <c r="X147" s="37"/>
      <c r="Y147" s="37"/>
      <c r="Z147" s="37"/>
    </row>
    <row r="148" ht="12.75" customHeight="1" spans="1:26">
      <c r="A148" s="37"/>
      <c r="B148" s="37"/>
      <c r="C148" s="61"/>
      <c r="D148" s="37"/>
      <c r="E148" s="37"/>
      <c r="F148" s="62"/>
      <c r="G148" s="62"/>
      <c r="H148" s="62"/>
      <c r="I148" s="65"/>
      <c r="J148" s="43"/>
      <c r="K148" s="54"/>
      <c r="L148" s="37"/>
      <c r="M148" s="37"/>
      <c r="N148" s="37"/>
      <c r="O148" s="37"/>
      <c r="P148" s="37"/>
      <c r="Q148" s="37"/>
      <c r="R148" s="37"/>
      <c r="S148" s="37"/>
      <c r="T148" s="37"/>
      <c r="U148" s="37"/>
      <c r="V148" s="37"/>
      <c r="W148" s="37"/>
      <c r="X148" s="37"/>
      <c r="Y148" s="37"/>
      <c r="Z148" s="37"/>
    </row>
    <row r="149" ht="12.75" customHeight="1" spans="1:26">
      <c r="A149" s="37"/>
      <c r="B149" s="37"/>
      <c r="C149" s="61"/>
      <c r="D149" s="37"/>
      <c r="E149" s="37"/>
      <c r="F149" s="62"/>
      <c r="G149" s="62"/>
      <c r="H149" s="62"/>
      <c r="I149" s="65"/>
      <c r="J149" s="43"/>
      <c r="K149" s="54"/>
      <c r="L149" s="37"/>
      <c r="M149" s="37"/>
      <c r="N149" s="37"/>
      <c r="O149" s="37"/>
      <c r="P149" s="37"/>
      <c r="Q149" s="37"/>
      <c r="R149" s="37"/>
      <c r="S149" s="37"/>
      <c r="T149" s="37"/>
      <c r="U149" s="37"/>
      <c r="V149" s="37"/>
      <c r="W149" s="37"/>
      <c r="X149" s="37"/>
      <c r="Y149" s="37"/>
      <c r="Z149" s="37"/>
    </row>
    <row r="150" ht="12.75" customHeight="1" spans="1:26">
      <c r="A150" s="37"/>
      <c r="B150" s="37"/>
      <c r="C150" s="61"/>
      <c r="D150" s="37"/>
      <c r="E150" s="37"/>
      <c r="F150" s="62"/>
      <c r="G150" s="62"/>
      <c r="H150" s="62"/>
      <c r="I150" s="65"/>
      <c r="J150" s="43"/>
      <c r="K150" s="54"/>
      <c r="L150" s="37"/>
      <c r="M150" s="37"/>
      <c r="N150" s="37"/>
      <c r="O150" s="37"/>
      <c r="P150" s="37"/>
      <c r="Q150" s="37"/>
      <c r="R150" s="37"/>
      <c r="S150" s="37"/>
      <c r="T150" s="37"/>
      <c r="U150" s="37"/>
      <c r="V150" s="37"/>
      <c r="W150" s="37"/>
      <c r="X150" s="37"/>
      <c r="Y150" s="37"/>
      <c r="Z150" s="37"/>
    </row>
    <row r="151" ht="12.75" customHeight="1" spans="1:26">
      <c r="A151" s="37"/>
      <c r="B151" s="37"/>
      <c r="C151" s="61"/>
      <c r="D151" s="37"/>
      <c r="E151" s="37"/>
      <c r="F151" s="62"/>
      <c r="G151" s="62"/>
      <c r="H151" s="62"/>
      <c r="I151" s="65"/>
      <c r="J151" s="43"/>
      <c r="K151" s="54"/>
      <c r="L151" s="37"/>
      <c r="M151" s="37"/>
      <c r="N151" s="37"/>
      <c r="O151" s="37"/>
      <c r="P151" s="37"/>
      <c r="Q151" s="37"/>
      <c r="R151" s="37"/>
      <c r="S151" s="37"/>
      <c r="T151" s="37"/>
      <c r="U151" s="37"/>
      <c r="V151" s="37"/>
      <c r="W151" s="37"/>
      <c r="X151" s="37"/>
      <c r="Y151" s="37"/>
      <c r="Z151" s="37"/>
    </row>
    <row r="152" ht="12.75" customHeight="1" spans="1:26">
      <c r="A152" s="37"/>
      <c r="B152" s="37"/>
      <c r="C152" s="61"/>
      <c r="D152" s="37"/>
      <c r="E152" s="37"/>
      <c r="F152" s="62"/>
      <c r="G152" s="62"/>
      <c r="H152" s="62"/>
      <c r="I152" s="65"/>
      <c r="J152" s="43"/>
      <c r="K152" s="54"/>
      <c r="L152" s="37"/>
      <c r="M152" s="37"/>
      <c r="N152" s="37"/>
      <c r="O152" s="37"/>
      <c r="P152" s="37"/>
      <c r="Q152" s="37"/>
      <c r="R152" s="37"/>
      <c r="S152" s="37"/>
      <c r="T152" s="37"/>
      <c r="U152" s="37"/>
      <c r="V152" s="37"/>
      <c r="W152" s="37"/>
      <c r="X152" s="37"/>
      <c r="Y152" s="37"/>
      <c r="Z152" s="37"/>
    </row>
    <row r="153" ht="12.75" customHeight="1" spans="1:26">
      <c r="A153" s="37"/>
      <c r="B153" s="37"/>
      <c r="C153" s="61"/>
      <c r="D153" s="37"/>
      <c r="E153" s="37"/>
      <c r="F153" s="62"/>
      <c r="G153" s="62"/>
      <c r="H153" s="62"/>
      <c r="I153" s="65"/>
      <c r="J153" s="43"/>
      <c r="K153" s="54"/>
      <c r="L153" s="37"/>
      <c r="M153" s="37"/>
      <c r="N153" s="37"/>
      <c r="O153" s="37"/>
      <c r="P153" s="37"/>
      <c r="Q153" s="37"/>
      <c r="R153" s="37"/>
      <c r="S153" s="37"/>
      <c r="T153" s="37"/>
      <c r="U153" s="37"/>
      <c r="V153" s="37"/>
      <c r="W153" s="37"/>
      <c r="X153" s="37"/>
      <c r="Y153" s="37"/>
      <c r="Z153" s="37"/>
    </row>
    <row r="154" ht="12.75" customHeight="1" spans="1:26">
      <c r="A154" s="37"/>
      <c r="B154" s="37"/>
      <c r="C154" s="61"/>
      <c r="D154" s="37"/>
      <c r="E154" s="37"/>
      <c r="F154" s="62"/>
      <c r="G154" s="62"/>
      <c r="H154" s="62"/>
      <c r="I154" s="65"/>
      <c r="J154" s="43"/>
      <c r="K154" s="54"/>
      <c r="L154" s="37"/>
      <c r="M154" s="37"/>
      <c r="N154" s="37"/>
      <c r="O154" s="37"/>
      <c r="P154" s="37"/>
      <c r="Q154" s="37"/>
      <c r="R154" s="37"/>
      <c r="S154" s="37"/>
      <c r="T154" s="37"/>
      <c r="U154" s="37"/>
      <c r="V154" s="37"/>
      <c r="W154" s="37"/>
      <c r="X154" s="37"/>
      <c r="Y154" s="37"/>
      <c r="Z154" s="37"/>
    </row>
    <row r="155" ht="12.75" customHeight="1" spans="1:26">
      <c r="A155" s="37"/>
      <c r="B155" s="37"/>
      <c r="C155" s="61"/>
      <c r="D155" s="37"/>
      <c r="E155" s="37"/>
      <c r="F155" s="62"/>
      <c r="G155" s="62"/>
      <c r="H155" s="62"/>
      <c r="I155" s="65"/>
      <c r="J155" s="43"/>
      <c r="K155" s="54"/>
      <c r="L155" s="37"/>
      <c r="M155" s="37"/>
      <c r="N155" s="37"/>
      <c r="O155" s="37"/>
      <c r="P155" s="37"/>
      <c r="Q155" s="37"/>
      <c r="R155" s="37"/>
      <c r="S155" s="37"/>
      <c r="T155" s="37"/>
      <c r="U155" s="37"/>
      <c r="V155" s="37"/>
      <c r="W155" s="37"/>
      <c r="X155" s="37"/>
      <c r="Y155" s="37"/>
      <c r="Z155" s="37"/>
    </row>
    <row r="156" ht="12.75" customHeight="1" spans="1:26">
      <c r="A156" s="37"/>
      <c r="B156" s="37"/>
      <c r="C156" s="61"/>
      <c r="D156" s="37"/>
      <c r="E156" s="37"/>
      <c r="F156" s="62"/>
      <c r="G156" s="62"/>
      <c r="H156" s="62"/>
      <c r="I156" s="65"/>
      <c r="J156" s="43"/>
      <c r="K156" s="54"/>
      <c r="L156" s="37"/>
      <c r="M156" s="37"/>
      <c r="N156" s="37"/>
      <c r="O156" s="37"/>
      <c r="P156" s="37"/>
      <c r="Q156" s="37"/>
      <c r="R156" s="37"/>
      <c r="S156" s="37"/>
      <c r="T156" s="37"/>
      <c r="U156" s="37"/>
      <c r="V156" s="37"/>
      <c r="W156" s="37"/>
      <c r="X156" s="37"/>
      <c r="Y156" s="37"/>
      <c r="Z156" s="37"/>
    </row>
    <row r="157" ht="12.75" customHeight="1" spans="1:26">
      <c r="A157" s="37"/>
      <c r="B157" s="37"/>
      <c r="C157" s="61"/>
      <c r="D157" s="37"/>
      <c r="E157" s="37"/>
      <c r="F157" s="62"/>
      <c r="G157" s="62"/>
      <c r="H157" s="62"/>
      <c r="I157" s="65"/>
      <c r="J157" s="43"/>
      <c r="K157" s="54"/>
      <c r="L157" s="37"/>
      <c r="M157" s="37"/>
      <c r="N157" s="37"/>
      <c r="O157" s="37"/>
      <c r="P157" s="37"/>
      <c r="Q157" s="37"/>
      <c r="R157" s="37"/>
      <c r="S157" s="37"/>
      <c r="T157" s="37"/>
      <c r="U157" s="37"/>
      <c r="V157" s="37"/>
      <c r="W157" s="37"/>
      <c r="X157" s="37"/>
      <c r="Y157" s="37"/>
      <c r="Z157" s="37"/>
    </row>
    <row r="158" ht="12.75" customHeight="1" spans="1:26">
      <c r="A158" s="37"/>
      <c r="B158" s="37"/>
      <c r="C158" s="61"/>
      <c r="D158" s="37"/>
      <c r="E158" s="37"/>
      <c r="F158" s="62"/>
      <c r="G158" s="62"/>
      <c r="H158" s="62"/>
      <c r="I158" s="65"/>
      <c r="J158" s="43"/>
      <c r="K158" s="54"/>
      <c r="L158" s="37"/>
      <c r="M158" s="37"/>
      <c r="N158" s="37"/>
      <c r="O158" s="37"/>
      <c r="P158" s="37"/>
      <c r="Q158" s="37"/>
      <c r="R158" s="37"/>
      <c r="S158" s="37"/>
      <c r="T158" s="37"/>
      <c r="U158" s="37"/>
      <c r="V158" s="37"/>
      <c r="W158" s="37"/>
      <c r="X158" s="37"/>
      <c r="Y158" s="37"/>
      <c r="Z158" s="37"/>
    </row>
    <row r="159" ht="12.75" customHeight="1" spans="1:26">
      <c r="A159" s="37"/>
      <c r="B159" s="37"/>
      <c r="C159" s="61"/>
      <c r="D159" s="37"/>
      <c r="E159" s="37"/>
      <c r="F159" s="62"/>
      <c r="G159" s="62"/>
      <c r="H159" s="62"/>
      <c r="I159" s="65"/>
      <c r="J159" s="43"/>
      <c r="K159" s="54"/>
      <c r="L159" s="37"/>
      <c r="M159" s="37"/>
      <c r="N159" s="37"/>
      <c r="O159" s="37"/>
      <c r="P159" s="37"/>
      <c r="Q159" s="37"/>
      <c r="R159" s="37"/>
      <c r="S159" s="37"/>
      <c r="T159" s="37"/>
      <c r="U159" s="37"/>
      <c r="V159" s="37"/>
      <c r="W159" s="37"/>
      <c r="X159" s="37"/>
      <c r="Y159" s="37"/>
      <c r="Z159" s="37"/>
    </row>
    <row r="160" ht="12.75" customHeight="1" spans="1:26">
      <c r="A160" s="37"/>
      <c r="B160" s="37"/>
      <c r="C160" s="61"/>
      <c r="D160" s="37"/>
      <c r="E160" s="37"/>
      <c r="F160" s="62"/>
      <c r="G160" s="62"/>
      <c r="H160" s="62"/>
      <c r="I160" s="65"/>
      <c r="J160" s="43"/>
      <c r="K160" s="54"/>
      <c r="L160" s="37"/>
      <c r="M160" s="37"/>
      <c r="N160" s="37"/>
      <c r="O160" s="37"/>
      <c r="P160" s="37"/>
      <c r="Q160" s="37"/>
      <c r="R160" s="37"/>
      <c r="S160" s="37"/>
      <c r="T160" s="37"/>
      <c r="U160" s="37"/>
      <c r="V160" s="37"/>
      <c r="W160" s="37"/>
      <c r="X160" s="37"/>
      <c r="Y160" s="37"/>
      <c r="Z160" s="37"/>
    </row>
    <row r="161" ht="12.75" customHeight="1" spans="1:26">
      <c r="A161" s="37"/>
      <c r="B161" s="37"/>
      <c r="C161" s="61"/>
      <c r="D161" s="37"/>
      <c r="E161" s="37"/>
      <c r="F161" s="62"/>
      <c r="G161" s="62"/>
      <c r="H161" s="62"/>
      <c r="I161" s="65"/>
      <c r="J161" s="43"/>
      <c r="K161" s="54"/>
      <c r="L161" s="37"/>
      <c r="M161" s="37"/>
      <c r="N161" s="37"/>
      <c r="O161" s="37"/>
      <c r="P161" s="37"/>
      <c r="Q161" s="37"/>
      <c r="R161" s="37"/>
      <c r="S161" s="37"/>
      <c r="T161" s="37"/>
      <c r="U161" s="37"/>
      <c r="V161" s="37"/>
      <c r="W161" s="37"/>
      <c r="X161" s="37"/>
      <c r="Y161" s="37"/>
      <c r="Z161" s="37"/>
    </row>
    <row r="162" ht="12.75" customHeight="1" spans="1:26">
      <c r="A162" s="37"/>
      <c r="B162" s="37"/>
      <c r="C162" s="61"/>
      <c r="D162" s="37"/>
      <c r="E162" s="37"/>
      <c r="F162" s="62"/>
      <c r="G162" s="62"/>
      <c r="H162" s="62"/>
      <c r="I162" s="65"/>
      <c r="J162" s="43"/>
      <c r="K162" s="54"/>
      <c r="L162" s="37"/>
      <c r="M162" s="37"/>
      <c r="N162" s="37"/>
      <c r="O162" s="37"/>
      <c r="P162" s="37"/>
      <c r="Q162" s="37"/>
      <c r="R162" s="37"/>
      <c r="S162" s="37"/>
      <c r="T162" s="37"/>
      <c r="U162" s="37"/>
      <c r="V162" s="37"/>
      <c r="W162" s="37"/>
      <c r="X162" s="37"/>
      <c r="Y162" s="37"/>
      <c r="Z162" s="37"/>
    </row>
    <row r="163" ht="12.75" customHeight="1" spans="1:26">
      <c r="A163" s="37"/>
      <c r="B163" s="37"/>
      <c r="C163" s="61"/>
      <c r="D163" s="37"/>
      <c r="E163" s="37"/>
      <c r="F163" s="62"/>
      <c r="G163" s="62"/>
      <c r="H163" s="62"/>
      <c r="I163" s="65"/>
      <c r="J163" s="43"/>
      <c r="K163" s="54"/>
      <c r="L163" s="37"/>
      <c r="M163" s="37"/>
      <c r="N163" s="37"/>
      <c r="O163" s="37"/>
      <c r="P163" s="37"/>
      <c r="Q163" s="37"/>
      <c r="R163" s="37"/>
      <c r="S163" s="37"/>
      <c r="T163" s="37"/>
      <c r="U163" s="37"/>
      <c r="V163" s="37"/>
      <c r="W163" s="37"/>
      <c r="X163" s="37"/>
      <c r="Y163" s="37"/>
      <c r="Z163" s="37"/>
    </row>
    <row r="164" ht="12.75" customHeight="1" spans="1:26">
      <c r="A164" s="37"/>
      <c r="B164" s="37"/>
      <c r="C164" s="61"/>
      <c r="D164" s="37"/>
      <c r="E164" s="37"/>
      <c r="F164" s="62"/>
      <c r="G164" s="62"/>
      <c r="H164" s="62"/>
      <c r="I164" s="65"/>
      <c r="J164" s="43"/>
      <c r="K164" s="54"/>
      <c r="L164" s="37"/>
      <c r="M164" s="37"/>
      <c r="N164" s="37"/>
      <c r="O164" s="37"/>
      <c r="P164" s="37"/>
      <c r="Q164" s="37"/>
      <c r="R164" s="37"/>
      <c r="S164" s="37"/>
      <c r="T164" s="37"/>
      <c r="U164" s="37"/>
      <c r="V164" s="37"/>
      <c r="W164" s="37"/>
      <c r="X164" s="37"/>
      <c r="Y164" s="37"/>
      <c r="Z164" s="37"/>
    </row>
    <row r="165" ht="12.75" customHeight="1" spans="1:26">
      <c r="A165" s="37"/>
      <c r="B165" s="37"/>
      <c r="C165" s="61"/>
      <c r="D165" s="37"/>
      <c r="E165" s="37"/>
      <c r="F165" s="62"/>
      <c r="G165" s="62"/>
      <c r="H165" s="62"/>
      <c r="I165" s="65"/>
      <c r="J165" s="43"/>
      <c r="K165" s="54"/>
      <c r="L165" s="37"/>
      <c r="M165" s="37"/>
      <c r="N165" s="37"/>
      <c r="O165" s="37"/>
      <c r="P165" s="37"/>
      <c r="Q165" s="37"/>
      <c r="R165" s="37"/>
      <c r="S165" s="37"/>
      <c r="T165" s="37"/>
      <c r="U165" s="37"/>
      <c r="V165" s="37"/>
      <c r="W165" s="37"/>
      <c r="X165" s="37"/>
      <c r="Y165" s="37"/>
      <c r="Z165" s="37"/>
    </row>
    <row r="166" ht="12.75" customHeight="1" spans="1:26">
      <c r="A166" s="37"/>
      <c r="B166" s="37"/>
      <c r="C166" s="61"/>
      <c r="D166" s="37"/>
      <c r="E166" s="37"/>
      <c r="F166" s="62"/>
      <c r="G166" s="62"/>
      <c r="H166" s="62"/>
      <c r="I166" s="65"/>
      <c r="J166" s="43"/>
      <c r="K166" s="54"/>
      <c r="L166" s="37"/>
      <c r="M166" s="37"/>
      <c r="N166" s="37"/>
      <c r="O166" s="37"/>
      <c r="P166" s="37"/>
      <c r="Q166" s="37"/>
      <c r="R166" s="37"/>
      <c r="S166" s="37"/>
      <c r="T166" s="37"/>
      <c r="U166" s="37"/>
      <c r="V166" s="37"/>
      <c r="W166" s="37"/>
      <c r="X166" s="37"/>
      <c r="Y166" s="37"/>
      <c r="Z166" s="37"/>
    </row>
    <row r="167" ht="12.75" customHeight="1" spans="1:26">
      <c r="A167" s="37"/>
      <c r="B167" s="37"/>
      <c r="C167" s="61"/>
      <c r="D167" s="37"/>
      <c r="E167" s="37"/>
      <c r="F167" s="62"/>
      <c r="G167" s="62"/>
      <c r="H167" s="62"/>
      <c r="I167" s="65"/>
      <c r="J167" s="43"/>
      <c r="K167" s="54"/>
      <c r="L167" s="37"/>
      <c r="M167" s="37"/>
      <c r="N167" s="37"/>
      <c r="O167" s="37"/>
      <c r="P167" s="37"/>
      <c r="Q167" s="37"/>
      <c r="R167" s="37"/>
      <c r="S167" s="37"/>
      <c r="T167" s="37"/>
      <c r="U167" s="37"/>
      <c r="V167" s="37"/>
      <c r="W167" s="37"/>
      <c r="X167" s="37"/>
      <c r="Y167" s="37"/>
      <c r="Z167" s="37"/>
    </row>
    <row r="168" ht="12.75" customHeight="1" spans="1:26">
      <c r="A168" s="37"/>
      <c r="B168" s="37"/>
      <c r="C168" s="61"/>
      <c r="D168" s="37"/>
      <c r="E168" s="37"/>
      <c r="F168" s="62"/>
      <c r="G168" s="62"/>
      <c r="H168" s="62"/>
      <c r="I168" s="65"/>
      <c r="J168" s="43"/>
      <c r="K168" s="54"/>
      <c r="L168" s="37"/>
      <c r="M168" s="37"/>
      <c r="N168" s="37"/>
      <c r="O168" s="37"/>
      <c r="P168" s="37"/>
      <c r="Q168" s="37"/>
      <c r="R168" s="37"/>
      <c r="S168" s="37"/>
      <c r="T168" s="37"/>
      <c r="U168" s="37"/>
      <c r="V168" s="37"/>
      <c r="W168" s="37"/>
      <c r="X168" s="37"/>
      <c r="Y168" s="37"/>
      <c r="Z168" s="37"/>
    </row>
    <row r="169" ht="12.75" customHeight="1" spans="1:26">
      <c r="A169" s="37"/>
      <c r="B169" s="37"/>
      <c r="C169" s="61"/>
      <c r="D169" s="37"/>
      <c r="E169" s="37"/>
      <c r="F169" s="62"/>
      <c r="G169" s="62"/>
      <c r="H169" s="62"/>
      <c r="I169" s="65"/>
      <c r="J169" s="43"/>
      <c r="K169" s="54"/>
      <c r="L169" s="37"/>
      <c r="M169" s="37"/>
      <c r="N169" s="37"/>
      <c r="O169" s="37"/>
      <c r="P169" s="37"/>
      <c r="Q169" s="37"/>
      <c r="R169" s="37"/>
      <c r="S169" s="37"/>
      <c r="T169" s="37"/>
      <c r="U169" s="37"/>
      <c r="V169" s="37"/>
      <c r="W169" s="37"/>
      <c r="X169" s="37"/>
      <c r="Y169" s="37"/>
      <c r="Z169" s="37"/>
    </row>
    <row r="170" ht="12.75" customHeight="1" spans="1:26">
      <c r="A170" s="37"/>
      <c r="B170" s="37"/>
      <c r="C170" s="61"/>
      <c r="D170" s="37"/>
      <c r="E170" s="37"/>
      <c r="F170" s="62"/>
      <c r="G170" s="62"/>
      <c r="H170" s="62"/>
      <c r="I170" s="65"/>
      <c r="J170" s="43"/>
      <c r="K170" s="54"/>
      <c r="L170" s="37"/>
      <c r="M170" s="37"/>
      <c r="N170" s="37"/>
      <c r="O170" s="37"/>
      <c r="P170" s="37"/>
      <c r="Q170" s="37"/>
      <c r="R170" s="37"/>
      <c r="S170" s="37"/>
      <c r="T170" s="37"/>
      <c r="U170" s="37"/>
      <c r="V170" s="37"/>
      <c r="W170" s="37"/>
      <c r="X170" s="37"/>
      <c r="Y170" s="37"/>
      <c r="Z170" s="37"/>
    </row>
    <row r="171" ht="12.75" customHeight="1" spans="1:26">
      <c r="A171" s="37"/>
      <c r="B171" s="37"/>
      <c r="C171" s="61"/>
      <c r="D171" s="37"/>
      <c r="E171" s="37"/>
      <c r="F171" s="62"/>
      <c r="G171" s="62"/>
      <c r="H171" s="62"/>
      <c r="I171" s="65"/>
      <c r="J171" s="43"/>
      <c r="K171" s="54"/>
      <c r="L171" s="37"/>
      <c r="M171" s="37"/>
      <c r="N171" s="37"/>
      <c r="O171" s="37"/>
      <c r="P171" s="37"/>
      <c r="Q171" s="37"/>
      <c r="R171" s="37"/>
      <c r="S171" s="37"/>
      <c r="T171" s="37"/>
      <c r="U171" s="37"/>
      <c r="V171" s="37"/>
      <c r="W171" s="37"/>
      <c r="X171" s="37"/>
      <c r="Y171" s="37"/>
      <c r="Z171" s="37"/>
    </row>
    <row r="172" ht="12.75" customHeight="1" spans="1:26">
      <c r="A172" s="37"/>
      <c r="B172" s="37"/>
      <c r="C172" s="61"/>
      <c r="D172" s="37"/>
      <c r="E172" s="37"/>
      <c r="F172" s="62"/>
      <c r="G172" s="62"/>
      <c r="H172" s="62"/>
      <c r="I172" s="65"/>
      <c r="J172" s="43"/>
      <c r="K172" s="54"/>
      <c r="L172" s="37"/>
      <c r="M172" s="37"/>
      <c r="N172" s="37"/>
      <c r="O172" s="37"/>
      <c r="P172" s="37"/>
      <c r="Q172" s="37"/>
      <c r="R172" s="37"/>
      <c r="S172" s="37"/>
      <c r="T172" s="37"/>
      <c r="U172" s="37"/>
      <c r="V172" s="37"/>
      <c r="W172" s="37"/>
      <c r="X172" s="37"/>
      <c r="Y172" s="37"/>
      <c r="Z172" s="37"/>
    </row>
    <row r="173" ht="12.75" customHeight="1" spans="1:26">
      <c r="A173" s="37"/>
      <c r="B173" s="37"/>
      <c r="C173" s="61"/>
      <c r="D173" s="37"/>
      <c r="E173" s="37"/>
      <c r="F173" s="62"/>
      <c r="G173" s="62"/>
      <c r="H173" s="62"/>
      <c r="I173" s="65"/>
      <c r="J173" s="43"/>
      <c r="K173" s="54"/>
      <c r="L173" s="37"/>
      <c r="M173" s="37"/>
      <c r="N173" s="37"/>
      <c r="O173" s="37"/>
      <c r="P173" s="37"/>
      <c r="Q173" s="37"/>
      <c r="R173" s="37"/>
      <c r="S173" s="37"/>
      <c r="T173" s="37"/>
      <c r="U173" s="37"/>
      <c r="V173" s="37"/>
      <c r="W173" s="37"/>
      <c r="X173" s="37"/>
      <c r="Y173" s="37"/>
      <c r="Z173" s="37"/>
    </row>
    <row r="174" ht="12.75" customHeight="1" spans="1:26">
      <c r="A174" s="37"/>
      <c r="B174" s="37"/>
      <c r="C174" s="61"/>
      <c r="D174" s="37"/>
      <c r="E174" s="37"/>
      <c r="F174" s="62"/>
      <c r="G174" s="62"/>
      <c r="H174" s="62"/>
      <c r="I174" s="65"/>
      <c r="J174" s="43"/>
      <c r="K174" s="54"/>
      <c r="L174" s="37"/>
      <c r="M174" s="37"/>
      <c r="N174" s="37"/>
      <c r="O174" s="37"/>
      <c r="P174" s="37"/>
      <c r="Q174" s="37"/>
      <c r="R174" s="37"/>
      <c r="S174" s="37"/>
      <c r="T174" s="37"/>
      <c r="U174" s="37"/>
      <c r="V174" s="37"/>
      <c r="W174" s="37"/>
      <c r="X174" s="37"/>
      <c r="Y174" s="37"/>
      <c r="Z174" s="37"/>
    </row>
    <row r="175" ht="12.75" customHeight="1" spans="1:26">
      <c r="A175" s="37"/>
      <c r="B175" s="37"/>
      <c r="C175" s="61"/>
      <c r="D175" s="37"/>
      <c r="E175" s="37"/>
      <c r="F175" s="62"/>
      <c r="G175" s="62"/>
      <c r="H175" s="62"/>
      <c r="I175" s="65"/>
      <c r="J175" s="43"/>
      <c r="K175" s="54"/>
      <c r="L175" s="37"/>
      <c r="M175" s="37"/>
      <c r="N175" s="37"/>
      <c r="O175" s="37"/>
      <c r="P175" s="37"/>
      <c r="Q175" s="37"/>
      <c r="R175" s="37"/>
      <c r="S175" s="37"/>
      <c r="T175" s="37"/>
      <c r="U175" s="37"/>
      <c r="V175" s="37"/>
      <c r="W175" s="37"/>
      <c r="X175" s="37"/>
      <c r="Y175" s="37"/>
      <c r="Z175" s="37"/>
    </row>
    <row r="176" ht="12.75" customHeight="1" spans="1:26">
      <c r="A176" s="37"/>
      <c r="B176" s="37"/>
      <c r="C176" s="61"/>
      <c r="D176" s="37"/>
      <c r="E176" s="37"/>
      <c r="F176" s="62"/>
      <c r="G176" s="62"/>
      <c r="H176" s="62"/>
      <c r="I176" s="65"/>
      <c r="J176" s="43"/>
      <c r="K176" s="54"/>
      <c r="L176" s="37"/>
      <c r="M176" s="37"/>
      <c r="N176" s="37"/>
      <c r="O176" s="37"/>
      <c r="P176" s="37"/>
      <c r="Q176" s="37"/>
      <c r="R176" s="37"/>
      <c r="S176" s="37"/>
      <c r="T176" s="37"/>
      <c r="U176" s="37"/>
      <c r="V176" s="37"/>
      <c r="W176" s="37"/>
      <c r="X176" s="37"/>
      <c r="Y176" s="37"/>
      <c r="Z176" s="37"/>
    </row>
    <row r="177" ht="12.75" customHeight="1" spans="1:26">
      <c r="A177" s="37"/>
      <c r="B177" s="37"/>
      <c r="C177" s="61"/>
      <c r="D177" s="37"/>
      <c r="E177" s="37"/>
      <c r="F177" s="62"/>
      <c r="G177" s="62"/>
      <c r="H177" s="62"/>
      <c r="I177" s="65"/>
      <c r="J177" s="43"/>
      <c r="K177" s="54"/>
      <c r="L177" s="37"/>
      <c r="M177" s="37"/>
      <c r="N177" s="37"/>
      <c r="O177" s="37"/>
      <c r="P177" s="37"/>
      <c r="Q177" s="37"/>
      <c r="R177" s="37"/>
      <c r="S177" s="37"/>
      <c r="T177" s="37"/>
      <c r="U177" s="37"/>
      <c r="V177" s="37"/>
      <c r="W177" s="37"/>
      <c r="X177" s="37"/>
      <c r="Y177" s="37"/>
      <c r="Z177" s="37"/>
    </row>
    <row r="178" ht="12.75" customHeight="1" spans="1:26">
      <c r="A178" s="37"/>
      <c r="B178" s="37"/>
      <c r="C178" s="61"/>
      <c r="D178" s="37"/>
      <c r="E178" s="37"/>
      <c r="F178" s="62"/>
      <c r="G178" s="62"/>
      <c r="H178" s="62"/>
      <c r="I178" s="65"/>
      <c r="J178" s="43"/>
      <c r="K178" s="54"/>
      <c r="L178" s="37"/>
      <c r="M178" s="37"/>
      <c r="N178" s="37"/>
      <c r="O178" s="37"/>
      <c r="P178" s="37"/>
      <c r="Q178" s="37"/>
      <c r="R178" s="37"/>
      <c r="S178" s="37"/>
      <c r="T178" s="37"/>
      <c r="U178" s="37"/>
      <c r="V178" s="37"/>
      <c r="W178" s="37"/>
      <c r="X178" s="37"/>
      <c r="Y178" s="37"/>
      <c r="Z178" s="37"/>
    </row>
    <row r="179" ht="12.75" customHeight="1" spans="1:26">
      <c r="A179" s="37"/>
      <c r="B179" s="37"/>
      <c r="C179" s="61"/>
      <c r="D179" s="37"/>
      <c r="E179" s="37"/>
      <c r="F179" s="62"/>
      <c r="G179" s="62"/>
      <c r="H179" s="62"/>
      <c r="I179" s="65"/>
      <c r="J179" s="43"/>
      <c r="K179" s="54"/>
      <c r="L179" s="37"/>
      <c r="M179" s="37"/>
      <c r="N179" s="37"/>
      <c r="O179" s="37"/>
      <c r="P179" s="37"/>
      <c r="Q179" s="37"/>
      <c r="R179" s="37"/>
      <c r="S179" s="37"/>
      <c r="T179" s="37"/>
      <c r="U179" s="37"/>
      <c r="V179" s="37"/>
      <c r="W179" s="37"/>
      <c r="X179" s="37"/>
      <c r="Y179" s="37"/>
      <c r="Z179" s="37"/>
    </row>
    <row r="180" ht="12.75" customHeight="1" spans="1:26">
      <c r="A180" s="37"/>
      <c r="B180" s="37"/>
      <c r="C180" s="61"/>
      <c r="D180" s="37"/>
      <c r="E180" s="37"/>
      <c r="F180" s="62"/>
      <c r="G180" s="62"/>
      <c r="H180" s="62"/>
      <c r="I180" s="65"/>
      <c r="J180" s="43"/>
      <c r="K180" s="54"/>
      <c r="L180" s="37"/>
      <c r="M180" s="37"/>
      <c r="N180" s="37"/>
      <c r="O180" s="37"/>
      <c r="P180" s="37"/>
      <c r="Q180" s="37"/>
      <c r="R180" s="37"/>
      <c r="S180" s="37"/>
      <c r="T180" s="37"/>
      <c r="U180" s="37"/>
      <c r="V180" s="37"/>
      <c r="W180" s="37"/>
      <c r="X180" s="37"/>
      <c r="Y180" s="37"/>
      <c r="Z180" s="37"/>
    </row>
    <row r="181" ht="12.75" customHeight="1" spans="1:26">
      <c r="A181" s="37"/>
      <c r="B181" s="37"/>
      <c r="C181" s="61"/>
      <c r="D181" s="37"/>
      <c r="E181" s="37"/>
      <c r="F181" s="62"/>
      <c r="G181" s="62"/>
      <c r="H181" s="62"/>
      <c r="I181" s="65"/>
      <c r="J181" s="43"/>
      <c r="K181" s="54"/>
      <c r="L181" s="37"/>
      <c r="M181" s="37"/>
      <c r="N181" s="37"/>
      <c r="O181" s="37"/>
      <c r="P181" s="37"/>
      <c r="Q181" s="37"/>
      <c r="R181" s="37"/>
      <c r="S181" s="37"/>
      <c r="T181" s="37"/>
      <c r="U181" s="37"/>
      <c r="V181" s="37"/>
      <c r="W181" s="37"/>
      <c r="X181" s="37"/>
      <c r="Y181" s="37"/>
      <c r="Z181" s="37"/>
    </row>
    <row r="182" ht="12.75" customHeight="1" spans="1:26">
      <c r="A182" s="37"/>
      <c r="B182" s="37"/>
      <c r="C182" s="61"/>
      <c r="D182" s="37"/>
      <c r="E182" s="37"/>
      <c r="F182" s="62"/>
      <c r="G182" s="62"/>
      <c r="H182" s="62"/>
      <c r="I182" s="65"/>
      <c r="J182" s="43"/>
      <c r="K182" s="54"/>
      <c r="L182" s="37"/>
      <c r="M182" s="37"/>
      <c r="N182" s="37"/>
      <c r="O182" s="37"/>
      <c r="P182" s="37"/>
      <c r="Q182" s="37"/>
      <c r="R182" s="37"/>
      <c r="S182" s="37"/>
      <c r="T182" s="37"/>
      <c r="U182" s="37"/>
      <c r="V182" s="37"/>
      <c r="W182" s="37"/>
      <c r="X182" s="37"/>
      <c r="Y182" s="37"/>
      <c r="Z182" s="37"/>
    </row>
    <row r="183" ht="12.75" customHeight="1" spans="1:26">
      <c r="A183" s="37"/>
      <c r="B183" s="37"/>
      <c r="C183" s="61"/>
      <c r="D183" s="37"/>
      <c r="E183" s="37"/>
      <c r="F183" s="62"/>
      <c r="G183" s="62"/>
      <c r="H183" s="62"/>
      <c r="I183" s="65"/>
      <c r="J183" s="43"/>
      <c r="K183" s="54"/>
      <c r="L183" s="37"/>
      <c r="M183" s="37"/>
      <c r="N183" s="37"/>
      <c r="O183" s="37"/>
      <c r="P183" s="37"/>
      <c r="Q183" s="37"/>
      <c r="R183" s="37"/>
      <c r="S183" s="37"/>
      <c r="T183" s="37"/>
      <c r="U183" s="37"/>
      <c r="V183" s="37"/>
      <c r="W183" s="37"/>
      <c r="X183" s="37"/>
      <c r="Y183" s="37"/>
      <c r="Z183" s="37"/>
    </row>
    <row r="184" ht="12.75" customHeight="1" spans="1:26">
      <c r="A184" s="37"/>
      <c r="B184" s="37"/>
      <c r="C184" s="61"/>
      <c r="D184" s="37"/>
      <c r="E184" s="37"/>
      <c r="F184" s="62"/>
      <c r="G184" s="62"/>
      <c r="H184" s="62"/>
      <c r="I184" s="65"/>
      <c r="J184" s="43"/>
      <c r="K184" s="54"/>
      <c r="L184" s="37"/>
      <c r="M184" s="37"/>
      <c r="N184" s="37"/>
      <c r="O184" s="37"/>
      <c r="P184" s="37"/>
      <c r="Q184" s="37"/>
      <c r="R184" s="37"/>
      <c r="S184" s="37"/>
      <c r="T184" s="37"/>
      <c r="U184" s="37"/>
      <c r="V184" s="37"/>
      <c r="W184" s="37"/>
      <c r="X184" s="37"/>
      <c r="Y184" s="37"/>
      <c r="Z184" s="37"/>
    </row>
    <row r="185" ht="12.75" customHeight="1" spans="1:26">
      <c r="A185" s="37"/>
      <c r="B185" s="37"/>
      <c r="C185" s="61"/>
      <c r="D185" s="37"/>
      <c r="E185" s="37"/>
      <c r="F185" s="62"/>
      <c r="G185" s="62"/>
      <c r="H185" s="62"/>
      <c r="I185" s="65"/>
      <c r="J185" s="43"/>
      <c r="K185" s="54"/>
      <c r="L185" s="37"/>
      <c r="M185" s="37"/>
      <c r="N185" s="37"/>
      <c r="O185" s="37"/>
      <c r="P185" s="37"/>
      <c r="Q185" s="37"/>
      <c r="R185" s="37"/>
      <c r="S185" s="37"/>
      <c r="T185" s="37"/>
      <c r="U185" s="37"/>
      <c r="V185" s="37"/>
      <c r="W185" s="37"/>
      <c r="X185" s="37"/>
      <c r="Y185" s="37"/>
      <c r="Z185" s="37"/>
    </row>
    <row r="186" ht="12.75" customHeight="1" spans="1:26">
      <c r="A186" s="37"/>
      <c r="B186" s="37"/>
      <c r="C186" s="61"/>
      <c r="D186" s="37"/>
      <c r="E186" s="37"/>
      <c r="F186" s="62"/>
      <c r="G186" s="62"/>
      <c r="H186" s="62"/>
      <c r="I186" s="65"/>
      <c r="J186" s="43"/>
      <c r="K186" s="54"/>
      <c r="L186" s="37"/>
      <c r="M186" s="37"/>
      <c r="N186" s="37"/>
      <c r="O186" s="37"/>
      <c r="P186" s="37"/>
      <c r="Q186" s="37"/>
      <c r="R186" s="37"/>
      <c r="S186" s="37"/>
      <c r="T186" s="37"/>
      <c r="U186" s="37"/>
      <c r="V186" s="37"/>
      <c r="W186" s="37"/>
      <c r="X186" s="37"/>
      <c r="Y186" s="37"/>
      <c r="Z186" s="37"/>
    </row>
    <row r="187" ht="12.75" customHeight="1" spans="1:26">
      <c r="A187" s="37"/>
      <c r="B187" s="37"/>
      <c r="C187" s="61"/>
      <c r="D187" s="37"/>
      <c r="E187" s="37"/>
      <c r="F187" s="62"/>
      <c r="G187" s="62"/>
      <c r="H187" s="62"/>
      <c r="I187" s="65"/>
      <c r="J187" s="43"/>
      <c r="K187" s="54"/>
      <c r="L187" s="37"/>
      <c r="M187" s="37"/>
      <c r="N187" s="37"/>
      <c r="O187" s="37"/>
      <c r="P187" s="37"/>
      <c r="Q187" s="37"/>
      <c r="R187" s="37"/>
      <c r="S187" s="37"/>
      <c r="T187" s="37"/>
      <c r="U187" s="37"/>
      <c r="V187" s="37"/>
      <c r="W187" s="37"/>
      <c r="X187" s="37"/>
      <c r="Y187" s="37"/>
      <c r="Z187" s="37"/>
    </row>
    <row r="188" ht="12.75" customHeight="1" spans="1:26">
      <c r="A188" s="37"/>
      <c r="B188" s="37"/>
      <c r="C188" s="61"/>
      <c r="D188" s="37"/>
      <c r="E188" s="37"/>
      <c r="F188" s="62"/>
      <c r="G188" s="62"/>
      <c r="H188" s="62"/>
      <c r="I188" s="65"/>
      <c r="J188" s="43"/>
      <c r="K188" s="54"/>
      <c r="L188" s="37"/>
      <c r="M188" s="37"/>
      <c r="N188" s="37"/>
      <c r="O188" s="37"/>
      <c r="P188" s="37"/>
      <c r="Q188" s="37"/>
      <c r="R188" s="37"/>
      <c r="S188" s="37"/>
      <c r="T188" s="37"/>
      <c r="U188" s="37"/>
      <c r="V188" s="37"/>
      <c r="W188" s="37"/>
      <c r="X188" s="37"/>
      <c r="Y188" s="37"/>
      <c r="Z188" s="37"/>
    </row>
    <row r="189" ht="12.75" customHeight="1" spans="1:26">
      <c r="A189" s="37"/>
      <c r="B189" s="37"/>
      <c r="C189" s="61"/>
      <c r="D189" s="37"/>
      <c r="E189" s="37"/>
      <c r="F189" s="62"/>
      <c r="G189" s="62"/>
      <c r="H189" s="62"/>
      <c r="I189" s="65"/>
      <c r="J189" s="43"/>
      <c r="K189" s="54"/>
      <c r="L189" s="37"/>
      <c r="M189" s="37"/>
      <c r="N189" s="37"/>
      <c r="O189" s="37"/>
      <c r="P189" s="37"/>
      <c r="Q189" s="37"/>
      <c r="R189" s="37"/>
      <c r="S189" s="37"/>
      <c r="T189" s="37"/>
      <c r="U189" s="37"/>
      <c r="V189" s="37"/>
      <c r="W189" s="37"/>
      <c r="X189" s="37"/>
      <c r="Y189" s="37"/>
      <c r="Z189" s="37"/>
    </row>
    <row r="190" ht="12.75" customHeight="1" spans="1:26">
      <c r="A190" s="37"/>
      <c r="B190" s="37"/>
      <c r="C190" s="61"/>
      <c r="D190" s="37"/>
      <c r="E190" s="37"/>
      <c r="F190" s="62"/>
      <c r="G190" s="62"/>
      <c r="H190" s="62"/>
      <c r="I190" s="65"/>
      <c r="J190" s="43"/>
      <c r="K190" s="54"/>
      <c r="L190" s="37"/>
      <c r="M190" s="37"/>
      <c r="N190" s="37"/>
      <c r="O190" s="37"/>
      <c r="P190" s="37"/>
      <c r="Q190" s="37"/>
      <c r="R190" s="37"/>
      <c r="S190" s="37"/>
      <c r="T190" s="37"/>
      <c r="U190" s="37"/>
      <c r="V190" s="37"/>
      <c r="W190" s="37"/>
      <c r="X190" s="37"/>
      <c r="Y190" s="37"/>
      <c r="Z190" s="37"/>
    </row>
    <row r="191" ht="12.75" customHeight="1" spans="1:26">
      <c r="A191" s="37"/>
      <c r="B191" s="37"/>
      <c r="C191" s="61"/>
      <c r="D191" s="37"/>
      <c r="E191" s="37"/>
      <c r="F191" s="62"/>
      <c r="G191" s="62"/>
      <c r="H191" s="62"/>
      <c r="I191" s="65"/>
      <c r="J191" s="43"/>
      <c r="K191" s="54"/>
      <c r="L191" s="37"/>
      <c r="M191" s="37"/>
      <c r="N191" s="37"/>
      <c r="O191" s="37"/>
      <c r="P191" s="37"/>
      <c r="Q191" s="37"/>
      <c r="R191" s="37"/>
      <c r="S191" s="37"/>
      <c r="T191" s="37"/>
      <c r="U191" s="37"/>
      <c r="V191" s="37"/>
      <c r="W191" s="37"/>
      <c r="X191" s="37"/>
      <c r="Y191" s="37"/>
      <c r="Z191" s="37"/>
    </row>
    <row r="192" ht="12.75" customHeight="1" spans="1:26">
      <c r="A192" s="37"/>
      <c r="B192" s="37"/>
      <c r="C192" s="61"/>
      <c r="D192" s="37"/>
      <c r="E192" s="37"/>
      <c r="F192" s="62"/>
      <c r="G192" s="62"/>
      <c r="H192" s="62"/>
      <c r="I192" s="65"/>
      <c r="J192" s="43"/>
      <c r="K192" s="54"/>
      <c r="L192" s="37"/>
      <c r="M192" s="37"/>
      <c r="N192" s="37"/>
      <c r="O192" s="37"/>
      <c r="P192" s="37"/>
      <c r="Q192" s="37"/>
      <c r="R192" s="37"/>
      <c r="S192" s="37"/>
      <c r="T192" s="37"/>
      <c r="U192" s="37"/>
      <c r="V192" s="37"/>
      <c r="W192" s="37"/>
      <c r="X192" s="37"/>
      <c r="Y192" s="37"/>
      <c r="Z192" s="37"/>
    </row>
    <row r="193" ht="12.75" customHeight="1" spans="1:26">
      <c r="A193" s="37"/>
      <c r="B193" s="37"/>
      <c r="C193" s="61"/>
      <c r="D193" s="37"/>
      <c r="E193" s="37"/>
      <c r="F193" s="62"/>
      <c r="G193" s="62"/>
      <c r="H193" s="62"/>
      <c r="I193" s="65"/>
      <c r="J193" s="43"/>
      <c r="K193" s="54"/>
      <c r="L193" s="37"/>
      <c r="M193" s="37"/>
      <c r="N193" s="37"/>
      <c r="O193" s="37"/>
      <c r="P193" s="37"/>
      <c r="Q193" s="37"/>
      <c r="R193" s="37"/>
      <c r="S193" s="37"/>
      <c r="T193" s="37"/>
      <c r="U193" s="37"/>
      <c r="V193" s="37"/>
      <c r="W193" s="37"/>
      <c r="X193" s="37"/>
      <c r="Y193" s="37"/>
      <c r="Z193" s="37"/>
    </row>
    <row r="194" ht="12.75" customHeight="1" spans="1:26">
      <c r="A194" s="37"/>
      <c r="B194" s="37"/>
      <c r="C194" s="61"/>
      <c r="D194" s="37"/>
      <c r="E194" s="37"/>
      <c r="F194" s="62"/>
      <c r="G194" s="62"/>
      <c r="H194" s="62"/>
      <c r="I194" s="65"/>
      <c r="J194" s="43"/>
      <c r="K194" s="54"/>
      <c r="L194" s="37"/>
      <c r="M194" s="37"/>
      <c r="N194" s="37"/>
      <c r="O194" s="37"/>
      <c r="P194" s="37"/>
      <c r="Q194" s="37"/>
      <c r="R194" s="37"/>
      <c r="S194" s="37"/>
      <c r="T194" s="37"/>
      <c r="U194" s="37"/>
      <c r="V194" s="37"/>
      <c r="W194" s="37"/>
      <c r="X194" s="37"/>
      <c r="Y194" s="37"/>
      <c r="Z194" s="37"/>
    </row>
    <row r="195" ht="12.75" customHeight="1" spans="1:26">
      <c r="A195" s="37"/>
      <c r="B195" s="37"/>
      <c r="C195" s="61"/>
      <c r="D195" s="37"/>
      <c r="E195" s="37"/>
      <c r="F195" s="62"/>
      <c r="G195" s="62"/>
      <c r="H195" s="62"/>
      <c r="I195" s="65"/>
      <c r="J195" s="43"/>
      <c r="K195" s="54"/>
      <c r="L195" s="37"/>
      <c r="M195" s="37"/>
      <c r="N195" s="37"/>
      <c r="O195" s="37"/>
      <c r="P195" s="37"/>
      <c r="Q195" s="37"/>
      <c r="R195" s="37"/>
      <c r="S195" s="37"/>
      <c r="T195" s="37"/>
      <c r="U195" s="37"/>
      <c r="V195" s="37"/>
      <c r="W195" s="37"/>
      <c r="X195" s="37"/>
      <c r="Y195" s="37"/>
      <c r="Z195" s="37"/>
    </row>
    <row r="196" ht="12.75" customHeight="1" spans="1:26">
      <c r="A196" s="37"/>
      <c r="B196" s="37"/>
      <c r="C196" s="61"/>
      <c r="D196" s="37"/>
      <c r="E196" s="37"/>
      <c r="F196" s="62"/>
      <c r="G196" s="62"/>
      <c r="H196" s="62"/>
      <c r="I196" s="65"/>
      <c r="J196" s="43"/>
      <c r="K196" s="54"/>
      <c r="L196" s="37"/>
      <c r="M196" s="37"/>
      <c r="N196" s="37"/>
      <c r="O196" s="37"/>
      <c r="P196" s="37"/>
      <c r="Q196" s="37"/>
      <c r="R196" s="37"/>
      <c r="S196" s="37"/>
      <c r="T196" s="37"/>
      <c r="U196" s="37"/>
      <c r="V196" s="37"/>
      <c r="W196" s="37"/>
      <c r="X196" s="37"/>
      <c r="Y196" s="37"/>
      <c r="Z196" s="37"/>
    </row>
    <row r="197" ht="12.75" customHeight="1" spans="1:26">
      <c r="A197" s="37"/>
      <c r="B197" s="37"/>
      <c r="C197" s="61"/>
      <c r="D197" s="37"/>
      <c r="E197" s="37"/>
      <c r="F197" s="62"/>
      <c r="G197" s="62"/>
      <c r="H197" s="62"/>
      <c r="I197" s="65"/>
      <c r="J197" s="43"/>
      <c r="K197" s="54"/>
      <c r="L197" s="37"/>
      <c r="M197" s="37"/>
      <c r="N197" s="37"/>
      <c r="O197" s="37"/>
      <c r="P197" s="37"/>
      <c r="Q197" s="37"/>
      <c r="R197" s="37"/>
      <c r="S197" s="37"/>
      <c r="T197" s="37"/>
      <c r="U197" s="37"/>
      <c r="V197" s="37"/>
      <c r="W197" s="37"/>
      <c r="X197" s="37"/>
      <c r="Y197" s="37"/>
      <c r="Z197" s="37"/>
    </row>
    <row r="198" ht="12.75" customHeight="1" spans="1:26">
      <c r="A198" s="37"/>
      <c r="B198" s="37"/>
      <c r="C198" s="61"/>
      <c r="D198" s="37"/>
      <c r="E198" s="37"/>
      <c r="F198" s="62"/>
      <c r="G198" s="62"/>
      <c r="H198" s="62"/>
      <c r="I198" s="65"/>
      <c r="J198" s="43"/>
      <c r="K198" s="54"/>
      <c r="L198" s="37"/>
      <c r="M198" s="37"/>
      <c r="N198" s="37"/>
      <c r="O198" s="37"/>
      <c r="P198" s="37"/>
      <c r="Q198" s="37"/>
      <c r="R198" s="37"/>
      <c r="S198" s="37"/>
      <c r="T198" s="37"/>
      <c r="U198" s="37"/>
      <c r="V198" s="37"/>
      <c r="W198" s="37"/>
      <c r="X198" s="37"/>
      <c r="Y198" s="37"/>
      <c r="Z198" s="37"/>
    </row>
    <row r="199" ht="12.75" customHeight="1" spans="1:26">
      <c r="A199" s="37"/>
      <c r="B199" s="37"/>
      <c r="C199" s="61"/>
      <c r="D199" s="37"/>
      <c r="E199" s="37"/>
      <c r="F199" s="62"/>
      <c r="G199" s="62"/>
      <c r="H199" s="62"/>
      <c r="I199" s="65"/>
      <c r="J199" s="43"/>
      <c r="K199" s="54"/>
      <c r="L199" s="37"/>
      <c r="M199" s="37"/>
      <c r="N199" s="37"/>
      <c r="O199" s="37"/>
      <c r="P199" s="37"/>
      <c r="Q199" s="37"/>
      <c r="R199" s="37"/>
      <c r="S199" s="37"/>
      <c r="T199" s="37"/>
      <c r="U199" s="37"/>
      <c r="V199" s="37"/>
      <c r="W199" s="37"/>
      <c r="X199" s="37"/>
      <c r="Y199" s="37"/>
      <c r="Z199" s="37"/>
    </row>
    <row r="200" ht="12.75" customHeight="1" spans="1:26">
      <c r="A200" s="37"/>
      <c r="B200" s="37"/>
      <c r="C200" s="61"/>
      <c r="D200" s="37"/>
      <c r="E200" s="37"/>
      <c r="F200" s="62"/>
      <c r="G200" s="62"/>
      <c r="H200" s="62"/>
      <c r="I200" s="65"/>
      <c r="J200" s="43"/>
      <c r="K200" s="54"/>
      <c r="L200" s="37"/>
      <c r="M200" s="37"/>
      <c r="N200" s="37"/>
      <c r="O200" s="37"/>
      <c r="P200" s="37"/>
      <c r="Q200" s="37"/>
      <c r="R200" s="37"/>
      <c r="S200" s="37"/>
      <c r="T200" s="37"/>
      <c r="U200" s="37"/>
      <c r="V200" s="37"/>
      <c r="W200" s="37"/>
      <c r="X200" s="37"/>
      <c r="Y200" s="37"/>
      <c r="Z200" s="37"/>
    </row>
    <row r="201" ht="12.75" customHeight="1" spans="1:26">
      <c r="A201" s="37"/>
      <c r="B201" s="37"/>
      <c r="C201" s="61"/>
      <c r="D201" s="37"/>
      <c r="E201" s="37"/>
      <c r="F201" s="62"/>
      <c r="G201" s="62"/>
      <c r="H201" s="62"/>
      <c r="I201" s="65"/>
      <c r="J201" s="43"/>
      <c r="K201" s="54"/>
      <c r="L201" s="37"/>
      <c r="M201" s="37"/>
      <c r="N201" s="37"/>
      <c r="O201" s="37"/>
      <c r="P201" s="37"/>
      <c r="Q201" s="37"/>
      <c r="R201" s="37"/>
      <c r="S201" s="37"/>
      <c r="T201" s="37"/>
      <c r="U201" s="37"/>
      <c r="V201" s="37"/>
      <c r="W201" s="37"/>
      <c r="X201" s="37"/>
      <c r="Y201" s="37"/>
      <c r="Z201" s="37"/>
    </row>
    <row r="202" ht="12.75" customHeight="1" spans="1:26">
      <c r="A202" s="37"/>
      <c r="B202" s="37"/>
      <c r="C202" s="61"/>
      <c r="D202" s="37"/>
      <c r="E202" s="37"/>
      <c r="F202" s="62"/>
      <c r="G202" s="62"/>
      <c r="H202" s="62"/>
      <c r="I202" s="65"/>
      <c r="J202" s="43"/>
      <c r="K202" s="54"/>
      <c r="L202" s="37"/>
      <c r="M202" s="37"/>
      <c r="N202" s="37"/>
      <c r="O202" s="37"/>
      <c r="P202" s="37"/>
      <c r="Q202" s="37"/>
      <c r="R202" s="37"/>
      <c r="S202" s="37"/>
      <c r="T202" s="37"/>
      <c r="U202" s="37"/>
      <c r="V202" s="37"/>
      <c r="W202" s="37"/>
      <c r="X202" s="37"/>
      <c r="Y202" s="37"/>
      <c r="Z202" s="37"/>
    </row>
    <row r="203" ht="12.75" customHeight="1" spans="1:26">
      <c r="A203" s="37"/>
      <c r="B203" s="37"/>
      <c r="C203" s="61"/>
      <c r="D203" s="37"/>
      <c r="E203" s="37"/>
      <c r="F203" s="62"/>
      <c r="G203" s="62"/>
      <c r="H203" s="62"/>
      <c r="I203" s="65"/>
      <c r="J203" s="43"/>
      <c r="K203" s="54"/>
      <c r="L203" s="37"/>
      <c r="M203" s="37"/>
      <c r="N203" s="37"/>
      <c r="O203" s="37"/>
      <c r="P203" s="37"/>
      <c r="Q203" s="37"/>
      <c r="R203" s="37"/>
      <c r="S203" s="37"/>
      <c r="T203" s="37"/>
      <c r="U203" s="37"/>
      <c r="V203" s="37"/>
      <c r="W203" s="37"/>
      <c r="X203" s="37"/>
      <c r="Y203" s="37"/>
      <c r="Z203" s="37"/>
    </row>
    <row r="204" ht="12.75" customHeight="1" spans="1:26">
      <c r="A204" s="37"/>
      <c r="B204" s="37"/>
      <c r="C204" s="61"/>
      <c r="D204" s="37"/>
      <c r="E204" s="37"/>
      <c r="F204" s="62"/>
      <c r="G204" s="62"/>
      <c r="H204" s="62"/>
      <c r="I204" s="65"/>
      <c r="J204" s="43"/>
      <c r="K204" s="54"/>
      <c r="L204" s="37"/>
      <c r="M204" s="37"/>
      <c r="N204" s="37"/>
      <c r="O204" s="37"/>
      <c r="P204" s="37"/>
      <c r="Q204" s="37"/>
      <c r="R204" s="37"/>
      <c r="S204" s="37"/>
      <c r="T204" s="37"/>
      <c r="U204" s="37"/>
      <c r="V204" s="37"/>
      <c r="W204" s="37"/>
      <c r="X204" s="37"/>
      <c r="Y204" s="37"/>
      <c r="Z204" s="37"/>
    </row>
    <row r="205" ht="12.75" customHeight="1" spans="1:26">
      <c r="A205" s="37"/>
      <c r="B205" s="37"/>
      <c r="C205" s="61"/>
      <c r="D205" s="37"/>
      <c r="E205" s="37"/>
      <c r="F205" s="62"/>
      <c r="G205" s="62"/>
      <c r="H205" s="62"/>
      <c r="I205" s="65"/>
      <c r="J205" s="43"/>
      <c r="K205" s="54"/>
      <c r="L205" s="37"/>
      <c r="M205" s="37"/>
      <c r="N205" s="37"/>
      <c r="O205" s="37"/>
      <c r="P205" s="37"/>
      <c r="Q205" s="37"/>
      <c r="R205" s="37"/>
      <c r="S205" s="37"/>
      <c r="T205" s="37"/>
      <c r="U205" s="37"/>
      <c r="V205" s="37"/>
      <c r="W205" s="37"/>
      <c r="X205" s="37"/>
      <c r="Y205" s="37"/>
      <c r="Z205" s="37"/>
    </row>
    <row r="206" ht="12.75" customHeight="1" spans="1:26">
      <c r="A206" s="37"/>
      <c r="B206" s="37"/>
      <c r="C206" s="61"/>
      <c r="D206" s="37"/>
      <c r="E206" s="37"/>
      <c r="F206" s="62"/>
      <c r="G206" s="62"/>
      <c r="H206" s="62"/>
      <c r="I206" s="65"/>
      <c r="J206" s="43"/>
      <c r="K206" s="54"/>
      <c r="L206" s="37"/>
      <c r="M206" s="37"/>
      <c r="N206" s="37"/>
      <c r="O206" s="37"/>
      <c r="P206" s="37"/>
      <c r="Q206" s="37"/>
      <c r="R206" s="37"/>
      <c r="S206" s="37"/>
      <c r="T206" s="37"/>
      <c r="U206" s="37"/>
      <c r="V206" s="37"/>
      <c r="W206" s="37"/>
      <c r="X206" s="37"/>
      <c r="Y206" s="37"/>
      <c r="Z206" s="37"/>
    </row>
    <row r="207" ht="12.75" customHeight="1" spans="1:26">
      <c r="A207" s="37"/>
      <c r="B207" s="37"/>
      <c r="C207" s="61"/>
      <c r="D207" s="37"/>
      <c r="E207" s="37"/>
      <c r="F207" s="62"/>
      <c r="G207" s="62"/>
      <c r="H207" s="62"/>
      <c r="I207" s="65"/>
      <c r="J207" s="43"/>
      <c r="K207" s="54"/>
      <c r="L207" s="37"/>
      <c r="M207" s="37"/>
      <c r="N207" s="37"/>
      <c r="O207" s="37"/>
      <c r="P207" s="37"/>
      <c r="Q207" s="37"/>
      <c r="R207" s="37"/>
      <c r="S207" s="37"/>
      <c r="T207" s="37"/>
      <c r="U207" s="37"/>
      <c r="V207" s="37"/>
      <c r="W207" s="37"/>
      <c r="X207" s="37"/>
      <c r="Y207" s="37"/>
      <c r="Z207" s="37"/>
    </row>
    <row r="208" ht="12.75" customHeight="1" spans="1:26">
      <c r="A208" s="37"/>
      <c r="B208" s="37"/>
      <c r="C208" s="61"/>
      <c r="D208" s="37"/>
      <c r="E208" s="37"/>
      <c r="F208" s="62"/>
      <c r="G208" s="62"/>
      <c r="H208" s="62"/>
      <c r="I208" s="65"/>
      <c r="J208" s="43"/>
      <c r="K208" s="54"/>
      <c r="L208" s="37"/>
      <c r="M208" s="37"/>
      <c r="N208" s="37"/>
      <c r="O208" s="37"/>
      <c r="P208" s="37"/>
      <c r="Q208" s="37"/>
      <c r="R208" s="37"/>
      <c r="S208" s="37"/>
      <c r="T208" s="37"/>
      <c r="U208" s="37"/>
      <c r="V208" s="37"/>
      <c r="W208" s="37"/>
      <c r="X208" s="37"/>
      <c r="Y208" s="37"/>
      <c r="Z208" s="37"/>
    </row>
    <row r="209" ht="12.75" customHeight="1" spans="1:26">
      <c r="A209" s="37"/>
      <c r="B209" s="37"/>
      <c r="C209" s="61"/>
      <c r="D209" s="37"/>
      <c r="E209" s="37"/>
      <c r="F209" s="62"/>
      <c r="G209" s="62"/>
      <c r="H209" s="62"/>
      <c r="I209" s="65"/>
      <c r="J209" s="43"/>
      <c r="K209" s="54"/>
      <c r="L209" s="37"/>
      <c r="M209" s="37"/>
      <c r="N209" s="37"/>
      <c r="O209" s="37"/>
      <c r="P209" s="37"/>
      <c r="Q209" s="37"/>
      <c r="R209" s="37"/>
      <c r="S209" s="37"/>
      <c r="T209" s="37"/>
      <c r="U209" s="37"/>
      <c r="V209" s="37"/>
      <c r="W209" s="37"/>
      <c r="X209" s="37"/>
      <c r="Y209" s="37"/>
      <c r="Z209" s="37"/>
    </row>
    <row r="210" ht="12.75" customHeight="1" spans="1:26">
      <c r="A210" s="37"/>
      <c r="B210" s="37"/>
      <c r="C210" s="61"/>
      <c r="D210" s="37"/>
      <c r="E210" s="37"/>
      <c r="F210" s="62"/>
      <c r="G210" s="62"/>
      <c r="H210" s="62"/>
      <c r="I210" s="65"/>
      <c r="J210" s="43"/>
      <c r="K210" s="54"/>
      <c r="L210" s="37"/>
      <c r="M210" s="37"/>
      <c r="N210" s="37"/>
      <c r="O210" s="37"/>
      <c r="P210" s="37"/>
      <c r="Q210" s="37"/>
      <c r="R210" s="37"/>
      <c r="S210" s="37"/>
      <c r="T210" s="37"/>
      <c r="U210" s="37"/>
      <c r="V210" s="37"/>
      <c r="W210" s="37"/>
      <c r="X210" s="37"/>
      <c r="Y210" s="37"/>
      <c r="Z210" s="37"/>
    </row>
    <row r="211" ht="12.75" customHeight="1" spans="1:26">
      <c r="A211" s="37"/>
      <c r="B211" s="37"/>
      <c r="C211" s="61"/>
      <c r="D211" s="37"/>
      <c r="E211" s="37"/>
      <c r="F211" s="62"/>
      <c r="G211" s="62"/>
      <c r="H211" s="62"/>
      <c r="I211" s="65"/>
      <c r="J211" s="43"/>
      <c r="K211" s="54"/>
      <c r="L211" s="37"/>
      <c r="M211" s="37"/>
      <c r="N211" s="37"/>
      <c r="O211" s="37"/>
      <c r="P211" s="37"/>
      <c r="Q211" s="37"/>
      <c r="R211" s="37"/>
      <c r="S211" s="37"/>
      <c r="T211" s="37"/>
      <c r="U211" s="37"/>
      <c r="V211" s="37"/>
      <c r="W211" s="37"/>
      <c r="X211" s="37"/>
      <c r="Y211" s="37"/>
      <c r="Z211" s="37"/>
    </row>
    <row r="212" ht="12.75" customHeight="1" spans="1:26">
      <c r="A212" s="37"/>
      <c r="B212" s="37"/>
      <c r="C212" s="61"/>
      <c r="D212" s="37"/>
      <c r="E212" s="37"/>
      <c r="F212" s="62"/>
      <c r="G212" s="62"/>
      <c r="H212" s="62"/>
      <c r="I212" s="65"/>
      <c r="J212" s="43"/>
      <c r="K212" s="54"/>
      <c r="L212" s="37"/>
      <c r="M212" s="37"/>
      <c r="N212" s="37"/>
      <c r="O212" s="37"/>
      <c r="P212" s="37"/>
      <c r="Q212" s="37"/>
      <c r="R212" s="37"/>
      <c r="S212" s="37"/>
      <c r="T212" s="37"/>
      <c r="U212" s="37"/>
      <c r="V212" s="37"/>
      <c r="W212" s="37"/>
      <c r="X212" s="37"/>
      <c r="Y212" s="37"/>
      <c r="Z212" s="37"/>
    </row>
    <row r="213" ht="12.75" customHeight="1" spans="1:26">
      <c r="A213" s="37"/>
      <c r="B213" s="37"/>
      <c r="C213" s="61"/>
      <c r="D213" s="37"/>
      <c r="E213" s="37"/>
      <c r="F213" s="62"/>
      <c r="G213" s="62"/>
      <c r="H213" s="62"/>
      <c r="I213" s="65"/>
      <c r="J213" s="43"/>
      <c r="K213" s="54"/>
      <c r="L213" s="37"/>
      <c r="M213" s="37"/>
      <c r="N213" s="37"/>
      <c r="O213" s="37"/>
      <c r="P213" s="37"/>
      <c r="Q213" s="37"/>
      <c r="R213" s="37"/>
      <c r="S213" s="37"/>
      <c r="T213" s="37"/>
      <c r="U213" s="37"/>
      <c r="V213" s="37"/>
      <c r="W213" s="37"/>
      <c r="X213" s="37"/>
      <c r="Y213" s="37"/>
      <c r="Z213" s="37"/>
    </row>
    <row r="214" ht="12.75" customHeight="1" spans="1:26">
      <c r="A214" s="37"/>
      <c r="B214" s="37"/>
      <c r="C214" s="61"/>
      <c r="D214" s="37"/>
      <c r="E214" s="37"/>
      <c r="F214" s="62"/>
      <c r="G214" s="62"/>
      <c r="H214" s="62"/>
      <c r="I214" s="65"/>
      <c r="J214" s="43"/>
      <c r="K214" s="54"/>
      <c r="L214" s="37"/>
      <c r="M214" s="37"/>
      <c r="N214" s="37"/>
      <c r="O214" s="37"/>
      <c r="P214" s="37"/>
      <c r="Q214" s="37"/>
      <c r="R214" s="37"/>
      <c r="S214" s="37"/>
      <c r="T214" s="37"/>
      <c r="U214" s="37"/>
      <c r="V214" s="37"/>
      <c r="W214" s="37"/>
      <c r="X214" s="37"/>
      <c r="Y214" s="37"/>
      <c r="Z214" s="37"/>
    </row>
    <row r="215" ht="12.75" customHeight="1" spans="1:26">
      <c r="A215" s="37"/>
      <c r="B215" s="37"/>
      <c r="C215" s="61"/>
      <c r="D215" s="37"/>
      <c r="E215" s="37"/>
      <c r="F215" s="62"/>
      <c r="G215" s="62"/>
      <c r="H215" s="62"/>
      <c r="I215" s="65"/>
      <c r="J215" s="43"/>
      <c r="K215" s="54"/>
      <c r="L215" s="37"/>
      <c r="M215" s="37"/>
      <c r="N215" s="37"/>
      <c r="O215" s="37"/>
      <c r="P215" s="37"/>
      <c r="Q215" s="37"/>
      <c r="R215" s="37"/>
      <c r="S215" s="37"/>
      <c r="T215" s="37"/>
      <c r="U215" s="37"/>
      <c r="V215" s="37"/>
      <c r="W215" s="37"/>
      <c r="X215" s="37"/>
      <c r="Y215" s="37"/>
      <c r="Z215" s="37"/>
    </row>
    <row r="216" ht="12.75" customHeight="1" spans="1:26">
      <c r="A216" s="37"/>
      <c r="B216" s="37"/>
      <c r="C216" s="61"/>
      <c r="D216" s="37"/>
      <c r="E216" s="37"/>
      <c r="F216" s="62"/>
      <c r="G216" s="62"/>
      <c r="H216" s="62"/>
      <c r="I216" s="65"/>
      <c r="J216" s="43"/>
      <c r="K216" s="54"/>
      <c r="L216" s="37"/>
      <c r="M216" s="37"/>
      <c r="N216" s="37"/>
      <c r="O216" s="37"/>
      <c r="P216" s="37"/>
      <c r="Q216" s="37"/>
      <c r="R216" s="37"/>
      <c r="S216" s="37"/>
      <c r="T216" s="37"/>
      <c r="U216" s="37"/>
      <c r="V216" s="37"/>
      <c r="W216" s="37"/>
      <c r="X216" s="37"/>
      <c r="Y216" s="37"/>
      <c r="Z216" s="37"/>
    </row>
    <row r="217" ht="12.75" customHeight="1" spans="1:26">
      <c r="A217" s="37"/>
      <c r="B217" s="37"/>
      <c r="C217" s="61"/>
      <c r="D217" s="37"/>
      <c r="E217" s="37"/>
      <c r="F217" s="62"/>
      <c r="G217" s="62"/>
      <c r="H217" s="62"/>
      <c r="I217" s="65"/>
      <c r="J217" s="43"/>
      <c r="K217" s="54"/>
      <c r="L217" s="37"/>
      <c r="M217" s="37"/>
      <c r="N217" s="37"/>
      <c r="O217" s="37"/>
      <c r="P217" s="37"/>
      <c r="Q217" s="37"/>
      <c r="R217" s="37"/>
      <c r="S217" s="37"/>
      <c r="T217" s="37"/>
      <c r="U217" s="37"/>
      <c r="V217" s="37"/>
      <c r="W217" s="37"/>
      <c r="X217" s="37"/>
      <c r="Y217" s="37"/>
      <c r="Z217" s="37"/>
    </row>
    <row r="218" ht="12.75" customHeight="1" spans="1:26">
      <c r="A218" s="37"/>
      <c r="B218" s="37"/>
      <c r="C218" s="61"/>
      <c r="D218" s="37"/>
      <c r="E218" s="37"/>
      <c r="F218" s="62"/>
      <c r="G218" s="62"/>
      <c r="H218" s="62"/>
      <c r="I218" s="65"/>
      <c r="J218" s="43"/>
      <c r="K218" s="54"/>
      <c r="L218" s="37"/>
      <c r="M218" s="37"/>
      <c r="N218" s="37"/>
      <c r="O218" s="37"/>
      <c r="P218" s="37"/>
      <c r="Q218" s="37"/>
      <c r="R218" s="37"/>
      <c r="S218" s="37"/>
      <c r="T218" s="37"/>
      <c r="U218" s="37"/>
      <c r="V218" s="37"/>
      <c r="W218" s="37"/>
      <c r="X218" s="37"/>
      <c r="Y218" s="37"/>
      <c r="Z218" s="37"/>
    </row>
    <row r="219" ht="12.75" customHeight="1" spans="1:26">
      <c r="A219" s="37"/>
      <c r="B219" s="37"/>
      <c r="C219" s="61"/>
      <c r="D219" s="37"/>
      <c r="E219" s="37"/>
      <c r="F219" s="62"/>
      <c r="G219" s="62"/>
      <c r="H219" s="62"/>
      <c r="I219" s="65"/>
      <c r="J219" s="43"/>
      <c r="K219" s="54"/>
      <c r="L219" s="37"/>
      <c r="M219" s="37"/>
      <c r="N219" s="37"/>
      <c r="O219" s="37"/>
      <c r="P219" s="37"/>
      <c r="Q219" s="37"/>
      <c r="R219" s="37"/>
      <c r="S219" s="37"/>
      <c r="T219" s="37"/>
      <c r="U219" s="37"/>
      <c r="V219" s="37"/>
      <c r="W219" s="37"/>
      <c r="X219" s="37"/>
      <c r="Y219" s="37"/>
      <c r="Z219" s="37"/>
    </row>
    <row r="220" ht="12.75" customHeight="1" spans="1:26">
      <c r="A220" s="37"/>
      <c r="B220" s="37"/>
      <c r="C220" s="61"/>
      <c r="D220" s="37"/>
      <c r="E220" s="37"/>
      <c r="F220" s="62"/>
      <c r="G220" s="62"/>
      <c r="H220" s="62"/>
      <c r="I220" s="65"/>
      <c r="J220" s="43"/>
      <c r="K220" s="54"/>
      <c r="L220" s="37"/>
      <c r="M220" s="37"/>
      <c r="N220" s="37"/>
      <c r="O220" s="37"/>
      <c r="P220" s="37"/>
      <c r="Q220" s="37"/>
      <c r="R220" s="37"/>
      <c r="S220" s="37"/>
      <c r="T220" s="37"/>
      <c r="U220" s="37"/>
      <c r="V220" s="37"/>
      <c r="W220" s="37"/>
      <c r="X220" s="37"/>
      <c r="Y220" s="37"/>
      <c r="Z220" s="37"/>
    </row>
    <row r="221" ht="12.75" customHeight="1" spans="1:26">
      <c r="A221" s="37"/>
      <c r="B221" s="37"/>
      <c r="C221" s="61"/>
      <c r="D221" s="37"/>
      <c r="E221" s="37"/>
      <c r="F221" s="62"/>
      <c r="G221" s="62"/>
      <c r="H221" s="62"/>
      <c r="I221" s="65"/>
      <c r="J221" s="43"/>
      <c r="K221" s="54"/>
      <c r="L221" s="37"/>
      <c r="M221" s="37"/>
      <c r="N221" s="37"/>
      <c r="O221" s="37"/>
      <c r="P221" s="37"/>
      <c r="Q221" s="37"/>
      <c r="R221" s="37"/>
      <c r="S221" s="37"/>
      <c r="T221" s="37"/>
      <c r="U221" s="37"/>
      <c r="V221" s="37"/>
      <c r="W221" s="37"/>
      <c r="X221" s="37"/>
      <c r="Y221" s="37"/>
      <c r="Z221" s="37"/>
    </row>
    <row r="222" ht="12.75" customHeight="1" spans="1:26">
      <c r="A222" s="37"/>
      <c r="B222" s="37"/>
      <c r="C222" s="61"/>
      <c r="D222" s="37"/>
      <c r="E222" s="37"/>
      <c r="F222" s="62"/>
      <c r="G222" s="62"/>
      <c r="H222" s="62"/>
      <c r="I222" s="65"/>
      <c r="J222" s="43"/>
      <c r="K222" s="54"/>
      <c r="L222" s="37"/>
      <c r="M222" s="37"/>
      <c r="N222" s="37"/>
      <c r="O222" s="37"/>
      <c r="P222" s="37"/>
      <c r="Q222" s="37"/>
      <c r="R222" s="37"/>
      <c r="S222" s="37"/>
      <c r="T222" s="37"/>
      <c r="U222" s="37"/>
      <c r="V222" s="37"/>
      <c r="W222" s="37"/>
      <c r="X222" s="37"/>
      <c r="Y222" s="37"/>
      <c r="Z222" s="37"/>
    </row>
    <row r="223" ht="12.75" customHeight="1" spans="1:26">
      <c r="A223" s="37"/>
      <c r="B223" s="37"/>
      <c r="C223" s="61"/>
      <c r="D223" s="37"/>
      <c r="E223" s="37"/>
      <c r="F223" s="62"/>
      <c r="G223" s="62"/>
      <c r="H223" s="62"/>
      <c r="I223" s="65"/>
      <c r="J223" s="43"/>
      <c r="K223" s="54"/>
      <c r="L223" s="37"/>
      <c r="M223" s="37"/>
      <c r="N223" s="37"/>
      <c r="O223" s="37"/>
      <c r="P223" s="37"/>
      <c r="Q223" s="37"/>
      <c r="R223" s="37"/>
      <c r="S223" s="37"/>
      <c r="T223" s="37"/>
      <c r="U223" s="37"/>
      <c r="V223" s="37"/>
      <c r="W223" s="37"/>
      <c r="X223" s="37"/>
      <c r="Y223" s="37"/>
      <c r="Z223" s="37"/>
    </row>
    <row r="224" ht="12.75" customHeight="1" spans="1:26">
      <c r="A224" s="37"/>
      <c r="B224" s="37"/>
      <c r="C224" s="61"/>
      <c r="D224" s="37"/>
      <c r="E224" s="37"/>
      <c r="F224" s="62"/>
      <c r="G224" s="62"/>
      <c r="H224" s="62"/>
      <c r="I224" s="65"/>
      <c r="J224" s="43"/>
      <c r="K224" s="54"/>
      <c r="L224" s="37"/>
      <c r="M224" s="37"/>
      <c r="N224" s="37"/>
      <c r="O224" s="37"/>
      <c r="P224" s="37"/>
      <c r="Q224" s="37"/>
      <c r="R224" s="37"/>
      <c r="S224" s="37"/>
      <c r="T224" s="37"/>
      <c r="U224" s="37"/>
      <c r="V224" s="37"/>
      <c r="W224" s="37"/>
      <c r="X224" s="37"/>
      <c r="Y224" s="37"/>
      <c r="Z224" s="37"/>
    </row>
    <row r="225" ht="12.75" customHeight="1" spans="1:26">
      <c r="A225" s="37"/>
      <c r="B225" s="37"/>
      <c r="C225" s="61"/>
      <c r="D225" s="37"/>
      <c r="E225" s="37"/>
      <c r="F225" s="62"/>
      <c r="G225" s="62"/>
      <c r="H225" s="62"/>
      <c r="I225" s="65"/>
      <c r="J225" s="43"/>
      <c r="K225" s="54"/>
      <c r="L225" s="37"/>
      <c r="M225" s="37"/>
      <c r="N225" s="37"/>
      <c r="O225" s="37"/>
      <c r="P225" s="37"/>
      <c r="Q225" s="37"/>
      <c r="R225" s="37"/>
      <c r="S225" s="37"/>
      <c r="T225" s="37"/>
      <c r="U225" s="37"/>
      <c r="V225" s="37"/>
      <c r="W225" s="37"/>
      <c r="X225" s="37"/>
      <c r="Y225" s="37"/>
      <c r="Z225" s="37"/>
    </row>
    <row r="226" ht="12.75" customHeight="1" spans="1:26">
      <c r="A226" s="37"/>
      <c r="B226" s="37"/>
      <c r="C226" s="61"/>
      <c r="D226" s="37"/>
      <c r="E226" s="37"/>
      <c r="F226" s="62"/>
      <c r="G226" s="62"/>
      <c r="H226" s="62"/>
      <c r="I226" s="65"/>
      <c r="J226" s="43"/>
      <c r="K226" s="54"/>
      <c r="L226" s="37"/>
      <c r="M226" s="37"/>
      <c r="N226" s="37"/>
      <c r="O226" s="37"/>
      <c r="P226" s="37"/>
      <c r="Q226" s="37"/>
      <c r="R226" s="37"/>
      <c r="S226" s="37"/>
      <c r="T226" s="37"/>
      <c r="U226" s="37"/>
      <c r="V226" s="37"/>
      <c r="W226" s="37"/>
      <c r="X226" s="37"/>
      <c r="Y226" s="37"/>
      <c r="Z226" s="37"/>
    </row>
    <row r="227" ht="12.75" customHeight="1" spans="1:26">
      <c r="A227" s="37"/>
      <c r="B227" s="37"/>
      <c r="C227" s="61"/>
      <c r="D227" s="37"/>
      <c r="E227" s="37"/>
      <c r="F227" s="62"/>
      <c r="G227" s="62"/>
      <c r="H227" s="62"/>
      <c r="I227" s="65"/>
      <c r="J227" s="43"/>
      <c r="K227" s="54"/>
      <c r="L227" s="37"/>
      <c r="M227" s="37"/>
      <c r="N227" s="37"/>
      <c r="O227" s="37"/>
      <c r="P227" s="37"/>
      <c r="Q227" s="37"/>
      <c r="R227" s="37"/>
      <c r="S227" s="37"/>
      <c r="T227" s="37"/>
      <c r="U227" s="37"/>
      <c r="V227" s="37"/>
      <c r="W227" s="37"/>
      <c r="X227" s="37"/>
      <c r="Y227" s="37"/>
      <c r="Z227" s="37"/>
    </row>
    <row r="228" ht="12.75" customHeight="1" spans="1:26">
      <c r="A228" s="37"/>
      <c r="B228" s="37"/>
      <c r="C228" s="61"/>
      <c r="D228" s="37"/>
      <c r="E228" s="37"/>
      <c r="F228" s="62"/>
      <c r="G228" s="62"/>
      <c r="H228" s="62"/>
      <c r="I228" s="65"/>
      <c r="J228" s="43"/>
      <c r="K228" s="54"/>
      <c r="L228" s="37"/>
      <c r="M228" s="37"/>
      <c r="N228" s="37"/>
      <c r="O228" s="37"/>
      <c r="P228" s="37"/>
      <c r="Q228" s="37"/>
      <c r="R228" s="37"/>
      <c r="S228" s="37"/>
      <c r="T228" s="37"/>
      <c r="U228" s="37"/>
      <c r="V228" s="37"/>
      <c r="W228" s="37"/>
      <c r="X228" s="37"/>
      <c r="Y228" s="37"/>
      <c r="Z228" s="37"/>
    </row>
    <row r="229" ht="12.75" customHeight="1" spans="1:26">
      <c r="A229" s="37"/>
      <c r="B229" s="37"/>
      <c r="C229" s="61"/>
      <c r="D229" s="37"/>
      <c r="E229" s="37"/>
      <c r="F229" s="62"/>
      <c r="G229" s="62"/>
      <c r="H229" s="62"/>
      <c r="I229" s="65"/>
      <c r="J229" s="43"/>
      <c r="K229" s="54"/>
      <c r="L229" s="37"/>
      <c r="M229" s="37"/>
      <c r="N229" s="37"/>
      <c r="O229" s="37"/>
      <c r="P229" s="37"/>
      <c r="Q229" s="37"/>
      <c r="R229" s="37"/>
      <c r="S229" s="37"/>
      <c r="T229" s="37"/>
      <c r="U229" s="37"/>
      <c r="V229" s="37"/>
      <c r="W229" s="37"/>
      <c r="X229" s="37"/>
      <c r="Y229" s="37"/>
      <c r="Z229" s="37"/>
    </row>
    <row r="230" ht="12.75" customHeight="1" spans="1:26">
      <c r="A230" s="37"/>
      <c r="B230" s="37"/>
      <c r="C230" s="61"/>
      <c r="D230" s="37"/>
      <c r="E230" s="37"/>
      <c r="F230" s="62"/>
      <c r="G230" s="62"/>
      <c r="H230" s="62"/>
      <c r="I230" s="65"/>
      <c r="J230" s="43"/>
      <c r="K230" s="54"/>
      <c r="L230" s="37"/>
      <c r="M230" s="37"/>
      <c r="N230" s="37"/>
      <c r="O230" s="37"/>
      <c r="P230" s="37"/>
      <c r="Q230" s="37"/>
      <c r="R230" s="37"/>
      <c r="S230" s="37"/>
      <c r="T230" s="37"/>
      <c r="U230" s="37"/>
      <c r="V230" s="37"/>
      <c r="W230" s="37"/>
      <c r="X230" s="37"/>
      <c r="Y230" s="37"/>
      <c r="Z230" s="37"/>
    </row>
    <row r="231" ht="12.75" customHeight="1" spans="1:26">
      <c r="A231" s="37"/>
      <c r="B231" s="37"/>
      <c r="C231" s="61"/>
      <c r="D231" s="37"/>
      <c r="E231" s="37"/>
      <c r="F231" s="62"/>
      <c r="G231" s="62"/>
      <c r="H231" s="62"/>
      <c r="I231" s="65"/>
      <c r="J231" s="43"/>
      <c r="K231" s="54"/>
      <c r="L231" s="37"/>
      <c r="M231" s="37"/>
      <c r="N231" s="37"/>
      <c r="O231" s="37"/>
      <c r="P231" s="37"/>
      <c r="Q231" s="37"/>
      <c r="R231" s="37"/>
      <c r="S231" s="37"/>
      <c r="T231" s="37"/>
      <c r="U231" s="37"/>
      <c r="V231" s="37"/>
      <c r="W231" s="37"/>
      <c r="X231" s="37"/>
      <c r="Y231" s="37"/>
      <c r="Z231" s="37"/>
    </row>
    <row r="232" ht="12.75" customHeight="1" spans="1:26">
      <c r="A232" s="37"/>
      <c r="B232" s="37"/>
      <c r="C232" s="61"/>
      <c r="D232" s="37"/>
      <c r="E232" s="37"/>
      <c r="F232" s="62"/>
      <c r="G232" s="62"/>
      <c r="H232" s="62"/>
      <c r="I232" s="65"/>
      <c r="J232" s="43"/>
      <c r="K232" s="54"/>
      <c r="L232" s="37"/>
      <c r="M232" s="37"/>
      <c r="N232" s="37"/>
      <c r="O232" s="37"/>
      <c r="P232" s="37"/>
      <c r="Q232" s="37"/>
      <c r="R232" s="37"/>
      <c r="S232" s="37"/>
      <c r="T232" s="37"/>
      <c r="U232" s="37"/>
      <c r="V232" s="37"/>
      <c r="W232" s="37"/>
      <c r="X232" s="37"/>
      <c r="Y232" s="37"/>
      <c r="Z232" s="37"/>
    </row>
    <row r="233" ht="12.75" customHeight="1" spans="1:26">
      <c r="A233" s="37"/>
      <c r="B233" s="37"/>
      <c r="C233" s="61"/>
      <c r="D233" s="37"/>
      <c r="E233" s="37"/>
      <c r="F233" s="62"/>
      <c r="G233" s="62"/>
      <c r="H233" s="62"/>
      <c r="I233" s="65"/>
      <c r="J233" s="43"/>
      <c r="K233" s="54"/>
      <c r="L233" s="37"/>
      <c r="M233" s="37"/>
      <c r="N233" s="37"/>
      <c r="O233" s="37"/>
      <c r="P233" s="37"/>
      <c r="Q233" s="37"/>
      <c r="R233" s="37"/>
      <c r="S233" s="37"/>
      <c r="T233" s="37"/>
      <c r="U233" s="37"/>
      <c r="V233" s="37"/>
      <c r="W233" s="37"/>
      <c r="X233" s="37"/>
      <c r="Y233" s="37"/>
      <c r="Z233" s="37"/>
    </row>
    <row r="234" ht="12.75" customHeight="1" spans="1:26">
      <c r="A234" s="37"/>
      <c r="B234" s="37"/>
      <c r="C234" s="61"/>
      <c r="D234" s="37"/>
      <c r="E234" s="37"/>
      <c r="F234" s="62"/>
      <c r="G234" s="62"/>
      <c r="H234" s="62"/>
      <c r="I234" s="65"/>
      <c r="J234" s="43"/>
      <c r="K234" s="54"/>
      <c r="L234" s="37"/>
      <c r="M234" s="37"/>
      <c r="N234" s="37"/>
      <c r="O234" s="37"/>
      <c r="P234" s="37"/>
      <c r="Q234" s="37"/>
      <c r="R234" s="37"/>
      <c r="S234" s="37"/>
      <c r="T234" s="37"/>
      <c r="U234" s="37"/>
      <c r="V234" s="37"/>
      <c r="W234" s="37"/>
      <c r="X234" s="37"/>
      <c r="Y234" s="37"/>
      <c r="Z234" s="37"/>
    </row>
    <row r="235" ht="12.75" customHeight="1" spans="1:26">
      <c r="A235" s="37"/>
      <c r="B235" s="37"/>
      <c r="C235" s="61"/>
      <c r="D235" s="37"/>
      <c r="E235" s="37"/>
      <c r="F235" s="62"/>
      <c r="G235" s="62"/>
      <c r="H235" s="62"/>
      <c r="I235" s="65"/>
      <c r="J235" s="43"/>
      <c r="K235" s="54"/>
      <c r="L235" s="37"/>
      <c r="M235" s="37"/>
      <c r="N235" s="37"/>
      <c r="O235" s="37"/>
      <c r="P235" s="37"/>
      <c r="Q235" s="37"/>
      <c r="R235" s="37"/>
      <c r="S235" s="37"/>
      <c r="T235" s="37"/>
      <c r="U235" s="37"/>
      <c r="V235" s="37"/>
      <c r="W235" s="37"/>
      <c r="X235" s="37"/>
      <c r="Y235" s="37"/>
      <c r="Z235" s="37"/>
    </row>
    <row r="236" ht="12.75" customHeight="1" spans="1:26">
      <c r="A236" s="37"/>
      <c r="B236" s="37"/>
      <c r="C236" s="61"/>
      <c r="D236" s="37"/>
      <c r="E236" s="37"/>
      <c r="F236" s="62"/>
      <c r="G236" s="62"/>
      <c r="H236" s="62"/>
      <c r="I236" s="65"/>
      <c r="J236" s="43"/>
      <c r="K236" s="54"/>
      <c r="L236" s="37"/>
      <c r="M236" s="37"/>
      <c r="N236" s="37"/>
      <c r="O236" s="37"/>
      <c r="P236" s="37"/>
      <c r="Q236" s="37"/>
      <c r="R236" s="37"/>
      <c r="S236" s="37"/>
      <c r="T236" s="37"/>
      <c r="U236" s="37"/>
      <c r="V236" s="37"/>
      <c r="W236" s="37"/>
      <c r="X236" s="37"/>
      <c r="Y236" s="37"/>
      <c r="Z236" s="37"/>
    </row>
    <row r="237" ht="12.75" customHeight="1" spans="1:26">
      <c r="A237" s="37"/>
      <c r="B237" s="37"/>
      <c r="C237" s="61"/>
      <c r="D237" s="37"/>
      <c r="E237" s="37"/>
      <c r="F237" s="62"/>
      <c r="G237" s="62"/>
      <c r="H237" s="62"/>
      <c r="I237" s="65"/>
      <c r="J237" s="43"/>
      <c r="K237" s="54"/>
      <c r="L237" s="37"/>
      <c r="M237" s="37"/>
      <c r="N237" s="37"/>
      <c r="O237" s="37"/>
      <c r="P237" s="37"/>
      <c r="Q237" s="37"/>
      <c r="R237" s="37"/>
      <c r="S237" s="37"/>
      <c r="T237" s="37"/>
      <c r="U237" s="37"/>
      <c r="V237" s="37"/>
      <c r="W237" s="37"/>
      <c r="X237" s="37"/>
      <c r="Y237" s="37"/>
      <c r="Z237" s="37"/>
    </row>
    <row r="238" ht="12.75" customHeight="1" spans="1:26">
      <c r="A238" s="37"/>
      <c r="B238" s="37"/>
      <c r="C238" s="61"/>
      <c r="D238" s="37"/>
      <c r="E238" s="37"/>
      <c r="F238" s="62"/>
      <c r="G238" s="62"/>
      <c r="H238" s="62"/>
      <c r="I238" s="65"/>
      <c r="J238" s="43"/>
      <c r="K238" s="54"/>
      <c r="L238" s="37"/>
      <c r="M238" s="37"/>
      <c r="N238" s="37"/>
      <c r="O238" s="37"/>
      <c r="P238" s="37"/>
      <c r="Q238" s="37"/>
      <c r="R238" s="37"/>
      <c r="S238" s="37"/>
      <c r="T238" s="37"/>
      <c r="U238" s="37"/>
      <c r="V238" s="37"/>
      <c r="W238" s="37"/>
      <c r="X238" s="37"/>
      <c r="Y238" s="37"/>
      <c r="Z238" s="37"/>
    </row>
    <row r="239" ht="12.75" customHeight="1" spans="1:26">
      <c r="A239" s="37"/>
      <c r="B239" s="37"/>
      <c r="C239" s="61"/>
      <c r="D239" s="37"/>
      <c r="E239" s="37"/>
      <c r="F239" s="62"/>
      <c r="G239" s="62"/>
      <c r="H239" s="62"/>
      <c r="I239" s="65"/>
      <c r="J239" s="43"/>
      <c r="K239" s="54"/>
      <c r="L239" s="37"/>
      <c r="M239" s="37"/>
      <c r="N239" s="37"/>
      <c r="O239" s="37"/>
      <c r="P239" s="37"/>
      <c r="Q239" s="37"/>
      <c r="R239" s="37"/>
      <c r="S239" s="37"/>
      <c r="T239" s="37"/>
      <c r="U239" s="37"/>
      <c r="V239" s="37"/>
      <c r="W239" s="37"/>
      <c r="X239" s="37"/>
      <c r="Y239" s="37"/>
      <c r="Z239" s="37"/>
    </row>
    <row r="240" ht="12.75" customHeight="1" spans="1:26">
      <c r="A240" s="37"/>
      <c r="B240" s="37"/>
      <c r="C240" s="61"/>
      <c r="D240" s="37"/>
      <c r="E240" s="37"/>
      <c r="F240" s="62"/>
      <c r="G240" s="62"/>
      <c r="H240" s="62"/>
      <c r="I240" s="65"/>
      <c r="J240" s="43"/>
      <c r="K240" s="54"/>
      <c r="L240" s="37"/>
      <c r="M240" s="37"/>
      <c r="N240" s="37"/>
      <c r="O240" s="37"/>
      <c r="P240" s="37"/>
      <c r="Q240" s="37"/>
      <c r="R240" s="37"/>
      <c r="S240" s="37"/>
      <c r="T240" s="37"/>
      <c r="U240" s="37"/>
      <c r="V240" s="37"/>
      <c r="W240" s="37"/>
      <c r="X240" s="37"/>
      <c r="Y240" s="37"/>
      <c r="Z240" s="37"/>
    </row>
    <row r="241" ht="12.75" customHeight="1" spans="1:26">
      <c r="A241" s="37"/>
      <c r="B241" s="37"/>
      <c r="C241" s="61"/>
      <c r="D241" s="37"/>
      <c r="E241" s="37"/>
      <c r="F241" s="62"/>
      <c r="G241" s="62"/>
      <c r="H241" s="62"/>
      <c r="I241" s="65"/>
      <c r="J241" s="43"/>
      <c r="K241" s="54"/>
      <c r="L241" s="37"/>
      <c r="M241" s="37"/>
      <c r="N241" s="37"/>
      <c r="O241" s="37"/>
      <c r="P241" s="37"/>
      <c r="Q241" s="37"/>
      <c r="R241" s="37"/>
      <c r="S241" s="37"/>
      <c r="T241" s="37"/>
      <c r="U241" s="37"/>
      <c r="V241" s="37"/>
      <c r="W241" s="37"/>
      <c r="X241" s="37"/>
      <c r="Y241" s="37"/>
      <c r="Z241" s="37"/>
    </row>
    <row r="242" ht="12.75" customHeight="1" spans="1:26">
      <c r="A242" s="37"/>
      <c r="B242" s="37"/>
      <c r="C242" s="61"/>
      <c r="D242" s="37"/>
      <c r="E242" s="37"/>
      <c r="F242" s="62"/>
      <c r="G242" s="62"/>
      <c r="H242" s="62"/>
      <c r="I242" s="65"/>
      <c r="J242" s="43"/>
      <c r="K242" s="54"/>
      <c r="L242" s="37"/>
      <c r="M242" s="37"/>
      <c r="N242" s="37"/>
      <c r="O242" s="37"/>
      <c r="P242" s="37"/>
      <c r="Q242" s="37"/>
      <c r="R242" s="37"/>
      <c r="S242" s="37"/>
      <c r="T242" s="37"/>
      <c r="U242" s="37"/>
      <c r="V242" s="37"/>
      <c r="W242" s="37"/>
      <c r="X242" s="37"/>
      <c r="Y242" s="37"/>
      <c r="Z242" s="37"/>
    </row>
    <row r="243" ht="12.75" customHeight="1" spans="1:26">
      <c r="A243" s="37"/>
      <c r="B243" s="37"/>
      <c r="C243" s="61"/>
      <c r="D243" s="37"/>
      <c r="E243" s="37"/>
      <c r="F243" s="62"/>
      <c r="G243" s="62"/>
      <c r="H243" s="62"/>
      <c r="I243" s="65"/>
      <c r="J243" s="43"/>
      <c r="K243" s="54"/>
      <c r="L243" s="37"/>
      <c r="M243" s="37"/>
      <c r="N243" s="37"/>
      <c r="O243" s="37"/>
      <c r="P243" s="37"/>
      <c r="Q243" s="37"/>
      <c r="R243" s="37"/>
      <c r="S243" s="37"/>
      <c r="T243" s="37"/>
      <c r="U243" s="37"/>
      <c r="V243" s="37"/>
      <c r="W243" s="37"/>
      <c r="X243" s="37"/>
      <c r="Y243" s="37"/>
      <c r="Z243" s="37"/>
    </row>
    <row r="244" ht="12.75" customHeight="1" spans="1:26">
      <c r="A244" s="37"/>
      <c r="B244" s="37"/>
      <c r="C244" s="61"/>
      <c r="D244" s="37"/>
      <c r="E244" s="37"/>
      <c r="F244" s="62"/>
      <c r="G244" s="62"/>
      <c r="H244" s="62"/>
      <c r="I244" s="65"/>
      <c r="J244" s="43"/>
      <c r="K244" s="54"/>
      <c r="L244" s="37"/>
      <c r="M244" s="37"/>
      <c r="N244" s="37"/>
      <c r="O244" s="37"/>
      <c r="P244" s="37"/>
      <c r="Q244" s="37"/>
      <c r="R244" s="37"/>
      <c r="S244" s="37"/>
      <c r="T244" s="37"/>
      <c r="U244" s="37"/>
      <c r="V244" s="37"/>
      <c r="W244" s="37"/>
      <c r="X244" s="37"/>
      <c r="Y244" s="37"/>
      <c r="Z244" s="37"/>
    </row>
    <row r="245" ht="12.75" customHeight="1" spans="1:26">
      <c r="A245" s="37"/>
      <c r="B245" s="37"/>
      <c r="C245" s="61"/>
      <c r="D245" s="37"/>
      <c r="E245" s="37"/>
      <c r="F245" s="62"/>
      <c r="G245" s="62"/>
      <c r="H245" s="62"/>
      <c r="I245" s="65"/>
      <c r="J245" s="43"/>
      <c r="K245" s="54"/>
      <c r="L245" s="37"/>
      <c r="M245" s="37"/>
      <c r="N245" s="37"/>
      <c r="O245" s="37"/>
      <c r="P245" s="37"/>
      <c r="Q245" s="37"/>
      <c r="R245" s="37"/>
      <c r="S245" s="37"/>
      <c r="T245" s="37"/>
      <c r="U245" s="37"/>
      <c r="V245" s="37"/>
      <c r="W245" s="37"/>
      <c r="X245" s="37"/>
      <c r="Y245" s="37"/>
      <c r="Z245" s="37"/>
    </row>
    <row r="246" ht="12.75" customHeight="1" spans="1:26">
      <c r="A246" s="37"/>
      <c r="B246" s="37"/>
      <c r="C246" s="61"/>
      <c r="D246" s="37"/>
      <c r="E246" s="37"/>
      <c r="F246" s="62"/>
      <c r="G246" s="62"/>
      <c r="H246" s="62"/>
      <c r="I246" s="65"/>
      <c r="J246" s="43"/>
      <c r="K246" s="54"/>
      <c r="L246" s="37"/>
      <c r="M246" s="37"/>
      <c r="N246" s="37"/>
      <c r="O246" s="37"/>
      <c r="P246" s="37"/>
      <c r="Q246" s="37"/>
      <c r="R246" s="37"/>
      <c r="S246" s="37"/>
      <c r="T246" s="37"/>
      <c r="U246" s="37"/>
      <c r="V246" s="37"/>
      <c r="W246" s="37"/>
      <c r="X246" s="37"/>
      <c r="Y246" s="37"/>
      <c r="Z246" s="37"/>
    </row>
    <row r="247" ht="12.75" customHeight="1" spans="1:26">
      <c r="A247" s="37"/>
      <c r="B247" s="37"/>
      <c r="C247" s="61"/>
      <c r="D247" s="37"/>
      <c r="E247" s="37"/>
      <c r="F247" s="62"/>
      <c r="G247" s="62"/>
      <c r="H247" s="62"/>
      <c r="I247" s="65"/>
      <c r="J247" s="43"/>
      <c r="K247" s="54"/>
      <c r="L247" s="37"/>
      <c r="M247" s="37"/>
      <c r="N247" s="37"/>
      <c r="O247" s="37"/>
      <c r="P247" s="37"/>
      <c r="Q247" s="37"/>
      <c r="R247" s="37"/>
      <c r="S247" s="37"/>
      <c r="T247" s="37"/>
      <c r="U247" s="37"/>
      <c r="V247" s="37"/>
      <c r="W247" s="37"/>
      <c r="X247" s="37"/>
      <c r="Y247" s="37"/>
      <c r="Z247" s="37"/>
    </row>
    <row r="248" ht="12.75" customHeight="1" spans="1:26">
      <c r="A248" s="37"/>
      <c r="B248" s="37"/>
      <c r="C248" s="61"/>
      <c r="D248" s="37"/>
      <c r="E248" s="37"/>
      <c r="F248" s="62"/>
      <c r="G248" s="62"/>
      <c r="H248" s="62"/>
      <c r="I248" s="65"/>
      <c r="J248" s="43"/>
      <c r="K248" s="54"/>
      <c r="L248" s="37"/>
      <c r="M248" s="37"/>
      <c r="N248" s="37"/>
      <c r="O248" s="37"/>
      <c r="P248" s="37"/>
      <c r="Q248" s="37"/>
      <c r="R248" s="37"/>
      <c r="S248" s="37"/>
      <c r="T248" s="37"/>
      <c r="U248" s="37"/>
      <c r="V248" s="37"/>
      <c r="W248" s="37"/>
      <c r="X248" s="37"/>
      <c r="Y248" s="37"/>
      <c r="Z248" s="37"/>
    </row>
    <row r="249" ht="12.75" customHeight="1" spans="1:26">
      <c r="A249" s="37"/>
      <c r="B249" s="37"/>
      <c r="C249" s="61"/>
      <c r="D249" s="37"/>
      <c r="E249" s="37"/>
      <c r="F249" s="62"/>
      <c r="G249" s="62"/>
      <c r="H249" s="62"/>
      <c r="I249" s="65"/>
      <c r="J249" s="43"/>
      <c r="K249" s="54"/>
      <c r="L249" s="37"/>
      <c r="M249" s="37"/>
      <c r="N249" s="37"/>
      <c r="O249" s="37"/>
      <c r="P249" s="37"/>
      <c r="Q249" s="37"/>
      <c r="R249" s="37"/>
      <c r="S249" s="37"/>
      <c r="T249" s="37"/>
      <c r="U249" s="37"/>
      <c r="V249" s="37"/>
      <c r="W249" s="37"/>
      <c r="X249" s="37"/>
      <c r="Y249" s="37"/>
      <c r="Z249" s="37"/>
    </row>
    <row r="250" ht="12.75" customHeight="1" spans="1:26">
      <c r="A250" s="37"/>
      <c r="B250" s="37"/>
      <c r="C250" s="61"/>
      <c r="D250" s="37"/>
      <c r="E250" s="37"/>
      <c r="F250" s="62"/>
      <c r="G250" s="62"/>
      <c r="H250" s="62"/>
      <c r="I250" s="65"/>
      <c r="J250" s="43"/>
      <c r="K250" s="54"/>
      <c r="L250" s="37"/>
      <c r="M250" s="37"/>
      <c r="N250" s="37"/>
      <c r="O250" s="37"/>
      <c r="P250" s="37"/>
      <c r="Q250" s="37"/>
      <c r="R250" s="37"/>
      <c r="S250" s="37"/>
      <c r="T250" s="37"/>
      <c r="U250" s="37"/>
      <c r="V250" s="37"/>
      <c r="W250" s="37"/>
      <c r="X250" s="37"/>
      <c r="Y250" s="37"/>
      <c r="Z250" s="37"/>
    </row>
    <row r="251" ht="12.75" customHeight="1" spans="1:26">
      <c r="A251" s="37"/>
      <c r="B251" s="37"/>
      <c r="C251" s="61"/>
      <c r="D251" s="37"/>
      <c r="E251" s="37"/>
      <c r="F251" s="62"/>
      <c r="G251" s="62"/>
      <c r="H251" s="62"/>
      <c r="I251" s="65"/>
      <c r="J251" s="43"/>
      <c r="K251" s="54"/>
      <c r="L251" s="37"/>
      <c r="M251" s="37"/>
      <c r="N251" s="37"/>
      <c r="O251" s="37"/>
      <c r="P251" s="37"/>
      <c r="Q251" s="37"/>
      <c r="R251" s="37"/>
      <c r="S251" s="37"/>
      <c r="T251" s="37"/>
      <c r="U251" s="37"/>
      <c r="V251" s="37"/>
      <c r="W251" s="37"/>
      <c r="X251" s="37"/>
      <c r="Y251" s="37"/>
      <c r="Z251" s="37"/>
    </row>
    <row r="252" ht="12.75" customHeight="1" spans="1:26">
      <c r="A252" s="37"/>
      <c r="B252" s="37"/>
      <c r="C252" s="61"/>
      <c r="D252" s="37"/>
      <c r="E252" s="37"/>
      <c r="F252" s="62"/>
      <c r="G252" s="62"/>
      <c r="H252" s="62"/>
      <c r="I252" s="65"/>
      <c r="J252" s="43"/>
      <c r="K252" s="54"/>
      <c r="L252" s="37"/>
      <c r="M252" s="37"/>
      <c r="N252" s="37"/>
      <c r="O252" s="37"/>
      <c r="P252" s="37"/>
      <c r="Q252" s="37"/>
      <c r="R252" s="37"/>
      <c r="S252" s="37"/>
      <c r="T252" s="37"/>
      <c r="U252" s="37"/>
      <c r="V252" s="37"/>
      <c r="W252" s="37"/>
      <c r="X252" s="37"/>
      <c r="Y252" s="37"/>
      <c r="Z252" s="37"/>
    </row>
    <row r="253" ht="12.75" customHeight="1" spans="1:26">
      <c r="A253" s="37"/>
      <c r="B253" s="37"/>
      <c r="C253" s="61"/>
      <c r="D253" s="37"/>
      <c r="E253" s="37"/>
      <c r="F253" s="62"/>
      <c r="G253" s="62"/>
      <c r="H253" s="62"/>
      <c r="I253" s="65"/>
      <c r="J253" s="43"/>
      <c r="K253" s="54"/>
      <c r="L253" s="37"/>
      <c r="M253" s="37"/>
      <c r="N253" s="37"/>
      <c r="O253" s="37"/>
      <c r="P253" s="37"/>
      <c r="Q253" s="37"/>
      <c r="R253" s="37"/>
      <c r="S253" s="37"/>
      <c r="T253" s="37"/>
      <c r="U253" s="37"/>
      <c r="V253" s="37"/>
      <c r="W253" s="37"/>
      <c r="X253" s="37"/>
      <c r="Y253" s="37"/>
      <c r="Z253" s="37"/>
    </row>
    <row r="254" ht="12.75" customHeight="1" spans="1:26">
      <c r="A254" s="37"/>
      <c r="B254" s="37"/>
      <c r="C254" s="61"/>
      <c r="D254" s="37"/>
      <c r="E254" s="37"/>
      <c r="F254" s="62"/>
      <c r="G254" s="62"/>
      <c r="H254" s="62"/>
      <c r="I254" s="65"/>
      <c r="J254" s="43"/>
      <c r="K254" s="54"/>
      <c r="L254" s="37"/>
      <c r="M254" s="37"/>
      <c r="N254" s="37"/>
      <c r="O254" s="37"/>
      <c r="P254" s="37"/>
      <c r="Q254" s="37"/>
      <c r="R254" s="37"/>
      <c r="S254" s="37"/>
      <c r="T254" s="37"/>
      <c r="U254" s="37"/>
      <c r="V254" s="37"/>
      <c r="W254" s="37"/>
      <c r="X254" s="37"/>
      <c r="Y254" s="37"/>
      <c r="Z254" s="37"/>
    </row>
    <row r="255" ht="12.75" customHeight="1" spans="1:26">
      <c r="A255" s="37"/>
      <c r="B255" s="37"/>
      <c r="C255" s="61"/>
      <c r="D255" s="37"/>
      <c r="E255" s="37"/>
      <c r="F255" s="62"/>
      <c r="G255" s="62"/>
      <c r="H255" s="62"/>
      <c r="I255" s="65"/>
      <c r="J255" s="43"/>
      <c r="K255" s="54"/>
      <c r="L255" s="37"/>
      <c r="M255" s="37"/>
      <c r="N255" s="37"/>
      <c r="O255" s="37"/>
      <c r="P255" s="37"/>
      <c r="Q255" s="37"/>
      <c r="R255" s="37"/>
      <c r="S255" s="37"/>
      <c r="T255" s="37"/>
      <c r="U255" s="37"/>
      <c r="V255" s="37"/>
      <c r="W255" s="37"/>
      <c r="X255" s="37"/>
      <c r="Y255" s="37"/>
      <c r="Z255" s="37"/>
    </row>
    <row r="256" ht="12.75" customHeight="1" spans="1:26">
      <c r="A256" s="37"/>
      <c r="B256" s="37"/>
      <c r="C256" s="61"/>
      <c r="D256" s="37"/>
      <c r="E256" s="37"/>
      <c r="F256" s="62"/>
      <c r="G256" s="62"/>
      <c r="H256" s="62"/>
      <c r="I256" s="65"/>
      <c r="J256" s="43"/>
      <c r="K256" s="54"/>
      <c r="L256" s="37"/>
      <c r="M256" s="37"/>
      <c r="N256" s="37"/>
      <c r="O256" s="37"/>
      <c r="P256" s="37"/>
      <c r="Q256" s="37"/>
      <c r="R256" s="37"/>
      <c r="S256" s="37"/>
      <c r="T256" s="37"/>
      <c r="U256" s="37"/>
      <c r="V256" s="37"/>
      <c r="W256" s="37"/>
      <c r="X256" s="37"/>
      <c r="Y256" s="37"/>
      <c r="Z256" s="37"/>
    </row>
    <row r="257" ht="12.75" customHeight="1" spans="1:26">
      <c r="A257" s="37"/>
      <c r="B257" s="37"/>
      <c r="C257" s="61"/>
      <c r="D257" s="37"/>
      <c r="E257" s="37"/>
      <c r="F257" s="62"/>
      <c r="G257" s="62"/>
      <c r="H257" s="62"/>
      <c r="I257" s="65"/>
      <c r="J257" s="43"/>
      <c r="K257" s="54"/>
      <c r="L257" s="37"/>
      <c r="M257" s="37"/>
      <c r="N257" s="37"/>
      <c r="O257" s="37"/>
      <c r="P257" s="37"/>
      <c r="Q257" s="37"/>
      <c r="R257" s="37"/>
      <c r="S257" s="37"/>
      <c r="T257" s="37"/>
      <c r="U257" s="37"/>
      <c r="V257" s="37"/>
      <c r="W257" s="37"/>
      <c r="X257" s="37"/>
      <c r="Y257" s="37"/>
      <c r="Z257" s="37"/>
    </row>
    <row r="258" ht="12.75" customHeight="1" spans="1:26">
      <c r="A258" s="37"/>
      <c r="B258" s="37"/>
      <c r="C258" s="61"/>
      <c r="D258" s="37"/>
      <c r="E258" s="37"/>
      <c r="F258" s="62"/>
      <c r="G258" s="62"/>
      <c r="H258" s="62"/>
      <c r="I258" s="65"/>
      <c r="J258" s="43"/>
      <c r="K258" s="54"/>
      <c r="L258" s="37"/>
      <c r="M258" s="37"/>
      <c r="N258" s="37"/>
      <c r="O258" s="37"/>
      <c r="P258" s="37"/>
      <c r="Q258" s="37"/>
      <c r="R258" s="37"/>
      <c r="S258" s="37"/>
      <c r="T258" s="37"/>
      <c r="U258" s="37"/>
      <c r="V258" s="37"/>
      <c r="W258" s="37"/>
      <c r="X258" s="37"/>
      <c r="Y258" s="37"/>
      <c r="Z258" s="37"/>
    </row>
    <row r="259" ht="12.75" customHeight="1" spans="1:26">
      <c r="A259" s="37"/>
      <c r="B259" s="37"/>
      <c r="C259" s="61"/>
      <c r="D259" s="37"/>
      <c r="E259" s="37"/>
      <c r="F259" s="62"/>
      <c r="G259" s="62"/>
      <c r="H259" s="62"/>
      <c r="I259" s="65"/>
      <c r="J259" s="43"/>
      <c r="K259" s="54"/>
      <c r="L259" s="37"/>
      <c r="M259" s="37"/>
      <c r="N259" s="37"/>
      <c r="O259" s="37"/>
      <c r="P259" s="37"/>
      <c r="Q259" s="37"/>
      <c r="R259" s="37"/>
      <c r="S259" s="37"/>
      <c r="T259" s="37"/>
      <c r="U259" s="37"/>
      <c r="V259" s="37"/>
      <c r="W259" s="37"/>
      <c r="X259" s="37"/>
      <c r="Y259" s="37"/>
      <c r="Z259" s="37"/>
    </row>
    <row r="260" ht="12.75" customHeight="1" spans="1:26">
      <c r="A260" s="37"/>
      <c r="B260" s="37"/>
      <c r="C260" s="61"/>
      <c r="D260" s="37"/>
      <c r="E260" s="37"/>
      <c r="F260" s="62"/>
      <c r="G260" s="62"/>
      <c r="H260" s="62"/>
      <c r="I260" s="65"/>
      <c r="J260" s="43"/>
      <c r="K260" s="54"/>
      <c r="L260" s="37"/>
      <c r="M260" s="37"/>
      <c r="N260" s="37"/>
      <c r="O260" s="37"/>
      <c r="P260" s="37"/>
      <c r="Q260" s="37"/>
      <c r="R260" s="37"/>
      <c r="S260" s="37"/>
      <c r="T260" s="37"/>
      <c r="U260" s="37"/>
      <c r="V260" s="37"/>
      <c r="W260" s="37"/>
      <c r="X260" s="37"/>
      <c r="Y260" s="37"/>
      <c r="Z260" s="37"/>
    </row>
    <row r="261" ht="12.75" customHeight="1" spans="1:26">
      <c r="A261" s="37"/>
      <c r="B261" s="37"/>
      <c r="C261" s="61"/>
      <c r="D261" s="37"/>
      <c r="E261" s="37"/>
      <c r="F261" s="62"/>
      <c r="G261" s="62"/>
      <c r="H261" s="62"/>
      <c r="I261" s="65"/>
      <c r="J261" s="43"/>
      <c r="K261" s="54"/>
      <c r="L261" s="37"/>
      <c r="M261" s="37"/>
      <c r="N261" s="37"/>
      <c r="O261" s="37"/>
      <c r="P261" s="37"/>
      <c r="Q261" s="37"/>
      <c r="R261" s="37"/>
      <c r="S261" s="37"/>
      <c r="T261" s="37"/>
      <c r="U261" s="37"/>
      <c r="V261" s="37"/>
      <c r="W261" s="37"/>
      <c r="X261" s="37"/>
      <c r="Y261" s="37"/>
      <c r="Z261" s="37"/>
    </row>
    <row r="262" ht="12.75" customHeight="1" spans="1:26">
      <c r="A262" s="37"/>
      <c r="B262" s="37"/>
      <c r="C262" s="61"/>
      <c r="D262" s="37"/>
      <c r="E262" s="37"/>
      <c r="F262" s="62"/>
      <c r="G262" s="62"/>
      <c r="H262" s="62"/>
      <c r="I262" s="65"/>
      <c r="J262" s="43"/>
      <c r="K262" s="54"/>
      <c r="L262" s="37"/>
      <c r="M262" s="37"/>
      <c r="N262" s="37"/>
      <c r="O262" s="37"/>
      <c r="P262" s="37"/>
      <c r="Q262" s="37"/>
      <c r="R262" s="37"/>
      <c r="S262" s="37"/>
      <c r="T262" s="37"/>
      <c r="U262" s="37"/>
      <c r="V262" s="37"/>
      <c r="W262" s="37"/>
      <c r="X262" s="37"/>
      <c r="Y262" s="37"/>
      <c r="Z262" s="37"/>
    </row>
    <row r="263" ht="12.75" customHeight="1" spans="1:26">
      <c r="A263" s="37"/>
      <c r="B263" s="37"/>
      <c r="C263" s="61"/>
      <c r="D263" s="37"/>
      <c r="E263" s="37"/>
      <c r="F263" s="62"/>
      <c r="G263" s="62"/>
      <c r="H263" s="62"/>
      <c r="I263" s="65"/>
      <c r="J263" s="43"/>
      <c r="K263" s="54"/>
      <c r="L263" s="37"/>
      <c r="M263" s="37"/>
      <c r="N263" s="37"/>
      <c r="O263" s="37"/>
      <c r="P263" s="37"/>
      <c r="Q263" s="37"/>
      <c r="R263" s="37"/>
      <c r="S263" s="37"/>
      <c r="T263" s="37"/>
      <c r="U263" s="37"/>
      <c r="V263" s="37"/>
      <c r="W263" s="37"/>
      <c r="X263" s="37"/>
      <c r="Y263" s="37"/>
      <c r="Z263" s="37"/>
    </row>
    <row r="264" ht="12.75" customHeight="1" spans="1:26">
      <c r="A264" s="37"/>
      <c r="B264" s="37"/>
      <c r="C264" s="61"/>
      <c r="D264" s="37"/>
      <c r="E264" s="37"/>
      <c r="F264" s="62"/>
      <c r="G264" s="62"/>
      <c r="H264" s="62"/>
      <c r="I264" s="65"/>
      <c r="J264" s="43"/>
      <c r="K264" s="54"/>
      <c r="L264" s="37"/>
      <c r="M264" s="37"/>
      <c r="N264" s="37"/>
      <c r="O264" s="37"/>
      <c r="P264" s="37"/>
      <c r="Q264" s="37"/>
      <c r="R264" s="37"/>
      <c r="S264" s="37"/>
      <c r="T264" s="37"/>
      <c r="U264" s="37"/>
      <c r="V264" s="37"/>
      <c r="W264" s="37"/>
      <c r="X264" s="37"/>
      <c r="Y264" s="37"/>
      <c r="Z264" s="37"/>
    </row>
    <row r="265" ht="12.75" customHeight="1" spans="1:26">
      <c r="A265" s="37"/>
      <c r="B265" s="37"/>
      <c r="C265" s="61"/>
      <c r="D265" s="37"/>
      <c r="E265" s="37"/>
      <c r="F265" s="62"/>
      <c r="G265" s="62"/>
      <c r="H265" s="62"/>
      <c r="I265" s="65"/>
      <c r="J265" s="43"/>
      <c r="K265" s="54"/>
      <c r="L265" s="37"/>
      <c r="M265" s="37"/>
      <c r="N265" s="37"/>
      <c r="O265" s="37"/>
      <c r="P265" s="37"/>
      <c r="Q265" s="37"/>
      <c r="R265" s="37"/>
      <c r="S265" s="37"/>
      <c r="T265" s="37"/>
      <c r="U265" s="37"/>
      <c r="V265" s="37"/>
      <c r="W265" s="37"/>
      <c r="X265" s="37"/>
      <c r="Y265" s="37"/>
      <c r="Z265" s="37"/>
    </row>
    <row r="266" ht="12.75" spans="10:10">
      <c r="J266" s="16"/>
    </row>
    <row r="267" ht="12.75" spans="10:10">
      <c r="J267" s="16"/>
    </row>
    <row r="268" ht="12.75" spans="10:10">
      <c r="J268" s="16"/>
    </row>
    <row r="269" ht="12.75" spans="10:10">
      <c r="J269" s="16"/>
    </row>
    <row r="270" ht="12.75" spans="10:10">
      <c r="J270" s="16"/>
    </row>
    <row r="271" ht="12.75" spans="10:10">
      <c r="J271" s="16"/>
    </row>
    <row r="272" ht="12.75" spans="10:10">
      <c r="J272" s="16"/>
    </row>
    <row r="273" ht="12.75" spans="10:10">
      <c r="J273" s="16"/>
    </row>
    <row r="274" ht="12.75" spans="10:10">
      <c r="J274" s="16"/>
    </row>
    <row r="275" ht="12.75" spans="10:10">
      <c r="J275" s="16"/>
    </row>
    <row r="276" ht="12.75" spans="10:10">
      <c r="J276" s="16"/>
    </row>
    <row r="277" ht="12.75" spans="10:10">
      <c r="J277" s="16"/>
    </row>
    <row r="278" ht="12.75" spans="10:10">
      <c r="J278" s="16"/>
    </row>
    <row r="279" ht="12.75" spans="10:10">
      <c r="J279" s="16"/>
    </row>
    <row r="280" ht="12.75" spans="10:10">
      <c r="J280" s="16"/>
    </row>
    <row r="281" ht="12.75" spans="10:10">
      <c r="J281" s="16"/>
    </row>
    <row r="282" ht="12.75" spans="10:10">
      <c r="J282" s="16"/>
    </row>
    <row r="283" ht="12.75" spans="10:10">
      <c r="J283" s="16"/>
    </row>
    <row r="284" ht="12.75" spans="10:10">
      <c r="J284" s="16"/>
    </row>
    <row r="285" ht="12.75" spans="10:10">
      <c r="J285" s="16"/>
    </row>
    <row r="286" ht="12.75" spans="10:10">
      <c r="J286" s="16"/>
    </row>
    <row r="287" ht="12.75" spans="10:10">
      <c r="J287" s="16"/>
    </row>
    <row r="288" ht="12.75" spans="10:10">
      <c r="J288" s="16"/>
    </row>
    <row r="289" ht="12.75" spans="10:10">
      <c r="J289" s="16"/>
    </row>
    <row r="290" ht="12.75" spans="10:10">
      <c r="J290" s="16"/>
    </row>
    <row r="291" ht="12.75" spans="10:10">
      <c r="J291" s="16"/>
    </row>
    <row r="292" ht="12.75" spans="10:10">
      <c r="J292" s="16"/>
    </row>
    <row r="293" ht="12.75" spans="10:10">
      <c r="J293" s="16"/>
    </row>
    <row r="294" ht="12.75" spans="10:10">
      <c r="J294" s="16"/>
    </row>
    <row r="295" ht="12.75" spans="10:10">
      <c r="J295" s="16"/>
    </row>
    <row r="296" ht="12.75" spans="10:10">
      <c r="J296" s="16"/>
    </row>
    <row r="297" ht="12.75" spans="10:10">
      <c r="J297" s="16"/>
    </row>
    <row r="298" ht="12.75" spans="10:10">
      <c r="J298" s="16"/>
    </row>
    <row r="299" ht="12.75" spans="10:10">
      <c r="J299" s="16"/>
    </row>
    <row r="300" ht="12.75" spans="10:10">
      <c r="J300" s="16"/>
    </row>
    <row r="301" ht="12.75" spans="10:10">
      <c r="J301" s="16"/>
    </row>
    <row r="302" ht="12.75" spans="10:10">
      <c r="J302" s="16"/>
    </row>
    <row r="303" ht="12.75" spans="10:10">
      <c r="J303" s="16"/>
    </row>
    <row r="304" ht="12.75" spans="10:10">
      <c r="J304" s="16"/>
    </row>
    <row r="305" ht="12.75" spans="10:10">
      <c r="J305" s="16"/>
    </row>
    <row r="306" ht="12.75" spans="10:10">
      <c r="J306" s="16"/>
    </row>
    <row r="307" ht="12.75" spans="10:10">
      <c r="J307" s="16"/>
    </row>
    <row r="308" ht="12.75" spans="10:10">
      <c r="J308" s="16"/>
    </row>
    <row r="309" ht="12.75" spans="10:10">
      <c r="J309" s="16"/>
    </row>
    <row r="310" ht="12.75" spans="10:10">
      <c r="J310" s="16"/>
    </row>
    <row r="311" ht="12.75" spans="10:10">
      <c r="J311" s="16"/>
    </row>
    <row r="312" ht="12.75" spans="10:10">
      <c r="J312" s="16"/>
    </row>
    <row r="313" ht="12.75" spans="10:10">
      <c r="J313" s="16"/>
    </row>
    <row r="314" ht="12.75" spans="10:10">
      <c r="J314" s="16"/>
    </row>
    <row r="315" ht="12.75" spans="10:10">
      <c r="J315" s="16"/>
    </row>
    <row r="316" ht="12.75" spans="10:10">
      <c r="J316" s="16"/>
    </row>
    <row r="317" ht="12.75" spans="10:10">
      <c r="J317" s="16"/>
    </row>
    <row r="318" ht="12.75" spans="10:10">
      <c r="J318" s="16"/>
    </row>
    <row r="319" ht="12.75" spans="10:10">
      <c r="J319" s="16"/>
    </row>
    <row r="320" ht="12.75" spans="10:10">
      <c r="J320" s="16"/>
    </row>
    <row r="321" ht="12.75" spans="10:10">
      <c r="J321" s="16"/>
    </row>
    <row r="322" ht="12.75" spans="10:10">
      <c r="J322" s="16"/>
    </row>
    <row r="323" ht="12.75" spans="10:10">
      <c r="J323" s="16"/>
    </row>
    <row r="324" ht="12.75" spans="10:10">
      <c r="J324" s="16"/>
    </row>
    <row r="325" ht="12.75" spans="10:10">
      <c r="J325" s="16"/>
    </row>
    <row r="326" ht="12.75" spans="10:10">
      <c r="J326" s="16"/>
    </row>
    <row r="327" ht="12.75" spans="10:10">
      <c r="J327" s="16"/>
    </row>
    <row r="328" ht="12.75" spans="10:10">
      <c r="J328" s="16"/>
    </row>
    <row r="329" ht="12.75" spans="10:10">
      <c r="J329" s="16"/>
    </row>
    <row r="330" ht="12.75" spans="10:10">
      <c r="J330" s="16"/>
    </row>
    <row r="331" ht="12.75" spans="10:10">
      <c r="J331" s="16"/>
    </row>
    <row r="332" ht="12.75" spans="10:10">
      <c r="J332" s="16"/>
    </row>
    <row r="333" ht="12.75" spans="10:10">
      <c r="J333" s="16"/>
    </row>
    <row r="334" ht="12.75" spans="10:10">
      <c r="J334" s="16"/>
    </row>
    <row r="335" ht="12.75" spans="10:10">
      <c r="J335" s="16"/>
    </row>
    <row r="336" ht="12.75" spans="10:10">
      <c r="J336" s="16"/>
    </row>
    <row r="337" ht="12.75" spans="10:10">
      <c r="J337" s="16"/>
    </row>
    <row r="338" ht="12.75" spans="10:10">
      <c r="J338" s="16"/>
    </row>
    <row r="339" ht="12.75" spans="10:10">
      <c r="J339" s="16"/>
    </row>
    <row r="340" ht="12.75" spans="10:10">
      <c r="J340" s="16"/>
    </row>
    <row r="341" ht="12.75" spans="10:10">
      <c r="J341" s="16"/>
    </row>
    <row r="342" ht="12.75" spans="10:10">
      <c r="J342" s="16"/>
    </row>
    <row r="343" ht="12.75" spans="10:10">
      <c r="J343" s="16"/>
    </row>
    <row r="344" ht="12.75" spans="10:10">
      <c r="J344" s="16"/>
    </row>
    <row r="345" ht="12.75" spans="10:10">
      <c r="J345" s="16"/>
    </row>
    <row r="346" ht="12.75" spans="10:10">
      <c r="J346" s="16"/>
    </row>
    <row r="347" ht="12.75" spans="10:10">
      <c r="J347" s="16"/>
    </row>
    <row r="348" ht="12.75" spans="10:10">
      <c r="J348" s="16"/>
    </row>
    <row r="349" ht="12.75" spans="10:10">
      <c r="J349" s="16"/>
    </row>
    <row r="350" ht="12.75" spans="10:10">
      <c r="J350" s="16"/>
    </row>
    <row r="351" ht="12.75" spans="10:10">
      <c r="J351" s="16"/>
    </row>
    <row r="352" ht="12.75" spans="10:10">
      <c r="J352" s="16"/>
    </row>
    <row r="353" ht="12.75" spans="10:10">
      <c r="J353" s="16"/>
    </row>
    <row r="354" ht="12.75" spans="10:10">
      <c r="J354" s="16"/>
    </row>
    <row r="355" ht="12.75" spans="10:10">
      <c r="J355" s="16"/>
    </row>
    <row r="356" ht="12.75" spans="10:10">
      <c r="J356" s="16"/>
    </row>
    <row r="357" ht="12.75" spans="10:10">
      <c r="J357" s="16"/>
    </row>
    <row r="358" ht="12.75" spans="10:10">
      <c r="J358" s="16"/>
    </row>
    <row r="359" ht="12.75" spans="10:10">
      <c r="J359" s="16"/>
    </row>
    <row r="360" ht="12.75" spans="10:10">
      <c r="J360" s="16"/>
    </row>
    <row r="361" ht="12.75" spans="10:10">
      <c r="J361" s="16"/>
    </row>
    <row r="362" ht="12.75" spans="10:10">
      <c r="J362" s="16"/>
    </row>
    <row r="363" ht="12.75" spans="10:10">
      <c r="J363" s="16"/>
    </row>
    <row r="364" ht="12.75" spans="10:10">
      <c r="J364" s="16"/>
    </row>
    <row r="365" ht="12.75" spans="10:10">
      <c r="J365" s="16"/>
    </row>
    <row r="366" ht="12.75" spans="10:10">
      <c r="J366" s="16"/>
    </row>
    <row r="367" ht="12.75" spans="10:10">
      <c r="J367" s="16"/>
    </row>
    <row r="368" ht="12.75" spans="10:10">
      <c r="J368" s="16"/>
    </row>
    <row r="369" ht="12.75" spans="10:10">
      <c r="J369" s="16"/>
    </row>
    <row r="370" ht="12.75" spans="10:10">
      <c r="J370" s="16"/>
    </row>
    <row r="371" ht="12.75" spans="10:10">
      <c r="J371" s="16"/>
    </row>
    <row r="372" ht="12.75" spans="10:10">
      <c r="J372" s="16"/>
    </row>
    <row r="373" ht="12.75" spans="10:10">
      <c r="J373" s="16"/>
    </row>
    <row r="374" ht="12.75" spans="10:10">
      <c r="J374" s="16"/>
    </row>
    <row r="375" ht="12.75" spans="10:10">
      <c r="J375" s="16"/>
    </row>
    <row r="376" ht="12.75" spans="10:10">
      <c r="J376" s="16"/>
    </row>
    <row r="377" ht="12.75" spans="10:10">
      <c r="J377" s="16"/>
    </row>
    <row r="378" ht="12.75" spans="10:10">
      <c r="J378" s="16"/>
    </row>
    <row r="379" ht="12.75" spans="10:10">
      <c r="J379" s="16"/>
    </row>
    <row r="380" ht="12.75" spans="10:10">
      <c r="J380" s="16"/>
    </row>
    <row r="381" ht="12.75" spans="10:10">
      <c r="J381" s="16"/>
    </row>
    <row r="382" ht="12.75" spans="10:10">
      <c r="J382" s="16"/>
    </row>
    <row r="383" ht="12.75" spans="10:10">
      <c r="J383" s="16"/>
    </row>
    <row r="384" ht="12.75" spans="10:10">
      <c r="J384" s="16"/>
    </row>
    <row r="385" ht="12.75" spans="10:10">
      <c r="J385" s="16"/>
    </row>
    <row r="386" ht="12.75" spans="10:10">
      <c r="J386" s="16"/>
    </row>
    <row r="387" ht="12.75" spans="10:10">
      <c r="J387" s="16"/>
    </row>
    <row r="388" ht="12.75" spans="10:10">
      <c r="J388" s="16"/>
    </row>
    <row r="389" ht="12.75" spans="10:10">
      <c r="J389" s="16"/>
    </row>
    <row r="390" ht="12.75" spans="10:10">
      <c r="J390" s="16"/>
    </row>
    <row r="391" ht="12.75" spans="10:10">
      <c r="J391" s="16"/>
    </row>
    <row r="392" ht="12.75" spans="10:10">
      <c r="J392" s="16"/>
    </row>
    <row r="393" ht="12.75" spans="10:10">
      <c r="J393" s="16"/>
    </row>
    <row r="394" ht="12.75" spans="10:10">
      <c r="J394" s="16"/>
    </row>
    <row r="395" ht="12.75" spans="10:10">
      <c r="J395" s="16"/>
    </row>
    <row r="396" ht="12.75" spans="10:10">
      <c r="J396" s="16"/>
    </row>
    <row r="397" ht="12.75" spans="10:10">
      <c r="J397" s="16"/>
    </row>
    <row r="398" ht="12.75" spans="10:10">
      <c r="J398" s="16"/>
    </row>
    <row r="399" ht="12.75" spans="10:10">
      <c r="J399" s="16"/>
    </row>
    <row r="400" ht="12.75" spans="10:10">
      <c r="J400" s="16"/>
    </row>
    <row r="401" ht="12.75" spans="10:10">
      <c r="J401" s="16"/>
    </row>
    <row r="402" ht="12.75" spans="10:10">
      <c r="J402" s="16"/>
    </row>
    <row r="403" ht="12.75" spans="10:10">
      <c r="J403" s="16"/>
    </row>
    <row r="404" ht="12.75" spans="10:10">
      <c r="J404" s="16"/>
    </row>
    <row r="405" ht="12.75" spans="10:10">
      <c r="J405" s="16"/>
    </row>
    <row r="406" ht="12.75" spans="10:10">
      <c r="J406" s="16"/>
    </row>
    <row r="407" ht="12.75" spans="10:10">
      <c r="J407" s="16"/>
    </row>
    <row r="408" ht="12.75" spans="10:10">
      <c r="J408" s="16"/>
    </row>
    <row r="409" ht="12.75" spans="10:10">
      <c r="J409" s="16"/>
    </row>
    <row r="410" ht="12.75" spans="10:10">
      <c r="J410" s="16"/>
    </row>
    <row r="411" ht="12.75" spans="10:10">
      <c r="J411" s="16"/>
    </row>
    <row r="412" ht="12.75" spans="10:10">
      <c r="J412" s="16"/>
    </row>
    <row r="413" ht="12.75" spans="10:10">
      <c r="J413" s="16"/>
    </row>
    <row r="414" ht="12.75" spans="10:10">
      <c r="J414" s="16"/>
    </row>
    <row r="415" ht="12.75" spans="10:10">
      <c r="J415" s="16"/>
    </row>
    <row r="416" ht="12.75" spans="10:10">
      <c r="J416" s="16"/>
    </row>
    <row r="417" ht="12.75" spans="10:10">
      <c r="J417" s="16"/>
    </row>
    <row r="418" ht="12.75" spans="10:10">
      <c r="J418" s="16"/>
    </row>
    <row r="419" ht="12.75" spans="10:10">
      <c r="J419" s="16"/>
    </row>
    <row r="420" ht="12.75" spans="10:10">
      <c r="J420" s="16"/>
    </row>
    <row r="421" ht="12.75" spans="10:10">
      <c r="J421" s="16"/>
    </row>
    <row r="422" ht="12.75" spans="10:10">
      <c r="J422" s="16"/>
    </row>
    <row r="423" ht="12.75" spans="10:10">
      <c r="J423" s="16"/>
    </row>
    <row r="424" ht="12.75" spans="10:10">
      <c r="J424" s="16"/>
    </row>
    <row r="425" ht="12.75" spans="10:10">
      <c r="J425" s="16"/>
    </row>
    <row r="426" ht="12.75" spans="10:10">
      <c r="J426" s="16"/>
    </row>
    <row r="427" ht="12.75" spans="10:10">
      <c r="J427" s="16"/>
    </row>
    <row r="428" ht="12.75" spans="10:10">
      <c r="J428" s="16"/>
    </row>
    <row r="429" ht="12.75" spans="10:10">
      <c r="J429" s="16"/>
    </row>
    <row r="430" ht="12.75" spans="10:10">
      <c r="J430" s="16"/>
    </row>
    <row r="431" ht="12.75" spans="10:10">
      <c r="J431" s="16"/>
    </row>
    <row r="432" ht="12.75" spans="10:10">
      <c r="J432" s="16"/>
    </row>
    <row r="433" ht="12.75" spans="10:10">
      <c r="J433" s="16"/>
    </row>
    <row r="434" ht="12.75" spans="10:10">
      <c r="J434" s="16"/>
    </row>
    <row r="435" ht="12.75" spans="10:10">
      <c r="J435" s="16"/>
    </row>
    <row r="436" ht="12.75" spans="10:10">
      <c r="J436" s="16"/>
    </row>
    <row r="437" ht="12.75" spans="10:10">
      <c r="J437" s="16"/>
    </row>
    <row r="438" ht="12.75" spans="10:10">
      <c r="J438" s="16"/>
    </row>
    <row r="439" ht="12.75" spans="10:10">
      <c r="J439" s="16"/>
    </row>
    <row r="440" ht="12.75" spans="10:10">
      <c r="J440" s="16"/>
    </row>
    <row r="441" ht="12.75" spans="10:10">
      <c r="J441" s="16"/>
    </row>
    <row r="442" ht="12.75" spans="10:10">
      <c r="J442" s="16"/>
    </row>
    <row r="443" ht="12.75" spans="10:10">
      <c r="J443" s="16"/>
    </row>
    <row r="444" ht="12.75" spans="10:10">
      <c r="J444" s="16"/>
    </row>
    <row r="445" ht="12.75" spans="10:10">
      <c r="J445" s="16"/>
    </row>
    <row r="446" ht="12.75" spans="10:10">
      <c r="J446" s="16"/>
    </row>
    <row r="447" ht="12.75" spans="10:10">
      <c r="J447" s="16"/>
    </row>
    <row r="448" ht="12.75" spans="10:10">
      <c r="J448" s="16"/>
    </row>
    <row r="449" ht="12.75" spans="10:10">
      <c r="J449" s="16"/>
    </row>
    <row r="450" ht="12.75" spans="10:10">
      <c r="J450" s="16"/>
    </row>
    <row r="451" ht="12.75" spans="10:10">
      <c r="J451" s="16"/>
    </row>
    <row r="452" ht="12.75" spans="10:10">
      <c r="J452" s="16"/>
    </row>
    <row r="453" ht="12.75" spans="10:10">
      <c r="J453" s="16"/>
    </row>
    <row r="454" ht="12.75" spans="10:10">
      <c r="J454" s="16"/>
    </row>
    <row r="455" ht="12.75" spans="10:10">
      <c r="J455" s="16"/>
    </row>
    <row r="456" ht="12.75" spans="10:10">
      <c r="J456" s="16"/>
    </row>
    <row r="457" ht="12.75" spans="10:10">
      <c r="J457" s="16"/>
    </row>
    <row r="458" ht="12.75" spans="10:10">
      <c r="J458" s="16"/>
    </row>
    <row r="459" ht="12.75" spans="10:10">
      <c r="J459" s="16"/>
    </row>
    <row r="460" ht="12.75" spans="10:10">
      <c r="J460" s="16"/>
    </row>
    <row r="461" ht="12.75" spans="10:10">
      <c r="J461" s="16"/>
    </row>
    <row r="462" ht="12.75" spans="10:10">
      <c r="J462" s="16"/>
    </row>
    <row r="463" ht="12.75" spans="10:10">
      <c r="J463" s="16"/>
    </row>
    <row r="464" ht="12.75" spans="10:10">
      <c r="J464" s="16"/>
    </row>
    <row r="465" ht="12.75" spans="10:10">
      <c r="J465" s="16"/>
    </row>
    <row r="466" ht="12.75" spans="10:10">
      <c r="J466" s="16"/>
    </row>
    <row r="467" ht="12.75" spans="10:10">
      <c r="J467" s="16"/>
    </row>
    <row r="468" ht="12.75" spans="10:10">
      <c r="J468" s="16"/>
    </row>
    <row r="469" ht="12.75" spans="10:10">
      <c r="J469" s="16"/>
    </row>
    <row r="470" ht="12.75" spans="10:10">
      <c r="J470" s="16"/>
    </row>
    <row r="471" ht="12.75" spans="10:10">
      <c r="J471" s="16"/>
    </row>
    <row r="472" ht="12.75" spans="10:10">
      <c r="J472" s="16"/>
    </row>
    <row r="473" ht="12.75" spans="10:10">
      <c r="J473" s="16"/>
    </row>
    <row r="474" ht="12.75" spans="10:10">
      <c r="J474" s="16"/>
    </row>
    <row r="475" ht="12.75" spans="10:10">
      <c r="J475" s="16"/>
    </row>
    <row r="476" ht="12.75" spans="10:10">
      <c r="J476" s="16"/>
    </row>
    <row r="477" ht="12.75" spans="10:10">
      <c r="J477" s="16"/>
    </row>
    <row r="478" ht="12.75" spans="10:10">
      <c r="J478" s="16"/>
    </row>
    <row r="479" ht="12.75" spans="10:10">
      <c r="J479" s="16"/>
    </row>
    <row r="480" ht="12.75" spans="10:10">
      <c r="J480" s="16"/>
    </row>
    <row r="481" ht="12.75" spans="10:10">
      <c r="J481" s="16"/>
    </row>
    <row r="482" ht="12.75" spans="10:10">
      <c r="J482" s="16"/>
    </row>
    <row r="483" ht="12.75" spans="10:10">
      <c r="J483" s="16"/>
    </row>
    <row r="484" ht="12.75" spans="10:10">
      <c r="J484" s="16"/>
    </row>
    <row r="485" ht="12.75" spans="10:10">
      <c r="J485" s="16"/>
    </row>
    <row r="486" ht="12.75" spans="10:10">
      <c r="J486" s="16"/>
    </row>
    <row r="487" ht="12.75" spans="10:10">
      <c r="J487" s="16"/>
    </row>
    <row r="488" ht="12.75" spans="10:10">
      <c r="J488" s="16"/>
    </row>
    <row r="489" ht="12.75" spans="10:10">
      <c r="J489" s="16"/>
    </row>
    <row r="490" ht="12.75" spans="10:10">
      <c r="J490" s="16"/>
    </row>
    <row r="491" ht="12.75" spans="10:10">
      <c r="J491" s="16"/>
    </row>
    <row r="492" ht="12.75" spans="10:10">
      <c r="J492" s="16"/>
    </row>
    <row r="493" ht="12.75" spans="10:10">
      <c r="J493" s="16"/>
    </row>
    <row r="494" ht="12.75" spans="10:10">
      <c r="J494" s="16"/>
    </row>
    <row r="495" ht="12.75" spans="10:10">
      <c r="J495" s="16"/>
    </row>
    <row r="496" ht="12.75" spans="10:10">
      <c r="J496" s="16"/>
    </row>
    <row r="497" ht="12.75" spans="10:10">
      <c r="J497" s="16"/>
    </row>
    <row r="498" ht="12.75" spans="10:10">
      <c r="J498" s="16"/>
    </row>
    <row r="499" ht="12.75" spans="10:10">
      <c r="J499" s="16"/>
    </row>
    <row r="500" ht="12.75" spans="10:10">
      <c r="J500" s="16"/>
    </row>
    <row r="501" ht="12.75" spans="10:10">
      <c r="J501" s="16"/>
    </row>
    <row r="502" ht="12.75" spans="10:10">
      <c r="J502" s="16"/>
    </row>
    <row r="503" ht="12.75" spans="10:10">
      <c r="J503" s="16"/>
    </row>
    <row r="504" ht="12.75" spans="10:10">
      <c r="J504" s="16"/>
    </row>
    <row r="505" ht="12.75" spans="10:10">
      <c r="J505" s="16"/>
    </row>
    <row r="506" ht="12.75" spans="10:10">
      <c r="J506" s="16"/>
    </row>
    <row r="507" ht="12.75" spans="10:10">
      <c r="J507" s="16"/>
    </row>
    <row r="508" ht="12.75" spans="10:10">
      <c r="J508" s="16"/>
    </row>
    <row r="509" ht="12.75" spans="10:10">
      <c r="J509" s="16"/>
    </row>
    <row r="510" ht="12.75" spans="10:10">
      <c r="J510" s="16"/>
    </row>
    <row r="511" ht="12.75" spans="10:10">
      <c r="J511" s="16"/>
    </row>
    <row r="512" ht="12.75" spans="10:10">
      <c r="J512" s="16"/>
    </row>
    <row r="513" ht="12.75" spans="10:10">
      <c r="J513" s="16"/>
    </row>
    <row r="514" ht="12.75" spans="10:10">
      <c r="J514" s="16"/>
    </row>
    <row r="515" ht="12.75" spans="10:10">
      <c r="J515" s="16"/>
    </row>
    <row r="516" ht="12.75" spans="10:10">
      <c r="J516" s="16"/>
    </row>
    <row r="517" ht="12.75" spans="10:10">
      <c r="J517" s="16"/>
    </row>
    <row r="518" ht="12.75" spans="10:10">
      <c r="J518" s="16"/>
    </row>
    <row r="519" ht="12.75" spans="10:10">
      <c r="J519" s="16"/>
    </row>
    <row r="520" ht="12.75" spans="10:10">
      <c r="J520" s="16"/>
    </row>
    <row r="521" ht="12.75" spans="10:10">
      <c r="J521" s="16"/>
    </row>
    <row r="522" ht="12.75" spans="10:10">
      <c r="J522" s="16"/>
    </row>
    <row r="523" ht="12.75" spans="10:10">
      <c r="J523" s="16"/>
    </row>
    <row r="524" ht="12.75" spans="10:10">
      <c r="J524" s="16"/>
    </row>
    <row r="525" ht="12.75" spans="10:10">
      <c r="J525" s="16"/>
    </row>
    <row r="526" ht="12.75" spans="10:10">
      <c r="J526" s="16"/>
    </row>
    <row r="527" ht="12.75" spans="10:10">
      <c r="J527" s="16"/>
    </row>
    <row r="528" ht="12.75" spans="10:10">
      <c r="J528" s="16"/>
    </row>
    <row r="529" ht="12.75" spans="10:10">
      <c r="J529" s="16"/>
    </row>
    <row r="530" ht="12.75" spans="10:10">
      <c r="J530" s="16"/>
    </row>
    <row r="531" ht="12.75" spans="10:10">
      <c r="J531" s="16"/>
    </row>
    <row r="532" ht="12.75" spans="10:10">
      <c r="J532" s="16"/>
    </row>
    <row r="533" ht="12.75" spans="10:10">
      <c r="J533" s="16"/>
    </row>
    <row r="534" ht="12.75" spans="10:10">
      <c r="J534" s="16"/>
    </row>
    <row r="535" ht="12.75" spans="10:10">
      <c r="J535" s="16"/>
    </row>
    <row r="536" ht="12.75" spans="10:10">
      <c r="J536" s="16"/>
    </row>
    <row r="537" ht="12.75" spans="10:10">
      <c r="J537" s="16"/>
    </row>
    <row r="538" ht="12.75" spans="10:10">
      <c r="J538" s="16"/>
    </row>
    <row r="539" ht="12.75" spans="10:10">
      <c r="J539" s="16"/>
    </row>
    <row r="540" ht="12.75" spans="10:10">
      <c r="J540" s="16"/>
    </row>
    <row r="541" ht="12.75" spans="10:10">
      <c r="J541" s="16"/>
    </row>
    <row r="542" ht="12.75" spans="10:10">
      <c r="J542" s="16"/>
    </row>
    <row r="543" ht="12.75" spans="10:10">
      <c r="J543" s="16"/>
    </row>
    <row r="544" ht="12.75" spans="10:10">
      <c r="J544" s="16"/>
    </row>
    <row r="545" ht="12.75" spans="10:10">
      <c r="J545" s="16"/>
    </row>
    <row r="546" ht="12.75" spans="10:10">
      <c r="J546" s="16"/>
    </row>
    <row r="547" ht="12.75" spans="10:10">
      <c r="J547" s="16"/>
    </row>
    <row r="548" ht="12.75" spans="10:10">
      <c r="J548" s="16"/>
    </row>
    <row r="549" ht="12.75" spans="10:10">
      <c r="J549" s="16"/>
    </row>
    <row r="550" ht="12.75" spans="10:10">
      <c r="J550" s="16"/>
    </row>
    <row r="551" ht="12.75" spans="10:10">
      <c r="J551" s="16"/>
    </row>
    <row r="552" ht="12.75" spans="10:10">
      <c r="J552" s="16"/>
    </row>
    <row r="553" ht="12.75" spans="10:10">
      <c r="J553" s="16"/>
    </row>
    <row r="554" ht="12.75" spans="10:10">
      <c r="J554" s="16"/>
    </row>
    <row r="555" ht="12.75" spans="10:10">
      <c r="J555" s="16"/>
    </row>
    <row r="556" ht="12.75" spans="10:10">
      <c r="J556" s="16"/>
    </row>
    <row r="557" ht="12.75" spans="10:10">
      <c r="J557" s="16"/>
    </row>
    <row r="558" ht="12.75" spans="10:10">
      <c r="J558" s="16"/>
    </row>
    <row r="559" ht="12.75" spans="10:10">
      <c r="J559" s="16"/>
    </row>
    <row r="560" ht="12.75" spans="10:10">
      <c r="J560" s="16"/>
    </row>
    <row r="561" ht="12.75" spans="10:10">
      <c r="J561" s="16"/>
    </row>
    <row r="562" ht="12.75" spans="10:10">
      <c r="J562" s="16"/>
    </row>
    <row r="563" ht="12.75" spans="10:10">
      <c r="J563" s="16"/>
    </row>
    <row r="564" ht="12.75" spans="10:10">
      <c r="J564" s="16"/>
    </row>
    <row r="565" ht="12.75" spans="10:10">
      <c r="J565" s="16"/>
    </row>
    <row r="566" ht="12.75" spans="10:10">
      <c r="J566" s="16"/>
    </row>
    <row r="567" ht="12.75" spans="10:10">
      <c r="J567" s="16"/>
    </row>
    <row r="568" ht="12.75" spans="10:10">
      <c r="J568" s="16"/>
    </row>
    <row r="569" ht="12.75" spans="10:10">
      <c r="J569" s="16"/>
    </row>
    <row r="570" ht="12.75" spans="10:10">
      <c r="J570" s="16"/>
    </row>
    <row r="571" ht="12.75" spans="10:10">
      <c r="J571" s="16"/>
    </row>
    <row r="572" ht="12.75" spans="10:10">
      <c r="J572" s="16"/>
    </row>
    <row r="573" ht="12.75" spans="10:10">
      <c r="J573" s="16"/>
    </row>
    <row r="574" ht="12.75" spans="10:10">
      <c r="J574" s="16"/>
    </row>
    <row r="575" ht="12.75" spans="10:10">
      <c r="J575" s="16"/>
    </row>
    <row r="576" ht="12.75" spans="10:10">
      <c r="J576" s="16"/>
    </row>
    <row r="577" ht="12.75" spans="10:10">
      <c r="J577" s="16"/>
    </row>
    <row r="578" ht="12.75" spans="10:10">
      <c r="J578" s="16"/>
    </row>
    <row r="579" ht="12.75" spans="10:10">
      <c r="J579" s="16"/>
    </row>
    <row r="580" ht="12.75" spans="10:10">
      <c r="J580" s="16"/>
    </row>
    <row r="581" ht="12.75" spans="10:10">
      <c r="J581" s="16"/>
    </row>
    <row r="582" ht="12.75" spans="10:10">
      <c r="J582" s="16"/>
    </row>
    <row r="583" ht="12.75" spans="10:10">
      <c r="J583" s="16"/>
    </row>
    <row r="584" ht="12.75" spans="10:10">
      <c r="J584" s="16"/>
    </row>
    <row r="585" ht="12.75" spans="10:10">
      <c r="J585" s="16"/>
    </row>
    <row r="586" ht="12.75" spans="10:10">
      <c r="J586" s="16"/>
    </row>
    <row r="587" ht="12.75" spans="10:10">
      <c r="J587" s="16"/>
    </row>
    <row r="588" ht="12.75" spans="10:10">
      <c r="J588" s="16"/>
    </row>
    <row r="589" ht="12.75" spans="10:10">
      <c r="J589" s="16"/>
    </row>
    <row r="590" ht="12.75" spans="10:10">
      <c r="J590" s="16"/>
    </row>
    <row r="591" ht="12.75" spans="10:10">
      <c r="J591" s="16"/>
    </row>
    <row r="592" ht="12.75" spans="10:10">
      <c r="J592" s="16"/>
    </row>
    <row r="593" ht="12.75" spans="10:10">
      <c r="J593" s="16"/>
    </row>
    <row r="594" ht="12.75" spans="10:10">
      <c r="J594" s="16"/>
    </row>
    <row r="595" ht="12.75" spans="10:10">
      <c r="J595" s="16"/>
    </row>
    <row r="596" ht="12.75" spans="10:10">
      <c r="J596" s="16"/>
    </row>
    <row r="597" ht="12.75" spans="10:10">
      <c r="J597" s="16"/>
    </row>
    <row r="598" ht="12.75" spans="10:10">
      <c r="J598" s="16"/>
    </row>
    <row r="599" ht="12.75" spans="10:10">
      <c r="J599" s="16"/>
    </row>
    <row r="600" ht="12.75" spans="10:10">
      <c r="J600" s="16"/>
    </row>
    <row r="601" ht="12.75" spans="10:10">
      <c r="J601" s="16"/>
    </row>
    <row r="602" ht="12.75" spans="10:10">
      <c r="J602" s="16"/>
    </row>
    <row r="603" ht="12.75" spans="10:10">
      <c r="J603" s="16"/>
    </row>
    <row r="604" ht="12.75" spans="10:10">
      <c r="J604" s="16"/>
    </row>
    <row r="605" ht="12.75" spans="10:10">
      <c r="J605" s="16"/>
    </row>
    <row r="606" ht="12.75" spans="10:10">
      <c r="J606" s="16"/>
    </row>
    <row r="607" ht="12.75" spans="10:10">
      <c r="J607" s="16"/>
    </row>
    <row r="608" ht="12.75" spans="10:10">
      <c r="J608" s="16"/>
    </row>
    <row r="609" ht="12.75" spans="10:10">
      <c r="J609" s="16"/>
    </row>
    <row r="610" ht="12.75" spans="10:10">
      <c r="J610" s="16"/>
    </row>
    <row r="611" ht="12.75" spans="10:10">
      <c r="J611" s="16"/>
    </row>
    <row r="612" ht="12.75" spans="10:10">
      <c r="J612" s="16"/>
    </row>
    <row r="613" ht="12.75" spans="10:10">
      <c r="J613" s="16"/>
    </row>
    <row r="614" ht="12.75" spans="10:10">
      <c r="J614" s="16"/>
    </row>
    <row r="615" ht="12.75" spans="10:10">
      <c r="J615" s="16"/>
    </row>
    <row r="616" ht="12.75" spans="10:10">
      <c r="J616" s="16"/>
    </row>
    <row r="617" ht="12.75" spans="10:10">
      <c r="J617" s="16"/>
    </row>
    <row r="618" ht="12.75" spans="10:10">
      <c r="J618" s="16"/>
    </row>
    <row r="619" ht="12.75" spans="10:10">
      <c r="J619" s="16"/>
    </row>
    <row r="620" ht="12.75" spans="10:10">
      <c r="J620" s="16"/>
    </row>
    <row r="621" ht="12.75" spans="10:10">
      <c r="J621" s="16"/>
    </row>
    <row r="622" ht="12.75" spans="10:10">
      <c r="J622" s="16"/>
    </row>
    <row r="623" ht="12.75" spans="10:10">
      <c r="J623" s="16"/>
    </row>
    <row r="624" ht="12.75" spans="10:10">
      <c r="J624" s="16"/>
    </row>
    <row r="625" ht="12.75" spans="10:10">
      <c r="J625" s="16"/>
    </row>
    <row r="626" ht="12.75" spans="10:10">
      <c r="J626" s="16"/>
    </row>
    <row r="627" ht="12.75" spans="10:10">
      <c r="J627" s="16"/>
    </row>
    <row r="628" ht="12.75" spans="10:10">
      <c r="J628" s="16"/>
    </row>
    <row r="629" ht="12.75" spans="10:10">
      <c r="J629" s="16"/>
    </row>
    <row r="630" ht="12.75" spans="10:10">
      <c r="J630" s="16"/>
    </row>
    <row r="631" ht="12.75" spans="10:10">
      <c r="J631" s="16"/>
    </row>
    <row r="632" ht="12.75" spans="10:10">
      <c r="J632" s="16"/>
    </row>
    <row r="633" ht="12.75" spans="10:10">
      <c r="J633" s="16"/>
    </row>
    <row r="634" ht="12.75" spans="10:10">
      <c r="J634" s="16"/>
    </row>
    <row r="635" ht="12.75" spans="10:10">
      <c r="J635" s="16"/>
    </row>
    <row r="636" ht="12.75" spans="10:10">
      <c r="J636" s="16"/>
    </row>
    <row r="637" ht="12.75" spans="10:10">
      <c r="J637" s="16"/>
    </row>
    <row r="638" ht="12.75" spans="10:10">
      <c r="J638" s="16"/>
    </row>
    <row r="639" ht="12.75" spans="10:10">
      <c r="J639" s="16"/>
    </row>
    <row r="640" ht="12.75" spans="10:10">
      <c r="J640" s="16"/>
    </row>
    <row r="641" ht="12.75" spans="10:10">
      <c r="J641" s="16"/>
    </row>
    <row r="642" ht="12.75" spans="10:10">
      <c r="J642" s="16"/>
    </row>
    <row r="643" ht="12.75" spans="10:10">
      <c r="J643" s="16"/>
    </row>
    <row r="644" ht="12.75" spans="10:10">
      <c r="J644" s="16"/>
    </row>
    <row r="645" ht="12.75" spans="10:10">
      <c r="J645" s="16"/>
    </row>
    <row r="646" ht="12.75" spans="10:10">
      <c r="J646" s="16"/>
    </row>
    <row r="647" ht="12.75" spans="10:10">
      <c r="J647" s="16"/>
    </row>
    <row r="648" ht="12.75" spans="10:10">
      <c r="J648" s="16"/>
    </row>
    <row r="649" ht="12.75" spans="10:10">
      <c r="J649" s="16"/>
    </row>
    <row r="650" ht="12.75" spans="10:10">
      <c r="J650" s="16"/>
    </row>
    <row r="651" ht="12.75" spans="10:10">
      <c r="J651" s="16"/>
    </row>
    <row r="652" ht="12.75" spans="10:10">
      <c r="J652" s="16"/>
    </row>
    <row r="653" ht="12.75" spans="10:10">
      <c r="J653" s="16"/>
    </row>
    <row r="654" ht="12.75" spans="10:10">
      <c r="J654" s="16"/>
    </row>
    <row r="655" ht="12.75" spans="10:10">
      <c r="J655" s="16"/>
    </row>
    <row r="656" ht="12.75" spans="10:10">
      <c r="J656" s="16"/>
    </row>
    <row r="657" ht="12.75" spans="10:10">
      <c r="J657" s="16"/>
    </row>
    <row r="658" ht="12.75" spans="10:10">
      <c r="J658" s="16"/>
    </row>
    <row r="659" ht="12.75" spans="10:10">
      <c r="J659" s="16"/>
    </row>
    <row r="660" ht="12.75" spans="10:10">
      <c r="J660" s="16"/>
    </row>
    <row r="661" ht="12.75" spans="10:10">
      <c r="J661" s="16"/>
    </row>
    <row r="662" ht="12.75" spans="10:10">
      <c r="J662" s="16"/>
    </row>
    <row r="663" ht="12.75" spans="10:10">
      <c r="J663" s="16"/>
    </row>
    <row r="664" ht="12.75" spans="10:10">
      <c r="J664" s="16"/>
    </row>
    <row r="665" ht="12.75" spans="10:10">
      <c r="J665" s="16"/>
    </row>
    <row r="666" ht="12.75" spans="10:10">
      <c r="J666" s="16"/>
    </row>
    <row r="667" ht="12.75" spans="10:10">
      <c r="J667" s="16"/>
    </row>
    <row r="668" ht="12.75" spans="10:10">
      <c r="J668" s="16"/>
    </row>
    <row r="669" ht="12.75" spans="10:10">
      <c r="J669" s="16"/>
    </row>
    <row r="670" ht="12.75" spans="10:10">
      <c r="J670" s="16"/>
    </row>
    <row r="671" ht="12.75" spans="10:10">
      <c r="J671" s="16"/>
    </row>
    <row r="672" ht="12.75" spans="10:10">
      <c r="J672" s="16"/>
    </row>
    <row r="673" ht="12.75" spans="10:10">
      <c r="J673" s="16"/>
    </row>
    <row r="674" ht="12.75" spans="10:10">
      <c r="J674" s="16"/>
    </row>
    <row r="675" ht="12.75" spans="10:10">
      <c r="J675" s="16"/>
    </row>
    <row r="676" ht="12.75" spans="10:10">
      <c r="J676" s="16"/>
    </row>
    <row r="677" ht="12.75" spans="10:10">
      <c r="J677" s="16"/>
    </row>
    <row r="678" ht="12.75" spans="10:10">
      <c r="J678" s="16"/>
    </row>
    <row r="679" ht="12.75" spans="10:10">
      <c r="J679" s="16"/>
    </row>
    <row r="680" ht="12.75" spans="10:10">
      <c r="J680" s="16"/>
    </row>
    <row r="681" ht="12.75" spans="10:10">
      <c r="J681" s="16"/>
    </row>
    <row r="682" ht="12.75" spans="10:10">
      <c r="J682" s="16"/>
    </row>
    <row r="683" ht="12.75" spans="10:10">
      <c r="J683" s="16"/>
    </row>
    <row r="684" ht="12.75" spans="10:10">
      <c r="J684" s="16"/>
    </row>
    <row r="685" ht="12.75" spans="10:10">
      <c r="J685" s="16"/>
    </row>
    <row r="686" ht="12.75" spans="10:10">
      <c r="J686" s="16"/>
    </row>
    <row r="687" ht="12.75" spans="10:10">
      <c r="J687" s="16"/>
    </row>
    <row r="688" ht="12.75" spans="10:10">
      <c r="J688" s="16"/>
    </row>
    <row r="689" ht="12.75" spans="10:10">
      <c r="J689" s="16"/>
    </row>
    <row r="690" ht="12.75" spans="10:10">
      <c r="J690" s="16"/>
    </row>
    <row r="691" ht="12.75" spans="10:10">
      <c r="J691" s="16"/>
    </row>
    <row r="692" ht="12.75" spans="10:10">
      <c r="J692" s="16"/>
    </row>
    <row r="693" ht="12.75" spans="10:10">
      <c r="J693" s="16"/>
    </row>
    <row r="694" ht="12.75" spans="10:10">
      <c r="J694" s="16"/>
    </row>
    <row r="695" ht="12.75" spans="10:10">
      <c r="J695" s="16"/>
    </row>
    <row r="696" ht="12.75" spans="10:10">
      <c r="J696" s="16"/>
    </row>
    <row r="697" ht="12.75" spans="10:10">
      <c r="J697" s="16"/>
    </row>
    <row r="698" ht="12.75" spans="10:10">
      <c r="J698" s="16"/>
    </row>
    <row r="699" ht="12.75" spans="10:10">
      <c r="J699" s="16"/>
    </row>
    <row r="700" ht="12.75" spans="10:10">
      <c r="J700" s="16"/>
    </row>
    <row r="701" ht="12.75" spans="10:10">
      <c r="J701" s="16"/>
    </row>
    <row r="702" ht="12.75" spans="10:10">
      <c r="J702" s="16"/>
    </row>
    <row r="703" ht="12.75" spans="10:10">
      <c r="J703" s="16"/>
    </row>
    <row r="704" ht="12.75" spans="10:10">
      <c r="J704" s="16"/>
    </row>
    <row r="705" ht="12.75" spans="10:10">
      <c r="J705" s="16"/>
    </row>
    <row r="706" ht="12.75" spans="10:10">
      <c r="J706" s="16"/>
    </row>
    <row r="707" ht="12.75" spans="10:10">
      <c r="J707" s="16"/>
    </row>
    <row r="708" ht="12.75" spans="10:10">
      <c r="J708" s="16"/>
    </row>
    <row r="709" ht="12.75" spans="10:10">
      <c r="J709" s="16"/>
    </row>
    <row r="710" ht="12.75" spans="10:10">
      <c r="J710" s="16"/>
    </row>
    <row r="711" ht="12.75" spans="10:10">
      <c r="J711" s="16"/>
    </row>
    <row r="712" ht="12.75" spans="10:10">
      <c r="J712" s="16"/>
    </row>
    <row r="713" ht="12.75" spans="10:10">
      <c r="J713" s="16"/>
    </row>
    <row r="714" ht="12.75" spans="10:10">
      <c r="J714" s="16"/>
    </row>
    <row r="715" ht="12.75" spans="10:10">
      <c r="J715" s="16"/>
    </row>
    <row r="716" ht="12.75" spans="10:10">
      <c r="J716" s="16"/>
    </row>
    <row r="717" ht="12.75" spans="10:10">
      <c r="J717" s="16"/>
    </row>
    <row r="718" ht="12.75" spans="10:10">
      <c r="J718" s="16"/>
    </row>
    <row r="719" ht="12.75" spans="10:10">
      <c r="J719" s="16"/>
    </row>
    <row r="720" ht="12.75" spans="10:10">
      <c r="J720" s="16"/>
    </row>
    <row r="721" ht="12.75" spans="10:10">
      <c r="J721" s="16"/>
    </row>
    <row r="722" ht="12.75" spans="10:10">
      <c r="J722" s="16"/>
    </row>
    <row r="723" ht="12.75" spans="10:10">
      <c r="J723" s="16"/>
    </row>
    <row r="724" ht="12.75" spans="10:10">
      <c r="J724" s="16"/>
    </row>
    <row r="725" ht="12.75" spans="10:10">
      <c r="J725" s="16"/>
    </row>
    <row r="726" ht="12.75" spans="10:10">
      <c r="J726" s="16"/>
    </row>
    <row r="727" ht="12.75" spans="10:10">
      <c r="J727" s="16"/>
    </row>
    <row r="728" ht="12.75" spans="10:10">
      <c r="J728" s="16"/>
    </row>
    <row r="729" ht="12.75" spans="10:10">
      <c r="J729" s="16"/>
    </row>
    <row r="730" ht="12.75" spans="10:10">
      <c r="J730" s="16"/>
    </row>
    <row r="731" ht="12.75" spans="10:10">
      <c r="J731" s="16"/>
    </row>
    <row r="732" ht="12.75" spans="10:10">
      <c r="J732" s="16"/>
    </row>
    <row r="733" ht="12.75" spans="10:10">
      <c r="J733" s="16"/>
    </row>
    <row r="734" ht="12.75" spans="10:10">
      <c r="J734" s="16"/>
    </row>
    <row r="735" ht="12.75" spans="10:10">
      <c r="J735" s="16"/>
    </row>
    <row r="736" ht="12.75" spans="10:10">
      <c r="J736" s="16"/>
    </row>
    <row r="737" ht="12.75" spans="10:10">
      <c r="J737" s="16"/>
    </row>
    <row r="738" ht="12.75" spans="10:10">
      <c r="J738" s="16"/>
    </row>
    <row r="739" ht="12.75" spans="10:10">
      <c r="J739" s="16"/>
    </row>
    <row r="740" ht="12.75" spans="10:10">
      <c r="J740" s="16"/>
    </row>
    <row r="741" ht="12.75" spans="10:10">
      <c r="J741" s="16"/>
    </row>
    <row r="742" ht="12.75" spans="10:10">
      <c r="J742" s="16"/>
    </row>
    <row r="743" ht="12.75" spans="10:10">
      <c r="J743" s="16"/>
    </row>
    <row r="744" ht="12.75" spans="10:10">
      <c r="J744" s="16"/>
    </row>
    <row r="745" ht="12.75" spans="10:10">
      <c r="J745" s="16"/>
    </row>
    <row r="746" ht="12.75" spans="10:10">
      <c r="J746" s="16"/>
    </row>
    <row r="747" ht="12.75" spans="10:10">
      <c r="J747" s="16"/>
    </row>
    <row r="748" ht="12.75" spans="10:10">
      <c r="J748" s="16"/>
    </row>
    <row r="749" ht="12.75" spans="10:10">
      <c r="J749" s="16"/>
    </row>
    <row r="750" ht="12.75" spans="10:10">
      <c r="J750" s="16"/>
    </row>
    <row r="751" ht="12.75" spans="10:10">
      <c r="J751" s="16"/>
    </row>
    <row r="752" ht="12.75" spans="10:10">
      <c r="J752" s="16"/>
    </row>
    <row r="753" ht="12.75" spans="10:10">
      <c r="J753" s="16"/>
    </row>
    <row r="754" ht="12.75" spans="10:10">
      <c r="J754" s="16"/>
    </row>
    <row r="755" ht="12.75" spans="10:10">
      <c r="J755" s="16"/>
    </row>
    <row r="756" ht="12.75" spans="10:10">
      <c r="J756" s="16"/>
    </row>
    <row r="757" ht="12.75" spans="10:10">
      <c r="J757" s="16"/>
    </row>
    <row r="758" ht="12.75" spans="10:10">
      <c r="J758" s="16"/>
    </row>
    <row r="759" ht="12.75" spans="10:10">
      <c r="J759" s="16"/>
    </row>
    <row r="760" ht="12.75" spans="10:10">
      <c r="J760" s="16"/>
    </row>
    <row r="761" ht="12.75" spans="10:10">
      <c r="J761" s="16"/>
    </row>
    <row r="762" ht="12.75" spans="10:10">
      <c r="J762" s="16"/>
    </row>
    <row r="763" ht="12.75" spans="10:10">
      <c r="J763" s="16"/>
    </row>
    <row r="764" ht="12.75" spans="10:10">
      <c r="J764" s="16"/>
    </row>
    <row r="765" ht="12.75" spans="10:10">
      <c r="J765" s="16"/>
    </row>
    <row r="766" ht="12.75" spans="10:10">
      <c r="J766" s="16"/>
    </row>
    <row r="767" ht="12.75" spans="10:10">
      <c r="J767" s="16"/>
    </row>
    <row r="768" ht="12.75" spans="10:10">
      <c r="J768" s="16"/>
    </row>
    <row r="769" ht="12.75" spans="10:10">
      <c r="J769" s="16"/>
    </row>
    <row r="770" ht="12.75" spans="10:10">
      <c r="J770" s="16"/>
    </row>
    <row r="771" ht="12.75" spans="10:10">
      <c r="J771" s="16"/>
    </row>
    <row r="772" ht="12.75" spans="10:10">
      <c r="J772" s="16"/>
    </row>
    <row r="773" ht="12.75" spans="10:10">
      <c r="J773" s="16"/>
    </row>
    <row r="774" ht="12.75" spans="10:10">
      <c r="J774" s="16"/>
    </row>
    <row r="775" ht="12.75" spans="10:10">
      <c r="J775" s="16"/>
    </row>
    <row r="776" ht="12.75" spans="10:10">
      <c r="J776" s="16"/>
    </row>
    <row r="777" ht="12.75" spans="10:10">
      <c r="J777" s="16"/>
    </row>
    <row r="778" ht="12.75" spans="10:10">
      <c r="J778" s="16"/>
    </row>
    <row r="779" ht="12.75" spans="10:10">
      <c r="J779" s="16"/>
    </row>
    <row r="780" ht="12.75" spans="10:10">
      <c r="J780" s="16"/>
    </row>
    <row r="781" ht="12.75" spans="10:10">
      <c r="J781" s="16"/>
    </row>
    <row r="782" ht="12.75" spans="10:10">
      <c r="J782" s="16"/>
    </row>
    <row r="783" ht="12.75" spans="10:10">
      <c r="J783" s="16"/>
    </row>
    <row r="784" ht="12.75" spans="10:10">
      <c r="J784" s="16"/>
    </row>
    <row r="785" ht="12.75" spans="10:10">
      <c r="J785" s="16"/>
    </row>
    <row r="786" ht="12.75" spans="10:10">
      <c r="J786" s="16"/>
    </row>
    <row r="787" ht="12.75" spans="10:10">
      <c r="J787" s="16"/>
    </row>
    <row r="788" ht="12.75" spans="10:10">
      <c r="J788" s="16"/>
    </row>
    <row r="789" ht="12.75" spans="10:10">
      <c r="J789" s="16"/>
    </row>
    <row r="790" ht="12.75" spans="10:10">
      <c r="J790" s="16"/>
    </row>
    <row r="791" ht="12.75" spans="10:10">
      <c r="J791" s="16"/>
    </row>
    <row r="792" ht="12.75" spans="10:10">
      <c r="J792" s="16"/>
    </row>
    <row r="793" ht="12.75" spans="10:10">
      <c r="J793" s="16"/>
    </row>
    <row r="794" ht="12.75" spans="10:10">
      <c r="J794" s="16"/>
    </row>
    <row r="795" ht="12.75" spans="10:10">
      <c r="J795" s="16"/>
    </row>
    <row r="796" ht="12.75" spans="10:10">
      <c r="J796" s="16"/>
    </row>
    <row r="797" ht="12.75" spans="10:10">
      <c r="J797" s="16"/>
    </row>
    <row r="798" ht="12.75" spans="10:10">
      <c r="J798" s="16"/>
    </row>
    <row r="799" ht="12.75" spans="10:10">
      <c r="J799" s="16"/>
    </row>
    <row r="800" ht="12.75" spans="10:10">
      <c r="J800" s="16"/>
    </row>
    <row r="801" ht="12.75" spans="10:10">
      <c r="J801" s="16"/>
    </row>
    <row r="802" ht="12.75" spans="10:10">
      <c r="J802" s="16"/>
    </row>
    <row r="803" ht="12.75" spans="10:10">
      <c r="J803" s="16"/>
    </row>
    <row r="804" ht="12.75" spans="10:10">
      <c r="J804" s="16"/>
    </row>
    <row r="805" ht="12.75" spans="10:10">
      <c r="J805" s="16"/>
    </row>
    <row r="806" ht="12.75" spans="10:10">
      <c r="J806" s="16"/>
    </row>
    <row r="807" ht="12.75" spans="10:10">
      <c r="J807" s="16"/>
    </row>
    <row r="808" ht="12.75" spans="10:10">
      <c r="J808" s="16"/>
    </row>
    <row r="809" ht="12.75" spans="10:10">
      <c r="J809" s="16"/>
    </row>
    <row r="810" ht="12.75" spans="10:10">
      <c r="J810" s="16"/>
    </row>
    <row r="811" ht="12.75" spans="10:10">
      <c r="J811" s="16"/>
    </row>
    <row r="812" ht="12.75" spans="10:10">
      <c r="J812" s="16"/>
    </row>
    <row r="813" ht="12.75" spans="10:10">
      <c r="J813" s="16"/>
    </row>
    <row r="814" ht="12.75" spans="10:10">
      <c r="J814" s="16"/>
    </row>
    <row r="815" ht="12.75" spans="10:10">
      <c r="J815" s="16"/>
    </row>
    <row r="816" ht="12.75" spans="10:10">
      <c r="J816" s="16"/>
    </row>
    <row r="817" ht="12.75" spans="10:10">
      <c r="J817" s="16"/>
    </row>
    <row r="818" ht="12.75" spans="10:10">
      <c r="J818" s="16"/>
    </row>
    <row r="819" ht="12.75" spans="10:10">
      <c r="J819" s="16"/>
    </row>
    <row r="820" ht="12.75" spans="10:10">
      <c r="J820" s="16"/>
    </row>
    <row r="821" ht="12.75" spans="10:10">
      <c r="J821" s="16"/>
    </row>
    <row r="822" ht="12.75" spans="10:10">
      <c r="J822" s="16"/>
    </row>
    <row r="823" ht="12.75" spans="10:10">
      <c r="J823" s="16"/>
    </row>
    <row r="824" ht="12.75" spans="10:10">
      <c r="J824" s="16"/>
    </row>
    <row r="825" ht="12.75" spans="10:10">
      <c r="J825" s="16"/>
    </row>
    <row r="826" ht="12.75" spans="10:10">
      <c r="J826" s="16"/>
    </row>
    <row r="827" ht="12.75" spans="10:10">
      <c r="J827" s="16"/>
    </row>
    <row r="828" ht="12.75" spans="10:10">
      <c r="J828" s="16"/>
    </row>
    <row r="829" ht="12.75" spans="10:10">
      <c r="J829" s="16"/>
    </row>
    <row r="830" ht="12.75" spans="10:10">
      <c r="J830" s="16"/>
    </row>
    <row r="831" ht="12.75" spans="10:10">
      <c r="J831" s="16"/>
    </row>
    <row r="832" ht="12.75" spans="10:10">
      <c r="J832" s="16"/>
    </row>
    <row r="833" ht="12.75" spans="10:10">
      <c r="J833" s="16"/>
    </row>
    <row r="834" ht="12.75" spans="10:10">
      <c r="J834" s="16"/>
    </row>
    <row r="835" ht="12.75" spans="10:10">
      <c r="J835" s="16"/>
    </row>
    <row r="836" ht="12.75" spans="10:10">
      <c r="J836" s="16"/>
    </row>
    <row r="837" ht="12.75" spans="10:10">
      <c r="J837" s="16"/>
    </row>
    <row r="838" ht="12.75" spans="10:10">
      <c r="J838" s="16"/>
    </row>
    <row r="839" ht="12.75" spans="10:10">
      <c r="J839" s="16"/>
    </row>
    <row r="840" ht="12.75" spans="10:10">
      <c r="J840" s="16"/>
    </row>
    <row r="841" ht="12.75" spans="10:10">
      <c r="J841" s="16"/>
    </row>
    <row r="842" ht="12.75" spans="10:10">
      <c r="J842" s="16"/>
    </row>
    <row r="843" ht="12.75" spans="10:10">
      <c r="J843" s="16"/>
    </row>
    <row r="844" ht="12.75" spans="10:10">
      <c r="J844" s="16"/>
    </row>
    <row r="845" ht="12.75" spans="10:10">
      <c r="J845" s="16"/>
    </row>
    <row r="846" ht="12.75" spans="10:10">
      <c r="J846" s="16"/>
    </row>
    <row r="847" ht="12.75" spans="10:10">
      <c r="J847" s="16"/>
    </row>
    <row r="848" ht="12.75" spans="10:10">
      <c r="J848" s="16"/>
    </row>
    <row r="849" ht="12.75" spans="10:10">
      <c r="J849" s="16"/>
    </row>
    <row r="850" ht="12.75" spans="10:10">
      <c r="J850" s="16"/>
    </row>
    <row r="851" ht="12.75" spans="10:10">
      <c r="J851" s="16"/>
    </row>
    <row r="852" ht="12.75" spans="10:10">
      <c r="J852" s="16"/>
    </row>
    <row r="853" ht="12.75" spans="10:10">
      <c r="J853" s="16"/>
    </row>
    <row r="854" ht="12.75" spans="10:10">
      <c r="J854" s="16"/>
    </row>
    <row r="855" ht="12.75" spans="10:10">
      <c r="J855" s="16"/>
    </row>
    <row r="856" ht="12.75" spans="10:10">
      <c r="J856" s="16"/>
    </row>
    <row r="857" ht="12.75" spans="10:10">
      <c r="J857" s="16"/>
    </row>
    <row r="858" ht="12.75" spans="10:10">
      <c r="J858" s="16"/>
    </row>
    <row r="859" ht="12.75" spans="10:10">
      <c r="J859" s="16"/>
    </row>
    <row r="860" ht="12.75" spans="10:10">
      <c r="J860" s="16"/>
    </row>
    <row r="861" ht="12.75" spans="10:10">
      <c r="J861" s="16"/>
    </row>
    <row r="862" ht="12.75" spans="10:10">
      <c r="J862" s="16"/>
    </row>
    <row r="863" ht="12.75" spans="10:10">
      <c r="J863" s="16"/>
    </row>
    <row r="864" ht="12.75" spans="10:10">
      <c r="J864" s="16"/>
    </row>
    <row r="865" ht="12.75" spans="10:10">
      <c r="J865" s="16"/>
    </row>
    <row r="866" ht="12.75" spans="10:10">
      <c r="J866" s="16"/>
    </row>
    <row r="867" ht="12.75" spans="10:10">
      <c r="J867" s="16"/>
    </row>
    <row r="868" ht="12.75" spans="10:10">
      <c r="J868" s="16"/>
    </row>
    <row r="869" ht="12.75" spans="10:10">
      <c r="J869" s="16"/>
    </row>
    <row r="870" ht="12.75" spans="10:10">
      <c r="J870" s="16"/>
    </row>
    <row r="871" ht="12.75" spans="10:10">
      <c r="J871" s="16"/>
    </row>
    <row r="872" ht="12.75" spans="10:10">
      <c r="J872" s="16"/>
    </row>
    <row r="873" ht="12.75" spans="10:10">
      <c r="J873" s="16"/>
    </row>
    <row r="874" ht="12.75" spans="10:10">
      <c r="J874" s="16"/>
    </row>
    <row r="875" ht="12.75" spans="10:10">
      <c r="J875" s="16"/>
    </row>
    <row r="876" ht="12.75" spans="10:10">
      <c r="J876" s="16"/>
    </row>
    <row r="877" ht="12.75" spans="10:10">
      <c r="J877" s="16"/>
    </row>
    <row r="878" ht="12.75" spans="10:10">
      <c r="J878" s="16"/>
    </row>
    <row r="879" ht="12.75" spans="10:10">
      <c r="J879" s="16"/>
    </row>
    <row r="880" ht="12.75" spans="10:10">
      <c r="J880" s="16"/>
    </row>
    <row r="881" ht="12.75" spans="10:10">
      <c r="J881" s="16"/>
    </row>
    <row r="882" ht="12.75" spans="10:10">
      <c r="J882" s="16"/>
    </row>
    <row r="883" ht="12.75" spans="10:10">
      <c r="J883" s="16"/>
    </row>
    <row r="884" ht="12.75" spans="10:10">
      <c r="J884" s="16"/>
    </row>
    <row r="885" ht="12.75" spans="10:10">
      <c r="J885" s="16"/>
    </row>
    <row r="886" ht="12.75" spans="10:10">
      <c r="J886" s="16"/>
    </row>
    <row r="887" ht="12.75" spans="10:10">
      <c r="J887" s="16"/>
    </row>
    <row r="888" ht="12.75" spans="10:10">
      <c r="J888" s="16"/>
    </row>
    <row r="889" ht="12.75" spans="10:10">
      <c r="J889" s="16"/>
    </row>
    <row r="890" ht="12.75" spans="10:10">
      <c r="J890" s="16"/>
    </row>
    <row r="891" ht="12.75" spans="10:10">
      <c r="J891" s="16"/>
    </row>
    <row r="892" ht="12.75" spans="10:10">
      <c r="J892" s="16"/>
    </row>
    <row r="893" ht="12.75" spans="10:10">
      <c r="J893" s="16"/>
    </row>
    <row r="894" ht="12.75" spans="10:10">
      <c r="J894" s="16"/>
    </row>
    <row r="895" ht="12.75" spans="10:10">
      <c r="J895" s="16"/>
    </row>
    <row r="896" ht="12.75" spans="10:10">
      <c r="J896" s="16"/>
    </row>
    <row r="897" ht="12.75" spans="10:10">
      <c r="J897" s="16"/>
    </row>
    <row r="898" ht="12.75" spans="10:10">
      <c r="J898" s="16"/>
    </row>
    <row r="899" ht="12.75" spans="10:10">
      <c r="J899" s="16"/>
    </row>
    <row r="900" ht="12.75" spans="10:10">
      <c r="J900" s="16"/>
    </row>
    <row r="901" ht="12.75" spans="10:10">
      <c r="J901" s="16"/>
    </row>
    <row r="902" ht="12.75" spans="10:10">
      <c r="J902" s="16"/>
    </row>
    <row r="903" ht="12.75" spans="10:10">
      <c r="J903" s="16"/>
    </row>
    <row r="904" ht="12.75" spans="10:10">
      <c r="J904" s="16"/>
    </row>
    <row r="905" ht="12.75" spans="10:10">
      <c r="J905" s="16"/>
    </row>
    <row r="906" ht="12.75" spans="10:10">
      <c r="J906" s="16"/>
    </row>
    <row r="907" ht="12.75" spans="10:10">
      <c r="J907" s="16"/>
    </row>
    <row r="908" ht="12.75" spans="10:10">
      <c r="J908" s="16"/>
    </row>
    <row r="909" ht="12.75" spans="10:10">
      <c r="J909" s="16"/>
    </row>
    <row r="910" ht="12.75" spans="10:10">
      <c r="J910" s="16"/>
    </row>
    <row r="911" ht="12.75" spans="10:10">
      <c r="J911" s="16"/>
    </row>
    <row r="912" ht="12.75" spans="10:10">
      <c r="J912" s="16"/>
    </row>
    <row r="913" ht="12.75" spans="10:10">
      <c r="J913" s="16"/>
    </row>
    <row r="914" ht="12.75" spans="10:10">
      <c r="J914" s="16"/>
    </row>
    <row r="915" ht="12.75" spans="10:10">
      <c r="J915" s="16"/>
    </row>
    <row r="916" ht="12.75" spans="10:10">
      <c r="J916" s="16"/>
    </row>
    <row r="917" ht="12.75" spans="10:10">
      <c r="J917" s="16"/>
    </row>
    <row r="918" ht="12.75" spans="10:10">
      <c r="J918" s="16"/>
    </row>
    <row r="919" ht="12.75" spans="10:10">
      <c r="J919" s="16"/>
    </row>
    <row r="920" ht="12.75" spans="10:10">
      <c r="J920" s="16"/>
    </row>
    <row r="921" ht="12.75" spans="10:10">
      <c r="J921" s="16"/>
    </row>
    <row r="922" ht="12.75" spans="10:10">
      <c r="J922" s="16"/>
    </row>
    <row r="923" ht="12.75" spans="10:10">
      <c r="J923" s="16"/>
    </row>
    <row r="924" ht="12.75" spans="10:10">
      <c r="J924" s="16"/>
    </row>
    <row r="925" ht="12.75" spans="10:10">
      <c r="J925" s="16"/>
    </row>
    <row r="926" ht="12.75" spans="10:10">
      <c r="J926" s="16"/>
    </row>
    <row r="927" ht="12.75" spans="10:10">
      <c r="J927" s="16"/>
    </row>
    <row r="928" ht="12.75" spans="10:10">
      <c r="J928" s="16"/>
    </row>
    <row r="929" ht="12.75" spans="10:10">
      <c r="J929" s="16"/>
    </row>
    <row r="930" ht="12.75" spans="10:10">
      <c r="J930" s="16"/>
    </row>
    <row r="931" ht="12.75" spans="10:10">
      <c r="J931" s="16"/>
    </row>
    <row r="932" ht="12.75" spans="10:10">
      <c r="J932" s="16"/>
    </row>
    <row r="933" ht="12.75" spans="10:10">
      <c r="J933" s="16"/>
    </row>
    <row r="934" ht="12.75" spans="10:10">
      <c r="J934" s="16"/>
    </row>
    <row r="935" ht="12.75" spans="10:10">
      <c r="J935" s="16"/>
    </row>
    <row r="936" ht="12.75" spans="10:10">
      <c r="J936" s="16"/>
    </row>
    <row r="937" ht="12.75" spans="10:10">
      <c r="J937" s="16"/>
    </row>
    <row r="938" ht="12.75" spans="10:10">
      <c r="J938" s="16"/>
    </row>
    <row r="939" ht="12.75" spans="10:10">
      <c r="J939" s="16"/>
    </row>
    <row r="940" ht="12.75" spans="10:10">
      <c r="J940" s="16"/>
    </row>
    <row r="941" ht="12.75" spans="10:10">
      <c r="J941" s="16"/>
    </row>
    <row r="942" ht="12.75" spans="10:10">
      <c r="J942" s="16"/>
    </row>
    <row r="943" ht="12.75" spans="10:10">
      <c r="J943" s="16"/>
    </row>
    <row r="944" ht="12.75" spans="10:10">
      <c r="J944" s="16"/>
    </row>
    <row r="945" ht="12.75" spans="10:10">
      <c r="J945" s="16"/>
    </row>
    <row r="946" ht="12.75" spans="10:10">
      <c r="J946" s="16"/>
    </row>
    <row r="947" ht="12.75" spans="10:10">
      <c r="J947" s="16"/>
    </row>
    <row r="948" ht="12.75" spans="10:10">
      <c r="J948" s="16"/>
    </row>
    <row r="949" ht="12.75" spans="10:10">
      <c r="J949" s="16"/>
    </row>
    <row r="950" ht="12.75" spans="10:10">
      <c r="J950" s="16"/>
    </row>
    <row r="951" ht="12.75" spans="10:10">
      <c r="J951" s="16"/>
    </row>
    <row r="952" ht="12.75" spans="10:10">
      <c r="J952" s="16"/>
    </row>
    <row r="953" ht="12.75" spans="10:10">
      <c r="J953" s="16"/>
    </row>
    <row r="954" ht="12.75" spans="10:10">
      <c r="J954" s="16"/>
    </row>
    <row r="955" ht="12.75" spans="10:10">
      <c r="J955" s="16"/>
    </row>
    <row r="956" ht="12.75" spans="10:10">
      <c r="J956" s="16"/>
    </row>
    <row r="957" ht="12.75" spans="10:10">
      <c r="J957" s="16"/>
    </row>
    <row r="958" ht="12.75" spans="10:10">
      <c r="J958" s="16"/>
    </row>
    <row r="959" ht="12.75" spans="10:10">
      <c r="J959" s="16"/>
    </row>
    <row r="960" ht="12.75" spans="10:10">
      <c r="J960" s="16"/>
    </row>
    <row r="961" ht="12.75" spans="10:10">
      <c r="J961" s="16"/>
    </row>
    <row r="962" ht="12.75" spans="10:10">
      <c r="J962" s="16"/>
    </row>
    <row r="963" ht="12.75" spans="10:10">
      <c r="J963" s="16"/>
    </row>
    <row r="964" ht="12.75" spans="10:10">
      <c r="J964" s="16"/>
    </row>
    <row r="965" ht="12.75" spans="10:10">
      <c r="J965" s="16"/>
    </row>
    <row r="966" ht="12.75" spans="10:10">
      <c r="J966" s="16"/>
    </row>
    <row r="967" ht="12.75" spans="10:10">
      <c r="J967" s="16"/>
    </row>
    <row r="968" ht="12.75" spans="10:10">
      <c r="J968" s="16"/>
    </row>
    <row r="969" ht="12.75" spans="10:10">
      <c r="J969" s="16"/>
    </row>
    <row r="970" ht="12.75" spans="10:10">
      <c r="J970" s="16"/>
    </row>
    <row r="971" ht="12.75" spans="10:10">
      <c r="J971" s="16"/>
    </row>
    <row r="972" ht="12.75" spans="10:10">
      <c r="J972" s="16"/>
    </row>
    <row r="973" ht="12.75" spans="10:10">
      <c r="J973" s="16"/>
    </row>
    <row r="974" ht="12.75" spans="10:10">
      <c r="J974" s="16"/>
    </row>
    <row r="975" ht="12.75" spans="10:10">
      <c r="J975" s="16"/>
    </row>
    <row r="976" ht="12.75" spans="10:10">
      <c r="J976" s="16"/>
    </row>
    <row r="977" ht="12.75" spans="10:10">
      <c r="J977" s="16"/>
    </row>
    <row r="978" ht="12.75" spans="10:10">
      <c r="J978" s="16"/>
    </row>
    <row r="979" ht="12.75" spans="10:10">
      <c r="J979" s="16"/>
    </row>
    <row r="980" ht="12.75" spans="10:10">
      <c r="J980" s="16"/>
    </row>
    <row r="981" ht="12.75" spans="10:10">
      <c r="J981" s="16"/>
    </row>
    <row r="982" ht="12.75" spans="10:10">
      <c r="J982" s="16"/>
    </row>
    <row r="983" ht="12.75" spans="10:10">
      <c r="J983" s="16"/>
    </row>
    <row r="984" ht="12.75" spans="10:10">
      <c r="J984" s="16"/>
    </row>
    <row r="985" ht="12.75" spans="10:10">
      <c r="J985" s="16"/>
    </row>
    <row r="986" ht="12.75" spans="10:10">
      <c r="J986" s="16"/>
    </row>
    <row r="987" ht="12.75" spans="10:10">
      <c r="J987" s="16"/>
    </row>
    <row r="988" ht="12.75" spans="10:10">
      <c r="J988" s="16"/>
    </row>
    <row r="989" ht="12.75" spans="10:10">
      <c r="J989" s="16"/>
    </row>
    <row r="990" ht="12.75" spans="10:10">
      <c r="J990" s="16"/>
    </row>
    <row r="991" ht="12.75" spans="10:10">
      <c r="J991" s="16"/>
    </row>
    <row r="992" ht="12.75" spans="10:10">
      <c r="J992" s="16"/>
    </row>
    <row r="993" ht="12.75" spans="10:10">
      <c r="J993" s="16"/>
    </row>
    <row r="994" ht="12.75" spans="10:10">
      <c r="J994" s="16"/>
    </row>
    <row r="995" ht="12.75" spans="10:10">
      <c r="J995" s="16"/>
    </row>
    <row r="996" ht="12.75" spans="10:10">
      <c r="J996" s="16"/>
    </row>
    <row r="997" ht="12.75" spans="10:10">
      <c r="J997" s="16"/>
    </row>
    <row r="998" ht="12.75" spans="10:10">
      <c r="J998" s="16"/>
    </row>
    <row r="999" ht="12.75" spans="10:10">
      <c r="J999" s="16"/>
    </row>
    <row r="1000" ht="12.75" spans="10:10">
      <c r="J1000" s="16"/>
    </row>
    <row r="1001" ht="12.75" spans="10:10">
      <c r="J1001" s="16"/>
    </row>
    <row r="1002" ht="12.75" spans="10:10">
      <c r="J1002" s="16"/>
    </row>
    <row r="1003" ht="12.75" spans="10:10">
      <c r="J1003" s="16"/>
    </row>
    <row r="1004" ht="12.75" spans="10:10">
      <c r="J1004" s="16"/>
    </row>
    <row r="1005" ht="12.75" spans="10:10">
      <c r="J1005" s="16"/>
    </row>
    <row r="1006" ht="12.75" spans="10:10">
      <c r="J1006" s="16"/>
    </row>
    <row r="1007" ht="12.75" spans="10:10">
      <c r="J1007" s="16"/>
    </row>
    <row r="1008" ht="12.75" spans="10:10">
      <c r="J1008" s="16"/>
    </row>
    <row r="1009" ht="12.75" spans="10:10">
      <c r="J1009" s="16"/>
    </row>
    <row r="1010" ht="12.75" spans="10:10">
      <c r="J1010" s="16"/>
    </row>
    <row r="1011" ht="12.75" spans="10:10">
      <c r="J1011" s="16"/>
    </row>
    <row r="1012" ht="12.75" spans="10:10">
      <c r="J1012" s="16"/>
    </row>
    <row r="1013" ht="12.75" spans="10:10">
      <c r="J1013" s="16"/>
    </row>
    <row r="1014" ht="12.75" spans="10:10">
      <c r="J1014" s="16"/>
    </row>
  </sheetData>
  <dataValidations count="2">
    <dataValidation type="list" allowBlank="1" showInputMessage="1" showErrorMessage="1" prompt="Level of Preparation - These percentages can be changed per line item below (see &quot;0%&quot; below) if you don't want to change all rates by the same factor." sqref="J1">
      <formula1>'[1]#REF'!$A$10:$A$13</formula1>
    </dataValidation>
    <dataValidation type="list" allowBlank="1" showInputMessage="1" showErrorMessage="1" prompt="Units" sqref="C5:C12 C14:C27 C29:C36 C38:C48 C50:C57 C60:C65 C67:C70">
      <formula1>#REF!</formula1>
    </dataValidation>
  </dataValidations>
  <pageMargins left="0.75" right="0.75" top="1" bottom="1" header="0" footer="0"/>
  <pageSetup paperSize="1" orientation="portrait"/>
  <headerFooter/>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CFFCC"/>
  </sheetPr>
  <dimension ref="A1:Z1007"/>
  <sheetViews>
    <sheetView workbookViewId="0">
      <selection activeCell="A1" sqref="A1"/>
    </sheetView>
  </sheetViews>
  <sheetFormatPr defaultColWidth="12.6285714285714" defaultRowHeight="15.75" customHeight="1"/>
  <cols>
    <col min="1" max="1" width="11.752380952381" customWidth="1"/>
    <col min="2" max="2" width="6" customWidth="1"/>
    <col min="3" max="3" width="3.24761904761905" customWidth="1"/>
    <col min="4" max="4" width="14" customWidth="1"/>
    <col min="5" max="5" width="11.5047619047619" customWidth="1"/>
    <col min="6" max="6" width="10.3809523809524" customWidth="1"/>
    <col min="7" max="7" width="6.24761904761905" customWidth="1"/>
    <col min="8" max="8" width="3" customWidth="1"/>
    <col min="9" max="9" width="15.752380952381" customWidth="1"/>
    <col min="10" max="10" width="3.5047619047619" customWidth="1"/>
    <col min="11" max="11" width="14.8761904761905" customWidth="1"/>
    <col min="12" max="12" width="3.75238095238095" customWidth="1"/>
    <col min="13" max="26" width="8" customWidth="1"/>
  </cols>
  <sheetData>
    <row r="1" ht="10.5" customHeight="1" spans="1:26">
      <c r="A1" s="35" t="s">
        <v>1550</v>
      </c>
      <c r="B1" s="36" t="s">
        <v>2560</v>
      </c>
      <c r="C1" s="37"/>
      <c r="D1" s="38" t="s">
        <v>2737</v>
      </c>
      <c r="E1" s="38" t="s">
        <v>1550</v>
      </c>
      <c r="F1" s="38" t="s">
        <v>2738</v>
      </c>
      <c r="G1" s="37"/>
      <c r="H1" s="37"/>
      <c r="I1" s="38" t="s">
        <v>1550</v>
      </c>
      <c r="J1" s="37"/>
      <c r="K1" s="55" t="s">
        <v>2561</v>
      </c>
      <c r="L1" s="37"/>
      <c r="M1" s="37"/>
      <c r="N1" s="37"/>
      <c r="O1" s="37"/>
      <c r="P1" s="37"/>
      <c r="Q1" s="37"/>
      <c r="R1" s="37"/>
      <c r="S1" s="37"/>
      <c r="T1" s="37"/>
      <c r="U1" s="37"/>
      <c r="V1" s="37"/>
      <c r="W1" s="37"/>
      <c r="X1" s="37"/>
      <c r="Y1" s="37"/>
      <c r="Z1" s="37"/>
    </row>
    <row r="2" ht="10.5" customHeight="1" spans="1:26">
      <c r="A2" s="37" t="s">
        <v>1815</v>
      </c>
      <c r="B2" s="39">
        <v>59.85</v>
      </c>
      <c r="C2" s="37"/>
      <c r="D2" s="37" t="s">
        <v>2739</v>
      </c>
      <c r="E2" s="40" t="s">
        <v>2740</v>
      </c>
      <c r="F2" s="41">
        <v>0</v>
      </c>
      <c r="G2" s="37"/>
      <c r="H2" s="37"/>
      <c r="I2" s="40" t="s">
        <v>2741</v>
      </c>
      <c r="J2" s="37"/>
      <c r="K2" s="56" t="s">
        <v>1064</v>
      </c>
      <c r="L2" s="37"/>
      <c r="M2" s="37"/>
      <c r="N2" s="37"/>
      <c r="O2" s="37"/>
      <c r="P2" s="37"/>
      <c r="Q2" s="37"/>
      <c r="R2" s="37"/>
      <c r="S2" s="37"/>
      <c r="T2" s="37"/>
      <c r="U2" s="37"/>
      <c r="V2" s="37"/>
      <c r="W2" s="37"/>
      <c r="X2" s="37"/>
      <c r="Y2" s="37"/>
      <c r="Z2" s="37"/>
    </row>
    <row r="3" ht="10.5" customHeight="1" spans="1:26">
      <c r="A3" s="37" t="s">
        <v>1200</v>
      </c>
      <c r="B3" s="39">
        <v>64.95</v>
      </c>
      <c r="C3" s="37"/>
      <c r="D3" s="37" t="s">
        <v>2742</v>
      </c>
      <c r="E3" s="40" t="s">
        <v>2743</v>
      </c>
      <c r="F3" s="41">
        <v>0.03</v>
      </c>
      <c r="G3" s="37"/>
      <c r="H3" s="37"/>
      <c r="I3" s="40" t="s">
        <v>2744</v>
      </c>
      <c r="J3" s="37"/>
      <c r="K3" s="56" t="s">
        <v>370</v>
      </c>
      <c r="L3" s="37"/>
      <c r="M3" s="37"/>
      <c r="N3" s="37"/>
      <c r="O3" s="37"/>
      <c r="P3" s="37"/>
      <c r="Q3" s="37"/>
      <c r="R3" s="37"/>
      <c r="S3" s="37"/>
      <c r="T3" s="37"/>
      <c r="U3" s="37"/>
      <c r="V3" s="37"/>
      <c r="W3" s="37"/>
      <c r="X3" s="37"/>
      <c r="Y3" s="37"/>
      <c r="Z3" s="37"/>
    </row>
    <row r="4" ht="10.5" customHeight="1" spans="1:26">
      <c r="A4" s="42" t="s">
        <v>2694</v>
      </c>
      <c r="B4" s="39">
        <v>69.75</v>
      </c>
      <c r="C4" s="37"/>
      <c r="D4" s="37" t="s">
        <v>2745</v>
      </c>
      <c r="E4" s="40" t="s">
        <v>2746</v>
      </c>
      <c r="F4" s="41">
        <v>0.04</v>
      </c>
      <c r="G4" s="37"/>
      <c r="H4" s="37"/>
      <c r="I4" s="40" t="s">
        <v>2747</v>
      </c>
      <c r="J4" s="37"/>
      <c r="K4" s="56" t="s">
        <v>2668</v>
      </c>
      <c r="L4" s="37"/>
      <c r="M4" s="37"/>
      <c r="N4" s="37"/>
      <c r="O4" s="37"/>
      <c r="P4" s="37"/>
      <c r="Q4" s="37"/>
      <c r="R4" s="37"/>
      <c r="S4" s="37"/>
      <c r="T4" s="37"/>
      <c r="U4" s="37"/>
      <c r="V4" s="37"/>
      <c r="W4" s="37"/>
      <c r="X4" s="37"/>
      <c r="Y4" s="37"/>
      <c r="Z4" s="37"/>
    </row>
    <row r="5" ht="10.5" customHeight="1" spans="1:26">
      <c r="A5" s="42" t="s">
        <v>2704</v>
      </c>
      <c r="B5" s="39">
        <v>69.75</v>
      </c>
      <c r="C5" s="37"/>
      <c r="D5" s="37" t="s">
        <v>2748</v>
      </c>
      <c r="E5" s="40" t="s">
        <v>2749</v>
      </c>
      <c r="F5" s="41">
        <v>0.05</v>
      </c>
      <c r="G5" s="37"/>
      <c r="H5" s="37"/>
      <c r="I5" s="40" t="s">
        <v>2750</v>
      </c>
      <c r="J5" s="37"/>
      <c r="K5" s="56" t="s">
        <v>2666</v>
      </c>
      <c r="L5" s="37"/>
      <c r="M5" s="37"/>
      <c r="N5" s="37"/>
      <c r="O5" s="37"/>
      <c r="P5" s="37"/>
      <c r="Q5" s="37"/>
      <c r="R5" s="37"/>
      <c r="S5" s="37"/>
      <c r="T5" s="37"/>
      <c r="U5" s="37"/>
      <c r="V5" s="37"/>
      <c r="W5" s="37"/>
      <c r="X5" s="37"/>
      <c r="Y5" s="37"/>
      <c r="Z5" s="37"/>
    </row>
    <row r="6" ht="10.5" customHeight="1" spans="1:26">
      <c r="A6" s="42" t="s">
        <v>2711</v>
      </c>
      <c r="B6" s="39">
        <v>74.95</v>
      </c>
      <c r="C6" s="37"/>
      <c r="D6" s="37" t="s">
        <v>2751</v>
      </c>
      <c r="E6" s="40" t="s">
        <v>2752</v>
      </c>
      <c r="F6" s="41">
        <v>0.07</v>
      </c>
      <c r="G6" s="37"/>
      <c r="H6" s="37"/>
      <c r="I6" s="40" t="s">
        <v>2753</v>
      </c>
      <c r="J6" s="37"/>
      <c r="K6" s="37"/>
      <c r="L6" s="37"/>
      <c r="M6" s="37"/>
      <c r="N6" s="37"/>
      <c r="O6" s="37"/>
      <c r="P6" s="37"/>
      <c r="Q6" s="37"/>
      <c r="R6" s="37"/>
      <c r="S6" s="37"/>
      <c r="T6" s="37"/>
      <c r="U6" s="37"/>
      <c r="V6" s="37"/>
      <c r="W6" s="37"/>
      <c r="X6" s="37"/>
      <c r="Y6" s="37"/>
      <c r="Z6" s="37"/>
    </row>
    <row r="7" ht="10.5" customHeight="1" spans="1:26">
      <c r="A7" s="37"/>
      <c r="B7" s="43"/>
      <c r="C7" s="37"/>
      <c r="D7" s="37" t="s">
        <v>2754</v>
      </c>
      <c r="E7" s="40" t="s">
        <v>2755</v>
      </c>
      <c r="F7" s="41">
        <v>0.09</v>
      </c>
      <c r="G7" s="37"/>
      <c r="H7" s="37"/>
      <c r="I7" s="40" t="s">
        <v>2756</v>
      </c>
      <c r="J7" s="37"/>
      <c r="K7" s="57" t="s">
        <v>2757</v>
      </c>
      <c r="L7" s="37"/>
      <c r="M7" s="37"/>
      <c r="N7" s="37"/>
      <c r="O7" s="37"/>
      <c r="P7" s="37"/>
      <c r="Q7" s="37"/>
      <c r="R7" s="37"/>
      <c r="S7" s="37"/>
      <c r="T7" s="37"/>
      <c r="U7" s="37"/>
      <c r="V7" s="37"/>
      <c r="W7" s="37"/>
      <c r="X7" s="37"/>
      <c r="Y7" s="37"/>
      <c r="Z7" s="37"/>
    </row>
    <row r="8" ht="10.5" customHeight="1" spans="1:26">
      <c r="A8" s="37" t="s">
        <v>2758</v>
      </c>
      <c r="B8" s="44">
        <v>0.35</v>
      </c>
      <c r="C8" s="37"/>
      <c r="D8" s="37" t="s">
        <v>2759</v>
      </c>
      <c r="E8" s="40" t="s">
        <v>2760</v>
      </c>
      <c r="F8" s="41">
        <v>0.1</v>
      </c>
      <c r="G8" s="37"/>
      <c r="H8" s="37"/>
      <c r="I8" s="40" t="s">
        <v>2761</v>
      </c>
      <c r="J8" s="37"/>
      <c r="K8" s="42" t="s">
        <v>2762</v>
      </c>
      <c r="L8" s="37"/>
      <c r="M8" s="37"/>
      <c r="N8" s="37"/>
      <c r="O8" s="37"/>
      <c r="P8" s="37"/>
      <c r="Q8" s="37"/>
      <c r="R8" s="37"/>
      <c r="S8" s="37"/>
      <c r="T8" s="37"/>
      <c r="U8" s="37"/>
      <c r="V8" s="37"/>
      <c r="W8" s="37"/>
      <c r="X8" s="37"/>
      <c r="Y8" s="37"/>
      <c r="Z8" s="37"/>
    </row>
    <row r="9" ht="10.5" customHeight="1" spans="1:26">
      <c r="A9" s="37"/>
      <c r="B9" s="37"/>
      <c r="C9" s="37"/>
      <c r="D9" s="37" t="s">
        <v>2763</v>
      </c>
      <c r="E9" s="40" t="s">
        <v>2764</v>
      </c>
      <c r="F9" s="41">
        <v>0.15</v>
      </c>
      <c r="G9" s="37"/>
      <c r="H9" s="37"/>
      <c r="I9" s="40" t="s">
        <v>2765</v>
      </c>
      <c r="J9" s="37"/>
      <c r="K9" s="42" t="s">
        <v>2766</v>
      </c>
      <c r="L9" s="37"/>
      <c r="M9" s="37"/>
      <c r="N9" s="37"/>
      <c r="O9" s="37"/>
      <c r="P9" s="37"/>
      <c r="Q9" s="37"/>
      <c r="R9" s="37"/>
      <c r="S9" s="37"/>
      <c r="T9" s="37"/>
      <c r="U9" s="37"/>
      <c r="V9" s="37"/>
      <c r="W9" s="37"/>
      <c r="X9" s="37"/>
      <c r="Y9" s="37"/>
      <c r="Z9" s="37"/>
    </row>
    <row r="10" ht="10.5" customHeight="1" spans="1:26">
      <c r="A10" s="45" t="s">
        <v>2767</v>
      </c>
      <c r="B10" s="46"/>
      <c r="C10" s="37"/>
      <c r="D10" s="37"/>
      <c r="E10" s="37"/>
      <c r="F10" s="37"/>
      <c r="G10" s="37"/>
      <c r="H10" s="37"/>
      <c r="I10" s="40" t="s">
        <v>2768</v>
      </c>
      <c r="J10" s="37"/>
      <c r="K10" s="42" t="s">
        <v>2769</v>
      </c>
      <c r="L10" s="37"/>
      <c r="M10" s="37"/>
      <c r="N10" s="37"/>
      <c r="O10" s="37"/>
      <c r="P10" s="37"/>
      <c r="Q10" s="37"/>
      <c r="R10" s="37"/>
      <c r="S10" s="37"/>
      <c r="T10" s="37"/>
      <c r="U10" s="37"/>
      <c r="V10" s="37"/>
      <c r="W10" s="37"/>
      <c r="X10" s="37"/>
      <c r="Y10" s="37"/>
      <c r="Z10" s="37"/>
    </row>
    <row r="11" ht="10.5" customHeight="1" spans="1:26">
      <c r="A11" s="37" t="s">
        <v>2770</v>
      </c>
      <c r="B11" s="41">
        <v>-0.5</v>
      </c>
      <c r="C11" s="37"/>
      <c r="D11" s="37"/>
      <c r="E11" s="37"/>
      <c r="F11" s="37"/>
      <c r="G11" s="37"/>
      <c r="H11" s="37"/>
      <c r="I11" s="40" t="s">
        <v>2771</v>
      </c>
      <c r="J11" s="37"/>
      <c r="K11" s="42"/>
      <c r="L11" s="37"/>
      <c r="M11" s="37"/>
      <c r="N11" s="37"/>
      <c r="O11" s="37"/>
      <c r="P11" s="37"/>
      <c r="Q11" s="37"/>
      <c r="R11" s="37"/>
      <c r="S11" s="37"/>
      <c r="T11" s="37"/>
      <c r="U11" s="37"/>
      <c r="V11" s="37"/>
      <c r="W11" s="37"/>
      <c r="X11" s="37"/>
      <c r="Y11" s="37"/>
      <c r="Z11" s="37"/>
    </row>
    <row r="12" ht="10.5" customHeight="1" spans="1:26">
      <c r="A12" s="37" t="s">
        <v>2772</v>
      </c>
      <c r="B12" s="41">
        <v>-0.25</v>
      </c>
      <c r="C12" s="37"/>
      <c r="D12" s="35" t="s">
        <v>2773</v>
      </c>
      <c r="E12" s="36" t="s">
        <v>2774</v>
      </c>
      <c r="F12" s="36" t="s">
        <v>2775</v>
      </c>
      <c r="G12" s="47" t="s">
        <v>1140</v>
      </c>
      <c r="H12" s="37"/>
      <c r="I12" s="40" t="s">
        <v>2776</v>
      </c>
      <c r="J12" s="37"/>
      <c r="L12" s="37"/>
      <c r="M12" s="37"/>
      <c r="N12" s="37"/>
      <c r="O12" s="37"/>
      <c r="P12" s="37"/>
      <c r="Q12" s="37"/>
      <c r="R12" s="37"/>
      <c r="S12" s="37"/>
      <c r="T12" s="37"/>
      <c r="U12" s="37"/>
      <c r="V12" s="37"/>
      <c r="W12" s="37"/>
      <c r="X12" s="37"/>
      <c r="Y12" s="37"/>
      <c r="Z12" s="37"/>
    </row>
    <row r="13" ht="10.5" customHeight="1" spans="1:26">
      <c r="A13" s="37" t="s">
        <v>2654</v>
      </c>
      <c r="B13" s="41">
        <v>0</v>
      </c>
      <c r="C13" s="37"/>
      <c r="D13" s="37" t="s">
        <v>1287</v>
      </c>
      <c r="E13" s="48">
        <v>53.44</v>
      </c>
      <c r="F13" s="49">
        <v>74.49</v>
      </c>
      <c r="G13" s="50">
        <f t="shared" ref="G13:G30" si="0">(F13-E13)/E13</f>
        <v>0.393899700598802</v>
      </c>
      <c r="H13" s="37"/>
      <c r="I13" s="40" t="s">
        <v>2777</v>
      </c>
      <c r="J13" s="37"/>
      <c r="K13" s="42"/>
      <c r="L13" s="37"/>
      <c r="M13" s="37"/>
      <c r="N13" s="37"/>
      <c r="O13" s="37"/>
      <c r="P13" s="37"/>
      <c r="Q13" s="37"/>
      <c r="R13" s="37"/>
      <c r="S13" s="37"/>
      <c r="T13" s="37"/>
      <c r="U13" s="37"/>
      <c r="V13" s="37"/>
      <c r="W13" s="37"/>
      <c r="X13" s="37"/>
      <c r="Y13" s="37"/>
      <c r="Z13" s="37"/>
    </row>
    <row r="14" ht="10.5" customHeight="1" spans="1:26">
      <c r="A14" s="37" t="s">
        <v>2778</v>
      </c>
      <c r="B14" s="41">
        <v>0.25</v>
      </c>
      <c r="C14" s="37"/>
      <c r="D14" s="37" t="s">
        <v>1266</v>
      </c>
      <c r="E14" s="48">
        <v>43.65</v>
      </c>
      <c r="F14" s="49">
        <v>69.99</v>
      </c>
      <c r="G14" s="50">
        <f t="shared" si="0"/>
        <v>0.603436426116838</v>
      </c>
      <c r="H14" s="37"/>
      <c r="I14" s="40" t="s">
        <v>2779</v>
      </c>
      <c r="J14" s="37"/>
      <c r="K14" s="37"/>
      <c r="L14" s="37"/>
      <c r="M14" s="37"/>
      <c r="N14" s="37"/>
      <c r="O14" s="37"/>
      <c r="P14" s="37"/>
      <c r="Q14" s="37"/>
      <c r="R14" s="37"/>
      <c r="S14" s="37"/>
      <c r="T14" s="37"/>
      <c r="U14" s="37"/>
      <c r="V14" s="37"/>
      <c r="W14" s="37"/>
      <c r="X14" s="37"/>
      <c r="Y14" s="37"/>
      <c r="Z14" s="37"/>
    </row>
    <row r="15" ht="10.5" customHeight="1" spans="1:26">
      <c r="A15" s="37"/>
      <c r="B15" s="37"/>
      <c r="C15" s="37"/>
      <c r="D15" s="37" t="s">
        <v>350</v>
      </c>
      <c r="E15" s="39">
        <v>36.75</v>
      </c>
      <c r="F15" s="49">
        <v>63.65</v>
      </c>
      <c r="G15" s="50">
        <f t="shared" si="0"/>
        <v>0.731972789115646</v>
      </c>
      <c r="H15" s="37"/>
      <c r="I15" s="40" t="s">
        <v>2780</v>
      </c>
      <c r="J15" s="37"/>
      <c r="K15" s="37"/>
      <c r="L15" s="37"/>
      <c r="M15" s="37"/>
      <c r="N15" s="37"/>
      <c r="O15" s="37"/>
      <c r="P15" s="37"/>
      <c r="Q15" s="37"/>
      <c r="R15" s="37"/>
      <c r="S15" s="37"/>
      <c r="T15" s="37"/>
      <c r="U15" s="37"/>
      <c r="V15" s="37"/>
      <c r="W15" s="37"/>
      <c r="X15" s="37"/>
      <c r="Y15" s="37"/>
      <c r="Z15" s="37"/>
    </row>
    <row r="16" ht="10.5" customHeight="1" spans="1:26">
      <c r="A16" s="37"/>
      <c r="B16" s="37"/>
      <c r="C16" s="37"/>
      <c r="D16" s="37" t="s">
        <v>2781</v>
      </c>
      <c r="E16" s="48">
        <v>22.35</v>
      </c>
      <c r="F16" s="49">
        <v>36.99</v>
      </c>
      <c r="G16" s="50">
        <f t="shared" si="0"/>
        <v>0.65503355704698</v>
      </c>
      <c r="H16" s="51"/>
      <c r="I16" s="40" t="s">
        <v>2782</v>
      </c>
      <c r="J16" s="37"/>
      <c r="K16" s="37"/>
      <c r="L16" s="37"/>
      <c r="M16" s="37"/>
      <c r="N16" s="37"/>
      <c r="O16" s="37"/>
      <c r="P16" s="37"/>
      <c r="Q16" s="37"/>
      <c r="R16" s="37"/>
      <c r="S16" s="37"/>
      <c r="T16" s="37"/>
      <c r="U16" s="37"/>
      <c r="V16" s="37"/>
      <c r="W16" s="37"/>
      <c r="X16" s="37"/>
      <c r="Y16" s="37"/>
      <c r="Z16" s="37"/>
    </row>
    <row r="17" ht="10.5" customHeight="1" spans="1:26">
      <c r="A17" s="37"/>
      <c r="B17" s="37"/>
      <c r="C17" s="37"/>
      <c r="D17" s="37" t="s">
        <v>2783</v>
      </c>
      <c r="E17" s="48">
        <f t="shared" ref="E17:E19" si="1">F17*0.8</f>
        <v>36.784</v>
      </c>
      <c r="F17" s="49">
        <v>45.98</v>
      </c>
      <c r="G17" s="50">
        <f t="shared" si="0"/>
        <v>0.25</v>
      </c>
      <c r="H17" s="52"/>
      <c r="I17" s="40" t="s">
        <v>2784</v>
      </c>
      <c r="J17" s="37"/>
      <c r="K17" s="37"/>
      <c r="L17" s="37"/>
      <c r="M17" s="37"/>
      <c r="N17" s="37"/>
      <c r="O17" s="37"/>
      <c r="P17" s="37"/>
      <c r="Q17" s="37"/>
      <c r="R17" s="37"/>
      <c r="S17" s="37"/>
      <c r="T17" s="37"/>
      <c r="U17" s="37"/>
      <c r="V17" s="37"/>
      <c r="W17" s="37"/>
      <c r="X17" s="37"/>
      <c r="Y17" s="37"/>
      <c r="Z17" s="37"/>
    </row>
    <row r="18" ht="10.5" customHeight="1" spans="1:26">
      <c r="A18" s="37"/>
      <c r="B18" s="37"/>
      <c r="C18" s="37"/>
      <c r="D18" s="37" t="s">
        <v>2785</v>
      </c>
      <c r="E18" s="48">
        <f t="shared" si="1"/>
        <v>28.784</v>
      </c>
      <c r="F18" s="49">
        <v>35.98</v>
      </c>
      <c r="G18" s="50">
        <f t="shared" si="0"/>
        <v>0.25</v>
      </c>
      <c r="H18" s="53"/>
      <c r="I18" s="40" t="s">
        <v>2786</v>
      </c>
      <c r="J18" s="37"/>
      <c r="K18" s="37"/>
      <c r="L18" s="37"/>
      <c r="M18" s="37"/>
      <c r="N18" s="37"/>
      <c r="O18" s="37"/>
      <c r="P18" s="37"/>
      <c r="Q18" s="37"/>
      <c r="R18" s="37"/>
      <c r="S18" s="37"/>
      <c r="T18" s="37"/>
      <c r="U18" s="37"/>
      <c r="V18" s="37"/>
      <c r="W18" s="37"/>
      <c r="X18" s="37"/>
      <c r="Y18" s="37"/>
      <c r="Z18" s="37"/>
    </row>
    <row r="19" ht="10.5" customHeight="1" spans="1:26">
      <c r="A19" s="37"/>
      <c r="B19" s="37"/>
      <c r="C19" s="37"/>
      <c r="D19" s="37" t="s">
        <v>2787</v>
      </c>
      <c r="E19" s="48">
        <f t="shared" si="1"/>
        <v>23.984</v>
      </c>
      <c r="F19" s="49">
        <v>29.98</v>
      </c>
      <c r="G19" s="50">
        <f t="shared" si="0"/>
        <v>0.25</v>
      </c>
      <c r="H19" s="53"/>
      <c r="I19" s="40" t="s">
        <v>2788</v>
      </c>
      <c r="J19" s="37"/>
      <c r="K19" s="37"/>
      <c r="L19" s="37"/>
      <c r="M19" s="37"/>
      <c r="N19" s="37"/>
      <c r="O19" s="37"/>
      <c r="P19" s="37"/>
      <c r="Q19" s="37"/>
      <c r="R19" s="37"/>
      <c r="S19" s="37"/>
      <c r="T19" s="37"/>
      <c r="U19" s="37"/>
      <c r="V19" s="37"/>
      <c r="W19" s="37"/>
      <c r="X19" s="37"/>
      <c r="Y19" s="37"/>
      <c r="Z19" s="37"/>
    </row>
    <row r="20" ht="10.5" customHeight="1" spans="1:26">
      <c r="A20" s="37"/>
      <c r="B20" s="37"/>
      <c r="C20" s="37"/>
      <c r="D20" s="42" t="s">
        <v>2789</v>
      </c>
      <c r="E20" s="39">
        <v>52.52</v>
      </c>
      <c r="F20" s="49">
        <v>80.07</v>
      </c>
      <c r="G20" s="50">
        <f t="shared" si="0"/>
        <v>0.524562071591774</v>
      </c>
      <c r="H20" s="43"/>
      <c r="I20" s="40" t="s">
        <v>2790</v>
      </c>
      <c r="J20" s="37"/>
      <c r="K20" s="37"/>
      <c r="L20" s="37"/>
      <c r="M20" s="37"/>
      <c r="N20" s="37"/>
      <c r="O20" s="37"/>
      <c r="P20" s="37"/>
      <c r="Q20" s="37"/>
      <c r="R20" s="37"/>
      <c r="S20" s="37"/>
      <c r="T20" s="37"/>
      <c r="U20" s="37"/>
      <c r="V20" s="37"/>
      <c r="W20" s="37"/>
      <c r="X20" s="37"/>
      <c r="Y20" s="37"/>
      <c r="Z20" s="37"/>
    </row>
    <row r="21" ht="10.5" customHeight="1" spans="1:26">
      <c r="A21" s="37"/>
      <c r="B21" s="37"/>
      <c r="C21" s="37"/>
      <c r="D21" s="37" t="s">
        <v>1292</v>
      </c>
      <c r="E21" s="39">
        <v>66.93</v>
      </c>
      <c r="F21" s="49">
        <v>98.79</v>
      </c>
      <c r="G21" s="50">
        <f t="shared" si="0"/>
        <v>0.476019722097714</v>
      </c>
      <c r="H21" s="53"/>
      <c r="I21" s="40" t="s">
        <v>2791</v>
      </c>
      <c r="J21" s="37"/>
      <c r="K21" s="37"/>
      <c r="L21" s="37"/>
      <c r="M21" s="37"/>
      <c r="N21" s="37"/>
      <c r="O21" s="37"/>
      <c r="P21" s="37"/>
      <c r="Q21" s="37"/>
      <c r="R21" s="37"/>
      <c r="S21" s="37"/>
      <c r="T21" s="37"/>
      <c r="U21" s="37"/>
      <c r="V21" s="37"/>
      <c r="W21" s="37"/>
      <c r="X21" s="37"/>
      <c r="Y21" s="37"/>
      <c r="Z21" s="37"/>
    </row>
    <row r="22" ht="10.5" customHeight="1" spans="1:26">
      <c r="A22" s="37"/>
      <c r="B22" s="37"/>
      <c r="C22" s="37"/>
      <c r="D22" s="37" t="s">
        <v>2792</v>
      </c>
      <c r="E22" s="48">
        <f>F22*0.9</f>
        <v>25.2</v>
      </c>
      <c r="F22" s="49">
        <v>28</v>
      </c>
      <c r="G22" s="50">
        <f t="shared" si="0"/>
        <v>0.111111111111111</v>
      </c>
      <c r="H22" s="53"/>
      <c r="I22" s="40" t="s">
        <v>2793</v>
      </c>
      <c r="J22" s="37"/>
      <c r="K22" s="37"/>
      <c r="L22" s="37"/>
      <c r="M22" s="37"/>
      <c r="N22" s="37"/>
      <c r="O22" s="37"/>
      <c r="P22" s="37"/>
      <c r="Q22" s="37"/>
      <c r="R22" s="37"/>
      <c r="S22" s="37"/>
      <c r="T22" s="37"/>
      <c r="U22" s="37"/>
      <c r="V22" s="37"/>
      <c r="W22" s="37"/>
      <c r="X22" s="37"/>
      <c r="Y22" s="37"/>
      <c r="Z22" s="37"/>
    </row>
    <row r="23" ht="10.5" customHeight="1" spans="1:26">
      <c r="A23" s="37"/>
      <c r="B23" s="37"/>
      <c r="C23" s="37"/>
      <c r="D23" s="42" t="s">
        <v>2794</v>
      </c>
      <c r="E23" s="39">
        <v>26.81</v>
      </c>
      <c r="F23" s="49">
        <v>70.4</v>
      </c>
      <c r="G23" s="50">
        <f t="shared" si="0"/>
        <v>1.62588586348377</v>
      </c>
      <c r="H23" s="54"/>
      <c r="I23" s="40" t="s">
        <v>2795</v>
      </c>
      <c r="J23" s="37"/>
      <c r="K23" s="37"/>
      <c r="L23" s="37"/>
      <c r="M23" s="37"/>
      <c r="N23" s="37"/>
      <c r="O23" s="37"/>
      <c r="P23" s="37"/>
      <c r="Q23" s="37"/>
      <c r="R23" s="37"/>
      <c r="S23" s="37"/>
      <c r="T23" s="37"/>
      <c r="U23" s="37"/>
      <c r="V23" s="37"/>
      <c r="W23" s="37"/>
      <c r="X23" s="37"/>
      <c r="Y23" s="37"/>
      <c r="Z23" s="37"/>
    </row>
    <row r="24" ht="10.5" customHeight="1" spans="1:26">
      <c r="A24" s="37"/>
      <c r="B24" s="37"/>
      <c r="C24" s="37"/>
      <c r="D24" s="42" t="s">
        <v>2796</v>
      </c>
      <c r="E24" s="39">
        <v>15.99</v>
      </c>
      <c r="F24" s="49">
        <v>18.99</v>
      </c>
      <c r="G24" s="50">
        <f t="shared" si="0"/>
        <v>0.187617260787992</v>
      </c>
      <c r="H24" s="37"/>
      <c r="I24" s="40" t="s">
        <v>2797</v>
      </c>
      <c r="J24" s="37"/>
      <c r="K24" s="37"/>
      <c r="L24" s="37"/>
      <c r="M24" s="37"/>
      <c r="N24" s="37"/>
      <c r="O24" s="37"/>
      <c r="P24" s="37"/>
      <c r="Q24" s="37"/>
      <c r="R24" s="37"/>
      <c r="S24" s="37"/>
      <c r="T24" s="37"/>
      <c r="U24" s="37"/>
      <c r="V24" s="37"/>
      <c r="W24" s="37"/>
      <c r="X24" s="37"/>
      <c r="Y24" s="37"/>
      <c r="Z24" s="37"/>
    </row>
    <row r="25" ht="10.5" customHeight="1" spans="1:26">
      <c r="A25" s="37"/>
      <c r="B25" s="37"/>
      <c r="C25" s="37"/>
      <c r="D25" s="42" t="s">
        <v>2798</v>
      </c>
      <c r="E25" s="39">
        <v>42.99</v>
      </c>
      <c r="F25" s="49">
        <v>79.99</v>
      </c>
      <c r="G25" s="50">
        <f t="shared" si="0"/>
        <v>0.860665270993254</v>
      </c>
      <c r="H25" s="37"/>
      <c r="I25" s="40" t="s">
        <v>2799</v>
      </c>
      <c r="J25" s="37"/>
      <c r="K25" s="37"/>
      <c r="L25" s="37"/>
      <c r="M25" s="37"/>
      <c r="N25" s="37"/>
      <c r="O25" s="37"/>
      <c r="P25" s="37"/>
      <c r="Q25" s="37"/>
      <c r="R25" s="37"/>
      <c r="S25" s="37"/>
      <c r="T25" s="37"/>
      <c r="U25" s="37"/>
      <c r="V25" s="37"/>
      <c r="W25" s="37"/>
      <c r="X25" s="37"/>
      <c r="Y25" s="37"/>
      <c r="Z25" s="37"/>
    </row>
    <row r="26" ht="10.5" customHeight="1" spans="1:26">
      <c r="A26" s="37"/>
      <c r="B26" s="37"/>
      <c r="C26" s="37"/>
      <c r="D26" s="42" t="s">
        <v>2800</v>
      </c>
      <c r="E26" s="39">
        <v>55.99</v>
      </c>
      <c r="F26" s="49">
        <v>75.99</v>
      </c>
      <c r="G26" s="50">
        <f t="shared" si="0"/>
        <v>0.357206644043579</v>
      </c>
      <c r="H26" s="37"/>
      <c r="I26" s="40" t="s">
        <v>2801</v>
      </c>
      <c r="J26" s="37"/>
      <c r="K26" s="37"/>
      <c r="L26" s="37"/>
      <c r="M26" s="37"/>
      <c r="N26" s="37"/>
      <c r="O26" s="37"/>
      <c r="P26" s="37"/>
      <c r="Q26" s="37"/>
      <c r="R26" s="37"/>
      <c r="S26" s="37"/>
      <c r="T26" s="37"/>
      <c r="U26" s="37"/>
      <c r="V26" s="37"/>
      <c r="W26" s="37"/>
      <c r="X26" s="37"/>
      <c r="Y26" s="37"/>
      <c r="Z26" s="37"/>
    </row>
    <row r="27" ht="10.5" customHeight="1" spans="1:26">
      <c r="A27" s="42" t="s">
        <v>2802</v>
      </c>
      <c r="B27" s="42" t="s">
        <v>2803</v>
      </c>
      <c r="C27" s="37"/>
      <c r="D27" s="42" t="s">
        <v>2804</v>
      </c>
      <c r="E27" s="39"/>
      <c r="F27" s="49">
        <v>24.99</v>
      </c>
      <c r="G27" s="50" t="e">
        <f t="shared" si="0"/>
        <v>#DIV/0!</v>
      </c>
      <c r="H27" s="37"/>
      <c r="I27" s="40" t="s">
        <v>2805</v>
      </c>
      <c r="J27" s="37"/>
      <c r="K27" s="37"/>
      <c r="L27" s="37"/>
      <c r="M27" s="37"/>
      <c r="N27" s="37"/>
      <c r="O27" s="37"/>
      <c r="P27" s="37"/>
      <c r="Q27" s="37"/>
      <c r="R27" s="37"/>
      <c r="S27" s="37"/>
      <c r="T27" s="37"/>
      <c r="U27" s="37"/>
      <c r="V27" s="37"/>
      <c r="W27" s="37"/>
      <c r="X27" s="37"/>
      <c r="Y27" s="37"/>
      <c r="Z27" s="37"/>
    </row>
    <row r="28" ht="10.5" customHeight="1" spans="1:26">
      <c r="A28" s="37"/>
      <c r="B28" s="37"/>
      <c r="C28" s="37"/>
      <c r="D28" s="42"/>
      <c r="E28" s="39"/>
      <c r="F28" s="49"/>
      <c r="G28" s="50" t="e">
        <f t="shared" si="0"/>
        <v>#DIV/0!</v>
      </c>
      <c r="H28" s="37"/>
      <c r="I28" s="40" t="s">
        <v>2806</v>
      </c>
      <c r="J28" s="37"/>
      <c r="K28" s="37"/>
      <c r="L28" s="37"/>
      <c r="M28" s="37"/>
      <c r="N28" s="37"/>
      <c r="O28" s="37"/>
      <c r="P28" s="37"/>
      <c r="Q28" s="37"/>
      <c r="R28" s="37"/>
      <c r="S28" s="37"/>
      <c r="T28" s="37"/>
      <c r="U28" s="37"/>
      <c r="V28" s="37"/>
      <c r="W28" s="37"/>
      <c r="X28" s="37"/>
      <c r="Y28" s="37"/>
      <c r="Z28" s="37"/>
    </row>
    <row r="29" ht="10.5" customHeight="1" spans="1:26">
      <c r="A29" s="37"/>
      <c r="B29" s="37"/>
      <c r="C29" s="37"/>
      <c r="D29" s="42"/>
      <c r="E29" s="39"/>
      <c r="F29" s="49"/>
      <c r="G29" s="50" t="e">
        <f t="shared" si="0"/>
        <v>#DIV/0!</v>
      </c>
      <c r="H29" s="37"/>
      <c r="I29" s="40" t="s">
        <v>2807</v>
      </c>
      <c r="J29" s="37"/>
      <c r="K29" s="37"/>
      <c r="L29" s="37"/>
      <c r="M29" s="37"/>
      <c r="N29" s="37"/>
      <c r="O29" s="37"/>
      <c r="P29" s="37"/>
      <c r="Q29" s="37"/>
      <c r="R29" s="37"/>
      <c r="S29" s="37"/>
      <c r="T29" s="37"/>
      <c r="U29" s="37"/>
      <c r="V29" s="37"/>
      <c r="W29" s="37"/>
      <c r="X29" s="37"/>
      <c r="Y29" s="37"/>
      <c r="Z29" s="37"/>
    </row>
    <row r="30" ht="10.5" customHeight="1" spans="1:26">
      <c r="A30" s="37"/>
      <c r="B30" s="37"/>
      <c r="C30" s="37"/>
      <c r="D30" s="42"/>
      <c r="E30" s="39"/>
      <c r="F30" s="49"/>
      <c r="G30" s="50" t="e">
        <f t="shared" si="0"/>
        <v>#DIV/0!</v>
      </c>
      <c r="H30" s="37"/>
      <c r="I30" s="40" t="s">
        <v>2808</v>
      </c>
      <c r="J30" s="37"/>
      <c r="K30" s="37"/>
      <c r="L30" s="37"/>
      <c r="M30" s="37"/>
      <c r="N30" s="37"/>
      <c r="O30" s="37"/>
      <c r="P30" s="37"/>
      <c r="Q30" s="37"/>
      <c r="R30" s="37"/>
      <c r="S30" s="37"/>
      <c r="T30" s="37"/>
      <c r="U30" s="37"/>
      <c r="V30" s="37"/>
      <c r="W30" s="37"/>
      <c r="X30" s="37"/>
      <c r="Y30" s="37"/>
      <c r="Z30" s="37"/>
    </row>
    <row r="31" ht="10.5" customHeight="1" spans="1:26">
      <c r="A31" s="37"/>
      <c r="B31" s="37"/>
      <c r="C31" s="37"/>
      <c r="D31" s="37"/>
      <c r="E31" s="37"/>
      <c r="F31" s="37"/>
      <c r="G31" s="37"/>
      <c r="H31" s="37"/>
      <c r="I31" s="40" t="s">
        <v>872</v>
      </c>
      <c r="J31" s="37"/>
      <c r="K31" s="37"/>
      <c r="L31" s="37"/>
      <c r="M31" s="37"/>
      <c r="N31" s="37"/>
      <c r="O31" s="37"/>
      <c r="P31" s="37"/>
      <c r="Q31" s="37"/>
      <c r="R31" s="37"/>
      <c r="S31" s="37"/>
      <c r="T31" s="37"/>
      <c r="U31" s="37"/>
      <c r="V31" s="37"/>
      <c r="W31" s="37"/>
      <c r="X31" s="37"/>
      <c r="Y31" s="37"/>
      <c r="Z31" s="37"/>
    </row>
    <row r="32" ht="10.5" customHeight="1" spans="1:26">
      <c r="A32" s="37"/>
      <c r="B32" s="37"/>
      <c r="C32" s="37"/>
      <c r="D32" s="37"/>
      <c r="E32" s="37"/>
      <c r="F32" s="37"/>
      <c r="G32" s="37"/>
      <c r="H32" s="37"/>
      <c r="I32" s="40" t="s">
        <v>2809</v>
      </c>
      <c r="J32" s="37"/>
      <c r="K32" s="37"/>
      <c r="L32" s="37"/>
      <c r="M32" s="37"/>
      <c r="N32" s="37"/>
      <c r="O32" s="37"/>
      <c r="P32" s="37"/>
      <c r="Q32" s="37"/>
      <c r="R32" s="37"/>
      <c r="S32" s="37"/>
      <c r="T32" s="37"/>
      <c r="U32" s="37"/>
      <c r="V32" s="37"/>
      <c r="W32" s="37"/>
      <c r="X32" s="37"/>
      <c r="Y32" s="37"/>
      <c r="Z32" s="37"/>
    </row>
    <row r="33" ht="10.5" customHeight="1" spans="1:26">
      <c r="A33" s="37"/>
      <c r="B33" s="37"/>
      <c r="C33" s="37"/>
      <c r="D33" s="37"/>
      <c r="E33" s="37"/>
      <c r="F33" s="37"/>
      <c r="G33" s="37"/>
      <c r="H33" s="37"/>
      <c r="I33" s="40" t="s">
        <v>2810</v>
      </c>
      <c r="J33" s="37"/>
      <c r="K33" s="37"/>
      <c r="L33" s="37"/>
      <c r="M33" s="37"/>
      <c r="N33" s="37"/>
      <c r="O33" s="37"/>
      <c r="P33" s="37"/>
      <c r="Q33" s="37"/>
      <c r="R33" s="37"/>
      <c r="S33" s="37"/>
      <c r="T33" s="37"/>
      <c r="U33" s="37"/>
      <c r="V33" s="37"/>
      <c r="W33" s="37"/>
      <c r="X33" s="37"/>
      <c r="Y33" s="37"/>
      <c r="Z33" s="37"/>
    </row>
    <row r="34" ht="10.5" customHeight="1" spans="1:26">
      <c r="A34" s="37"/>
      <c r="B34" s="37"/>
      <c r="C34" s="37"/>
      <c r="D34" s="37"/>
      <c r="E34" s="37"/>
      <c r="F34" s="37"/>
      <c r="G34" s="37"/>
      <c r="H34" s="37"/>
      <c r="I34" s="40" t="s">
        <v>2811</v>
      </c>
      <c r="J34" s="37"/>
      <c r="K34" s="37"/>
      <c r="L34" s="37"/>
      <c r="M34" s="37"/>
      <c r="N34" s="37"/>
      <c r="O34" s="37"/>
      <c r="P34" s="37"/>
      <c r="Q34" s="37"/>
      <c r="R34" s="37"/>
      <c r="S34" s="37"/>
      <c r="T34" s="37"/>
      <c r="U34" s="37"/>
      <c r="V34" s="37"/>
      <c r="W34" s="37"/>
      <c r="X34" s="37"/>
      <c r="Y34" s="37"/>
      <c r="Z34" s="37"/>
    </row>
    <row r="35" ht="10.5" customHeight="1" spans="1:26">
      <c r="A35" s="37"/>
      <c r="B35" s="37"/>
      <c r="C35" s="37"/>
      <c r="D35" s="37"/>
      <c r="E35" s="37"/>
      <c r="F35" s="37"/>
      <c r="G35" s="37"/>
      <c r="H35" s="37"/>
      <c r="I35" s="40" t="s">
        <v>2812</v>
      </c>
      <c r="J35" s="37"/>
      <c r="K35" s="37"/>
      <c r="L35" s="37"/>
      <c r="M35" s="37"/>
      <c r="N35" s="37"/>
      <c r="O35" s="37"/>
      <c r="P35" s="37"/>
      <c r="Q35" s="37"/>
      <c r="R35" s="37"/>
      <c r="S35" s="37"/>
      <c r="T35" s="37"/>
      <c r="U35" s="37"/>
      <c r="V35" s="37"/>
      <c r="W35" s="37"/>
      <c r="X35" s="37"/>
      <c r="Y35" s="37"/>
      <c r="Z35" s="37"/>
    </row>
    <row r="36" ht="10.5" customHeight="1" spans="1:26">
      <c r="A36" s="37"/>
      <c r="B36" s="37"/>
      <c r="C36" s="37"/>
      <c r="D36" s="37"/>
      <c r="E36" s="37"/>
      <c r="F36" s="37"/>
      <c r="G36" s="37"/>
      <c r="H36" s="37"/>
      <c r="I36" s="40"/>
      <c r="J36" s="37"/>
      <c r="K36" s="37"/>
      <c r="L36" s="37"/>
      <c r="M36" s="37"/>
      <c r="N36" s="37"/>
      <c r="O36" s="37"/>
      <c r="P36" s="37"/>
      <c r="Q36" s="37"/>
      <c r="R36" s="37"/>
      <c r="S36" s="37"/>
      <c r="T36" s="37"/>
      <c r="U36" s="37"/>
      <c r="V36" s="37"/>
      <c r="W36" s="37"/>
      <c r="X36" s="37"/>
      <c r="Y36" s="37"/>
      <c r="Z36" s="37"/>
    </row>
    <row r="37" ht="10.5" customHeight="1" spans="1:26">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ht="10.5" customHeight="1" spans="1:26">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ht="10.5" customHeight="1" spans="1:26">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ht="10.5" customHeight="1" spans="1:26">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ht="10.5" customHeight="1" spans="1:26">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ht="10.5" customHeight="1" spans="1:26">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ht="10.5" customHeight="1" spans="1:26">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ht="10.5" customHeight="1" spans="1:26">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ht="10.5" customHeight="1" spans="1:26">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ht="10.5" customHeight="1" spans="1:26">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ht="10.5" customHeight="1" spans="1:26">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ht="10.5" customHeight="1" spans="1:26">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ht="10.5" customHeight="1" spans="1:26">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ht="10.5" customHeight="1" spans="1:26">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ht="10.5" customHeight="1" spans="1:26">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ht="10.5" customHeight="1" spans="1:26">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ht="10.5" customHeight="1" spans="1:26">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ht="10.5" customHeight="1" spans="1:26">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ht="10.5" customHeight="1" spans="1:26">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ht="10.5" customHeight="1" spans="1:26">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ht="10.5" customHeight="1" spans="1:26">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ht="10.5" customHeight="1" spans="1:26">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ht="10.5" customHeight="1" spans="1:26">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ht="10.5" customHeight="1" spans="1:26">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ht="10.5" customHeight="1" spans="1:26">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ht="10.5" customHeight="1" spans="1:26">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ht="10.5" customHeight="1" spans="1:26">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ht="10.5" customHeight="1" spans="1:26">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ht="10.5" customHeight="1" spans="1:26">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ht="10.5" customHeight="1" spans="1:2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ht="10.5" customHeight="1" spans="1:26">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ht="10.5" customHeight="1" spans="1:26">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ht="10.5" customHeight="1" spans="1:26">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ht="10.5" customHeight="1" spans="1:26">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ht="10.5" customHeight="1" spans="1:26">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ht="10.5" customHeight="1" spans="1:26">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ht="10.5" customHeight="1" spans="1:26">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ht="10.5" customHeight="1" spans="1:26">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ht="10.5" customHeight="1" spans="1:26">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ht="10.5" customHeight="1" spans="1:2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ht="10.5" customHeight="1" spans="1:26">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ht="10.5" customHeight="1" spans="1:26">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ht="10.5" customHeight="1" spans="1:26">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ht="10.5" customHeight="1" spans="1:26">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ht="10.5" customHeight="1" spans="1:26">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ht="10.5" customHeight="1" spans="1:26">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ht="10.5" customHeight="1" spans="1:26">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ht="10.5" customHeight="1" spans="1:26">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ht="10.5" customHeight="1" spans="1:26">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ht="10.5" customHeight="1" spans="1:2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ht="10.5" customHeight="1" spans="1:26">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ht="10.5" customHeight="1" spans="1:26">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ht="10.5" customHeight="1" spans="1:26">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ht="10.5" customHeight="1" spans="1:26">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ht="10.5" customHeight="1" spans="1:26">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ht="10.5" customHeight="1" spans="1:26">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ht="10.5" customHeight="1" spans="1:26">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ht="10.5" customHeight="1" spans="1:26">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ht="10.5" customHeight="1" spans="1:26">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ht="10.5" customHeight="1" spans="1:2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ht="10.5" customHeight="1" spans="1:26">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ht="10.5" customHeight="1" spans="1:26">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ht="10.5" customHeight="1" spans="1:26">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ht="10.5" customHeight="1" spans="1:26">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ht="10.5" customHeight="1" spans="1:26">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ht="10.5" customHeight="1" spans="1:26">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ht="10.5" customHeight="1" spans="1:26">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ht="10.5" customHeight="1" spans="1:26">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ht="10.5" customHeight="1" spans="1:26">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ht="10.5" customHeight="1" spans="1:2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ht="10.5" customHeight="1" spans="1:26">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ht="10.5" customHeight="1" spans="1:26">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ht="10.5" customHeight="1" spans="1:26">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ht="10.5" customHeight="1" spans="1:26">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ht="10.5" customHeight="1" spans="1:26">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ht="10.5" customHeight="1" spans="1:26">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ht="10.5" customHeight="1" spans="1:26">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ht="10.5" customHeight="1" spans="1:26">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ht="10.5" customHeight="1" spans="1:26">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ht="10.5" customHeight="1" spans="1:2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ht="10.5" customHeight="1" spans="1:26">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ht="10.5" customHeight="1" spans="1:26">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ht="10.5" customHeight="1" spans="1:26">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ht="10.5" customHeight="1" spans="1:26">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ht="10.5" customHeight="1" spans="1:26">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ht="10.5" customHeight="1" spans="1:26">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ht="10.5" customHeight="1" spans="1:26">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ht="10.5" customHeight="1" spans="1:26">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ht="10.5" customHeight="1" spans="1:26">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ht="10.5" customHeight="1" spans="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ht="10.5" customHeight="1" spans="1:26">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ht="10.5" customHeight="1" spans="1:26">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ht="10.5" customHeight="1" spans="1:26">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ht="10.5" customHeight="1" spans="1:26">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ht="10.5" customHeight="1" spans="1:26">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ht="10.5" customHeight="1" spans="1:26">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ht="10.5" customHeight="1" spans="1:26">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ht="10.5" customHeight="1" spans="1:26">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ht="10.5" customHeight="1" spans="1:26">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ht="10.5" customHeight="1" spans="1:2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ht="10.5" customHeight="1" spans="1:26">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ht="10.5" customHeight="1" spans="1:26">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ht="10.5" customHeight="1" spans="1:26">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ht="10.5" customHeight="1" spans="1:26">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ht="10.5" customHeight="1" spans="1:26">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ht="10.5" customHeight="1" spans="1:26">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ht="10.5" customHeight="1" spans="1:26">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ht="10.5" customHeight="1" spans="1:26">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ht="10.5" customHeight="1" spans="1:26">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ht="10.5" customHeight="1" spans="1:2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ht="10.5" customHeight="1" spans="1:26">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ht="10.5" customHeight="1" spans="1:26">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ht="10.5" customHeight="1" spans="1:26">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ht="10.5" customHeight="1" spans="1:26">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ht="10.5" customHeight="1" spans="1:26">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ht="10.5" customHeight="1" spans="1:26">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ht="10.5" customHeight="1" spans="1:26">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ht="10.5" customHeight="1" spans="1:26">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ht="10.5" customHeight="1" spans="1:26">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ht="10.5" customHeight="1" spans="1:2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ht="10.5" customHeight="1" spans="1:26">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ht="10.5" customHeight="1" spans="1:26">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ht="10.5" customHeight="1" spans="1:26">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ht="10.5" customHeight="1" spans="1:26">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ht="10.5" customHeight="1" spans="1:26">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ht="10.5" customHeight="1" spans="1:26">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ht="10.5" customHeight="1" spans="1:26">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ht="10.5" customHeight="1" spans="1:26">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ht="10.5" customHeight="1" spans="1:26">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ht="10.5" customHeight="1" spans="1:2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ht="10.5" customHeight="1" spans="1:26">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ht="10.5" customHeight="1" spans="1:26">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ht="10.5" customHeight="1" spans="1:26">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ht="10.5" customHeight="1" spans="1:26">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ht="10.5" customHeight="1" spans="1:26">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ht="10.5" customHeight="1" spans="1:26">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ht="10.5" customHeight="1" spans="1:26">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ht="10.5" customHeight="1" spans="1:26">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ht="10.5" customHeight="1" spans="1:26">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ht="10.5" customHeight="1" spans="1:2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ht="10.5" customHeight="1" spans="1:26">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ht="10.5" customHeight="1" spans="1:26">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ht="10.5" customHeight="1" spans="1:26">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ht="10.5" customHeight="1" spans="1:26">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ht="10.5" customHeight="1" spans="1:26">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ht="10.5" customHeight="1" spans="1:26">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ht="10.5" customHeight="1" spans="1:26">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ht="10.5" customHeight="1" spans="1:26">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ht="10.5" customHeight="1" spans="1:26">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ht="10.5" customHeight="1" spans="1:2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ht="10.5" customHeight="1" spans="1:26">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ht="10.5" customHeight="1" spans="1:26">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ht="10.5" customHeight="1" spans="1:26">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ht="10.5" customHeight="1" spans="1:26">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ht="10.5" customHeight="1" spans="1:26">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ht="10.5" customHeight="1" spans="1:26">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ht="10.5" customHeight="1" spans="1:26">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ht="10.5" customHeight="1" spans="1:26">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ht="10.5" customHeight="1" spans="1:26">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ht="10.5" customHeight="1" spans="1:2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ht="10.5" customHeight="1" spans="1:26">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ht="10.5" customHeight="1" spans="1:26">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ht="10.5" customHeight="1" spans="1:26">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ht="10.5" customHeight="1" spans="1:26">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ht="10.5" customHeight="1" spans="1:26">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ht="10.5" customHeight="1" spans="1:26">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ht="10.5" customHeight="1" spans="1:26">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ht="10.5" customHeight="1" spans="1:26">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ht="10.5" customHeight="1" spans="1:26">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ht="10.5" customHeight="1" spans="1:2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ht="10.5" customHeight="1" spans="1:26">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ht="10.5" customHeight="1" spans="1:26">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ht="10.5" customHeight="1" spans="1:26">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ht="10.5" customHeight="1" spans="1:26">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ht="10.5" customHeight="1" spans="1:26">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ht="10.5" customHeight="1" spans="1:26">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ht="10.5" customHeight="1" spans="1:26">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ht="10.5" customHeight="1" spans="1:26">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ht="10.5" customHeight="1" spans="1:26">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ht="10.5" customHeight="1" spans="1:2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ht="10.5" customHeight="1" spans="1:26">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ht="10.5" customHeight="1" spans="1:26">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ht="10.5" customHeight="1" spans="1:26">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ht="10.5" customHeight="1" spans="1:26">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ht="10.5" customHeight="1" spans="1:26">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ht="10.5" customHeight="1" spans="1:26">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ht="10.5" customHeight="1" spans="1:26">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ht="10.5" customHeight="1" spans="1:26">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ht="10.5" customHeight="1" spans="1:26">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ht="10.5" customHeight="1" spans="1: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ht="10.5" customHeight="1" spans="1:26">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ht="10.5" customHeight="1" spans="1:26">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ht="10.5" customHeight="1" spans="1:26">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ht="10.5" customHeight="1" spans="1:26">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ht="10.5" customHeight="1" spans="1:26">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ht="10.5" customHeight="1" spans="1:26">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ht="10.5" customHeight="1" spans="1:26">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ht="10.5" customHeight="1" spans="1:26">
      <c r="A234" s="37"/>
      <c r="B234" s="37"/>
      <c r="C234" s="37"/>
      <c r="D234" s="37"/>
      <c r="E234" s="37"/>
      <c r="F234" s="37"/>
      <c r="G234" s="37"/>
      <c r="H234" s="37"/>
      <c r="I234" s="37"/>
      <c r="J234" s="37"/>
      <c r="K234" s="58"/>
      <c r="L234" s="37"/>
      <c r="M234" s="37"/>
      <c r="N234" s="37"/>
      <c r="O234" s="37"/>
      <c r="P234" s="37"/>
      <c r="Q234" s="37"/>
      <c r="R234" s="37"/>
      <c r="S234" s="37"/>
      <c r="T234" s="37"/>
      <c r="U234" s="37"/>
      <c r="V234" s="37"/>
      <c r="W234" s="37"/>
      <c r="X234" s="37"/>
      <c r="Y234" s="37"/>
      <c r="Z234" s="37"/>
    </row>
    <row r="235" ht="10.5" customHeight="1" spans="1:26">
      <c r="A235" s="37"/>
      <c r="B235" s="37"/>
      <c r="C235" s="37"/>
      <c r="D235" s="37"/>
      <c r="E235" s="37"/>
      <c r="F235" s="37"/>
      <c r="G235" s="37"/>
      <c r="H235" s="37"/>
      <c r="I235" s="37"/>
      <c r="J235" s="37"/>
      <c r="K235" s="58"/>
      <c r="L235" s="37"/>
      <c r="M235" s="37"/>
      <c r="N235" s="37"/>
      <c r="O235" s="37"/>
      <c r="P235" s="37"/>
      <c r="Q235" s="37"/>
      <c r="R235" s="37"/>
      <c r="S235" s="37"/>
      <c r="T235" s="37"/>
      <c r="U235" s="37"/>
      <c r="V235" s="37"/>
      <c r="W235" s="37"/>
      <c r="X235" s="37"/>
      <c r="Y235" s="37"/>
      <c r="Z235" s="37"/>
    </row>
    <row r="236" ht="10.5" customHeight="1" spans="1:26">
      <c r="A236" s="37"/>
      <c r="B236" s="37"/>
      <c r="C236" s="37"/>
      <c r="D236" s="37"/>
      <c r="E236" s="37"/>
      <c r="F236" s="37"/>
      <c r="G236" s="37"/>
      <c r="H236" s="37"/>
      <c r="I236" s="37"/>
      <c r="J236" s="37"/>
      <c r="K236" s="58"/>
      <c r="L236" s="37"/>
      <c r="M236" s="37"/>
      <c r="N236" s="37"/>
      <c r="O236" s="37"/>
      <c r="P236" s="37"/>
      <c r="Q236" s="37"/>
      <c r="R236" s="37"/>
      <c r="S236" s="37"/>
      <c r="T236" s="37"/>
      <c r="U236" s="37"/>
      <c r="V236" s="37"/>
      <c r="W236" s="37"/>
      <c r="X236" s="37"/>
      <c r="Y236" s="37"/>
      <c r="Z236" s="37"/>
    </row>
    <row r="237" ht="12.75" spans="1:26">
      <c r="A237" s="37"/>
      <c r="B237" s="37"/>
      <c r="C237" s="58"/>
      <c r="D237" s="37"/>
      <c r="E237" s="37"/>
      <c r="F237" s="37"/>
      <c r="G237" s="37"/>
      <c r="H237" s="58"/>
      <c r="I237" s="58"/>
      <c r="J237" s="58"/>
      <c r="K237" s="58"/>
      <c r="L237" s="58"/>
      <c r="M237" s="58"/>
      <c r="N237" s="58"/>
      <c r="O237" s="58"/>
      <c r="P237" s="58"/>
      <c r="Q237" s="58"/>
      <c r="R237" s="58"/>
      <c r="S237" s="58"/>
      <c r="T237" s="58"/>
      <c r="U237" s="58"/>
      <c r="V237" s="58"/>
      <c r="W237" s="58"/>
      <c r="X237" s="58"/>
      <c r="Y237" s="58"/>
      <c r="Z237" s="58"/>
    </row>
    <row r="238" ht="12.75" spans="1:26">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ht="12.75" spans="1:26">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ht="12.75" spans="1:26">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ht="12.75" spans="1:26">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ht="12.75" spans="1:26">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ht="12.75" spans="1:26">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ht="12.75" spans="1:26">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ht="12.75" spans="1:26">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ht="12.75" spans="1:26">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ht="12.75" spans="1:26">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ht="12.75" spans="1:26">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ht="12.75" spans="1:26">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ht="12.75" spans="1:26">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ht="12.75" spans="1:26">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ht="12.75" spans="1:26">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ht="12.75" spans="1:26">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ht="12.75" spans="1:26">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ht="12.75" spans="1:26">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ht="12.75" spans="1:26">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ht="12.75" spans="1:26">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ht="12.75" spans="1:26">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ht="12.75" spans="1:26">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ht="12.75" spans="1:26">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ht="12.75" spans="1:26">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ht="12.75" spans="1:26">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ht="12.75" spans="1:26">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ht="12.75" spans="1:26">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ht="12.75" spans="1:26">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ht="12.75" spans="1:26">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ht="12.75" spans="1:26">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ht="12.75" spans="1:26">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ht="12.75" spans="1:26">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ht="12.75" spans="1:26">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ht="12.75" spans="1:26">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ht="12.75" spans="1:26">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ht="12.75" spans="1:26">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ht="12.75" spans="1:26">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ht="12.75" spans="1:26">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ht="12.75" spans="1:26">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ht="12.75" spans="1:26">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ht="12.75" spans="1:26">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ht="12.75" spans="1:26">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ht="12.75" spans="1:26">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ht="12.75" spans="1:26">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ht="12.75" spans="1:26">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ht="12.75" spans="1:26">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ht="12.75" spans="1:26">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ht="12.75" spans="1:26">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ht="12.75" spans="1:26">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ht="12.75" spans="1:26">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ht="12.75" spans="1:26">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ht="12.75" spans="1:26">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ht="12.75" spans="1:26">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ht="12.75" spans="1:26">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ht="12.75" spans="1:26">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ht="12.75" spans="1:26">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ht="12.75" spans="1:26">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ht="12.75" spans="1:26">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ht="12.75" spans="1:26">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ht="12.75" spans="1:26">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ht="12.75" spans="1:26">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ht="12.75" spans="1:26">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ht="12.75" spans="1:26">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ht="12.75" spans="1:26">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ht="12.75" spans="1:26">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ht="12.75" spans="1:26">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ht="12.75" spans="1:26">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ht="12.75" spans="1:26">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ht="12.75" spans="1:26">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ht="12.75" spans="1:26">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ht="12.75" spans="1:26">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ht="12.75" spans="1:26">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ht="12.75" spans="1:26">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ht="12.75" spans="1:26">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ht="12.75" spans="1:26">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ht="12.75" spans="1:26">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ht="12.75" spans="1:26">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ht="12.75" spans="1:26">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ht="12.75" spans="1:26">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ht="12.75" spans="1:26">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ht="12.75" spans="1:26">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ht="12.75" spans="1:26">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ht="12.75" spans="1:26">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ht="12.75" spans="1:26">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ht="12.75" spans="1:26">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ht="12.75" spans="1:26">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ht="12.75" spans="1:26">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ht="12.75" spans="1:26">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ht="12.75" spans="1:26">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ht="12.75" spans="1:26">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ht="12.75" spans="1:26">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ht="12.75" spans="1:26">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ht="12.75" spans="1:26">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ht="12.75" spans="1:26">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ht="12.75" spans="1:26">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ht="12.75" spans="1:26">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ht="12.75" spans="1:26">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ht="12.75" spans="1:26">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ht="12.75" spans="1:26">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ht="12.75" spans="1:26">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ht="12.75" spans="1:26">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ht="12.75" spans="1:26">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ht="12.75" spans="1:26">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ht="12.75" spans="1:26">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ht="12.75" spans="1:26">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ht="12.75" spans="1:26">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ht="12.75" spans="1:26">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ht="12.75" spans="1:26">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ht="12.75" spans="1:26">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ht="12.75" spans="1:26">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ht="12.75" spans="1:26">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ht="12.75" spans="1:26">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ht="12.75" spans="1:26">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ht="12.75" spans="1:26">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ht="12.75" spans="1:26">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ht="12.75" spans="1:26">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ht="12.75" spans="1:26">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ht="12.75" spans="1:26">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ht="12.75" spans="1:26">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ht="12.75" spans="1:26">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ht="12.75" spans="1:26">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ht="12.75" spans="1:26">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ht="12.75" spans="1:26">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ht="12.75" spans="1:26">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ht="12.75" spans="1:26">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ht="12.75" spans="1:26">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ht="12.75" spans="1:26">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ht="12.75" spans="1:26">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ht="12.75" spans="1:26">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ht="12.75" spans="1:26">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ht="12.75" spans="1:26">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ht="12.75" spans="1:26">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ht="12.75" spans="1:26">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ht="12.75" spans="1:26">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ht="12.75" spans="1:26">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ht="12.75" spans="1:26">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ht="12.75" spans="1:26">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ht="12.75" spans="1:26">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ht="12.75" spans="1:26">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ht="12.75" spans="1:26">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ht="12.75" spans="1:26">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ht="12.75" spans="1:26">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ht="12.75" spans="1:26">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ht="12.75" spans="1:26">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ht="12.75" spans="1:26">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ht="12.75" spans="1:26">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ht="12.75" spans="1:26">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ht="12.75" spans="1:26">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ht="12.75" spans="1:26">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ht="12.75" spans="1:26">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ht="12.75" spans="1:26">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ht="12.75" spans="1:26">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ht="12.75" spans="1:26">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ht="12.75" spans="1:26">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ht="12.75" spans="1:26">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ht="12.75" spans="1:26">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ht="12.75" spans="1:26">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ht="12.75" spans="1:26">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ht="12.75" spans="1:26">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ht="12.75" spans="1:26">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ht="12.75" spans="1:26">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ht="12.75" spans="1:26">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ht="12.75" spans="1:26">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ht="12.75" spans="1:26">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ht="12.75" spans="1:26">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ht="12.75" spans="1:26">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ht="12.75" spans="1:26">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ht="12.75" spans="1:26">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ht="12.75" spans="1:26">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ht="12.75" spans="1:26">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ht="12.75" spans="1:26">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ht="12.75" spans="1:26">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ht="12.75" spans="1:26">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ht="12.75" spans="1:26">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ht="12.75" spans="1:26">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ht="12.75" spans="1:26">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ht="12.75" spans="1:26">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ht="12.75" spans="1:26">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ht="12.75" spans="1:26">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ht="12.75" spans="1:26">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ht="12.75" spans="1:26">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ht="12.75" spans="1:26">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ht="12.75" spans="1:26">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ht="12.75" spans="1:26">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ht="12.75" spans="1:26">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ht="12.75" spans="1:26">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ht="12.75" spans="1:26">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ht="12.75" spans="1:26">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ht="12.75" spans="1:26">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ht="12.75" spans="1:26">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ht="12.75" spans="1:26">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ht="12.75" spans="1:26">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ht="12.75" spans="1:26">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ht="12.75" spans="1:26">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ht="12.75" spans="1:26">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ht="12.75" spans="1:26">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ht="12.75" spans="1:26">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ht="12.75" spans="1:26">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ht="12.75" spans="1:26">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ht="12.75" spans="1:26">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ht="12.75" spans="1:26">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ht="12.75" spans="1:26">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ht="12.75" spans="1:26">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ht="12.75" spans="1:26">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ht="12.75" spans="1:26">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ht="12.75" spans="1:26">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ht="12.75" spans="1:26">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ht="12.75" spans="1:26">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ht="12.75" spans="1:26">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ht="12.75" spans="1:26">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ht="12.75" spans="1:26">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ht="12.75" spans="1:26">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ht="12.75" spans="1:26">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ht="12.75" spans="1:26">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ht="12.75" spans="1:26">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ht="12.75" spans="1:26">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ht="12.75" spans="1:26">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ht="12.75" spans="1:26">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ht="12.75" spans="1:26">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ht="12.75" spans="1:26">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ht="12.75" spans="1:26">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ht="12.75" spans="1:26">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ht="12.75" spans="1:26">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ht="12.75" spans="1:26">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ht="12.75" spans="1:26">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ht="12.75" spans="1:26">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ht="12.75" spans="1:26">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ht="12.75" spans="1:26">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ht="12.75" spans="1:26">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ht="12.75" spans="1:26">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ht="12.75" spans="1:26">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ht="12.75" spans="1:26">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ht="12.75" spans="1:26">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ht="12.75" spans="1:26">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ht="12.75" spans="1:26">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ht="12.75" spans="1:26">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ht="12.75" spans="1:26">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ht="12.75" spans="1:26">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ht="12.75" spans="1:26">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ht="12.75" spans="1:26">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ht="12.75" spans="1:26">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ht="12.75" spans="1:26">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ht="12.75" spans="1:26">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ht="12.75" spans="1:26">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ht="12.75" spans="1:26">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ht="12.75" spans="1:26">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ht="12.75" spans="1:26">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ht="12.75" spans="1:26">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ht="12.75" spans="1:26">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ht="12.75" spans="1:26">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ht="12.75" spans="1:26">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ht="12.75" spans="1:26">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ht="12.75" spans="1:26">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ht="12.75" spans="1:26">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ht="12.75" spans="1:26">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ht="12.75" spans="1:26">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ht="12.75" spans="1:26">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ht="12.75" spans="1:26">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ht="12.75" spans="1:26">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ht="12.75" spans="1:26">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ht="12.75" spans="1:26">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ht="12.75" spans="1:26">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ht="12.75" spans="1:26">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ht="12.75" spans="1:26">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ht="12.75" spans="1:26">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ht="12.75" spans="1:26">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ht="12.75" spans="1:26">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ht="12.75" spans="1:26">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ht="12.75" spans="1:26">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ht="12.75" spans="1:26">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ht="12.75" spans="1:26">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ht="12.75" spans="1:26">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ht="12.75" spans="1:26">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ht="12.75" spans="1:26">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ht="12.75" spans="1:26">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ht="12.75" spans="1:26">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ht="12.75" spans="1:26">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ht="12.75" spans="1:26">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ht="12.75" spans="1:26">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ht="12.75" spans="1:26">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ht="12.75" spans="1:26">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ht="12.75" spans="1:26">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ht="12.75" spans="1:26">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ht="12.75" spans="1:26">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ht="12.75" spans="1:26">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ht="12.75" spans="1:26">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ht="12.75" spans="1:26">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ht="12.75" spans="1:26">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ht="12.75" spans="1:26">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ht="12.75" spans="1:26">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ht="12.75" spans="1:26">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ht="12.75" spans="1:26">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ht="12.75" spans="1:26">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ht="12.75" spans="1:26">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ht="12.75" spans="1:26">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ht="12.75" spans="1:26">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ht="12.75" spans="1:26">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ht="12.75" spans="1:26">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ht="12.75" spans="1:26">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ht="12.75" spans="1:26">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ht="12.75" spans="1:26">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ht="12.75" spans="1:26">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ht="12.75" spans="1:26">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ht="12.75" spans="1:26">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ht="12.75" spans="1:26">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ht="12.75" spans="1:26">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ht="12.75" spans="1:26">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ht="12.75" spans="1:26">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ht="12.75" spans="1:26">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ht="12.75" spans="1:26">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ht="12.75" spans="1:26">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ht="12.75" spans="1:26">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ht="12.75" spans="1:26">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ht="12.75" spans="1:26">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ht="12.75" spans="1:26">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ht="12.75" spans="1:26">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ht="12.75" spans="1:26">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ht="12.75" spans="1:26">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ht="12.75" spans="1:26">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ht="12.75" spans="1:26">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ht="12.75" spans="1:26">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ht="12.75" spans="1:26">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ht="12.75" spans="1:26">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ht="12.75" spans="1:26">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ht="12.75" spans="1:26">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ht="12.75" spans="1:26">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ht="12.75" spans="1:26">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ht="12.75" spans="1:26">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ht="12.75" spans="1:26">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ht="12.75" spans="1:26">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ht="12.75" spans="1:26">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ht="12.75" spans="1:26">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ht="12.75" spans="1:26">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ht="12.75" spans="1:26">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ht="12.75" spans="1:26">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ht="12.75" spans="1:26">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ht="12.75" spans="1:26">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ht="12.75" spans="1:26">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ht="12.75" spans="1:26">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ht="12.75" spans="1:26">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ht="12.75" spans="1:26">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ht="12.75" spans="1:26">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ht="12.75" spans="1:26">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ht="12.75" spans="1:26">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ht="12.75" spans="1:26">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ht="12.75" spans="1:26">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ht="12.75" spans="1:26">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ht="12.75" spans="1:26">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ht="12.75" spans="1:26">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ht="12.75" spans="1:26">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ht="12.75" spans="1:26">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ht="12.75" spans="1:26">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ht="12.75" spans="1:26">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ht="12.75" spans="1:26">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ht="12.75" spans="1:26">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ht="12.75" spans="1:26">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ht="12.75" spans="1:26">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ht="12.75" spans="1:26">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ht="12.75" spans="1:26">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ht="12.75" spans="1:26">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ht="12.75" spans="1:26">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ht="12.75" spans="1:26">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ht="12.75" spans="1:26">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ht="12.75" spans="1:26">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ht="12.75" spans="1:26">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ht="12.75" spans="1:26">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ht="12.75" spans="1:26">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ht="12.75" spans="1:26">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ht="12.75" spans="1:26">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ht="12.75" spans="1:26">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ht="12.75" spans="1:26">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ht="12.75" spans="1:26">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ht="12.75" spans="1:26">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ht="12.75" spans="1:26">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ht="12.75" spans="1:26">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ht="12.75" spans="1:26">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ht="12.75" spans="1:26">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ht="12.75" spans="1:26">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ht="12.75" spans="1:26">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ht="12.75" spans="1:26">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ht="12.75" spans="1:26">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ht="12.75" spans="1:26">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ht="12.75" spans="1:26">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ht="12.75" spans="1:26">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ht="12.75" spans="1:26">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ht="12.75" spans="1:26">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ht="12.75" spans="1:26">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ht="12.75" spans="1:26">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ht="12.75" spans="1:26">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ht="12.75" spans="1:26">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ht="12.75" spans="1:26">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ht="12.75" spans="1:26">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ht="12.75" spans="1:26">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ht="12.75" spans="1:26">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ht="12.75" spans="1:26">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ht="12.75" spans="1:26">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ht="12.75" spans="1:26">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ht="12.75" spans="1:26">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ht="12.75" spans="1:26">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ht="12.75" spans="1:26">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ht="12.75" spans="1:26">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ht="12.75" spans="1:26">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ht="12.75" spans="1:26">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ht="12.75" spans="1:26">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ht="12.75" spans="1:26">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ht="12.75" spans="1:26">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ht="12.75" spans="1:26">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ht="12.75" spans="1:26">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ht="12.75" spans="1:26">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ht="12.75" spans="1:26">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ht="12.75" spans="1:26">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ht="12.75" spans="1:26">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ht="12.75" spans="1:26">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ht="12.75" spans="1:26">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ht="12.75" spans="1:26">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ht="12.75" spans="1:26">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ht="12.75" spans="1:26">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ht="12.75" spans="1:26">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ht="12.75" spans="1:26">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ht="12.75" spans="1:26">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ht="12.75" spans="1:26">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ht="12.75" spans="1:26">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ht="12.75" spans="1:26">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ht="12.75" spans="1:26">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ht="12.75" spans="1:26">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ht="12.75" spans="1:26">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ht="12.75" spans="1:26">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ht="12.75" spans="1:26">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ht="12.75" spans="1:26">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ht="12.75" spans="1:26">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ht="12.75" spans="1:26">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ht="12.75" spans="1:26">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ht="12.75" spans="1:26">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ht="12.75" spans="1:26">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ht="12.75" spans="1:26">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ht="12.75" spans="1:26">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ht="12.75" spans="1:26">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ht="12.75" spans="1:26">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ht="12.75" spans="1:26">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ht="12.75" spans="1:26">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ht="12.75" spans="1:26">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ht="12.75" spans="1:26">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ht="12.75" spans="1:26">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ht="12.75" spans="1:26">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ht="12.75" spans="1:26">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ht="12.75" spans="1:26">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ht="12.75" spans="1:26">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ht="12.75" spans="1:26">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ht="12.75" spans="1:26">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ht="12.75" spans="1:26">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ht="12.75" spans="1:26">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ht="12.75" spans="1:26">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ht="12.75" spans="1:26">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ht="12.75" spans="1:26">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ht="12.75" spans="1:26">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ht="12.75" spans="1:26">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ht="12.75" spans="1:26">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ht="12.75" spans="1:26">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ht="12.75" spans="1:26">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ht="12.75" spans="1:26">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ht="12.75" spans="1:26">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ht="12.75" spans="1:26">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ht="12.75" spans="1:26">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ht="12.75" spans="1:26">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ht="12.75" spans="1:26">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ht="12.75" spans="1:26">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ht="12.75" spans="1:26">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ht="12.75" spans="1:26">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ht="12.75" spans="1:26">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ht="12.75" spans="1:26">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ht="12.75" spans="1:26">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ht="12.75" spans="1:26">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ht="12.75" spans="1:26">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ht="12.75" spans="1:26">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ht="12.75" spans="1:26">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ht="12.75" spans="1:26">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ht="12.75" spans="1:26">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ht="12.75" spans="1:26">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ht="12.75" spans="1:26">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ht="12.75" spans="1:26">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ht="12.75" spans="1:26">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ht="12.75" spans="1:26">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ht="12.75" spans="1:26">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ht="12.75" spans="1:26">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ht="12.75" spans="1:26">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ht="12.75" spans="1:26">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ht="12.75" spans="1:26">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ht="12.75" spans="1:26">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ht="12.75" spans="1:26">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ht="12.75" spans="1:26">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ht="12.75" spans="1:26">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ht="12.75" spans="1:26">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ht="12.75" spans="1:26">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ht="12.75" spans="1:26">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ht="12.75" spans="1:26">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ht="12.75" spans="1:26">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ht="12.75" spans="1:26">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ht="12.75" spans="1:26">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ht="12.75" spans="1:26">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ht="12.75" spans="1:26">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ht="12.75" spans="1:26">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ht="12.75" spans="1:26">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ht="12.75" spans="1:26">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ht="12.75" spans="1:26">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ht="12.75" spans="1:26">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ht="12.75" spans="1:26">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ht="12.75" spans="1:26">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ht="12.75" spans="1:26">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ht="12.75" spans="1:26">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ht="12.75" spans="1:26">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ht="12.75" spans="1:26">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ht="12.75" spans="1:26">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ht="12.75" spans="1:26">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ht="12.75" spans="1:26">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ht="12.75" spans="1:26">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ht="12.75" spans="1:26">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ht="12.75" spans="1:26">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ht="12.75" spans="1:26">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ht="12.75" spans="1:26">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ht="12.75" spans="1:26">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ht="12.75" spans="1:26">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ht="12.75" spans="1:26">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ht="12.75" spans="1:26">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ht="12.75" spans="1:26">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ht="12.75" spans="1:26">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ht="12.75" spans="1:26">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ht="12.75" spans="1:26">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ht="12.75" spans="1:26">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ht="12.75" spans="1:26">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ht="12.75" spans="1:26">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ht="12.75" spans="1:26">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ht="12.75" spans="1:26">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ht="12.75" spans="1:26">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ht="12.75" spans="1:26">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ht="12.75" spans="1:26">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ht="12.75" spans="1:26">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ht="12.75" spans="1:26">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ht="12.75" spans="1:26">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ht="12.75" spans="1:26">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ht="12.75" spans="1:26">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ht="12.75" spans="1:26">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ht="12.75" spans="1:26">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ht="12.75" spans="1:26">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ht="12.75" spans="1:26">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ht="12.75" spans="1:26">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ht="12.75" spans="1:26">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ht="12.75" spans="1:26">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ht="12.75" spans="1:26">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ht="12.75" spans="1:26">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ht="12.75" spans="1:26">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ht="12.75" spans="1:26">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ht="12.75" spans="1:26">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ht="12.75" spans="1:26">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ht="12.75" spans="1:26">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ht="12.75" spans="1:26">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ht="12.75" spans="1:26">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ht="12.75" spans="1:26">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ht="12.75" spans="1:26">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ht="12.75" spans="1:26">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ht="12.75" spans="1:26">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ht="12.75" spans="1:26">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ht="12.75" spans="1:26">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ht="12.75" spans="1:26">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ht="12.75" spans="1:26">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ht="12.75" spans="1:26">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ht="12.75" spans="1:26">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ht="12.75" spans="1:26">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ht="12.75" spans="1:26">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ht="12.75" spans="1:26">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ht="12.75" spans="1:26">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ht="12.75" spans="1:26">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ht="12.75" spans="1:26">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ht="12.75" spans="1:26">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ht="12.75" spans="1:26">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ht="12.75" spans="1:26">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ht="12.75" spans="1:26">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ht="12.75" spans="1:26">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ht="12.75" spans="1:26">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ht="12.75" spans="1:26">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ht="12.75" spans="1:26">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ht="12.75" spans="1:26">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ht="12.75" spans="1:26">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ht="12.75" spans="1:26">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ht="12.75" spans="1:26">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ht="12.75" spans="1:26">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ht="12.75" spans="1:26">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ht="12.75" spans="1:26">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ht="12.75" spans="1:26">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ht="12.75" spans="1:26">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ht="12.75" spans="1:26">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ht="12.75" spans="1:26">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ht="12.75" spans="1:26">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ht="12.75" spans="1:26">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ht="12.75" spans="1:26">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ht="12.75" spans="1:26">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ht="12.75" spans="1:26">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ht="12.75" spans="1:26">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ht="12.75" spans="1:26">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ht="12.75" spans="1:26">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ht="12.75" spans="1:26">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ht="12.75" spans="1:26">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ht="12.75" spans="1:26">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ht="12.75" spans="1:26">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ht="12.75" spans="1:26">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ht="12.75" spans="1:26">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ht="12.75" spans="1:26">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ht="12.75" spans="1:26">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ht="12.75" spans="1:26">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ht="12.75" spans="1:26">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ht="12.75" spans="1:26">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ht="12.75" spans="1:26">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ht="12.75" spans="1:26">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ht="12.75" spans="1:26">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ht="12.75" spans="1:26">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ht="12.75" spans="1:26">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ht="12.75" spans="1:26">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ht="12.75" spans="1:26">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ht="12.75" spans="1:26">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ht="12.75" spans="1:26">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ht="12.75" spans="1:26">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ht="12.75" spans="1:26">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ht="12.75" spans="1:26">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ht="12.75" spans="1:26">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ht="12.75" spans="1:26">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ht="12.75" spans="1:26">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ht="12.75" spans="1:26">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ht="12.75" spans="1:26">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ht="12.75" spans="1:26">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ht="12.75" spans="1:26">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ht="12.75" spans="1:26">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ht="12.75" spans="1:26">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ht="12.75" spans="1:26">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ht="12.75" spans="1:26">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ht="12.75" spans="1:26">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ht="12.75" spans="1:26">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ht="12.75" spans="1:26">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ht="12.75" spans="1:26">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ht="12.75" spans="1:26">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ht="12.75" spans="1:26">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ht="12.75" spans="1:26">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ht="12.75" spans="1:26">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ht="12.75" spans="1:26">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ht="12.75" spans="1:26">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ht="12.75" spans="1:26">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ht="12.75" spans="1:26">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ht="12.75" spans="1:26">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ht="12.75" spans="1:26">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ht="12.75" spans="1:26">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ht="12.75" spans="1:26">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ht="12.75" spans="1:26">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ht="12.75" spans="1:26">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ht="12.75" spans="1:26">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ht="12.75" spans="1:26">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ht="12.75" spans="1:26">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ht="12.75" spans="1:26">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ht="12.75" spans="1:26">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ht="12.75" spans="1:26">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ht="12.75" spans="1:26">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ht="12.75" spans="1:26">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ht="12.75" spans="1:26">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ht="12.75" spans="1:26">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ht="12.75" spans="1:26">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ht="12.75" spans="1:26">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ht="12.75" spans="1:26">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ht="12.75" spans="1:26">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ht="12.75" spans="1:26">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ht="12.75" spans="1:26">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ht="12.75" spans="1:26">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ht="12.75" spans="1:26">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ht="12.75" spans="1:26">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ht="12.75" spans="1:26">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ht="12.75" spans="1:26">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ht="12.75" spans="1:26">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ht="12.75" spans="1:26">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ht="12.75" spans="1:26">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ht="12.75" spans="1:26">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ht="12.75" spans="1:26">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ht="12.75" spans="1:26">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ht="12.75" spans="1:26">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ht="12.75" spans="1:26">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ht="12.75" spans="1:26">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ht="12.75" spans="1:26">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ht="12.75" spans="1:26">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ht="12.75" spans="1:26">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ht="12.75" spans="1:26">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ht="12.75" spans="1:26">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ht="12.75" spans="1:26">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ht="12.75" spans="1:26">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ht="12.75" spans="1:26">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ht="12.75" spans="1:26">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ht="12.75" spans="1:26">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ht="12.75" spans="1:26">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ht="12.75" spans="1:26">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ht="12.75" spans="1:26">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ht="12.75" spans="1:26">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ht="12.75" spans="1:26">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ht="12.75" spans="1:26">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ht="12.75" spans="1:26">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ht="12.75" spans="1:26">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ht="12.75" spans="1:26">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ht="12.75" spans="1:26">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ht="12.75" spans="1:26">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ht="12.75" spans="1:26">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ht="12.75" spans="1:26">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ht="12.75" spans="1:26">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ht="12.75" spans="1:26">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ht="12.75" spans="1:26">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ht="12.75" spans="1:26">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ht="12.75" spans="1:26">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ht="12.75" spans="1:26">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ht="12.75" spans="1:26">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ht="12.75" spans="1:26">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ht="12.75" spans="1:26">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ht="12.75" spans="1:26">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ht="12.75" spans="1:26">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ht="12.75" spans="1:26">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ht="12.75" spans="1:26">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ht="12.75" spans="1:26">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ht="12.75" spans="1:26">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ht="12.75" spans="1:26">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ht="12.75" spans="1:26">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ht="12.75" spans="1:26">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ht="12.75" spans="1:26">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ht="12.75" spans="1:26">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ht="12.75" spans="1:26">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ht="12.75" spans="1:26">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ht="12.75" spans="1:26">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ht="12.75" spans="1:26">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ht="12.75" spans="1:26">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ht="12.75" spans="1:26">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ht="12.75" spans="1:26">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ht="12.75" spans="1:26">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ht="12.75" spans="1:26">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ht="12.75" spans="1:26">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ht="12.75" spans="1:26">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ht="12.75" spans="1:26">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ht="12.75" spans="1:26">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ht="12.75" spans="1:26">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ht="12.75" spans="1:26">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ht="12.75" spans="1:26">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ht="12.75" spans="1:26">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ht="12.75" spans="1:26">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ht="12.75" spans="1:26">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ht="12.75" spans="1:26">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ht="12.75" spans="1:26">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ht="12.75" spans="1:26">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ht="12.75" spans="1:26">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ht="12.75" spans="1:26">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ht="12.75" spans="1:26">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ht="12.75" spans="1:26">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ht="12.75" spans="1:26">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ht="12.75" spans="1:26">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ht="12.75" spans="1:26">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ht="12.75" spans="1:26">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ht="12.75" spans="1:26">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ht="12.75" spans="1:26">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ht="12.75" spans="1:26">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ht="12.75" spans="1:26">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ht="12.75" spans="1:26">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ht="12.75" spans="1:26">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ht="12.75" spans="1:26">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ht="12.75" spans="1:26">
      <c r="A999" s="58"/>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ht="12.75" spans="1:26">
      <c r="A1000" s="58"/>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row r="1001" ht="12.75" spans="1:26">
      <c r="A1001" s="58"/>
      <c r="B1001" s="58"/>
      <c r="C1001" s="58"/>
      <c r="D1001" s="58"/>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row>
    <row r="1002" ht="12.75" spans="1:26">
      <c r="A1002" s="58"/>
      <c r="B1002" s="58"/>
      <c r="C1002" s="58"/>
      <c r="D1002" s="58"/>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row>
    <row r="1003" ht="12.75" spans="1:26">
      <c r="A1003" s="58"/>
      <c r="B1003" s="58"/>
      <c r="C1003" s="58"/>
      <c r="H1003" s="58"/>
      <c r="I1003" s="58"/>
      <c r="J1003" s="58"/>
      <c r="K1003" s="58"/>
      <c r="L1003" s="58"/>
      <c r="M1003" s="58"/>
      <c r="N1003" s="58"/>
      <c r="O1003" s="58"/>
      <c r="P1003" s="58"/>
      <c r="Q1003" s="58"/>
      <c r="R1003" s="58"/>
      <c r="S1003" s="58"/>
      <c r="T1003" s="58"/>
      <c r="U1003" s="58"/>
      <c r="V1003" s="58"/>
      <c r="W1003" s="58"/>
      <c r="X1003" s="58"/>
      <c r="Y1003" s="58"/>
      <c r="Z1003" s="58"/>
    </row>
    <row r="1004" ht="12.75" spans="1:26">
      <c r="A1004" s="58"/>
      <c r="B1004" s="58"/>
      <c r="C1004" s="58"/>
      <c r="H1004" s="58"/>
      <c r="I1004" s="58"/>
      <c r="J1004" s="58"/>
      <c r="L1004" s="58"/>
      <c r="M1004" s="58"/>
      <c r="N1004" s="58"/>
      <c r="O1004" s="58"/>
      <c r="P1004" s="58"/>
      <c r="Q1004" s="58"/>
      <c r="R1004" s="58"/>
      <c r="S1004" s="58"/>
      <c r="T1004" s="58"/>
      <c r="U1004" s="58"/>
      <c r="V1004" s="58"/>
      <c r="W1004" s="58"/>
      <c r="X1004" s="58"/>
      <c r="Y1004" s="58"/>
      <c r="Z1004" s="58"/>
    </row>
    <row r="1005" ht="12.75" spans="1:26">
      <c r="A1005" s="58"/>
      <c r="B1005" s="58"/>
      <c r="C1005" s="58"/>
      <c r="H1005" s="58"/>
      <c r="I1005" s="58"/>
      <c r="J1005" s="58"/>
      <c r="L1005" s="58"/>
      <c r="M1005" s="58"/>
      <c r="N1005" s="58"/>
      <c r="O1005" s="58"/>
      <c r="P1005" s="58"/>
      <c r="Q1005" s="58"/>
      <c r="R1005" s="58"/>
      <c r="S1005" s="58"/>
      <c r="T1005" s="58"/>
      <c r="U1005" s="58"/>
      <c r="V1005" s="58"/>
      <c r="W1005" s="58"/>
      <c r="X1005" s="58"/>
      <c r="Y1005" s="58"/>
      <c r="Z1005" s="58"/>
    </row>
    <row r="1006" ht="12.75" spans="1:26">
      <c r="A1006" s="58"/>
      <c r="B1006" s="58"/>
      <c r="C1006" s="58"/>
      <c r="H1006" s="58"/>
      <c r="I1006" s="58"/>
      <c r="J1006" s="58"/>
      <c r="L1006" s="58"/>
      <c r="M1006" s="58"/>
      <c r="N1006" s="58"/>
      <c r="O1006" s="58"/>
      <c r="P1006" s="58"/>
      <c r="Q1006" s="58"/>
      <c r="R1006" s="58"/>
      <c r="S1006" s="58"/>
      <c r="T1006" s="58"/>
      <c r="U1006" s="58"/>
      <c r="V1006" s="58"/>
      <c r="W1006" s="58"/>
      <c r="X1006" s="58"/>
      <c r="Y1006" s="58"/>
      <c r="Z1006" s="58"/>
    </row>
    <row r="1007" ht="12.75" spans="1:26">
      <c r="A1007" s="58"/>
      <c r="B1007" s="58"/>
      <c r="C1007" s="58"/>
      <c r="H1007" s="58"/>
      <c r="I1007" s="58"/>
      <c r="J1007" s="58"/>
      <c r="L1007" s="58"/>
      <c r="M1007" s="58"/>
      <c r="N1007" s="58"/>
      <c r="O1007" s="58"/>
      <c r="P1007" s="58"/>
      <c r="Q1007" s="58"/>
      <c r="R1007" s="58"/>
      <c r="S1007" s="58"/>
      <c r="T1007" s="58"/>
      <c r="U1007" s="58"/>
      <c r="V1007" s="58"/>
      <c r="W1007" s="58"/>
      <c r="X1007" s="58"/>
      <c r="Y1007" s="58"/>
      <c r="Z1007" s="58"/>
    </row>
  </sheetData>
  <dataValidations count="1">
    <dataValidation type="decimal" operator="greaterThan" allowBlank="1" showErrorMessage="1" sqref="E24:E30 E13:F23">
      <formula1>1</formula1>
    </dataValidation>
  </dataValidations>
  <pageMargins left="0.75" right="0.75" top="1" bottom="1" header="0" footer="0"/>
  <pageSetup paperSize="1" orientation="portrait"/>
  <headerFooter/>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9"/>
  <sheetViews>
    <sheetView workbookViewId="0">
      <selection activeCell="A1" sqref="A1"/>
    </sheetView>
  </sheetViews>
  <sheetFormatPr defaultColWidth="12.6285714285714" defaultRowHeight="15.75" customHeight="1"/>
  <cols>
    <col min="1" max="1" width="16.8761904761905" customWidth="1"/>
    <col min="2" max="2" width="10.5047619047619" customWidth="1"/>
    <col min="4" max="4" width="10.3809523809524" customWidth="1"/>
    <col min="6" max="6" width="20" customWidth="1"/>
  </cols>
  <sheetData>
    <row r="1" ht="12.75" spans="1:26">
      <c r="A1" s="10" t="s">
        <v>2813</v>
      </c>
      <c r="B1" s="11" t="s">
        <v>2814</v>
      </c>
      <c r="C1" s="10" t="s">
        <v>2815</v>
      </c>
      <c r="D1" s="12" t="s">
        <v>2816</v>
      </c>
      <c r="E1" s="11" t="s">
        <v>2817</v>
      </c>
      <c r="F1" s="12" t="s">
        <v>2818</v>
      </c>
      <c r="G1" s="12" t="s">
        <v>2819</v>
      </c>
      <c r="H1" s="11"/>
      <c r="I1" s="11"/>
      <c r="J1" s="11"/>
      <c r="K1" s="11"/>
      <c r="L1" s="11"/>
      <c r="M1" s="11"/>
      <c r="N1" s="11"/>
      <c r="O1" s="11"/>
      <c r="P1" s="11"/>
      <c r="Q1" s="11"/>
      <c r="R1" s="11"/>
      <c r="S1" s="11"/>
      <c r="T1" s="11"/>
      <c r="U1" s="11"/>
      <c r="V1" s="11"/>
      <c r="W1" s="11"/>
      <c r="X1" s="11"/>
      <c r="Y1" s="11"/>
      <c r="Z1" s="11"/>
    </row>
    <row r="2" ht="12.75" spans="1:26">
      <c r="A2" s="13">
        <v>15000</v>
      </c>
      <c r="B2" s="14">
        <v>1.3</v>
      </c>
      <c r="C2" s="13">
        <f t="shared" ref="C2:C15" si="0">A2*B2</f>
        <v>19500</v>
      </c>
      <c r="D2" s="15">
        <f t="shared" ref="D2:D15" si="1">(C2-A2)/C2</f>
        <v>0.230769230769231</v>
      </c>
      <c r="E2" s="13">
        <f t="shared" ref="E2:E15" si="2">C2-A2</f>
        <v>4500</v>
      </c>
      <c r="F2" s="15">
        <v>0.355</v>
      </c>
      <c r="G2" s="15">
        <f t="shared" ref="G2:G15" si="3">D2-F2</f>
        <v>-0.124230769230769</v>
      </c>
      <c r="H2" s="16"/>
      <c r="I2" s="16"/>
      <c r="J2" s="16"/>
      <c r="K2" s="16"/>
      <c r="L2" s="16"/>
      <c r="M2" s="16"/>
      <c r="N2" s="16"/>
      <c r="O2" s="16"/>
      <c r="P2" s="16"/>
      <c r="Q2" s="34"/>
      <c r="R2" s="16"/>
      <c r="S2" s="16"/>
      <c r="T2" s="16"/>
      <c r="U2" s="16"/>
      <c r="V2" s="16"/>
      <c r="W2" s="16"/>
      <c r="X2" s="16"/>
      <c r="Y2" s="16"/>
      <c r="Z2" s="16"/>
    </row>
    <row r="3" ht="16.5" customHeight="1" spans="1:26">
      <c r="A3" s="13">
        <v>15000</v>
      </c>
      <c r="B3" s="14">
        <v>1.4</v>
      </c>
      <c r="C3" s="13">
        <f t="shared" si="0"/>
        <v>21000</v>
      </c>
      <c r="D3" s="15">
        <f t="shared" si="1"/>
        <v>0.285714285714286</v>
      </c>
      <c r="E3" s="13">
        <f t="shared" si="2"/>
        <v>6000</v>
      </c>
      <c r="F3" s="15">
        <v>0.355</v>
      </c>
      <c r="G3" s="15">
        <f t="shared" si="3"/>
        <v>-0.0692857142857143</v>
      </c>
      <c r="H3" s="16"/>
      <c r="I3" s="16"/>
      <c r="J3" s="16"/>
      <c r="K3" s="16"/>
      <c r="L3" s="16"/>
      <c r="M3" s="16"/>
      <c r="N3" s="16"/>
      <c r="O3" s="16"/>
      <c r="P3" s="16"/>
      <c r="Q3" s="16"/>
      <c r="R3" s="16"/>
      <c r="S3" s="16"/>
      <c r="T3" s="16"/>
      <c r="U3" s="16"/>
      <c r="V3" s="16"/>
      <c r="W3" s="16"/>
      <c r="X3" s="16"/>
      <c r="Y3" s="16"/>
      <c r="Z3" s="16"/>
    </row>
    <row r="4" ht="12.75" spans="1:26">
      <c r="A4" s="17">
        <v>15000</v>
      </c>
      <c r="B4" s="18">
        <v>1.5</v>
      </c>
      <c r="C4" s="17">
        <f t="shared" si="0"/>
        <v>22500</v>
      </c>
      <c r="D4" s="19">
        <f t="shared" si="1"/>
        <v>0.333333333333333</v>
      </c>
      <c r="E4" s="17">
        <f t="shared" si="2"/>
        <v>7500</v>
      </c>
      <c r="F4" s="19">
        <v>0.355</v>
      </c>
      <c r="G4" s="19">
        <f t="shared" si="3"/>
        <v>-0.0216666666666667</v>
      </c>
      <c r="H4" s="16"/>
      <c r="I4" s="16"/>
      <c r="J4" s="16"/>
      <c r="K4" s="16"/>
      <c r="L4" s="16"/>
      <c r="M4" s="16"/>
      <c r="N4" s="16"/>
      <c r="O4" s="16"/>
      <c r="P4" s="16"/>
      <c r="Q4" s="16"/>
      <c r="R4" s="16"/>
      <c r="S4" s="16"/>
      <c r="T4" s="16"/>
      <c r="U4" s="16"/>
      <c r="V4" s="16"/>
      <c r="W4" s="16"/>
      <c r="X4" s="16"/>
      <c r="Y4" s="16"/>
      <c r="Z4" s="16"/>
    </row>
    <row r="5" ht="12.75" spans="1:26">
      <c r="A5" s="17">
        <v>15000</v>
      </c>
      <c r="B5" s="18">
        <v>1.6</v>
      </c>
      <c r="C5" s="17">
        <f t="shared" si="0"/>
        <v>24000</v>
      </c>
      <c r="D5" s="19">
        <f t="shared" si="1"/>
        <v>0.375</v>
      </c>
      <c r="E5" s="17">
        <f t="shared" si="2"/>
        <v>9000</v>
      </c>
      <c r="F5" s="19">
        <v>0.355</v>
      </c>
      <c r="G5" s="19">
        <f t="shared" si="3"/>
        <v>0.02</v>
      </c>
      <c r="H5" s="16"/>
      <c r="I5" s="16"/>
      <c r="J5" s="16"/>
      <c r="K5" s="16"/>
      <c r="L5" s="16"/>
      <c r="M5" s="16"/>
      <c r="N5" s="16"/>
      <c r="O5" s="16"/>
      <c r="P5" s="16"/>
      <c r="Q5" s="16"/>
      <c r="R5" s="16"/>
      <c r="S5" s="16"/>
      <c r="T5" s="16"/>
      <c r="U5" s="16"/>
      <c r="V5" s="16"/>
      <c r="W5" s="16"/>
      <c r="X5" s="16"/>
      <c r="Y5" s="16"/>
      <c r="Z5" s="16"/>
    </row>
    <row r="6" ht="12.75" spans="1:26">
      <c r="A6" s="17">
        <v>15000</v>
      </c>
      <c r="B6" s="18">
        <v>1.65</v>
      </c>
      <c r="C6" s="17">
        <f t="shared" si="0"/>
        <v>24750</v>
      </c>
      <c r="D6" s="19">
        <f t="shared" si="1"/>
        <v>0.393939393939394</v>
      </c>
      <c r="E6" s="17">
        <f t="shared" si="2"/>
        <v>9750</v>
      </c>
      <c r="F6" s="19">
        <v>0.355</v>
      </c>
      <c r="G6" s="19">
        <f t="shared" si="3"/>
        <v>0.0389393939393939</v>
      </c>
      <c r="H6" s="16"/>
      <c r="I6" s="16"/>
      <c r="J6" s="16"/>
      <c r="K6" s="16"/>
      <c r="L6" s="16"/>
      <c r="M6" s="16"/>
      <c r="N6" s="16"/>
      <c r="O6" s="16"/>
      <c r="P6" s="16"/>
      <c r="Q6" s="16"/>
      <c r="R6" s="16"/>
      <c r="S6" s="16"/>
      <c r="T6" s="16"/>
      <c r="U6" s="16"/>
      <c r="V6" s="16"/>
      <c r="W6" s="16"/>
      <c r="X6" s="16"/>
      <c r="Y6" s="16"/>
      <c r="Z6" s="16"/>
    </row>
    <row r="7" ht="12.75" spans="1:26">
      <c r="A7" s="20">
        <v>15000</v>
      </c>
      <c r="B7" s="21">
        <v>1.7</v>
      </c>
      <c r="C7" s="20">
        <f t="shared" si="0"/>
        <v>25500</v>
      </c>
      <c r="D7" s="22">
        <f t="shared" si="1"/>
        <v>0.411764705882353</v>
      </c>
      <c r="E7" s="20">
        <f t="shared" si="2"/>
        <v>10500</v>
      </c>
      <c r="F7" s="22">
        <v>0.355</v>
      </c>
      <c r="G7" s="22">
        <f t="shared" si="3"/>
        <v>0.0567647058823529</v>
      </c>
      <c r="H7" s="16"/>
      <c r="I7" s="16"/>
      <c r="J7" s="16"/>
      <c r="K7" s="16"/>
      <c r="L7" s="16"/>
      <c r="M7" s="16"/>
      <c r="N7" s="16"/>
      <c r="O7" s="16"/>
      <c r="P7" s="16"/>
      <c r="Q7" s="16"/>
      <c r="R7" s="16"/>
      <c r="S7" s="16"/>
      <c r="T7" s="16"/>
      <c r="U7" s="16"/>
      <c r="V7" s="16"/>
      <c r="W7" s="16"/>
      <c r="X7" s="16"/>
      <c r="Y7" s="16"/>
      <c r="Z7" s="16"/>
    </row>
    <row r="8" ht="12.75" spans="1:26">
      <c r="A8" s="20">
        <v>15000</v>
      </c>
      <c r="B8" s="21">
        <v>1.8</v>
      </c>
      <c r="C8" s="20">
        <f t="shared" si="0"/>
        <v>27000</v>
      </c>
      <c r="D8" s="22">
        <f t="shared" si="1"/>
        <v>0.444444444444444</v>
      </c>
      <c r="E8" s="20">
        <f t="shared" si="2"/>
        <v>12000</v>
      </c>
      <c r="F8" s="22">
        <v>0.355</v>
      </c>
      <c r="G8" s="22">
        <f t="shared" si="3"/>
        <v>0.0894444444444444</v>
      </c>
      <c r="H8" s="16"/>
      <c r="I8" s="16"/>
      <c r="J8" s="16"/>
      <c r="K8" s="16"/>
      <c r="L8" s="16"/>
      <c r="M8" s="16"/>
      <c r="N8" s="16"/>
      <c r="O8" s="16"/>
      <c r="P8" s="16"/>
      <c r="Q8" s="16"/>
      <c r="R8" s="16"/>
      <c r="S8" s="16"/>
      <c r="T8" s="16"/>
      <c r="U8" s="16"/>
      <c r="V8" s="16"/>
      <c r="W8" s="16"/>
      <c r="X8" s="16"/>
      <c r="Y8" s="16"/>
      <c r="Z8" s="16"/>
    </row>
    <row r="9" ht="12.75" spans="1:26">
      <c r="A9" s="20">
        <v>15000</v>
      </c>
      <c r="B9" s="21">
        <v>1.9</v>
      </c>
      <c r="C9" s="20">
        <f t="shared" si="0"/>
        <v>28500</v>
      </c>
      <c r="D9" s="22">
        <f t="shared" si="1"/>
        <v>0.473684210526316</v>
      </c>
      <c r="E9" s="20">
        <f t="shared" si="2"/>
        <v>13500</v>
      </c>
      <c r="F9" s="22">
        <v>0.355</v>
      </c>
      <c r="G9" s="22">
        <f t="shared" si="3"/>
        <v>0.118684210526316</v>
      </c>
      <c r="H9" s="16"/>
      <c r="I9" s="16"/>
      <c r="J9" s="16"/>
      <c r="K9" s="16"/>
      <c r="L9" s="16"/>
      <c r="M9" s="16"/>
      <c r="N9" s="16"/>
      <c r="O9" s="16"/>
      <c r="P9" s="16"/>
      <c r="Q9" s="16"/>
      <c r="R9" s="16"/>
      <c r="S9" s="16"/>
      <c r="T9" s="16"/>
      <c r="U9" s="16"/>
      <c r="V9" s="16"/>
      <c r="W9" s="16"/>
      <c r="X9" s="16"/>
      <c r="Y9" s="16"/>
      <c r="Z9" s="16"/>
    </row>
    <row r="10" ht="12.75" spans="1:26">
      <c r="A10" s="20">
        <v>15000</v>
      </c>
      <c r="B10" s="21">
        <v>2</v>
      </c>
      <c r="C10" s="20">
        <f t="shared" si="0"/>
        <v>30000</v>
      </c>
      <c r="D10" s="22">
        <f t="shared" si="1"/>
        <v>0.5</v>
      </c>
      <c r="E10" s="20">
        <f t="shared" si="2"/>
        <v>15000</v>
      </c>
      <c r="F10" s="22">
        <v>0.355</v>
      </c>
      <c r="G10" s="22">
        <f t="shared" si="3"/>
        <v>0.145</v>
      </c>
      <c r="H10" s="16"/>
      <c r="I10" s="16"/>
      <c r="J10" s="16"/>
      <c r="K10" s="16"/>
      <c r="L10" s="16"/>
      <c r="M10" s="16"/>
      <c r="N10" s="16"/>
      <c r="O10" s="16"/>
      <c r="P10" s="16"/>
      <c r="Q10" s="16"/>
      <c r="R10" s="16"/>
      <c r="S10" s="16"/>
      <c r="T10" s="16"/>
      <c r="U10" s="16"/>
      <c r="V10" s="16"/>
      <c r="W10" s="16"/>
      <c r="X10" s="16"/>
      <c r="Y10" s="16"/>
      <c r="Z10" s="16"/>
    </row>
    <row r="11" ht="12.75" spans="1:26">
      <c r="A11" s="20">
        <v>15000</v>
      </c>
      <c r="B11" s="21">
        <v>2.1</v>
      </c>
      <c r="C11" s="20">
        <f t="shared" si="0"/>
        <v>31500</v>
      </c>
      <c r="D11" s="22">
        <f t="shared" si="1"/>
        <v>0.523809523809524</v>
      </c>
      <c r="E11" s="20">
        <f t="shared" si="2"/>
        <v>16500</v>
      </c>
      <c r="F11" s="22">
        <v>0.355</v>
      </c>
      <c r="G11" s="22">
        <f t="shared" si="3"/>
        <v>0.168809523809524</v>
      </c>
      <c r="H11" s="16"/>
      <c r="I11" s="16"/>
      <c r="J11" s="16"/>
      <c r="K11" s="16"/>
      <c r="L11" s="16"/>
      <c r="M11" s="16"/>
      <c r="N11" s="16"/>
      <c r="O11" s="16"/>
      <c r="P11" s="16"/>
      <c r="Q11" s="16"/>
      <c r="R11" s="16"/>
      <c r="S11" s="16"/>
      <c r="T11" s="16"/>
      <c r="U11" s="16"/>
      <c r="V11" s="16"/>
      <c r="W11" s="16"/>
      <c r="X11" s="16"/>
      <c r="Y11" s="16"/>
      <c r="Z11" s="16"/>
    </row>
    <row r="12" ht="12.75" spans="1:26">
      <c r="A12" s="20">
        <v>15000</v>
      </c>
      <c r="B12" s="21">
        <v>2.2</v>
      </c>
      <c r="C12" s="20">
        <f t="shared" si="0"/>
        <v>33000</v>
      </c>
      <c r="D12" s="22">
        <f t="shared" si="1"/>
        <v>0.545454545454545</v>
      </c>
      <c r="E12" s="20">
        <f t="shared" si="2"/>
        <v>18000</v>
      </c>
      <c r="F12" s="22">
        <v>0.355</v>
      </c>
      <c r="G12" s="22">
        <f t="shared" si="3"/>
        <v>0.190454545454545</v>
      </c>
      <c r="H12" s="16"/>
      <c r="I12" s="16"/>
      <c r="J12" s="16"/>
      <c r="K12" s="16"/>
      <c r="L12" s="16"/>
      <c r="M12" s="16"/>
      <c r="N12" s="16"/>
      <c r="O12" s="16"/>
      <c r="P12" s="16"/>
      <c r="Q12" s="16"/>
      <c r="R12" s="16"/>
      <c r="S12" s="16"/>
      <c r="T12" s="16"/>
      <c r="U12" s="16"/>
      <c r="V12" s="16"/>
      <c r="W12" s="16"/>
      <c r="X12" s="16"/>
      <c r="Y12" s="16"/>
      <c r="Z12" s="16"/>
    </row>
    <row r="13" ht="12.75" spans="1:26">
      <c r="A13" s="20">
        <v>15000</v>
      </c>
      <c r="B13" s="21">
        <v>2.3</v>
      </c>
      <c r="C13" s="20">
        <f t="shared" si="0"/>
        <v>34500</v>
      </c>
      <c r="D13" s="22">
        <f t="shared" si="1"/>
        <v>0.565217391304348</v>
      </c>
      <c r="E13" s="20">
        <f t="shared" si="2"/>
        <v>19500</v>
      </c>
      <c r="F13" s="22">
        <v>0.355</v>
      </c>
      <c r="G13" s="22">
        <f t="shared" si="3"/>
        <v>0.210217391304348</v>
      </c>
      <c r="H13" s="16"/>
      <c r="I13" s="16"/>
      <c r="J13" s="16"/>
      <c r="K13" s="16"/>
      <c r="L13" s="16"/>
      <c r="M13" s="16"/>
      <c r="N13" s="16"/>
      <c r="O13" s="16"/>
      <c r="P13" s="16"/>
      <c r="Q13" s="16"/>
      <c r="R13" s="16"/>
      <c r="S13" s="16"/>
      <c r="T13" s="16"/>
      <c r="U13" s="16"/>
      <c r="V13" s="16"/>
      <c r="W13" s="16"/>
      <c r="X13" s="16"/>
      <c r="Y13" s="16"/>
      <c r="Z13" s="16"/>
    </row>
    <row r="14" ht="12.75" spans="1:26">
      <c r="A14" s="20">
        <v>15000</v>
      </c>
      <c r="B14" s="21">
        <v>2.4</v>
      </c>
      <c r="C14" s="20">
        <f t="shared" si="0"/>
        <v>36000</v>
      </c>
      <c r="D14" s="22">
        <f t="shared" si="1"/>
        <v>0.583333333333333</v>
      </c>
      <c r="E14" s="20">
        <f t="shared" si="2"/>
        <v>21000</v>
      </c>
      <c r="F14" s="22">
        <v>0.355</v>
      </c>
      <c r="G14" s="22">
        <f t="shared" si="3"/>
        <v>0.228333333333333</v>
      </c>
      <c r="H14" s="16"/>
      <c r="I14" s="16"/>
      <c r="J14" s="16"/>
      <c r="K14" s="16"/>
      <c r="L14" s="16"/>
      <c r="M14" s="16"/>
      <c r="N14" s="16"/>
      <c r="O14" s="16"/>
      <c r="P14" s="16"/>
      <c r="Q14" s="16"/>
      <c r="R14" s="16"/>
      <c r="S14" s="16"/>
      <c r="T14" s="16"/>
      <c r="U14" s="16"/>
      <c r="V14" s="16"/>
      <c r="W14" s="16"/>
      <c r="X14" s="16"/>
      <c r="Y14" s="16"/>
      <c r="Z14" s="16"/>
    </row>
    <row r="15" ht="12.75" spans="1:26">
      <c r="A15" s="20">
        <v>15000</v>
      </c>
      <c r="B15" s="21">
        <v>2.5</v>
      </c>
      <c r="C15" s="20">
        <f t="shared" si="0"/>
        <v>37500</v>
      </c>
      <c r="D15" s="22">
        <f t="shared" si="1"/>
        <v>0.6</v>
      </c>
      <c r="E15" s="20">
        <f t="shared" si="2"/>
        <v>22500</v>
      </c>
      <c r="F15" s="22">
        <v>0.355</v>
      </c>
      <c r="G15" s="22">
        <f t="shared" si="3"/>
        <v>0.245</v>
      </c>
      <c r="H15" s="16"/>
      <c r="I15" s="16"/>
      <c r="J15" s="16"/>
      <c r="K15" s="16"/>
      <c r="L15" s="16"/>
      <c r="M15" s="16"/>
      <c r="N15" s="16"/>
      <c r="O15" s="16"/>
      <c r="P15" s="16"/>
      <c r="Q15" s="16"/>
      <c r="R15" s="16"/>
      <c r="S15" s="16"/>
      <c r="T15" s="16"/>
      <c r="U15" s="16"/>
      <c r="V15" s="16"/>
      <c r="W15" s="16"/>
      <c r="X15" s="16"/>
      <c r="Y15" s="16"/>
      <c r="Z15" s="16"/>
    </row>
    <row r="16" ht="12.75" spans="1:26">
      <c r="A16" s="23"/>
      <c r="B16" s="16"/>
      <c r="C16" s="23"/>
      <c r="D16" s="24"/>
      <c r="E16" s="16"/>
      <c r="F16" s="24"/>
      <c r="G16" s="24"/>
      <c r="H16" s="16"/>
      <c r="I16" s="16"/>
      <c r="J16" s="16"/>
      <c r="K16" s="16"/>
      <c r="L16" s="16"/>
      <c r="M16" s="16"/>
      <c r="N16" s="16"/>
      <c r="O16" s="16"/>
      <c r="P16" s="16"/>
      <c r="Q16" s="16"/>
      <c r="R16" s="16"/>
      <c r="S16" s="16"/>
      <c r="T16" s="16"/>
      <c r="U16" s="16"/>
      <c r="V16" s="16"/>
      <c r="W16" s="16"/>
      <c r="X16" s="16"/>
      <c r="Y16" s="16"/>
      <c r="Z16" s="16"/>
    </row>
    <row r="17" ht="12.75" spans="1:26">
      <c r="A17" s="23"/>
      <c r="B17" s="16"/>
      <c r="C17" s="23"/>
      <c r="D17" s="24"/>
      <c r="E17" s="16"/>
      <c r="F17" s="24"/>
      <c r="G17" s="24"/>
      <c r="H17" s="16"/>
      <c r="I17" s="16"/>
      <c r="J17" s="16"/>
      <c r="K17" s="16"/>
      <c r="L17" s="16"/>
      <c r="M17" s="16"/>
      <c r="N17" s="16"/>
      <c r="O17" s="16"/>
      <c r="P17" s="16"/>
      <c r="Q17" s="16"/>
      <c r="R17" s="16"/>
      <c r="S17" s="16"/>
      <c r="T17" s="16"/>
      <c r="U17" s="16"/>
      <c r="V17" s="16"/>
      <c r="W17" s="16"/>
      <c r="X17" s="16"/>
      <c r="Y17" s="16"/>
      <c r="Z17" s="16"/>
    </row>
    <row r="18" spans="1:26">
      <c r="A18" s="25" t="s">
        <v>2820</v>
      </c>
      <c r="B18" s="26" t="s">
        <v>2821</v>
      </c>
      <c r="C18" s="27"/>
      <c r="D18" s="28"/>
      <c r="E18" s="29"/>
      <c r="F18" s="28"/>
      <c r="G18" s="28"/>
      <c r="H18" s="29"/>
      <c r="I18" s="16"/>
      <c r="J18" s="16"/>
      <c r="K18" s="16"/>
      <c r="L18" s="16"/>
      <c r="M18" s="16"/>
      <c r="N18" s="16"/>
      <c r="O18" s="16"/>
      <c r="P18" s="16"/>
      <c r="Q18" s="16"/>
      <c r="R18" s="16"/>
      <c r="S18" s="16"/>
      <c r="T18" s="16"/>
      <c r="U18" s="16"/>
      <c r="V18" s="16"/>
      <c r="W18" s="16"/>
      <c r="X18" s="16"/>
      <c r="Y18" s="16"/>
      <c r="Z18" s="16"/>
    </row>
    <row r="19" ht="12.75" spans="1:26">
      <c r="A19" s="30">
        <v>20000</v>
      </c>
      <c r="B19" s="31">
        <v>2</v>
      </c>
      <c r="C19" s="32">
        <f>A19*B19</f>
        <v>40000</v>
      </c>
      <c r="D19" s="12">
        <f>(C19-A19)/C19</f>
        <v>0.5</v>
      </c>
      <c r="E19" s="10">
        <f>C19-A19</f>
        <v>20000</v>
      </c>
      <c r="F19" s="12">
        <v>0.34</v>
      </c>
      <c r="G19" s="12">
        <f>D19-F19</f>
        <v>0.16</v>
      </c>
      <c r="H19" s="23"/>
      <c r="I19" s="16"/>
      <c r="J19" s="16"/>
      <c r="K19" s="16"/>
      <c r="L19" s="16"/>
      <c r="M19" s="16"/>
      <c r="N19" s="16"/>
      <c r="O19" s="16"/>
      <c r="P19" s="16"/>
      <c r="Q19" s="16"/>
      <c r="R19" s="16"/>
      <c r="S19" s="16"/>
      <c r="T19" s="16"/>
      <c r="U19" s="16"/>
      <c r="V19" s="16"/>
      <c r="W19" s="16"/>
      <c r="X19" s="16"/>
      <c r="Y19" s="16"/>
      <c r="Z19" s="16"/>
    </row>
    <row r="20" ht="12.75" spans="1:26">
      <c r="A20" s="23"/>
      <c r="B20" s="16"/>
      <c r="C20" s="33"/>
      <c r="D20" s="24"/>
      <c r="E20" s="16"/>
      <c r="F20" s="24"/>
      <c r="G20" s="24"/>
      <c r="H20" s="16"/>
      <c r="I20" s="16"/>
      <c r="J20" s="16"/>
      <c r="K20" s="16"/>
      <c r="L20" s="16"/>
      <c r="M20" s="16"/>
      <c r="N20" s="16"/>
      <c r="O20" s="16"/>
      <c r="P20" s="16"/>
      <c r="Q20" s="16"/>
      <c r="R20" s="16"/>
      <c r="S20" s="16"/>
      <c r="T20" s="16"/>
      <c r="U20" s="16"/>
      <c r="V20" s="16"/>
      <c r="W20" s="16"/>
      <c r="X20" s="16"/>
      <c r="Y20" s="16"/>
      <c r="Z20" s="16"/>
    </row>
    <row r="21" ht="12.75" spans="1:26">
      <c r="A21" s="23"/>
      <c r="B21" s="16"/>
      <c r="C21" s="23"/>
      <c r="D21" s="24"/>
      <c r="E21" s="16"/>
      <c r="F21" s="24"/>
      <c r="G21" s="24"/>
      <c r="H21" s="16"/>
      <c r="I21" s="16"/>
      <c r="J21" s="16"/>
      <c r="K21" s="16"/>
      <c r="L21" s="16"/>
      <c r="M21" s="16"/>
      <c r="N21" s="16"/>
      <c r="O21" s="16"/>
      <c r="P21" s="16"/>
      <c r="Q21" s="16"/>
      <c r="R21" s="16"/>
      <c r="S21" s="16"/>
      <c r="T21" s="16"/>
      <c r="U21" s="16"/>
      <c r="V21" s="16"/>
      <c r="W21" s="16"/>
      <c r="X21" s="16"/>
      <c r="Y21" s="16"/>
      <c r="Z21" s="16"/>
    </row>
    <row r="22" ht="12.75" spans="1:26">
      <c r="A22" s="23"/>
      <c r="B22" s="16"/>
      <c r="C22" s="23"/>
      <c r="D22" s="24"/>
      <c r="E22" s="16"/>
      <c r="F22" s="24"/>
      <c r="G22" s="24"/>
      <c r="H22" s="16"/>
      <c r="I22" s="16"/>
      <c r="J22" s="16"/>
      <c r="K22" s="16"/>
      <c r="L22" s="16"/>
      <c r="M22" s="16"/>
      <c r="N22" s="16"/>
      <c r="O22" s="16"/>
      <c r="P22" s="16"/>
      <c r="Q22" s="16"/>
      <c r="R22" s="16"/>
      <c r="S22" s="16"/>
      <c r="T22" s="16"/>
      <c r="U22" s="16"/>
      <c r="V22" s="16"/>
      <c r="W22" s="16"/>
      <c r="X22" s="16"/>
      <c r="Y22" s="16"/>
      <c r="Z22" s="16"/>
    </row>
    <row r="23" ht="12.75" spans="1:26">
      <c r="A23" s="23"/>
      <c r="B23" s="16"/>
      <c r="C23" s="23"/>
      <c r="D23" s="24"/>
      <c r="E23" s="16"/>
      <c r="F23" s="24"/>
      <c r="G23" s="24"/>
      <c r="H23" s="16"/>
      <c r="I23" s="16"/>
      <c r="J23" s="16"/>
      <c r="K23" s="16"/>
      <c r="L23" s="16"/>
      <c r="M23" s="16"/>
      <c r="N23" s="16"/>
      <c r="O23" s="16"/>
      <c r="P23" s="16"/>
      <c r="Q23" s="16"/>
      <c r="R23" s="16"/>
      <c r="S23" s="16"/>
      <c r="T23" s="16"/>
      <c r="U23" s="16"/>
      <c r="V23" s="16"/>
      <c r="W23" s="16"/>
      <c r="X23" s="16"/>
      <c r="Y23" s="16"/>
      <c r="Z23" s="16"/>
    </row>
    <row r="24" ht="12.75" spans="1:26">
      <c r="A24" s="23"/>
      <c r="B24" s="16"/>
      <c r="C24" s="23"/>
      <c r="D24" s="24"/>
      <c r="E24" s="16"/>
      <c r="F24" s="24"/>
      <c r="G24" s="24"/>
      <c r="H24" s="16"/>
      <c r="I24" s="16"/>
      <c r="J24" s="16"/>
      <c r="K24" s="16"/>
      <c r="L24" s="16"/>
      <c r="M24" s="16"/>
      <c r="N24" s="16"/>
      <c r="O24" s="16"/>
      <c r="P24" s="16"/>
      <c r="Q24" s="16"/>
      <c r="R24" s="16"/>
      <c r="S24" s="16"/>
      <c r="T24" s="16"/>
      <c r="U24" s="16"/>
      <c r="V24" s="16"/>
      <c r="W24" s="16"/>
      <c r="X24" s="16"/>
      <c r="Y24" s="16"/>
      <c r="Z24" s="16"/>
    </row>
    <row r="25" ht="12.75" spans="1:26">
      <c r="A25" s="23"/>
      <c r="B25" s="16"/>
      <c r="C25" s="23"/>
      <c r="D25" s="24"/>
      <c r="E25" s="16"/>
      <c r="F25" s="24"/>
      <c r="G25" s="24"/>
      <c r="H25" s="16"/>
      <c r="I25" s="16"/>
      <c r="J25" s="16"/>
      <c r="K25" s="16"/>
      <c r="L25" s="16"/>
      <c r="M25" s="16"/>
      <c r="N25" s="16"/>
      <c r="O25" s="16"/>
      <c r="P25" s="16"/>
      <c r="Q25" s="16"/>
      <c r="R25" s="16"/>
      <c r="S25" s="16"/>
      <c r="T25" s="16"/>
      <c r="U25" s="16"/>
      <c r="V25" s="16"/>
      <c r="W25" s="16"/>
      <c r="X25" s="16"/>
      <c r="Y25" s="16"/>
      <c r="Z25" s="16"/>
    </row>
    <row r="26" ht="12.75" spans="1:26">
      <c r="A26" s="23"/>
      <c r="B26" s="16"/>
      <c r="C26" s="23"/>
      <c r="D26" s="24"/>
      <c r="E26" s="16"/>
      <c r="F26" s="24"/>
      <c r="G26" s="24"/>
      <c r="H26" s="16"/>
      <c r="I26" s="16"/>
      <c r="J26" s="16"/>
      <c r="K26" s="16"/>
      <c r="L26" s="16"/>
      <c r="M26" s="16"/>
      <c r="N26" s="16"/>
      <c r="O26" s="16"/>
      <c r="P26" s="16"/>
      <c r="Q26" s="16"/>
      <c r="R26" s="16"/>
      <c r="S26" s="16"/>
      <c r="T26" s="16"/>
      <c r="U26" s="16"/>
      <c r="V26" s="16"/>
      <c r="W26" s="16"/>
      <c r="X26" s="16"/>
      <c r="Y26" s="16"/>
      <c r="Z26" s="16"/>
    </row>
    <row r="27" ht="12.75" spans="1:26">
      <c r="A27" s="23"/>
      <c r="B27" s="16"/>
      <c r="C27" s="23"/>
      <c r="D27" s="24"/>
      <c r="E27" s="16"/>
      <c r="F27" s="24"/>
      <c r="G27" s="24"/>
      <c r="H27" s="16"/>
      <c r="I27" s="16"/>
      <c r="J27" s="16"/>
      <c r="K27" s="16"/>
      <c r="L27" s="16"/>
      <c r="M27" s="16"/>
      <c r="N27" s="16"/>
      <c r="O27" s="16"/>
      <c r="P27" s="16"/>
      <c r="Q27" s="16"/>
      <c r="R27" s="16"/>
      <c r="S27" s="16"/>
      <c r="T27" s="16"/>
      <c r="U27" s="16"/>
      <c r="V27" s="16"/>
      <c r="W27" s="16"/>
      <c r="X27" s="16"/>
      <c r="Y27" s="16"/>
      <c r="Z27" s="16"/>
    </row>
    <row r="28" ht="12.75" spans="1:26">
      <c r="A28" s="23"/>
      <c r="B28" s="16"/>
      <c r="C28" s="23"/>
      <c r="D28" s="24"/>
      <c r="E28" s="16"/>
      <c r="F28" s="24"/>
      <c r="G28" s="24"/>
      <c r="H28" s="16"/>
      <c r="I28" s="16"/>
      <c r="J28" s="16"/>
      <c r="K28" s="16"/>
      <c r="L28" s="16"/>
      <c r="M28" s="16"/>
      <c r="N28" s="16"/>
      <c r="O28" s="16"/>
      <c r="P28" s="16"/>
      <c r="Q28" s="16"/>
      <c r="R28" s="16"/>
      <c r="S28" s="16"/>
      <c r="T28" s="16"/>
      <c r="U28" s="16"/>
      <c r="V28" s="16"/>
      <c r="W28" s="16"/>
      <c r="X28" s="16"/>
      <c r="Y28" s="16"/>
      <c r="Z28" s="16"/>
    </row>
    <row r="29" ht="12.75" spans="1:26">
      <c r="A29" s="23"/>
      <c r="B29" s="16"/>
      <c r="C29" s="23"/>
      <c r="D29" s="24"/>
      <c r="E29" s="16"/>
      <c r="F29" s="24"/>
      <c r="G29" s="24"/>
      <c r="H29" s="16"/>
      <c r="I29" s="16"/>
      <c r="J29" s="16"/>
      <c r="K29" s="16"/>
      <c r="L29" s="16"/>
      <c r="M29" s="16"/>
      <c r="N29" s="16"/>
      <c r="O29" s="16"/>
      <c r="P29" s="16"/>
      <c r="Q29" s="16"/>
      <c r="R29" s="16"/>
      <c r="S29" s="16"/>
      <c r="T29" s="16"/>
      <c r="U29" s="16"/>
      <c r="V29" s="16"/>
      <c r="W29" s="16"/>
      <c r="X29" s="16"/>
      <c r="Y29" s="16"/>
      <c r="Z29" s="16"/>
    </row>
    <row r="30" ht="12.75" spans="1:26">
      <c r="A30" s="23"/>
      <c r="B30" s="16"/>
      <c r="C30" s="23"/>
      <c r="D30" s="24"/>
      <c r="E30" s="16"/>
      <c r="F30" s="24"/>
      <c r="G30" s="24"/>
      <c r="H30" s="16"/>
      <c r="I30" s="16"/>
      <c r="J30" s="16"/>
      <c r="K30" s="16"/>
      <c r="L30" s="16"/>
      <c r="M30" s="16"/>
      <c r="N30" s="16"/>
      <c r="O30" s="16"/>
      <c r="P30" s="16"/>
      <c r="Q30" s="16"/>
      <c r="R30" s="16"/>
      <c r="S30" s="16"/>
      <c r="T30" s="16"/>
      <c r="U30" s="16"/>
      <c r="V30" s="16"/>
      <c r="W30" s="16"/>
      <c r="X30" s="16"/>
      <c r="Y30" s="16"/>
      <c r="Z30" s="16"/>
    </row>
    <row r="31" ht="12.75" spans="1:26">
      <c r="A31" s="23"/>
      <c r="B31" s="16"/>
      <c r="C31" s="23"/>
      <c r="D31" s="24"/>
      <c r="E31" s="16"/>
      <c r="F31" s="24"/>
      <c r="G31" s="24"/>
      <c r="H31" s="16"/>
      <c r="I31" s="16"/>
      <c r="J31" s="16"/>
      <c r="K31" s="16"/>
      <c r="L31" s="16"/>
      <c r="M31" s="16"/>
      <c r="N31" s="16"/>
      <c r="O31" s="16"/>
      <c r="P31" s="16"/>
      <c r="Q31" s="16"/>
      <c r="R31" s="16"/>
      <c r="S31" s="16"/>
      <c r="T31" s="16"/>
      <c r="U31" s="16"/>
      <c r="V31" s="16"/>
      <c r="W31" s="16"/>
      <c r="X31" s="16"/>
      <c r="Y31" s="16"/>
      <c r="Z31" s="16"/>
    </row>
    <row r="32" ht="12.75" spans="1:26">
      <c r="A32" s="23"/>
      <c r="B32" s="16"/>
      <c r="C32" s="23"/>
      <c r="D32" s="24"/>
      <c r="E32" s="16"/>
      <c r="F32" s="24"/>
      <c r="G32" s="24"/>
      <c r="H32" s="16"/>
      <c r="I32" s="16"/>
      <c r="J32" s="16"/>
      <c r="K32" s="16"/>
      <c r="L32" s="16"/>
      <c r="M32" s="16"/>
      <c r="N32" s="16"/>
      <c r="O32" s="16"/>
      <c r="P32" s="16"/>
      <c r="Q32" s="16"/>
      <c r="R32" s="16"/>
      <c r="S32" s="16"/>
      <c r="T32" s="16"/>
      <c r="U32" s="16"/>
      <c r="V32" s="16"/>
      <c r="W32" s="16"/>
      <c r="X32" s="16"/>
      <c r="Y32" s="16"/>
      <c r="Z32" s="16"/>
    </row>
    <row r="33" ht="12.75" spans="1:26">
      <c r="A33" s="23"/>
      <c r="B33" s="16"/>
      <c r="C33" s="23"/>
      <c r="D33" s="24"/>
      <c r="E33" s="16"/>
      <c r="F33" s="24"/>
      <c r="G33" s="24"/>
      <c r="H33" s="16"/>
      <c r="I33" s="16"/>
      <c r="J33" s="16"/>
      <c r="K33" s="16"/>
      <c r="L33" s="16"/>
      <c r="M33" s="16"/>
      <c r="N33" s="16"/>
      <c r="O33" s="16"/>
      <c r="P33" s="16"/>
      <c r="Q33" s="16"/>
      <c r="R33" s="16"/>
      <c r="S33" s="16"/>
      <c r="T33" s="16"/>
      <c r="U33" s="16"/>
      <c r="V33" s="16"/>
      <c r="W33" s="16"/>
      <c r="X33" s="16"/>
      <c r="Y33" s="16"/>
      <c r="Z33" s="16"/>
    </row>
    <row r="34" ht="12.75" spans="1:26">
      <c r="A34" s="23"/>
      <c r="B34" s="16"/>
      <c r="C34" s="23"/>
      <c r="D34" s="24"/>
      <c r="E34" s="16"/>
      <c r="F34" s="24"/>
      <c r="G34" s="24"/>
      <c r="H34" s="16"/>
      <c r="I34" s="16"/>
      <c r="J34" s="16"/>
      <c r="K34" s="16"/>
      <c r="L34" s="16"/>
      <c r="M34" s="16"/>
      <c r="N34" s="16"/>
      <c r="O34" s="16"/>
      <c r="P34" s="16"/>
      <c r="Q34" s="16"/>
      <c r="R34" s="16"/>
      <c r="S34" s="16"/>
      <c r="T34" s="16"/>
      <c r="U34" s="16"/>
      <c r="V34" s="16"/>
      <c r="W34" s="16"/>
      <c r="X34" s="16"/>
      <c r="Y34" s="16"/>
      <c r="Z34" s="16"/>
    </row>
    <row r="35" ht="12.75" spans="1:26">
      <c r="A35" s="23"/>
      <c r="B35" s="16"/>
      <c r="C35" s="23"/>
      <c r="D35" s="24"/>
      <c r="E35" s="16"/>
      <c r="F35" s="24"/>
      <c r="G35" s="24"/>
      <c r="H35" s="16"/>
      <c r="I35" s="16"/>
      <c r="J35" s="16"/>
      <c r="K35" s="16"/>
      <c r="L35" s="16"/>
      <c r="M35" s="16"/>
      <c r="N35" s="16"/>
      <c r="O35" s="16"/>
      <c r="P35" s="16"/>
      <c r="Q35" s="16"/>
      <c r="R35" s="16"/>
      <c r="S35" s="16"/>
      <c r="T35" s="16"/>
      <c r="U35" s="16"/>
      <c r="V35" s="16"/>
      <c r="W35" s="16"/>
      <c r="X35" s="16"/>
      <c r="Y35" s="16"/>
      <c r="Z35" s="16"/>
    </row>
    <row r="36" ht="12.75" spans="1:26">
      <c r="A36" s="23"/>
      <c r="B36" s="16"/>
      <c r="C36" s="23"/>
      <c r="D36" s="24"/>
      <c r="E36" s="16"/>
      <c r="F36" s="24"/>
      <c r="G36" s="24"/>
      <c r="H36" s="16"/>
      <c r="I36" s="16"/>
      <c r="J36" s="16"/>
      <c r="K36" s="16"/>
      <c r="L36" s="16"/>
      <c r="M36" s="16"/>
      <c r="N36" s="16"/>
      <c r="O36" s="16"/>
      <c r="P36" s="16"/>
      <c r="Q36" s="16"/>
      <c r="R36" s="16"/>
      <c r="S36" s="16"/>
      <c r="T36" s="16"/>
      <c r="U36" s="16"/>
      <c r="V36" s="16"/>
      <c r="W36" s="16"/>
      <c r="X36" s="16"/>
      <c r="Y36" s="16"/>
      <c r="Z36" s="16"/>
    </row>
    <row r="37" ht="12.75" spans="1:26">
      <c r="A37" s="23"/>
      <c r="B37" s="16"/>
      <c r="C37" s="23"/>
      <c r="D37" s="24"/>
      <c r="E37" s="16"/>
      <c r="F37" s="24"/>
      <c r="G37" s="24"/>
      <c r="H37" s="16"/>
      <c r="I37" s="16"/>
      <c r="J37" s="16"/>
      <c r="K37" s="16"/>
      <c r="L37" s="16"/>
      <c r="M37" s="16"/>
      <c r="N37" s="16"/>
      <c r="O37" s="16"/>
      <c r="P37" s="16"/>
      <c r="Q37" s="16"/>
      <c r="R37" s="16"/>
      <c r="S37" s="16"/>
      <c r="T37" s="16"/>
      <c r="U37" s="16"/>
      <c r="V37" s="16"/>
      <c r="W37" s="16"/>
      <c r="X37" s="16"/>
      <c r="Y37" s="16"/>
      <c r="Z37" s="16"/>
    </row>
    <row r="38" ht="12.75" spans="1:26">
      <c r="A38" s="23"/>
      <c r="B38" s="16"/>
      <c r="C38" s="23"/>
      <c r="D38" s="24"/>
      <c r="E38" s="16"/>
      <c r="F38" s="24"/>
      <c r="G38" s="24"/>
      <c r="H38" s="16"/>
      <c r="I38" s="16"/>
      <c r="J38" s="16"/>
      <c r="K38" s="16"/>
      <c r="L38" s="16"/>
      <c r="M38" s="16"/>
      <c r="N38" s="16"/>
      <c r="O38" s="16"/>
      <c r="P38" s="16"/>
      <c r="Q38" s="16"/>
      <c r="R38" s="16"/>
      <c r="S38" s="16"/>
      <c r="T38" s="16"/>
      <c r="U38" s="16"/>
      <c r="V38" s="16"/>
      <c r="W38" s="16"/>
      <c r="X38" s="16"/>
      <c r="Y38" s="16"/>
      <c r="Z38" s="16"/>
    </row>
    <row r="39" ht="12.75" spans="1:26">
      <c r="A39" s="23"/>
      <c r="B39" s="16"/>
      <c r="C39" s="23"/>
      <c r="D39" s="24"/>
      <c r="E39" s="16"/>
      <c r="F39" s="24"/>
      <c r="G39" s="24"/>
      <c r="H39" s="16"/>
      <c r="I39" s="16"/>
      <c r="J39" s="16"/>
      <c r="K39" s="16"/>
      <c r="L39" s="16"/>
      <c r="M39" s="16"/>
      <c r="N39" s="16"/>
      <c r="O39" s="16"/>
      <c r="P39" s="16"/>
      <c r="Q39" s="16"/>
      <c r="R39" s="16"/>
      <c r="S39" s="16"/>
      <c r="T39" s="16"/>
      <c r="U39" s="16"/>
      <c r="V39" s="16"/>
      <c r="W39" s="16"/>
      <c r="X39" s="16"/>
      <c r="Y39" s="16"/>
      <c r="Z39" s="16"/>
    </row>
    <row r="40" ht="12.75" spans="1:26">
      <c r="A40" s="23"/>
      <c r="B40" s="16"/>
      <c r="C40" s="23"/>
      <c r="D40" s="24"/>
      <c r="E40" s="16"/>
      <c r="F40" s="24"/>
      <c r="G40" s="24"/>
      <c r="H40" s="16"/>
      <c r="I40" s="16"/>
      <c r="J40" s="16"/>
      <c r="K40" s="16"/>
      <c r="L40" s="16"/>
      <c r="M40" s="16"/>
      <c r="N40" s="16"/>
      <c r="O40" s="16"/>
      <c r="P40" s="16"/>
      <c r="Q40" s="16"/>
      <c r="R40" s="16"/>
      <c r="S40" s="16"/>
      <c r="T40" s="16"/>
      <c r="U40" s="16"/>
      <c r="V40" s="16"/>
      <c r="W40" s="16"/>
      <c r="X40" s="16"/>
      <c r="Y40" s="16"/>
      <c r="Z40" s="16"/>
    </row>
    <row r="41" ht="12.75" spans="1:26">
      <c r="A41" s="23"/>
      <c r="B41" s="16"/>
      <c r="C41" s="23"/>
      <c r="D41" s="24"/>
      <c r="E41" s="16"/>
      <c r="F41" s="24"/>
      <c r="G41" s="24"/>
      <c r="H41" s="16"/>
      <c r="I41" s="16"/>
      <c r="J41" s="16"/>
      <c r="K41" s="16"/>
      <c r="L41" s="16"/>
      <c r="M41" s="16"/>
      <c r="N41" s="16"/>
      <c r="O41" s="16"/>
      <c r="P41" s="16"/>
      <c r="Q41" s="16"/>
      <c r="R41" s="16"/>
      <c r="S41" s="16"/>
      <c r="T41" s="16"/>
      <c r="U41" s="16"/>
      <c r="V41" s="16"/>
      <c r="W41" s="16"/>
      <c r="X41" s="16"/>
      <c r="Y41" s="16"/>
      <c r="Z41" s="16"/>
    </row>
    <row r="42" ht="12.75" spans="1:26">
      <c r="A42" s="23"/>
      <c r="B42" s="16"/>
      <c r="C42" s="23"/>
      <c r="D42" s="24"/>
      <c r="E42" s="16"/>
      <c r="F42" s="24"/>
      <c r="G42" s="24"/>
      <c r="H42" s="16"/>
      <c r="I42" s="16"/>
      <c r="J42" s="16"/>
      <c r="K42" s="16"/>
      <c r="L42" s="16"/>
      <c r="M42" s="16"/>
      <c r="N42" s="16"/>
      <c r="O42" s="16"/>
      <c r="P42" s="16"/>
      <c r="Q42" s="16"/>
      <c r="R42" s="16"/>
      <c r="S42" s="16"/>
      <c r="T42" s="16"/>
      <c r="U42" s="16"/>
      <c r="V42" s="16"/>
      <c r="W42" s="16"/>
      <c r="X42" s="16"/>
      <c r="Y42" s="16"/>
      <c r="Z42" s="16"/>
    </row>
    <row r="43" ht="12.75" spans="1:26">
      <c r="A43" s="23"/>
      <c r="B43" s="16"/>
      <c r="C43" s="23"/>
      <c r="D43" s="24"/>
      <c r="E43" s="16"/>
      <c r="F43" s="24"/>
      <c r="G43" s="24"/>
      <c r="H43" s="16"/>
      <c r="I43" s="16"/>
      <c r="J43" s="16"/>
      <c r="K43" s="16"/>
      <c r="L43" s="16"/>
      <c r="M43" s="16"/>
      <c r="N43" s="16"/>
      <c r="O43" s="16"/>
      <c r="P43" s="16"/>
      <c r="Q43" s="16"/>
      <c r="R43" s="16"/>
      <c r="S43" s="16"/>
      <c r="T43" s="16"/>
      <c r="U43" s="16"/>
      <c r="V43" s="16"/>
      <c r="W43" s="16"/>
      <c r="X43" s="16"/>
      <c r="Y43" s="16"/>
      <c r="Z43" s="16"/>
    </row>
    <row r="44" ht="12.75" spans="1:26">
      <c r="A44" s="23"/>
      <c r="B44" s="16"/>
      <c r="C44" s="23"/>
      <c r="D44" s="24"/>
      <c r="E44" s="16"/>
      <c r="F44" s="24"/>
      <c r="G44" s="24"/>
      <c r="H44" s="16"/>
      <c r="I44" s="16"/>
      <c r="J44" s="16"/>
      <c r="K44" s="16"/>
      <c r="L44" s="16"/>
      <c r="M44" s="16"/>
      <c r="N44" s="16"/>
      <c r="O44" s="16"/>
      <c r="P44" s="16"/>
      <c r="Q44" s="16"/>
      <c r="R44" s="16"/>
      <c r="S44" s="16"/>
      <c r="T44" s="16"/>
      <c r="U44" s="16"/>
      <c r="V44" s="16"/>
      <c r="W44" s="16"/>
      <c r="X44" s="16"/>
      <c r="Y44" s="16"/>
      <c r="Z44" s="16"/>
    </row>
    <row r="45" ht="12.75" spans="1:26">
      <c r="A45" s="23"/>
      <c r="B45" s="16"/>
      <c r="C45" s="23"/>
      <c r="D45" s="24"/>
      <c r="E45" s="16"/>
      <c r="F45" s="24"/>
      <c r="G45" s="24"/>
      <c r="H45" s="16"/>
      <c r="I45" s="16"/>
      <c r="J45" s="16"/>
      <c r="K45" s="16"/>
      <c r="L45" s="16"/>
      <c r="M45" s="16"/>
      <c r="N45" s="16"/>
      <c r="O45" s="16"/>
      <c r="P45" s="16"/>
      <c r="Q45" s="16"/>
      <c r="R45" s="16"/>
      <c r="S45" s="16"/>
      <c r="T45" s="16"/>
      <c r="U45" s="16"/>
      <c r="V45" s="16"/>
      <c r="W45" s="16"/>
      <c r="X45" s="16"/>
      <c r="Y45" s="16"/>
      <c r="Z45" s="16"/>
    </row>
    <row r="46" ht="12.75" spans="1:26">
      <c r="A46" s="23"/>
      <c r="B46" s="16"/>
      <c r="C46" s="23"/>
      <c r="D46" s="24"/>
      <c r="E46" s="16"/>
      <c r="F46" s="24"/>
      <c r="G46" s="24"/>
      <c r="H46" s="16"/>
      <c r="I46" s="16"/>
      <c r="J46" s="16"/>
      <c r="K46" s="16"/>
      <c r="L46" s="16"/>
      <c r="M46" s="16"/>
      <c r="N46" s="16"/>
      <c r="O46" s="16"/>
      <c r="P46" s="16"/>
      <c r="Q46" s="16"/>
      <c r="R46" s="16"/>
      <c r="S46" s="16"/>
      <c r="T46" s="16"/>
      <c r="U46" s="16"/>
      <c r="V46" s="16"/>
      <c r="W46" s="16"/>
      <c r="X46" s="16"/>
      <c r="Y46" s="16"/>
      <c r="Z46" s="16"/>
    </row>
    <row r="47" ht="12.75" spans="1:26">
      <c r="A47" s="23"/>
      <c r="B47" s="16"/>
      <c r="C47" s="23"/>
      <c r="D47" s="24"/>
      <c r="E47" s="16"/>
      <c r="F47" s="24"/>
      <c r="G47" s="24"/>
      <c r="H47" s="16"/>
      <c r="I47" s="16"/>
      <c r="J47" s="16"/>
      <c r="K47" s="16"/>
      <c r="L47" s="16"/>
      <c r="M47" s="16"/>
      <c r="N47" s="16"/>
      <c r="O47" s="16"/>
      <c r="P47" s="16"/>
      <c r="Q47" s="16"/>
      <c r="R47" s="16"/>
      <c r="S47" s="16"/>
      <c r="T47" s="16"/>
      <c r="U47" s="16"/>
      <c r="V47" s="16"/>
      <c r="W47" s="16"/>
      <c r="X47" s="16"/>
      <c r="Y47" s="16"/>
      <c r="Z47" s="16"/>
    </row>
    <row r="48" ht="12.75" spans="1:26">
      <c r="A48" s="23"/>
      <c r="B48" s="16"/>
      <c r="C48" s="23"/>
      <c r="D48" s="24"/>
      <c r="E48" s="16"/>
      <c r="F48" s="24"/>
      <c r="G48" s="24"/>
      <c r="H48" s="16"/>
      <c r="I48" s="16"/>
      <c r="J48" s="16"/>
      <c r="K48" s="16"/>
      <c r="L48" s="16"/>
      <c r="M48" s="16"/>
      <c r="N48" s="16"/>
      <c r="O48" s="16"/>
      <c r="P48" s="16"/>
      <c r="Q48" s="16"/>
      <c r="R48" s="16"/>
      <c r="S48" s="16"/>
      <c r="T48" s="16"/>
      <c r="U48" s="16"/>
      <c r="V48" s="16"/>
      <c r="W48" s="16"/>
      <c r="X48" s="16"/>
      <c r="Y48" s="16"/>
      <c r="Z48" s="16"/>
    </row>
    <row r="49" ht="12.75" spans="1:26">
      <c r="A49" s="23"/>
      <c r="B49" s="16"/>
      <c r="C49" s="23"/>
      <c r="D49" s="24"/>
      <c r="E49" s="16"/>
      <c r="F49" s="24"/>
      <c r="G49" s="24"/>
      <c r="H49" s="16"/>
      <c r="I49" s="16"/>
      <c r="J49" s="16"/>
      <c r="K49" s="16"/>
      <c r="L49" s="16"/>
      <c r="M49" s="16"/>
      <c r="N49" s="16"/>
      <c r="O49" s="16"/>
      <c r="P49" s="16"/>
      <c r="Q49" s="16"/>
      <c r="R49" s="16"/>
      <c r="S49" s="16"/>
      <c r="T49" s="16"/>
      <c r="U49" s="16"/>
      <c r="V49" s="16"/>
      <c r="W49" s="16"/>
      <c r="X49" s="16"/>
      <c r="Y49" s="16"/>
      <c r="Z49" s="16"/>
    </row>
    <row r="50" ht="12.75" spans="1:26">
      <c r="A50" s="23"/>
      <c r="B50" s="16"/>
      <c r="C50" s="23"/>
      <c r="D50" s="24"/>
      <c r="E50" s="16"/>
      <c r="F50" s="24"/>
      <c r="G50" s="24"/>
      <c r="H50" s="16"/>
      <c r="I50" s="16"/>
      <c r="J50" s="16"/>
      <c r="K50" s="16"/>
      <c r="L50" s="16"/>
      <c r="M50" s="16"/>
      <c r="N50" s="16"/>
      <c r="O50" s="16"/>
      <c r="P50" s="16"/>
      <c r="Q50" s="16"/>
      <c r="R50" s="16"/>
      <c r="S50" s="16"/>
      <c r="T50" s="16"/>
      <c r="U50" s="16"/>
      <c r="V50" s="16"/>
      <c r="W50" s="16"/>
      <c r="X50" s="16"/>
      <c r="Y50" s="16"/>
      <c r="Z50" s="16"/>
    </row>
    <row r="51" ht="12.75" spans="1:26">
      <c r="A51" s="23"/>
      <c r="B51" s="16"/>
      <c r="C51" s="23"/>
      <c r="D51" s="24"/>
      <c r="E51" s="16"/>
      <c r="F51" s="24"/>
      <c r="G51" s="24"/>
      <c r="H51" s="16"/>
      <c r="I51" s="16"/>
      <c r="J51" s="16"/>
      <c r="K51" s="16"/>
      <c r="L51" s="16"/>
      <c r="M51" s="16"/>
      <c r="N51" s="16"/>
      <c r="O51" s="16"/>
      <c r="P51" s="16"/>
      <c r="Q51" s="16"/>
      <c r="R51" s="16"/>
      <c r="S51" s="16"/>
      <c r="T51" s="16"/>
      <c r="U51" s="16"/>
      <c r="V51" s="16"/>
      <c r="W51" s="16"/>
      <c r="X51" s="16"/>
      <c r="Y51" s="16"/>
      <c r="Z51" s="16"/>
    </row>
    <row r="52" ht="12.75" spans="1:26">
      <c r="A52" s="23"/>
      <c r="B52" s="16"/>
      <c r="C52" s="23"/>
      <c r="D52" s="24"/>
      <c r="E52" s="16"/>
      <c r="F52" s="24"/>
      <c r="G52" s="24"/>
      <c r="H52" s="16"/>
      <c r="I52" s="16"/>
      <c r="J52" s="16"/>
      <c r="K52" s="16"/>
      <c r="L52" s="16"/>
      <c r="M52" s="16"/>
      <c r="N52" s="16"/>
      <c r="O52" s="16"/>
      <c r="P52" s="16"/>
      <c r="Q52" s="16"/>
      <c r="R52" s="16"/>
      <c r="S52" s="16"/>
      <c r="T52" s="16"/>
      <c r="U52" s="16"/>
      <c r="V52" s="16"/>
      <c r="W52" s="16"/>
      <c r="X52" s="16"/>
      <c r="Y52" s="16"/>
      <c r="Z52" s="16"/>
    </row>
    <row r="53" ht="12.75" spans="1:26">
      <c r="A53" s="23"/>
      <c r="B53" s="16"/>
      <c r="C53" s="23"/>
      <c r="D53" s="24"/>
      <c r="E53" s="16"/>
      <c r="F53" s="24"/>
      <c r="G53" s="24"/>
      <c r="H53" s="16"/>
      <c r="I53" s="16"/>
      <c r="J53" s="16"/>
      <c r="K53" s="16"/>
      <c r="L53" s="16"/>
      <c r="M53" s="16"/>
      <c r="N53" s="16"/>
      <c r="O53" s="16"/>
      <c r="P53" s="16"/>
      <c r="Q53" s="16"/>
      <c r="R53" s="16"/>
      <c r="S53" s="16"/>
      <c r="T53" s="16"/>
      <c r="U53" s="16"/>
      <c r="V53" s="16"/>
      <c r="W53" s="16"/>
      <c r="X53" s="16"/>
      <c r="Y53" s="16"/>
      <c r="Z53" s="16"/>
    </row>
    <row r="54" ht="12.75" spans="1:26">
      <c r="A54" s="23"/>
      <c r="B54" s="16"/>
      <c r="C54" s="23"/>
      <c r="D54" s="24"/>
      <c r="E54" s="16"/>
      <c r="F54" s="24"/>
      <c r="G54" s="24"/>
      <c r="H54" s="16"/>
      <c r="I54" s="16"/>
      <c r="J54" s="16"/>
      <c r="K54" s="16"/>
      <c r="L54" s="16"/>
      <c r="M54" s="16"/>
      <c r="N54" s="16"/>
      <c r="O54" s="16"/>
      <c r="P54" s="16"/>
      <c r="Q54" s="16"/>
      <c r="R54" s="16"/>
      <c r="S54" s="16"/>
      <c r="T54" s="16"/>
      <c r="U54" s="16"/>
      <c r="V54" s="16"/>
      <c r="W54" s="16"/>
      <c r="X54" s="16"/>
      <c r="Y54" s="16"/>
      <c r="Z54" s="16"/>
    </row>
    <row r="55" ht="12.75" spans="1:26">
      <c r="A55" s="23"/>
      <c r="B55" s="16"/>
      <c r="C55" s="23"/>
      <c r="D55" s="24"/>
      <c r="E55" s="16"/>
      <c r="F55" s="24"/>
      <c r="G55" s="24"/>
      <c r="H55" s="16"/>
      <c r="I55" s="16"/>
      <c r="J55" s="16"/>
      <c r="K55" s="16"/>
      <c r="L55" s="16"/>
      <c r="M55" s="16"/>
      <c r="N55" s="16"/>
      <c r="O55" s="16"/>
      <c r="P55" s="16"/>
      <c r="Q55" s="16"/>
      <c r="R55" s="16"/>
      <c r="S55" s="16"/>
      <c r="T55" s="16"/>
      <c r="U55" s="16"/>
      <c r="V55" s="16"/>
      <c r="W55" s="16"/>
      <c r="X55" s="16"/>
      <c r="Y55" s="16"/>
      <c r="Z55" s="16"/>
    </row>
    <row r="56" ht="12.75" spans="1:26">
      <c r="A56" s="23"/>
      <c r="B56" s="16"/>
      <c r="C56" s="23"/>
      <c r="D56" s="24"/>
      <c r="E56" s="16"/>
      <c r="F56" s="24"/>
      <c r="G56" s="24"/>
      <c r="H56" s="16"/>
      <c r="I56" s="16"/>
      <c r="J56" s="16"/>
      <c r="K56" s="16"/>
      <c r="L56" s="16"/>
      <c r="M56" s="16"/>
      <c r="N56" s="16"/>
      <c r="O56" s="16"/>
      <c r="P56" s="16"/>
      <c r="Q56" s="16"/>
      <c r="R56" s="16"/>
      <c r="S56" s="16"/>
      <c r="T56" s="16"/>
      <c r="U56" s="16"/>
      <c r="V56" s="16"/>
      <c r="W56" s="16"/>
      <c r="X56" s="16"/>
      <c r="Y56" s="16"/>
      <c r="Z56" s="16"/>
    </row>
    <row r="57" ht="12.75" spans="1:26">
      <c r="A57" s="23"/>
      <c r="B57" s="16"/>
      <c r="C57" s="23"/>
      <c r="D57" s="24"/>
      <c r="E57" s="16"/>
      <c r="F57" s="24"/>
      <c r="G57" s="24"/>
      <c r="H57" s="16"/>
      <c r="I57" s="16"/>
      <c r="J57" s="16"/>
      <c r="K57" s="16"/>
      <c r="L57" s="16"/>
      <c r="M57" s="16"/>
      <c r="N57" s="16"/>
      <c r="O57" s="16"/>
      <c r="P57" s="16"/>
      <c r="Q57" s="16"/>
      <c r="R57" s="16"/>
      <c r="S57" s="16"/>
      <c r="T57" s="16"/>
      <c r="U57" s="16"/>
      <c r="V57" s="16"/>
      <c r="W57" s="16"/>
      <c r="X57" s="16"/>
      <c r="Y57" s="16"/>
      <c r="Z57" s="16"/>
    </row>
    <row r="58" ht="12.75" spans="1:26">
      <c r="A58" s="23"/>
      <c r="B58" s="16"/>
      <c r="C58" s="23"/>
      <c r="D58" s="24"/>
      <c r="E58" s="16"/>
      <c r="F58" s="24"/>
      <c r="G58" s="24"/>
      <c r="H58" s="16"/>
      <c r="I58" s="16"/>
      <c r="J58" s="16"/>
      <c r="K58" s="16"/>
      <c r="L58" s="16"/>
      <c r="M58" s="16"/>
      <c r="N58" s="16"/>
      <c r="O58" s="16"/>
      <c r="P58" s="16"/>
      <c r="Q58" s="16"/>
      <c r="R58" s="16"/>
      <c r="S58" s="16"/>
      <c r="T58" s="16"/>
      <c r="U58" s="16"/>
      <c r="V58" s="16"/>
      <c r="W58" s="16"/>
      <c r="X58" s="16"/>
      <c r="Y58" s="16"/>
      <c r="Z58" s="16"/>
    </row>
    <row r="59" ht="12.75" spans="1:26">
      <c r="A59" s="23"/>
      <c r="B59" s="16"/>
      <c r="C59" s="23"/>
      <c r="D59" s="24"/>
      <c r="E59" s="16"/>
      <c r="F59" s="24"/>
      <c r="G59" s="24"/>
      <c r="H59" s="16"/>
      <c r="I59" s="16"/>
      <c r="J59" s="16"/>
      <c r="K59" s="16"/>
      <c r="L59" s="16"/>
      <c r="M59" s="16"/>
      <c r="N59" s="16"/>
      <c r="O59" s="16"/>
      <c r="P59" s="16"/>
      <c r="Q59" s="16"/>
      <c r="R59" s="16"/>
      <c r="S59" s="16"/>
      <c r="T59" s="16"/>
      <c r="U59" s="16"/>
      <c r="V59" s="16"/>
      <c r="W59" s="16"/>
      <c r="X59" s="16"/>
      <c r="Y59" s="16"/>
      <c r="Z59" s="16"/>
    </row>
    <row r="60" ht="12.75" spans="1:26">
      <c r="A60" s="23"/>
      <c r="B60" s="16"/>
      <c r="C60" s="23"/>
      <c r="D60" s="24"/>
      <c r="E60" s="16"/>
      <c r="F60" s="24"/>
      <c r="G60" s="24"/>
      <c r="H60" s="16"/>
      <c r="I60" s="16"/>
      <c r="J60" s="16"/>
      <c r="K60" s="16"/>
      <c r="L60" s="16"/>
      <c r="M60" s="16"/>
      <c r="N60" s="16"/>
      <c r="O60" s="16"/>
      <c r="P60" s="16"/>
      <c r="Q60" s="16"/>
      <c r="R60" s="16"/>
      <c r="S60" s="16"/>
      <c r="T60" s="16"/>
      <c r="U60" s="16"/>
      <c r="V60" s="16"/>
      <c r="W60" s="16"/>
      <c r="X60" s="16"/>
      <c r="Y60" s="16"/>
      <c r="Z60" s="16"/>
    </row>
    <row r="61" ht="12.75" spans="1:26">
      <c r="A61" s="23"/>
      <c r="B61" s="16"/>
      <c r="C61" s="23"/>
      <c r="D61" s="24"/>
      <c r="E61" s="16"/>
      <c r="F61" s="24"/>
      <c r="G61" s="24"/>
      <c r="H61" s="16"/>
      <c r="I61" s="16"/>
      <c r="J61" s="16"/>
      <c r="K61" s="16"/>
      <c r="L61" s="16"/>
      <c r="M61" s="16"/>
      <c r="N61" s="16"/>
      <c r="O61" s="16"/>
      <c r="P61" s="16"/>
      <c r="Q61" s="16"/>
      <c r="R61" s="16"/>
      <c r="S61" s="16"/>
      <c r="T61" s="16"/>
      <c r="U61" s="16"/>
      <c r="V61" s="16"/>
      <c r="W61" s="16"/>
      <c r="X61" s="16"/>
      <c r="Y61" s="16"/>
      <c r="Z61" s="16"/>
    </row>
    <row r="62" ht="12.75" spans="1:26">
      <c r="A62" s="23"/>
      <c r="B62" s="16"/>
      <c r="C62" s="23"/>
      <c r="D62" s="24"/>
      <c r="E62" s="16"/>
      <c r="F62" s="24"/>
      <c r="G62" s="24"/>
      <c r="H62" s="16"/>
      <c r="I62" s="16"/>
      <c r="J62" s="16"/>
      <c r="K62" s="16"/>
      <c r="L62" s="16"/>
      <c r="M62" s="16"/>
      <c r="N62" s="16"/>
      <c r="O62" s="16"/>
      <c r="P62" s="16"/>
      <c r="Q62" s="16"/>
      <c r="R62" s="16"/>
      <c r="S62" s="16"/>
      <c r="T62" s="16"/>
      <c r="U62" s="16"/>
      <c r="V62" s="16"/>
      <c r="W62" s="16"/>
      <c r="X62" s="16"/>
      <c r="Y62" s="16"/>
      <c r="Z62" s="16"/>
    </row>
    <row r="63" ht="12.75" spans="1:26">
      <c r="A63" s="23"/>
      <c r="B63" s="16"/>
      <c r="C63" s="23"/>
      <c r="D63" s="24"/>
      <c r="E63" s="16"/>
      <c r="F63" s="24"/>
      <c r="G63" s="24"/>
      <c r="H63" s="16"/>
      <c r="I63" s="16"/>
      <c r="J63" s="16"/>
      <c r="K63" s="16"/>
      <c r="L63" s="16"/>
      <c r="M63" s="16"/>
      <c r="N63" s="16"/>
      <c r="O63" s="16"/>
      <c r="P63" s="16"/>
      <c r="Q63" s="16"/>
      <c r="R63" s="16"/>
      <c r="S63" s="16"/>
      <c r="T63" s="16"/>
      <c r="U63" s="16"/>
      <c r="V63" s="16"/>
      <c r="W63" s="16"/>
      <c r="X63" s="16"/>
      <c r="Y63" s="16"/>
      <c r="Z63" s="16"/>
    </row>
    <row r="64" ht="12.75" spans="1:26">
      <c r="A64" s="23"/>
      <c r="B64" s="16"/>
      <c r="C64" s="23"/>
      <c r="D64" s="24"/>
      <c r="E64" s="16"/>
      <c r="F64" s="24"/>
      <c r="G64" s="24"/>
      <c r="H64" s="16"/>
      <c r="I64" s="16"/>
      <c r="J64" s="16"/>
      <c r="K64" s="16"/>
      <c r="L64" s="16"/>
      <c r="M64" s="16"/>
      <c r="N64" s="16"/>
      <c r="O64" s="16"/>
      <c r="P64" s="16"/>
      <c r="Q64" s="16"/>
      <c r="R64" s="16"/>
      <c r="S64" s="16"/>
      <c r="T64" s="16"/>
      <c r="U64" s="16"/>
      <c r="V64" s="16"/>
      <c r="W64" s="16"/>
      <c r="X64" s="16"/>
      <c r="Y64" s="16"/>
      <c r="Z64" s="16"/>
    </row>
    <row r="65" ht="12.75" spans="1:26">
      <c r="A65" s="23"/>
      <c r="B65" s="16"/>
      <c r="C65" s="23"/>
      <c r="D65" s="24"/>
      <c r="E65" s="16"/>
      <c r="F65" s="24"/>
      <c r="G65" s="24"/>
      <c r="H65" s="16"/>
      <c r="I65" s="16"/>
      <c r="J65" s="16"/>
      <c r="K65" s="16"/>
      <c r="L65" s="16"/>
      <c r="M65" s="16"/>
      <c r="N65" s="16"/>
      <c r="O65" s="16"/>
      <c r="P65" s="16"/>
      <c r="Q65" s="16"/>
      <c r="R65" s="16"/>
      <c r="S65" s="16"/>
      <c r="T65" s="16"/>
      <c r="U65" s="16"/>
      <c r="V65" s="16"/>
      <c r="W65" s="16"/>
      <c r="X65" s="16"/>
      <c r="Y65" s="16"/>
      <c r="Z65" s="16"/>
    </row>
    <row r="66" ht="12.75" spans="1:26">
      <c r="A66" s="23"/>
      <c r="B66" s="16"/>
      <c r="C66" s="23"/>
      <c r="D66" s="24"/>
      <c r="E66" s="16"/>
      <c r="F66" s="24"/>
      <c r="G66" s="24"/>
      <c r="H66" s="16"/>
      <c r="I66" s="16"/>
      <c r="J66" s="16"/>
      <c r="K66" s="16"/>
      <c r="L66" s="16"/>
      <c r="M66" s="16"/>
      <c r="N66" s="16"/>
      <c r="O66" s="16"/>
      <c r="P66" s="16"/>
      <c r="Q66" s="16"/>
      <c r="R66" s="16"/>
      <c r="S66" s="16"/>
      <c r="T66" s="16"/>
      <c r="U66" s="16"/>
      <c r="V66" s="16"/>
      <c r="W66" s="16"/>
      <c r="X66" s="16"/>
      <c r="Y66" s="16"/>
      <c r="Z66" s="16"/>
    </row>
    <row r="67" ht="12.75" spans="1:26">
      <c r="A67" s="23"/>
      <c r="B67" s="16"/>
      <c r="C67" s="23"/>
      <c r="D67" s="24"/>
      <c r="E67" s="16"/>
      <c r="F67" s="24"/>
      <c r="G67" s="24"/>
      <c r="H67" s="16"/>
      <c r="I67" s="16"/>
      <c r="J67" s="16"/>
      <c r="K67" s="16"/>
      <c r="L67" s="16"/>
      <c r="M67" s="16"/>
      <c r="N67" s="16"/>
      <c r="O67" s="16"/>
      <c r="P67" s="16"/>
      <c r="Q67" s="16"/>
      <c r="R67" s="16"/>
      <c r="S67" s="16"/>
      <c r="T67" s="16"/>
      <c r="U67" s="16"/>
      <c r="V67" s="16"/>
      <c r="W67" s="16"/>
      <c r="X67" s="16"/>
      <c r="Y67" s="16"/>
      <c r="Z67" s="16"/>
    </row>
    <row r="68" ht="12.75" spans="1:26">
      <c r="A68" s="23"/>
      <c r="B68" s="16"/>
      <c r="C68" s="23"/>
      <c r="D68" s="24"/>
      <c r="E68" s="16"/>
      <c r="F68" s="24"/>
      <c r="G68" s="24"/>
      <c r="H68" s="16"/>
      <c r="I68" s="16"/>
      <c r="J68" s="16"/>
      <c r="K68" s="16"/>
      <c r="L68" s="16"/>
      <c r="M68" s="16"/>
      <c r="N68" s="16"/>
      <c r="O68" s="16"/>
      <c r="P68" s="16"/>
      <c r="Q68" s="16"/>
      <c r="R68" s="16"/>
      <c r="S68" s="16"/>
      <c r="T68" s="16"/>
      <c r="U68" s="16"/>
      <c r="V68" s="16"/>
      <c r="W68" s="16"/>
      <c r="X68" s="16"/>
      <c r="Y68" s="16"/>
      <c r="Z68" s="16"/>
    </row>
    <row r="69" ht="12.75" spans="1:26">
      <c r="A69" s="23"/>
      <c r="B69" s="16"/>
      <c r="C69" s="23"/>
      <c r="D69" s="24"/>
      <c r="E69" s="16"/>
      <c r="F69" s="24"/>
      <c r="G69" s="24"/>
      <c r="H69" s="16"/>
      <c r="I69" s="16"/>
      <c r="J69" s="16"/>
      <c r="K69" s="16"/>
      <c r="L69" s="16"/>
      <c r="M69" s="16"/>
      <c r="N69" s="16"/>
      <c r="O69" s="16"/>
      <c r="P69" s="16"/>
      <c r="Q69" s="16"/>
      <c r="R69" s="16"/>
      <c r="S69" s="16"/>
      <c r="T69" s="16"/>
      <c r="U69" s="16"/>
      <c r="V69" s="16"/>
      <c r="W69" s="16"/>
      <c r="X69" s="16"/>
      <c r="Y69" s="16"/>
      <c r="Z69" s="16"/>
    </row>
    <row r="70" ht="12.75" spans="1:26">
      <c r="A70" s="23"/>
      <c r="B70" s="16"/>
      <c r="C70" s="23"/>
      <c r="D70" s="24"/>
      <c r="E70" s="16"/>
      <c r="F70" s="24"/>
      <c r="G70" s="24"/>
      <c r="H70" s="16"/>
      <c r="I70" s="16"/>
      <c r="J70" s="16"/>
      <c r="K70" s="16"/>
      <c r="L70" s="16"/>
      <c r="M70" s="16"/>
      <c r="N70" s="16"/>
      <c r="O70" s="16"/>
      <c r="P70" s="16"/>
      <c r="Q70" s="16"/>
      <c r="R70" s="16"/>
      <c r="S70" s="16"/>
      <c r="T70" s="16"/>
      <c r="U70" s="16"/>
      <c r="V70" s="16"/>
      <c r="W70" s="16"/>
      <c r="X70" s="16"/>
      <c r="Y70" s="16"/>
      <c r="Z70" s="16"/>
    </row>
    <row r="71" ht="12.75" spans="1:26">
      <c r="A71" s="23"/>
      <c r="B71" s="16"/>
      <c r="C71" s="23"/>
      <c r="D71" s="24"/>
      <c r="E71" s="16"/>
      <c r="F71" s="24"/>
      <c r="G71" s="24"/>
      <c r="H71" s="16"/>
      <c r="I71" s="16"/>
      <c r="J71" s="16"/>
      <c r="K71" s="16"/>
      <c r="L71" s="16"/>
      <c r="M71" s="16"/>
      <c r="N71" s="16"/>
      <c r="O71" s="16"/>
      <c r="P71" s="16"/>
      <c r="Q71" s="16"/>
      <c r="R71" s="16"/>
      <c r="S71" s="16"/>
      <c r="T71" s="16"/>
      <c r="U71" s="16"/>
      <c r="V71" s="16"/>
      <c r="W71" s="16"/>
      <c r="X71" s="16"/>
      <c r="Y71" s="16"/>
      <c r="Z71" s="16"/>
    </row>
    <row r="72" ht="12.75" spans="1:26">
      <c r="A72" s="23"/>
      <c r="B72" s="16"/>
      <c r="C72" s="23"/>
      <c r="D72" s="24"/>
      <c r="E72" s="16"/>
      <c r="F72" s="24"/>
      <c r="G72" s="24"/>
      <c r="H72" s="16"/>
      <c r="I72" s="16"/>
      <c r="J72" s="16"/>
      <c r="K72" s="16"/>
      <c r="L72" s="16"/>
      <c r="M72" s="16"/>
      <c r="N72" s="16"/>
      <c r="O72" s="16"/>
      <c r="P72" s="16"/>
      <c r="Q72" s="16"/>
      <c r="R72" s="16"/>
      <c r="S72" s="16"/>
      <c r="T72" s="16"/>
      <c r="U72" s="16"/>
      <c r="V72" s="16"/>
      <c r="W72" s="16"/>
      <c r="X72" s="16"/>
      <c r="Y72" s="16"/>
      <c r="Z72" s="16"/>
    </row>
    <row r="73" ht="12.75" spans="1:26">
      <c r="A73" s="23"/>
      <c r="B73" s="16"/>
      <c r="C73" s="23"/>
      <c r="D73" s="24"/>
      <c r="E73" s="16"/>
      <c r="F73" s="24"/>
      <c r="G73" s="24"/>
      <c r="H73" s="16"/>
      <c r="I73" s="16"/>
      <c r="J73" s="16"/>
      <c r="K73" s="16"/>
      <c r="L73" s="16"/>
      <c r="M73" s="16"/>
      <c r="N73" s="16"/>
      <c r="O73" s="16"/>
      <c r="P73" s="16"/>
      <c r="Q73" s="16"/>
      <c r="R73" s="16"/>
      <c r="S73" s="16"/>
      <c r="T73" s="16"/>
      <c r="U73" s="16"/>
      <c r="V73" s="16"/>
      <c r="W73" s="16"/>
      <c r="X73" s="16"/>
      <c r="Y73" s="16"/>
      <c r="Z73" s="16"/>
    </row>
    <row r="74" ht="12.75" spans="1:26">
      <c r="A74" s="23"/>
      <c r="B74" s="16"/>
      <c r="C74" s="23"/>
      <c r="D74" s="24"/>
      <c r="E74" s="16"/>
      <c r="F74" s="24"/>
      <c r="G74" s="24"/>
      <c r="H74" s="16"/>
      <c r="I74" s="16"/>
      <c r="J74" s="16"/>
      <c r="K74" s="16"/>
      <c r="L74" s="16"/>
      <c r="M74" s="16"/>
      <c r="N74" s="16"/>
      <c r="O74" s="16"/>
      <c r="P74" s="16"/>
      <c r="Q74" s="16"/>
      <c r="R74" s="16"/>
      <c r="S74" s="16"/>
      <c r="T74" s="16"/>
      <c r="U74" s="16"/>
      <c r="V74" s="16"/>
      <c r="W74" s="16"/>
      <c r="X74" s="16"/>
      <c r="Y74" s="16"/>
      <c r="Z74" s="16"/>
    </row>
    <row r="75" ht="12.75" spans="1:26">
      <c r="A75" s="23"/>
      <c r="B75" s="16"/>
      <c r="C75" s="23"/>
      <c r="D75" s="24"/>
      <c r="E75" s="16"/>
      <c r="F75" s="24"/>
      <c r="G75" s="24"/>
      <c r="H75" s="16"/>
      <c r="I75" s="16"/>
      <c r="J75" s="16"/>
      <c r="K75" s="16"/>
      <c r="L75" s="16"/>
      <c r="M75" s="16"/>
      <c r="N75" s="16"/>
      <c r="O75" s="16"/>
      <c r="P75" s="16"/>
      <c r="Q75" s="16"/>
      <c r="R75" s="16"/>
      <c r="S75" s="16"/>
      <c r="T75" s="16"/>
      <c r="U75" s="16"/>
      <c r="V75" s="16"/>
      <c r="W75" s="16"/>
      <c r="X75" s="16"/>
      <c r="Y75" s="16"/>
      <c r="Z75" s="16"/>
    </row>
    <row r="76" ht="12.75" spans="1:26">
      <c r="A76" s="23"/>
      <c r="B76" s="16"/>
      <c r="C76" s="23"/>
      <c r="D76" s="24"/>
      <c r="E76" s="16"/>
      <c r="F76" s="24"/>
      <c r="G76" s="24"/>
      <c r="H76" s="16"/>
      <c r="I76" s="16"/>
      <c r="J76" s="16"/>
      <c r="K76" s="16"/>
      <c r="L76" s="16"/>
      <c r="M76" s="16"/>
      <c r="N76" s="16"/>
      <c r="O76" s="16"/>
      <c r="P76" s="16"/>
      <c r="Q76" s="16"/>
      <c r="R76" s="16"/>
      <c r="S76" s="16"/>
      <c r="T76" s="16"/>
      <c r="U76" s="16"/>
      <c r="V76" s="16"/>
      <c r="W76" s="16"/>
      <c r="X76" s="16"/>
      <c r="Y76" s="16"/>
      <c r="Z76" s="16"/>
    </row>
    <row r="77" ht="12.75" spans="1:26">
      <c r="A77" s="23"/>
      <c r="B77" s="16"/>
      <c r="C77" s="23"/>
      <c r="D77" s="24"/>
      <c r="E77" s="16"/>
      <c r="F77" s="24"/>
      <c r="G77" s="24"/>
      <c r="H77" s="16"/>
      <c r="I77" s="16"/>
      <c r="J77" s="16"/>
      <c r="K77" s="16"/>
      <c r="L77" s="16"/>
      <c r="M77" s="16"/>
      <c r="N77" s="16"/>
      <c r="O77" s="16"/>
      <c r="P77" s="16"/>
      <c r="Q77" s="16"/>
      <c r="R77" s="16"/>
      <c r="S77" s="16"/>
      <c r="T77" s="16"/>
      <c r="U77" s="16"/>
      <c r="V77" s="16"/>
      <c r="W77" s="16"/>
      <c r="X77" s="16"/>
      <c r="Y77" s="16"/>
      <c r="Z77" s="16"/>
    </row>
    <row r="78" ht="12.75" spans="1:26">
      <c r="A78" s="23"/>
      <c r="B78" s="16"/>
      <c r="C78" s="23"/>
      <c r="D78" s="24"/>
      <c r="E78" s="16"/>
      <c r="F78" s="24"/>
      <c r="G78" s="24"/>
      <c r="H78" s="16"/>
      <c r="I78" s="16"/>
      <c r="J78" s="16"/>
      <c r="K78" s="16"/>
      <c r="L78" s="16"/>
      <c r="M78" s="16"/>
      <c r="N78" s="16"/>
      <c r="O78" s="16"/>
      <c r="P78" s="16"/>
      <c r="Q78" s="16"/>
      <c r="R78" s="16"/>
      <c r="S78" s="16"/>
      <c r="T78" s="16"/>
      <c r="U78" s="16"/>
      <c r="V78" s="16"/>
      <c r="W78" s="16"/>
      <c r="X78" s="16"/>
      <c r="Y78" s="16"/>
      <c r="Z78" s="16"/>
    </row>
    <row r="79" ht="12.75" spans="1:26">
      <c r="A79" s="23"/>
      <c r="B79" s="16"/>
      <c r="C79" s="23"/>
      <c r="D79" s="24"/>
      <c r="E79" s="16"/>
      <c r="F79" s="24"/>
      <c r="G79" s="24"/>
      <c r="H79" s="16"/>
      <c r="I79" s="16"/>
      <c r="J79" s="16"/>
      <c r="K79" s="16"/>
      <c r="L79" s="16"/>
      <c r="M79" s="16"/>
      <c r="N79" s="16"/>
      <c r="O79" s="16"/>
      <c r="P79" s="16"/>
      <c r="Q79" s="16"/>
      <c r="R79" s="16"/>
      <c r="S79" s="16"/>
      <c r="T79" s="16"/>
      <c r="U79" s="16"/>
      <c r="V79" s="16"/>
      <c r="W79" s="16"/>
      <c r="X79" s="16"/>
      <c r="Y79" s="16"/>
      <c r="Z79" s="16"/>
    </row>
    <row r="80" ht="12.75" spans="1:26">
      <c r="A80" s="23"/>
      <c r="B80" s="16"/>
      <c r="C80" s="23"/>
      <c r="D80" s="24"/>
      <c r="E80" s="16"/>
      <c r="F80" s="24"/>
      <c r="G80" s="24"/>
      <c r="H80" s="16"/>
      <c r="I80" s="16"/>
      <c r="J80" s="16"/>
      <c r="K80" s="16"/>
      <c r="L80" s="16"/>
      <c r="M80" s="16"/>
      <c r="N80" s="16"/>
      <c r="O80" s="16"/>
      <c r="P80" s="16"/>
      <c r="Q80" s="16"/>
      <c r="R80" s="16"/>
      <c r="S80" s="16"/>
      <c r="T80" s="16"/>
      <c r="U80" s="16"/>
      <c r="V80" s="16"/>
      <c r="W80" s="16"/>
      <c r="X80" s="16"/>
      <c r="Y80" s="16"/>
      <c r="Z80" s="16"/>
    </row>
    <row r="81" ht="12.75" spans="1:26">
      <c r="A81" s="23"/>
      <c r="B81" s="16"/>
      <c r="C81" s="23"/>
      <c r="D81" s="24"/>
      <c r="E81" s="16"/>
      <c r="F81" s="24"/>
      <c r="G81" s="24"/>
      <c r="H81" s="16"/>
      <c r="I81" s="16"/>
      <c r="J81" s="16"/>
      <c r="K81" s="16"/>
      <c r="L81" s="16"/>
      <c r="M81" s="16"/>
      <c r="N81" s="16"/>
      <c r="O81" s="16"/>
      <c r="P81" s="16"/>
      <c r="Q81" s="16"/>
      <c r="R81" s="16"/>
      <c r="S81" s="16"/>
      <c r="T81" s="16"/>
      <c r="U81" s="16"/>
      <c r="V81" s="16"/>
      <c r="W81" s="16"/>
      <c r="X81" s="16"/>
      <c r="Y81" s="16"/>
      <c r="Z81" s="16"/>
    </row>
    <row r="82" ht="12.75" spans="1:26">
      <c r="A82" s="23"/>
      <c r="B82" s="16"/>
      <c r="C82" s="23"/>
      <c r="D82" s="24"/>
      <c r="E82" s="16"/>
      <c r="F82" s="24"/>
      <c r="G82" s="24"/>
      <c r="H82" s="16"/>
      <c r="I82" s="16"/>
      <c r="J82" s="16"/>
      <c r="K82" s="16"/>
      <c r="L82" s="16"/>
      <c r="M82" s="16"/>
      <c r="N82" s="16"/>
      <c r="O82" s="16"/>
      <c r="P82" s="16"/>
      <c r="Q82" s="16"/>
      <c r="R82" s="16"/>
      <c r="S82" s="16"/>
      <c r="T82" s="16"/>
      <c r="U82" s="16"/>
      <c r="V82" s="16"/>
      <c r="W82" s="16"/>
      <c r="X82" s="16"/>
      <c r="Y82" s="16"/>
      <c r="Z82" s="16"/>
    </row>
    <row r="83" ht="12.75" spans="1:26">
      <c r="A83" s="23"/>
      <c r="B83" s="16"/>
      <c r="C83" s="23"/>
      <c r="D83" s="24"/>
      <c r="E83" s="16"/>
      <c r="F83" s="24"/>
      <c r="G83" s="24"/>
      <c r="H83" s="16"/>
      <c r="I83" s="16"/>
      <c r="J83" s="16"/>
      <c r="K83" s="16"/>
      <c r="L83" s="16"/>
      <c r="M83" s="16"/>
      <c r="N83" s="16"/>
      <c r="O83" s="16"/>
      <c r="P83" s="16"/>
      <c r="Q83" s="16"/>
      <c r="R83" s="16"/>
      <c r="S83" s="16"/>
      <c r="T83" s="16"/>
      <c r="U83" s="16"/>
      <c r="V83" s="16"/>
      <c r="W83" s="16"/>
      <c r="X83" s="16"/>
      <c r="Y83" s="16"/>
      <c r="Z83" s="16"/>
    </row>
    <row r="84" ht="12.75" spans="1:26">
      <c r="A84" s="23"/>
      <c r="B84" s="16"/>
      <c r="C84" s="23"/>
      <c r="D84" s="24"/>
      <c r="E84" s="16"/>
      <c r="F84" s="24"/>
      <c r="G84" s="24"/>
      <c r="H84" s="16"/>
      <c r="I84" s="16"/>
      <c r="J84" s="16"/>
      <c r="K84" s="16"/>
      <c r="L84" s="16"/>
      <c r="M84" s="16"/>
      <c r="N84" s="16"/>
      <c r="O84" s="16"/>
      <c r="P84" s="16"/>
      <c r="Q84" s="16"/>
      <c r="R84" s="16"/>
      <c r="S84" s="16"/>
      <c r="T84" s="16"/>
      <c r="U84" s="16"/>
      <c r="V84" s="16"/>
      <c r="W84" s="16"/>
      <c r="X84" s="16"/>
      <c r="Y84" s="16"/>
      <c r="Z84" s="16"/>
    </row>
    <row r="85" ht="12.75" spans="1:26">
      <c r="A85" s="23"/>
      <c r="B85" s="16"/>
      <c r="C85" s="23"/>
      <c r="D85" s="24"/>
      <c r="E85" s="16"/>
      <c r="F85" s="24"/>
      <c r="G85" s="24"/>
      <c r="H85" s="16"/>
      <c r="I85" s="16"/>
      <c r="J85" s="16"/>
      <c r="K85" s="16"/>
      <c r="L85" s="16"/>
      <c r="M85" s="16"/>
      <c r="N85" s="16"/>
      <c r="O85" s="16"/>
      <c r="P85" s="16"/>
      <c r="Q85" s="16"/>
      <c r="R85" s="16"/>
      <c r="S85" s="16"/>
      <c r="T85" s="16"/>
      <c r="U85" s="16"/>
      <c r="V85" s="16"/>
      <c r="W85" s="16"/>
      <c r="X85" s="16"/>
      <c r="Y85" s="16"/>
      <c r="Z85" s="16"/>
    </row>
    <row r="86" ht="12.75" spans="1:26">
      <c r="A86" s="23"/>
      <c r="B86" s="16"/>
      <c r="C86" s="23"/>
      <c r="D86" s="24"/>
      <c r="E86" s="16"/>
      <c r="F86" s="24"/>
      <c r="G86" s="24"/>
      <c r="H86" s="16"/>
      <c r="I86" s="16"/>
      <c r="J86" s="16"/>
      <c r="K86" s="16"/>
      <c r="L86" s="16"/>
      <c r="M86" s="16"/>
      <c r="N86" s="16"/>
      <c r="O86" s="16"/>
      <c r="P86" s="16"/>
      <c r="Q86" s="16"/>
      <c r="R86" s="16"/>
      <c r="S86" s="16"/>
      <c r="T86" s="16"/>
      <c r="U86" s="16"/>
      <c r="V86" s="16"/>
      <c r="W86" s="16"/>
      <c r="X86" s="16"/>
      <c r="Y86" s="16"/>
      <c r="Z86" s="16"/>
    </row>
    <row r="87" ht="12.75" spans="1:26">
      <c r="A87" s="23"/>
      <c r="B87" s="16"/>
      <c r="C87" s="23"/>
      <c r="D87" s="24"/>
      <c r="E87" s="16"/>
      <c r="F87" s="24"/>
      <c r="G87" s="24"/>
      <c r="H87" s="16"/>
      <c r="I87" s="16"/>
      <c r="J87" s="16"/>
      <c r="K87" s="16"/>
      <c r="L87" s="16"/>
      <c r="M87" s="16"/>
      <c r="N87" s="16"/>
      <c r="O87" s="16"/>
      <c r="P87" s="16"/>
      <c r="Q87" s="16"/>
      <c r="R87" s="16"/>
      <c r="S87" s="16"/>
      <c r="T87" s="16"/>
      <c r="U87" s="16"/>
      <c r="V87" s="16"/>
      <c r="W87" s="16"/>
      <c r="X87" s="16"/>
      <c r="Y87" s="16"/>
      <c r="Z87" s="16"/>
    </row>
    <row r="88" ht="12.75" spans="1:26">
      <c r="A88" s="23"/>
      <c r="B88" s="16"/>
      <c r="C88" s="23"/>
      <c r="D88" s="24"/>
      <c r="E88" s="16"/>
      <c r="F88" s="24"/>
      <c r="G88" s="24"/>
      <c r="H88" s="16"/>
      <c r="I88" s="16"/>
      <c r="J88" s="16"/>
      <c r="K88" s="16"/>
      <c r="L88" s="16"/>
      <c r="M88" s="16"/>
      <c r="N88" s="16"/>
      <c r="O88" s="16"/>
      <c r="P88" s="16"/>
      <c r="Q88" s="16"/>
      <c r="R88" s="16"/>
      <c r="S88" s="16"/>
      <c r="T88" s="16"/>
      <c r="U88" s="16"/>
      <c r="V88" s="16"/>
      <c r="W88" s="16"/>
      <c r="X88" s="16"/>
      <c r="Y88" s="16"/>
      <c r="Z88" s="16"/>
    </row>
    <row r="89" ht="12.75" spans="1:26">
      <c r="A89" s="23"/>
      <c r="B89" s="16"/>
      <c r="C89" s="23"/>
      <c r="D89" s="24"/>
      <c r="E89" s="16"/>
      <c r="F89" s="24"/>
      <c r="G89" s="24"/>
      <c r="H89" s="16"/>
      <c r="I89" s="16"/>
      <c r="J89" s="16"/>
      <c r="K89" s="16"/>
      <c r="L89" s="16"/>
      <c r="M89" s="16"/>
      <c r="N89" s="16"/>
      <c r="O89" s="16"/>
      <c r="P89" s="16"/>
      <c r="Q89" s="16"/>
      <c r="R89" s="16"/>
      <c r="S89" s="16"/>
      <c r="T89" s="16"/>
      <c r="U89" s="16"/>
      <c r="V89" s="16"/>
      <c r="W89" s="16"/>
      <c r="X89" s="16"/>
      <c r="Y89" s="16"/>
      <c r="Z89" s="16"/>
    </row>
    <row r="90" ht="12.75" spans="1:26">
      <c r="A90" s="23"/>
      <c r="B90" s="16"/>
      <c r="C90" s="23"/>
      <c r="D90" s="24"/>
      <c r="E90" s="16"/>
      <c r="F90" s="24"/>
      <c r="G90" s="24"/>
      <c r="H90" s="16"/>
      <c r="I90" s="16"/>
      <c r="J90" s="16"/>
      <c r="K90" s="16"/>
      <c r="L90" s="16"/>
      <c r="M90" s="16"/>
      <c r="N90" s="16"/>
      <c r="O90" s="16"/>
      <c r="P90" s="16"/>
      <c r="Q90" s="16"/>
      <c r="R90" s="16"/>
      <c r="S90" s="16"/>
      <c r="T90" s="16"/>
      <c r="U90" s="16"/>
      <c r="V90" s="16"/>
      <c r="W90" s="16"/>
      <c r="X90" s="16"/>
      <c r="Y90" s="16"/>
      <c r="Z90" s="16"/>
    </row>
    <row r="91" ht="12.75" spans="1:26">
      <c r="A91" s="23"/>
      <c r="B91" s="16"/>
      <c r="C91" s="23"/>
      <c r="D91" s="24"/>
      <c r="E91" s="16"/>
      <c r="F91" s="24"/>
      <c r="G91" s="24"/>
      <c r="H91" s="16"/>
      <c r="I91" s="16"/>
      <c r="J91" s="16"/>
      <c r="K91" s="16"/>
      <c r="L91" s="16"/>
      <c r="M91" s="16"/>
      <c r="N91" s="16"/>
      <c r="O91" s="16"/>
      <c r="P91" s="16"/>
      <c r="Q91" s="16"/>
      <c r="R91" s="16"/>
      <c r="S91" s="16"/>
      <c r="T91" s="16"/>
      <c r="U91" s="16"/>
      <c r="V91" s="16"/>
      <c r="W91" s="16"/>
      <c r="X91" s="16"/>
      <c r="Y91" s="16"/>
      <c r="Z91" s="16"/>
    </row>
    <row r="92" ht="12.75" spans="1:26">
      <c r="A92" s="23"/>
      <c r="B92" s="16"/>
      <c r="C92" s="23"/>
      <c r="D92" s="24"/>
      <c r="E92" s="16"/>
      <c r="F92" s="24"/>
      <c r="G92" s="24"/>
      <c r="H92" s="16"/>
      <c r="I92" s="16"/>
      <c r="J92" s="16"/>
      <c r="K92" s="16"/>
      <c r="L92" s="16"/>
      <c r="M92" s="16"/>
      <c r="N92" s="16"/>
      <c r="O92" s="16"/>
      <c r="P92" s="16"/>
      <c r="Q92" s="16"/>
      <c r="R92" s="16"/>
      <c r="S92" s="16"/>
      <c r="T92" s="16"/>
      <c r="U92" s="16"/>
      <c r="V92" s="16"/>
      <c r="W92" s="16"/>
      <c r="X92" s="16"/>
      <c r="Y92" s="16"/>
      <c r="Z92" s="16"/>
    </row>
    <row r="93" ht="12.75" spans="1:26">
      <c r="A93" s="23"/>
      <c r="B93" s="16"/>
      <c r="C93" s="23"/>
      <c r="D93" s="24"/>
      <c r="E93" s="16"/>
      <c r="F93" s="24"/>
      <c r="G93" s="24"/>
      <c r="H93" s="16"/>
      <c r="I93" s="16"/>
      <c r="J93" s="16"/>
      <c r="K93" s="16"/>
      <c r="L93" s="16"/>
      <c r="M93" s="16"/>
      <c r="N93" s="16"/>
      <c r="O93" s="16"/>
      <c r="P93" s="16"/>
      <c r="Q93" s="16"/>
      <c r="R93" s="16"/>
      <c r="S93" s="16"/>
      <c r="T93" s="16"/>
      <c r="U93" s="16"/>
      <c r="V93" s="16"/>
      <c r="W93" s="16"/>
      <c r="X93" s="16"/>
      <c r="Y93" s="16"/>
      <c r="Z93" s="16"/>
    </row>
    <row r="94" ht="12.75" spans="1:26">
      <c r="A94" s="23"/>
      <c r="B94" s="16"/>
      <c r="C94" s="23"/>
      <c r="D94" s="24"/>
      <c r="E94" s="16"/>
      <c r="F94" s="24"/>
      <c r="G94" s="24"/>
      <c r="H94" s="16"/>
      <c r="I94" s="16"/>
      <c r="J94" s="16"/>
      <c r="K94" s="16"/>
      <c r="L94" s="16"/>
      <c r="M94" s="16"/>
      <c r="N94" s="16"/>
      <c r="O94" s="16"/>
      <c r="P94" s="16"/>
      <c r="Q94" s="16"/>
      <c r="R94" s="16"/>
      <c r="S94" s="16"/>
      <c r="T94" s="16"/>
      <c r="U94" s="16"/>
      <c r="V94" s="16"/>
      <c r="W94" s="16"/>
      <c r="X94" s="16"/>
      <c r="Y94" s="16"/>
      <c r="Z94" s="16"/>
    </row>
    <row r="95" ht="12.75" spans="1:26">
      <c r="A95" s="23"/>
      <c r="B95" s="16"/>
      <c r="C95" s="23"/>
      <c r="D95" s="24"/>
      <c r="E95" s="16"/>
      <c r="F95" s="24"/>
      <c r="G95" s="24"/>
      <c r="H95" s="16"/>
      <c r="I95" s="16"/>
      <c r="J95" s="16"/>
      <c r="K95" s="16"/>
      <c r="L95" s="16"/>
      <c r="M95" s="16"/>
      <c r="N95" s="16"/>
      <c r="O95" s="16"/>
      <c r="P95" s="16"/>
      <c r="Q95" s="16"/>
      <c r="R95" s="16"/>
      <c r="S95" s="16"/>
      <c r="T95" s="16"/>
      <c r="U95" s="16"/>
      <c r="V95" s="16"/>
      <c r="W95" s="16"/>
      <c r="X95" s="16"/>
      <c r="Y95" s="16"/>
      <c r="Z95" s="16"/>
    </row>
    <row r="96" ht="12.75" spans="1:26">
      <c r="A96" s="23"/>
      <c r="B96" s="16"/>
      <c r="C96" s="23"/>
      <c r="D96" s="24"/>
      <c r="E96" s="16"/>
      <c r="F96" s="24"/>
      <c r="G96" s="24"/>
      <c r="H96" s="16"/>
      <c r="I96" s="16"/>
      <c r="J96" s="16"/>
      <c r="K96" s="16"/>
      <c r="L96" s="16"/>
      <c r="M96" s="16"/>
      <c r="N96" s="16"/>
      <c r="O96" s="16"/>
      <c r="P96" s="16"/>
      <c r="Q96" s="16"/>
      <c r="R96" s="16"/>
      <c r="S96" s="16"/>
      <c r="T96" s="16"/>
      <c r="U96" s="16"/>
      <c r="V96" s="16"/>
      <c r="W96" s="16"/>
      <c r="X96" s="16"/>
      <c r="Y96" s="16"/>
      <c r="Z96" s="16"/>
    </row>
    <row r="97" ht="12.75" spans="1:26">
      <c r="A97" s="23"/>
      <c r="B97" s="16"/>
      <c r="C97" s="23"/>
      <c r="D97" s="24"/>
      <c r="E97" s="16"/>
      <c r="F97" s="24"/>
      <c r="G97" s="24"/>
      <c r="H97" s="16"/>
      <c r="I97" s="16"/>
      <c r="J97" s="16"/>
      <c r="K97" s="16"/>
      <c r="L97" s="16"/>
      <c r="M97" s="16"/>
      <c r="N97" s="16"/>
      <c r="O97" s="16"/>
      <c r="P97" s="16"/>
      <c r="Q97" s="16"/>
      <c r="R97" s="16"/>
      <c r="S97" s="16"/>
      <c r="T97" s="16"/>
      <c r="U97" s="16"/>
      <c r="V97" s="16"/>
      <c r="W97" s="16"/>
      <c r="X97" s="16"/>
      <c r="Y97" s="16"/>
      <c r="Z97" s="16"/>
    </row>
    <row r="98" ht="12.75" spans="1:26">
      <c r="A98" s="23"/>
      <c r="B98" s="16"/>
      <c r="C98" s="23"/>
      <c r="D98" s="24"/>
      <c r="E98" s="16"/>
      <c r="F98" s="24"/>
      <c r="G98" s="24"/>
      <c r="H98" s="16"/>
      <c r="I98" s="16"/>
      <c r="J98" s="16"/>
      <c r="K98" s="16"/>
      <c r="L98" s="16"/>
      <c r="M98" s="16"/>
      <c r="N98" s="16"/>
      <c r="O98" s="16"/>
      <c r="P98" s="16"/>
      <c r="Q98" s="16"/>
      <c r="R98" s="16"/>
      <c r="S98" s="16"/>
      <c r="T98" s="16"/>
      <c r="U98" s="16"/>
      <c r="V98" s="16"/>
      <c r="W98" s="16"/>
      <c r="X98" s="16"/>
      <c r="Y98" s="16"/>
      <c r="Z98" s="16"/>
    </row>
    <row r="99" ht="12.75" spans="1:26">
      <c r="A99" s="23"/>
      <c r="B99" s="16"/>
      <c r="C99" s="23"/>
      <c r="D99" s="24"/>
      <c r="E99" s="16"/>
      <c r="F99" s="24"/>
      <c r="G99" s="24"/>
      <c r="H99" s="16"/>
      <c r="I99" s="16"/>
      <c r="J99" s="16"/>
      <c r="K99" s="16"/>
      <c r="L99" s="16"/>
      <c r="M99" s="16"/>
      <c r="N99" s="16"/>
      <c r="O99" s="16"/>
      <c r="P99" s="16"/>
      <c r="Q99" s="16"/>
      <c r="R99" s="16"/>
      <c r="S99" s="16"/>
      <c r="T99" s="16"/>
      <c r="U99" s="16"/>
      <c r="V99" s="16"/>
      <c r="W99" s="16"/>
      <c r="X99" s="16"/>
      <c r="Y99" s="16"/>
      <c r="Z99" s="16"/>
    </row>
    <row r="100" ht="12.75" spans="1:26">
      <c r="A100" s="23"/>
      <c r="B100" s="16"/>
      <c r="C100" s="23"/>
      <c r="D100" s="24"/>
      <c r="E100" s="16"/>
      <c r="F100" s="24"/>
      <c r="G100" s="24"/>
      <c r="H100" s="16"/>
      <c r="I100" s="16"/>
      <c r="J100" s="16"/>
      <c r="K100" s="16"/>
      <c r="L100" s="16"/>
      <c r="M100" s="16"/>
      <c r="N100" s="16"/>
      <c r="O100" s="16"/>
      <c r="P100" s="16"/>
      <c r="Q100" s="16"/>
      <c r="R100" s="16"/>
      <c r="S100" s="16"/>
      <c r="T100" s="16"/>
      <c r="U100" s="16"/>
      <c r="V100" s="16"/>
      <c r="W100" s="16"/>
      <c r="X100" s="16"/>
      <c r="Y100" s="16"/>
      <c r="Z100" s="16"/>
    </row>
    <row r="101" ht="12.75" spans="1:26">
      <c r="A101" s="23"/>
      <c r="B101" s="16"/>
      <c r="C101" s="23"/>
      <c r="D101" s="24"/>
      <c r="E101" s="16"/>
      <c r="F101" s="24"/>
      <c r="G101" s="24"/>
      <c r="H101" s="16"/>
      <c r="I101" s="16"/>
      <c r="J101" s="16"/>
      <c r="K101" s="16"/>
      <c r="L101" s="16"/>
      <c r="M101" s="16"/>
      <c r="N101" s="16"/>
      <c r="O101" s="16"/>
      <c r="P101" s="16"/>
      <c r="Q101" s="16"/>
      <c r="R101" s="16"/>
      <c r="S101" s="16"/>
      <c r="T101" s="16"/>
      <c r="U101" s="16"/>
      <c r="V101" s="16"/>
      <c r="W101" s="16"/>
      <c r="X101" s="16"/>
      <c r="Y101" s="16"/>
      <c r="Z101" s="16"/>
    </row>
    <row r="102" ht="12.75" spans="1:26">
      <c r="A102" s="23"/>
      <c r="B102" s="16"/>
      <c r="C102" s="23"/>
      <c r="D102" s="24"/>
      <c r="E102" s="16"/>
      <c r="F102" s="24"/>
      <c r="G102" s="24"/>
      <c r="H102" s="16"/>
      <c r="I102" s="16"/>
      <c r="J102" s="16"/>
      <c r="K102" s="16"/>
      <c r="L102" s="16"/>
      <c r="M102" s="16"/>
      <c r="N102" s="16"/>
      <c r="O102" s="16"/>
      <c r="P102" s="16"/>
      <c r="Q102" s="16"/>
      <c r="R102" s="16"/>
      <c r="S102" s="16"/>
      <c r="T102" s="16"/>
      <c r="U102" s="16"/>
      <c r="V102" s="16"/>
      <c r="W102" s="16"/>
      <c r="X102" s="16"/>
      <c r="Y102" s="16"/>
      <c r="Z102" s="16"/>
    </row>
    <row r="103" ht="12.75" spans="1:26">
      <c r="A103" s="23"/>
      <c r="B103" s="16"/>
      <c r="C103" s="23"/>
      <c r="D103" s="24"/>
      <c r="E103" s="16"/>
      <c r="F103" s="24"/>
      <c r="G103" s="24"/>
      <c r="H103" s="16"/>
      <c r="I103" s="16"/>
      <c r="J103" s="16"/>
      <c r="K103" s="16"/>
      <c r="L103" s="16"/>
      <c r="M103" s="16"/>
      <c r="N103" s="16"/>
      <c r="O103" s="16"/>
      <c r="P103" s="16"/>
      <c r="Q103" s="16"/>
      <c r="R103" s="16"/>
      <c r="S103" s="16"/>
      <c r="T103" s="16"/>
      <c r="U103" s="16"/>
      <c r="V103" s="16"/>
      <c r="W103" s="16"/>
      <c r="X103" s="16"/>
      <c r="Y103" s="16"/>
      <c r="Z103" s="16"/>
    </row>
    <row r="104" ht="12.75" spans="1:26">
      <c r="A104" s="23"/>
      <c r="B104" s="16"/>
      <c r="C104" s="23"/>
      <c r="D104" s="24"/>
      <c r="E104" s="16"/>
      <c r="F104" s="24"/>
      <c r="G104" s="24"/>
      <c r="H104" s="16"/>
      <c r="I104" s="16"/>
      <c r="J104" s="16"/>
      <c r="K104" s="16"/>
      <c r="L104" s="16"/>
      <c r="M104" s="16"/>
      <c r="N104" s="16"/>
      <c r="O104" s="16"/>
      <c r="P104" s="16"/>
      <c r="Q104" s="16"/>
      <c r="R104" s="16"/>
      <c r="S104" s="16"/>
      <c r="T104" s="16"/>
      <c r="U104" s="16"/>
      <c r="V104" s="16"/>
      <c r="W104" s="16"/>
      <c r="X104" s="16"/>
      <c r="Y104" s="16"/>
      <c r="Z104" s="16"/>
    </row>
    <row r="105" ht="12.75" spans="1:26">
      <c r="A105" s="23"/>
      <c r="B105" s="16"/>
      <c r="C105" s="23"/>
      <c r="D105" s="24"/>
      <c r="E105" s="16"/>
      <c r="F105" s="24"/>
      <c r="G105" s="24"/>
      <c r="H105" s="16"/>
      <c r="I105" s="16"/>
      <c r="J105" s="16"/>
      <c r="K105" s="16"/>
      <c r="L105" s="16"/>
      <c r="M105" s="16"/>
      <c r="N105" s="16"/>
      <c r="O105" s="16"/>
      <c r="P105" s="16"/>
      <c r="Q105" s="16"/>
      <c r="R105" s="16"/>
      <c r="S105" s="16"/>
      <c r="T105" s="16"/>
      <c r="U105" s="16"/>
      <c r="V105" s="16"/>
      <c r="W105" s="16"/>
      <c r="X105" s="16"/>
      <c r="Y105" s="16"/>
      <c r="Z105" s="16"/>
    </row>
    <row r="106" ht="12.75" spans="1:26">
      <c r="A106" s="23"/>
      <c r="B106" s="16"/>
      <c r="C106" s="23"/>
      <c r="D106" s="24"/>
      <c r="E106" s="16"/>
      <c r="F106" s="24"/>
      <c r="G106" s="24"/>
      <c r="H106" s="16"/>
      <c r="I106" s="16"/>
      <c r="J106" s="16"/>
      <c r="K106" s="16"/>
      <c r="L106" s="16"/>
      <c r="M106" s="16"/>
      <c r="N106" s="16"/>
      <c r="O106" s="16"/>
      <c r="P106" s="16"/>
      <c r="Q106" s="16"/>
      <c r="R106" s="16"/>
      <c r="S106" s="16"/>
      <c r="T106" s="16"/>
      <c r="U106" s="16"/>
      <c r="V106" s="16"/>
      <c r="W106" s="16"/>
      <c r="X106" s="16"/>
      <c r="Y106" s="16"/>
      <c r="Z106" s="16"/>
    </row>
    <row r="107" ht="12.75" spans="1:26">
      <c r="A107" s="23"/>
      <c r="B107" s="16"/>
      <c r="C107" s="23"/>
      <c r="D107" s="24"/>
      <c r="E107" s="16"/>
      <c r="F107" s="24"/>
      <c r="G107" s="24"/>
      <c r="H107" s="16"/>
      <c r="I107" s="16"/>
      <c r="J107" s="16"/>
      <c r="K107" s="16"/>
      <c r="L107" s="16"/>
      <c r="M107" s="16"/>
      <c r="N107" s="16"/>
      <c r="O107" s="16"/>
      <c r="P107" s="16"/>
      <c r="Q107" s="16"/>
      <c r="R107" s="16"/>
      <c r="S107" s="16"/>
      <c r="T107" s="16"/>
      <c r="U107" s="16"/>
      <c r="V107" s="16"/>
      <c r="W107" s="16"/>
      <c r="X107" s="16"/>
      <c r="Y107" s="16"/>
      <c r="Z107" s="16"/>
    </row>
    <row r="108" ht="12.75" spans="1:26">
      <c r="A108" s="23"/>
      <c r="B108" s="16"/>
      <c r="C108" s="23"/>
      <c r="D108" s="24"/>
      <c r="E108" s="16"/>
      <c r="F108" s="24"/>
      <c r="G108" s="24"/>
      <c r="H108" s="16"/>
      <c r="I108" s="16"/>
      <c r="J108" s="16"/>
      <c r="K108" s="16"/>
      <c r="L108" s="16"/>
      <c r="M108" s="16"/>
      <c r="N108" s="16"/>
      <c r="O108" s="16"/>
      <c r="P108" s="16"/>
      <c r="Q108" s="16"/>
      <c r="R108" s="16"/>
      <c r="S108" s="16"/>
      <c r="T108" s="16"/>
      <c r="U108" s="16"/>
      <c r="V108" s="16"/>
      <c r="W108" s="16"/>
      <c r="X108" s="16"/>
      <c r="Y108" s="16"/>
      <c r="Z108" s="16"/>
    </row>
    <row r="109" ht="12.75" spans="1:26">
      <c r="A109" s="23"/>
      <c r="B109" s="16"/>
      <c r="C109" s="23"/>
      <c r="D109" s="24"/>
      <c r="E109" s="16"/>
      <c r="F109" s="24"/>
      <c r="G109" s="24"/>
      <c r="H109" s="16"/>
      <c r="I109" s="16"/>
      <c r="J109" s="16"/>
      <c r="K109" s="16"/>
      <c r="L109" s="16"/>
      <c r="M109" s="16"/>
      <c r="N109" s="16"/>
      <c r="O109" s="16"/>
      <c r="P109" s="16"/>
      <c r="Q109" s="16"/>
      <c r="R109" s="16"/>
      <c r="S109" s="16"/>
      <c r="T109" s="16"/>
      <c r="U109" s="16"/>
      <c r="V109" s="16"/>
      <c r="W109" s="16"/>
      <c r="X109" s="16"/>
      <c r="Y109" s="16"/>
      <c r="Z109" s="16"/>
    </row>
    <row r="110" ht="12.75" spans="1:26">
      <c r="A110" s="23"/>
      <c r="B110" s="16"/>
      <c r="C110" s="23"/>
      <c r="D110" s="24"/>
      <c r="E110" s="16"/>
      <c r="F110" s="24"/>
      <c r="G110" s="24"/>
      <c r="H110" s="16"/>
      <c r="I110" s="16"/>
      <c r="J110" s="16"/>
      <c r="K110" s="16"/>
      <c r="L110" s="16"/>
      <c r="M110" s="16"/>
      <c r="N110" s="16"/>
      <c r="O110" s="16"/>
      <c r="P110" s="16"/>
      <c r="Q110" s="16"/>
      <c r="R110" s="16"/>
      <c r="S110" s="16"/>
      <c r="T110" s="16"/>
      <c r="U110" s="16"/>
      <c r="V110" s="16"/>
      <c r="W110" s="16"/>
      <c r="X110" s="16"/>
      <c r="Y110" s="16"/>
      <c r="Z110" s="16"/>
    </row>
    <row r="111" ht="12.75" spans="1:26">
      <c r="A111" s="23"/>
      <c r="B111" s="16"/>
      <c r="C111" s="23"/>
      <c r="D111" s="24"/>
      <c r="E111" s="16"/>
      <c r="F111" s="24"/>
      <c r="G111" s="24"/>
      <c r="H111" s="16"/>
      <c r="I111" s="16"/>
      <c r="J111" s="16"/>
      <c r="K111" s="16"/>
      <c r="L111" s="16"/>
      <c r="M111" s="16"/>
      <c r="N111" s="16"/>
      <c r="O111" s="16"/>
      <c r="P111" s="16"/>
      <c r="Q111" s="16"/>
      <c r="R111" s="16"/>
      <c r="S111" s="16"/>
      <c r="T111" s="16"/>
      <c r="U111" s="16"/>
      <c r="V111" s="16"/>
      <c r="W111" s="16"/>
      <c r="X111" s="16"/>
      <c r="Y111" s="16"/>
      <c r="Z111" s="16"/>
    </row>
    <row r="112" ht="12.75" spans="1:26">
      <c r="A112" s="23"/>
      <c r="B112" s="16"/>
      <c r="C112" s="23"/>
      <c r="D112" s="24"/>
      <c r="E112" s="16"/>
      <c r="F112" s="24"/>
      <c r="G112" s="24"/>
      <c r="H112" s="16"/>
      <c r="I112" s="16"/>
      <c r="J112" s="16"/>
      <c r="K112" s="16"/>
      <c r="L112" s="16"/>
      <c r="M112" s="16"/>
      <c r="N112" s="16"/>
      <c r="O112" s="16"/>
      <c r="P112" s="16"/>
      <c r="Q112" s="16"/>
      <c r="R112" s="16"/>
      <c r="S112" s="16"/>
      <c r="T112" s="16"/>
      <c r="U112" s="16"/>
      <c r="V112" s="16"/>
      <c r="W112" s="16"/>
      <c r="X112" s="16"/>
      <c r="Y112" s="16"/>
      <c r="Z112" s="16"/>
    </row>
    <row r="113" ht="12.75" spans="1:26">
      <c r="A113" s="23"/>
      <c r="B113" s="16"/>
      <c r="C113" s="23"/>
      <c r="D113" s="24"/>
      <c r="E113" s="16"/>
      <c r="F113" s="24"/>
      <c r="G113" s="24"/>
      <c r="H113" s="16"/>
      <c r="I113" s="16"/>
      <c r="J113" s="16"/>
      <c r="K113" s="16"/>
      <c r="L113" s="16"/>
      <c r="M113" s="16"/>
      <c r="N113" s="16"/>
      <c r="O113" s="16"/>
      <c r="P113" s="16"/>
      <c r="Q113" s="16"/>
      <c r="R113" s="16"/>
      <c r="S113" s="16"/>
      <c r="T113" s="16"/>
      <c r="U113" s="16"/>
      <c r="V113" s="16"/>
      <c r="W113" s="16"/>
      <c r="X113" s="16"/>
      <c r="Y113" s="16"/>
      <c r="Z113" s="16"/>
    </row>
    <row r="114" ht="12.75" spans="1:26">
      <c r="A114" s="23"/>
      <c r="B114" s="16"/>
      <c r="C114" s="23"/>
      <c r="D114" s="24"/>
      <c r="E114" s="16"/>
      <c r="F114" s="24"/>
      <c r="G114" s="24"/>
      <c r="H114" s="16"/>
      <c r="I114" s="16"/>
      <c r="J114" s="16"/>
      <c r="K114" s="16"/>
      <c r="L114" s="16"/>
      <c r="M114" s="16"/>
      <c r="N114" s="16"/>
      <c r="O114" s="16"/>
      <c r="P114" s="16"/>
      <c r="Q114" s="16"/>
      <c r="R114" s="16"/>
      <c r="S114" s="16"/>
      <c r="T114" s="16"/>
      <c r="U114" s="16"/>
      <c r="V114" s="16"/>
      <c r="W114" s="16"/>
      <c r="X114" s="16"/>
      <c r="Y114" s="16"/>
      <c r="Z114" s="16"/>
    </row>
    <row r="115" ht="12.75" spans="1:26">
      <c r="A115" s="23"/>
      <c r="B115" s="16"/>
      <c r="C115" s="23"/>
      <c r="D115" s="24"/>
      <c r="E115" s="16"/>
      <c r="F115" s="24"/>
      <c r="G115" s="24"/>
      <c r="H115" s="16"/>
      <c r="I115" s="16"/>
      <c r="J115" s="16"/>
      <c r="K115" s="16"/>
      <c r="L115" s="16"/>
      <c r="M115" s="16"/>
      <c r="N115" s="16"/>
      <c r="O115" s="16"/>
      <c r="P115" s="16"/>
      <c r="Q115" s="16"/>
      <c r="R115" s="16"/>
      <c r="S115" s="16"/>
      <c r="T115" s="16"/>
      <c r="U115" s="16"/>
      <c r="V115" s="16"/>
      <c r="W115" s="16"/>
      <c r="X115" s="16"/>
      <c r="Y115" s="16"/>
      <c r="Z115" s="16"/>
    </row>
    <row r="116" ht="12.75" spans="1:26">
      <c r="A116" s="23"/>
      <c r="B116" s="16"/>
      <c r="C116" s="23"/>
      <c r="D116" s="24"/>
      <c r="E116" s="16"/>
      <c r="F116" s="24"/>
      <c r="G116" s="24"/>
      <c r="H116" s="16"/>
      <c r="I116" s="16"/>
      <c r="J116" s="16"/>
      <c r="K116" s="16"/>
      <c r="L116" s="16"/>
      <c r="M116" s="16"/>
      <c r="N116" s="16"/>
      <c r="O116" s="16"/>
      <c r="P116" s="16"/>
      <c r="Q116" s="16"/>
      <c r="R116" s="16"/>
      <c r="S116" s="16"/>
      <c r="T116" s="16"/>
      <c r="U116" s="16"/>
      <c r="V116" s="16"/>
      <c r="W116" s="16"/>
      <c r="X116" s="16"/>
      <c r="Y116" s="16"/>
      <c r="Z116" s="16"/>
    </row>
    <row r="117" ht="12.75" spans="1:26">
      <c r="A117" s="23"/>
      <c r="B117" s="16"/>
      <c r="C117" s="23"/>
      <c r="D117" s="24"/>
      <c r="E117" s="16"/>
      <c r="F117" s="24"/>
      <c r="G117" s="24"/>
      <c r="H117" s="16"/>
      <c r="I117" s="16"/>
      <c r="J117" s="16"/>
      <c r="K117" s="16"/>
      <c r="L117" s="16"/>
      <c r="M117" s="16"/>
      <c r="N117" s="16"/>
      <c r="O117" s="16"/>
      <c r="P117" s="16"/>
      <c r="Q117" s="16"/>
      <c r="R117" s="16"/>
      <c r="S117" s="16"/>
      <c r="T117" s="16"/>
      <c r="U117" s="16"/>
      <c r="V117" s="16"/>
      <c r="W117" s="16"/>
      <c r="X117" s="16"/>
      <c r="Y117" s="16"/>
      <c r="Z117" s="16"/>
    </row>
    <row r="118" ht="12.75" spans="1:26">
      <c r="A118" s="23"/>
      <c r="B118" s="16"/>
      <c r="C118" s="23"/>
      <c r="D118" s="24"/>
      <c r="E118" s="16"/>
      <c r="F118" s="24"/>
      <c r="G118" s="24"/>
      <c r="H118" s="16"/>
      <c r="I118" s="16"/>
      <c r="J118" s="16"/>
      <c r="K118" s="16"/>
      <c r="L118" s="16"/>
      <c r="M118" s="16"/>
      <c r="N118" s="16"/>
      <c r="O118" s="16"/>
      <c r="P118" s="16"/>
      <c r="Q118" s="16"/>
      <c r="R118" s="16"/>
      <c r="S118" s="16"/>
      <c r="T118" s="16"/>
      <c r="U118" s="16"/>
      <c r="V118" s="16"/>
      <c r="W118" s="16"/>
      <c r="X118" s="16"/>
      <c r="Y118" s="16"/>
      <c r="Z118" s="16"/>
    </row>
    <row r="119" ht="12.75" spans="1:26">
      <c r="A119" s="23"/>
      <c r="B119" s="16"/>
      <c r="C119" s="23"/>
      <c r="D119" s="24"/>
      <c r="E119" s="16"/>
      <c r="F119" s="24"/>
      <c r="G119" s="24"/>
      <c r="H119" s="16"/>
      <c r="I119" s="16"/>
      <c r="J119" s="16"/>
      <c r="K119" s="16"/>
      <c r="L119" s="16"/>
      <c r="M119" s="16"/>
      <c r="N119" s="16"/>
      <c r="O119" s="16"/>
      <c r="P119" s="16"/>
      <c r="Q119" s="16"/>
      <c r="R119" s="16"/>
      <c r="S119" s="16"/>
      <c r="T119" s="16"/>
      <c r="U119" s="16"/>
      <c r="V119" s="16"/>
      <c r="W119" s="16"/>
      <c r="X119" s="16"/>
      <c r="Y119" s="16"/>
      <c r="Z119" s="16"/>
    </row>
    <row r="120" ht="12.75" spans="1:26">
      <c r="A120" s="23"/>
      <c r="B120" s="16"/>
      <c r="C120" s="23"/>
      <c r="D120" s="24"/>
      <c r="E120" s="16"/>
      <c r="F120" s="24"/>
      <c r="G120" s="24"/>
      <c r="H120" s="16"/>
      <c r="I120" s="16"/>
      <c r="J120" s="16"/>
      <c r="K120" s="16"/>
      <c r="L120" s="16"/>
      <c r="M120" s="16"/>
      <c r="N120" s="16"/>
      <c r="O120" s="16"/>
      <c r="P120" s="16"/>
      <c r="Q120" s="16"/>
      <c r="R120" s="16"/>
      <c r="S120" s="16"/>
      <c r="T120" s="16"/>
      <c r="U120" s="16"/>
      <c r="V120" s="16"/>
      <c r="W120" s="16"/>
      <c r="X120" s="16"/>
      <c r="Y120" s="16"/>
      <c r="Z120" s="16"/>
    </row>
    <row r="121" ht="12.75" spans="1:26">
      <c r="A121" s="23"/>
      <c r="B121" s="16"/>
      <c r="C121" s="23"/>
      <c r="D121" s="24"/>
      <c r="E121" s="16"/>
      <c r="F121" s="24"/>
      <c r="G121" s="24"/>
      <c r="H121" s="16"/>
      <c r="I121" s="16"/>
      <c r="J121" s="16"/>
      <c r="K121" s="16"/>
      <c r="L121" s="16"/>
      <c r="M121" s="16"/>
      <c r="N121" s="16"/>
      <c r="O121" s="16"/>
      <c r="P121" s="16"/>
      <c r="Q121" s="16"/>
      <c r="R121" s="16"/>
      <c r="S121" s="16"/>
      <c r="T121" s="16"/>
      <c r="U121" s="16"/>
      <c r="V121" s="16"/>
      <c r="W121" s="16"/>
      <c r="X121" s="16"/>
      <c r="Y121" s="16"/>
      <c r="Z121" s="16"/>
    </row>
    <row r="122" ht="12.75" spans="1:26">
      <c r="A122" s="23"/>
      <c r="B122" s="16"/>
      <c r="C122" s="23"/>
      <c r="D122" s="24"/>
      <c r="E122" s="16"/>
      <c r="F122" s="24"/>
      <c r="G122" s="24"/>
      <c r="H122" s="16"/>
      <c r="I122" s="16"/>
      <c r="J122" s="16"/>
      <c r="K122" s="16"/>
      <c r="L122" s="16"/>
      <c r="M122" s="16"/>
      <c r="N122" s="16"/>
      <c r="O122" s="16"/>
      <c r="P122" s="16"/>
      <c r="Q122" s="16"/>
      <c r="R122" s="16"/>
      <c r="S122" s="16"/>
      <c r="T122" s="16"/>
      <c r="U122" s="16"/>
      <c r="V122" s="16"/>
      <c r="W122" s="16"/>
      <c r="X122" s="16"/>
      <c r="Y122" s="16"/>
      <c r="Z122" s="16"/>
    </row>
    <row r="123" ht="12.75" spans="1:26">
      <c r="A123" s="23"/>
      <c r="B123" s="16"/>
      <c r="C123" s="23"/>
      <c r="D123" s="24"/>
      <c r="E123" s="16"/>
      <c r="F123" s="24"/>
      <c r="G123" s="24"/>
      <c r="H123" s="16"/>
      <c r="I123" s="16"/>
      <c r="J123" s="16"/>
      <c r="K123" s="16"/>
      <c r="L123" s="16"/>
      <c r="M123" s="16"/>
      <c r="N123" s="16"/>
      <c r="O123" s="16"/>
      <c r="P123" s="16"/>
      <c r="Q123" s="16"/>
      <c r="R123" s="16"/>
      <c r="S123" s="16"/>
      <c r="T123" s="16"/>
      <c r="U123" s="16"/>
      <c r="V123" s="16"/>
      <c r="W123" s="16"/>
      <c r="X123" s="16"/>
      <c r="Y123" s="16"/>
      <c r="Z123" s="16"/>
    </row>
    <row r="124" ht="12.75" spans="1:26">
      <c r="A124" s="23"/>
      <c r="B124" s="16"/>
      <c r="C124" s="23"/>
      <c r="D124" s="24"/>
      <c r="E124" s="16"/>
      <c r="F124" s="24"/>
      <c r="G124" s="24"/>
      <c r="H124" s="16"/>
      <c r="I124" s="16"/>
      <c r="J124" s="16"/>
      <c r="K124" s="16"/>
      <c r="L124" s="16"/>
      <c r="M124" s="16"/>
      <c r="N124" s="16"/>
      <c r="O124" s="16"/>
      <c r="P124" s="16"/>
      <c r="Q124" s="16"/>
      <c r="R124" s="16"/>
      <c r="S124" s="16"/>
      <c r="T124" s="16"/>
      <c r="U124" s="16"/>
      <c r="V124" s="16"/>
      <c r="W124" s="16"/>
      <c r="X124" s="16"/>
      <c r="Y124" s="16"/>
      <c r="Z124" s="16"/>
    </row>
    <row r="125" ht="12.75" spans="1:26">
      <c r="A125" s="23"/>
      <c r="B125" s="16"/>
      <c r="C125" s="23"/>
      <c r="D125" s="24"/>
      <c r="E125" s="16"/>
      <c r="F125" s="24"/>
      <c r="G125" s="24"/>
      <c r="H125" s="16"/>
      <c r="I125" s="16"/>
      <c r="J125" s="16"/>
      <c r="K125" s="16"/>
      <c r="L125" s="16"/>
      <c r="M125" s="16"/>
      <c r="N125" s="16"/>
      <c r="O125" s="16"/>
      <c r="P125" s="16"/>
      <c r="Q125" s="16"/>
      <c r="R125" s="16"/>
      <c r="S125" s="16"/>
      <c r="T125" s="16"/>
      <c r="U125" s="16"/>
      <c r="V125" s="16"/>
      <c r="W125" s="16"/>
      <c r="X125" s="16"/>
      <c r="Y125" s="16"/>
      <c r="Z125" s="16"/>
    </row>
    <row r="126" ht="12.75" spans="1:26">
      <c r="A126" s="23"/>
      <c r="B126" s="16"/>
      <c r="C126" s="23"/>
      <c r="D126" s="24"/>
      <c r="E126" s="16"/>
      <c r="F126" s="24"/>
      <c r="G126" s="24"/>
      <c r="H126" s="16"/>
      <c r="I126" s="16"/>
      <c r="J126" s="16"/>
      <c r="K126" s="16"/>
      <c r="L126" s="16"/>
      <c r="M126" s="16"/>
      <c r="N126" s="16"/>
      <c r="O126" s="16"/>
      <c r="P126" s="16"/>
      <c r="Q126" s="16"/>
      <c r="R126" s="16"/>
      <c r="S126" s="16"/>
      <c r="T126" s="16"/>
      <c r="U126" s="16"/>
      <c r="V126" s="16"/>
      <c r="W126" s="16"/>
      <c r="X126" s="16"/>
      <c r="Y126" s="16"/>
      <c r="Z126" s="16"/>
    </row>
    <row r="127" ht="12.75" spans="1:26">
      <c r="A127" s="23"/>
      <c r="B127" s="16"/>
      <c r="C127" s="23"/>
      <c r="D127" s="24"/>
      <c r="E127" s="16"/>
      <c r="F127" s="24"/>
      <c r="G127" s="24"/>
      <c r="H127" s="16"/>
      <c r="I127" s="16"/>
      <c r="J127" s="16"/>
      <c r="K127" s="16"/>
      <c r="L127" s="16"/>
      <c r="M127" s="16"/>
      <c r="N127" s="16"/>
      <c r="O127" s="16"/>
      <c r="P127" s="16"/>
      <c r="Q127" s="16"/>
      <c r="R127" s="16"/>
      <c r="S127" s="16"/>
      <c r="T127" s="16"/>
      <c r="U127" s="16"/>
      <c r="V127" s="16"/>
      <c r="W127" s="16"/>
      <c r="X127" s="16"/>
      <c r="Y127" s="16"/>
      <c r="Z127" s="16"/>
    </row>
    <row r="128" ht="12.75" spans="1:26">
      <c r="A128" s="23"/>
      <c r="B128" s="16"/>
      <c r="C128" s="23"/>
      <c r="D128" s="24"/>
      <c r="E128" s="16"/>
      <c r="F128" s="24"/>
      <c r="G128" s="24"/>
      <c r="H128" s="16"/>
      <c r="I128" s="16"/>
      <c r="J128" s="16"/>
      <c r="K128" s="16"/>
      <c r="L128" s="16"/>
      <c r="M128" s="16"/>
      <c r="N128" s="16"/>
      <c r="O128" s="16"/>
      <c r="P128" s="16"/>
      <c r="Q128" s="16"/>
      <c r="R128" s="16"/>
      <c r="S128" s="16"/>
      <c r="T128" s="16"/>
      <c r="U128" s="16"/>
      <c r="V128" s="16"/>
      <c r="W128" s="16"/>
      <c r="X128" s="16"/>
      <c r="Y128" s="16"/>
      <c r="Z128" s="16"/>
    </row>
    <row r="129" ht="12.75" spans="1:26">
      <c r="A129" s="23"/>
      <c r="B129" s="16"/>
      <c r="C129" s="23"/>
      <c r="D129" s="24"/>
      <c r="E129" s="16"/>
      <c r="F129" s="24"/>
      <c r="G129" s="24"/>
      <c r="H129" s="16"/>
      <c r="I129" s="16"/>
      <c r="J129" s="16"/>
      <c r="K129" s="16"/>
      <c r="L129" s="16"/>
      <c r="M129" s="16"/>
      <c r="N129" s="16"/>
      <c r="O129" s="16"/>
      <c r="P129" s="16"/>
      <c r="Q129" s="16"/>
      <c r="R129" s="16"/>
      <c r="S129" s="16"/>
      <c r="T129" s="16"/>
      <c r="U129" s="16"/>
      <c r="V129" s="16"/>
      <c r="W129" s="16"/>
      <c r="X129" s="16"/>
      <c r="Y129" s="16"/>
      <c r="Z129" s="16"/>
    </row>
    <row r="130" ht="12.75" spans="1:26">
      <c r="A130" s="23"/>
      <c r="B130" s="16"/>
      <c r="C130" s="23"/>
      <c r="D130" s="24"/>
      <c r="E130" s="16"/>
      <c r="F130" s="24"/>
      <c r="G130" s="24"/>
      <c r="H130" s="16"/>
      <c r="I130" s="16"/>
      <c r="J130" s="16"/>
      <c r="K130" s="16"/>
      <c r="L130" s="16"/>
      <c r="M130" s="16"/>
      <c r="N130" s="16"/>
      <c r="O130" s="16"/>
      <c r="P130" s="16"/>
      <c r="Q130" s="16"/>
      <c r="R130" s="16"/>
      <c r="S130" s="16"/>
      <c r="T130" s="16"/>
      <c r="U130" s="16"/>
      <c r="V130" s="16"/>
      <c r="W130" s="16"/>
      <c r="X130" s="16"/>
      <c r="Y130" s="16"/>
      <c r="Z130" s="16"/>
    </row>
    <row r="131" ht="12.75" spans="1:26">
      <c r="A131" s="23"/>
      <c r="B131" s="16"/>
      <c r="C131" s="23"/>
      <c r="D131" s="24"/>
      <c r="E131" s="16"/>
      <c r="F131" s="24"/>
      <c r="G131" s="24"/>
      <c r="H131" s="16"/>
      <c r="I131" s="16"/>
      <c r="J131" s="16"/>
      <c r="K131" s="16"/>
      <c r="L131" s="16"/>
      <c r="M131" s="16"/>
      <c r="N131" s="16"/>
      <c r="O131" s="16"/>
      <c r="P131" s="16"/>
      <c r="Q131" s="16"/>
      <c r="R131" s="16"/>
      <c r="S131" s="16"/>
      <c r="T131" s="16"/>
      <c r="U131" s="16"/>
      <c r="V131" s="16"/>
      <c r="W131" s="16"/>
      <c r="X131" s="16"/>
      <c r="Y131" s="16"/>
      <c r="Z131" s="16"/>
    </row>
    <row r="132" ht="12.75" spans="1:26">
      <c r="A132" s="23"/>
      <c r="B132" s="16"/>
      <c r="C132" s="23"/>
      <c r="D132" s="24"/>
      <c r="E132" s="16"/>
      <c r="F132" s="24"/>
      <c r="G132" s="24"/>
      <c r="H132" s="16"/>
      <c r="I132" s="16"/>
      <c r="J132" s="16"/>
      <c r="K132" s="16"/>
      <c r="L132" s="16"/>
      <c r="M132" s="16"/>
      <c r="N132" s="16"/>
      <c r="O132" s="16"/>
      <c r="P132" s="16"/>
      <c r="Q132" s="16"/>
      <c r="R132" s="16"/>
      <c r="S132" s="16"/>
      <c r="T132" s="16"/>
      <c r="U132" s="16"/>
      <c r="V132" s="16"/>
      <c r="W132" s="16"/>
      <c r="X132" s="16"/>
      <c r="Y132" s="16"/>
      <c r="Z132" s="16"/>
    </row>
    <row r="133" ht="12.75" spans="1:26">
      <c r="A133" s="23"/>
      <c r="B133" s="16"/>
      <c r="C133" s="23"/>
      <c r="D133" s="24"/>
      <c r="E133" s="16"/>
      <c r="F133" s="24"/>
      <c r="G133" s="24"/>
      <c r="H133" s="16"/>
      <c r="I133" s="16"/>
      <c r="J133" s="16"/>
      <c r="K133" s="16"/>
      <c r="L133" s="16"/>
      <c r="M133" s="16"/>
      <c r="N133" s="16"/>
      <c r="O133" s="16"/>
      <c r="P133" s="16"/>
      <c r="Q133" s="16"/>
      <c r="R133" s="16"/>
      <c r="S133" s="16"/>
      <c r="T133" s="16"/>
      <c r="U133" s="16"/>
      <c r="V133" s="16"/>
      <c r="W133" s="16"/>
      <c r="X133" s="16"/>
      <c r="Y133" s="16"/>
      <c r="Z133" s="16"/>
    </row>
    <row r="134" ht="12.75" spans="1:26">
      <c r="A134" s="23"/>
      <c r="B134" s="16"/>
      <c r="C134" s="23"/>
      <c r="D134" s="24"/>
      <c r="E134" s="16"/>
      <c r="F134" s="24"/>
      <c r="G134" s="24"/>
      <c r="H134" s="16"/>
      <c r="I134" s="16"/>
      <c r="J134" s="16"/>
      <c r="K134" s="16"/>
      <c r="L134" s="16"/>
      <c r="M134" s="16"/>
      <c r="N134" s="16"/>
      <c r="O134" s="16"/>
      <c r="P134" s="16"/>
      <c r="Q134" s="16"/>
      <c r="R134" s="16"/>
      <c r="S134" s="16"/>
      <c r="T134" s="16"/>
      <c r="U134" s="16"/>
      <c r="V134" s="16"/>
      <c r="W134" s="16"/>
      <c r="X134" s="16"/>
      <c r="Y134" s="16"/>
      <c r="Z134" s="16"/>
    </row>
    <row r="135" ht="12.75" spans="1:26">
      <c r="A135" s="23"/>
      <c r="B135" s="16"/>
      <c r="C135" s="23"/>
      <c r="D135" s="24"/>
      <c r="E135" s="16"/>
      <c r="F135" s="24"/>
      <c r="G135" s="24"/>
      <c r="H135" s="16"/>
      <c r="I135" s="16"/>
      <c r="J135" s="16"/>
      <c r="K135" s="16"/>
      <c r="L135" s="16"/>
      <c r="M135" s="16"/>
      <c r="N135" s="16"/>
      <c r="O135" s="16"/>
      <c r="P135" s="16"/>
      <c r="Q135" s="16"/>
      <c r="R135" s="16"/>
      <c r="S135" s="16"/>
      <c r="T135" s="16"/>
      <c r="U135" s="16"/>
      <c r="V135" s="16"/>
      <c r="W135" s="16"/>
      <c r="X135" s="16"/>
      <c r="Y135" s="16"/>
      <c r="Z135" s="16"/>
    </row>
    <row r="136" ht="12.75" spans="1:26">
      <c r="A136" s="23"/>
      <c r="B136" s="16"/>
      <c r="C136" s="23"/>
      <c r="D136" s="24"/>
      <c r="E136" s="16"/>
      <c r="F136" s="24"/>
      <c r="G136" s="24"/>
      <c r="H136" s="16"/>
      <c r="I136" s="16"/>
      <c r="J136" s="16"/>
      <c r="K136" s="16"/>
      <c r="L136" s="16"/>
      <c r="M136" s="16"/>
      <c r="N136" s="16"/>
      <c r="O136" s="16"/>
      <c r="P136" s="16"/>
      <c r="Q136" s="16"/>
      <c r="R136" s="16"/>
      <c r="S136" s="16"/>
      <c r="T136" s="16"/>
      <c r="U136" s="16"/>
      <c r="V136" s="16"/>
      <c r="W136" s="16"/>
      <c r="X136" s="16"/>
      <c r="Y136" s="16"/>
      <c r="Z136" s="16"/>
    </row>
    <row r="137" ht="12.75" spans="1:26">
      <c r="A137" s="23"/>
      <c r="B137" s="16"/>
      <c r="C137" s="23"/>
      <c r="D137" s="24"/>
      <c r="E137" s="16"/>
      <c r="F137" s="24"/>
      <c r="G137" s="24"/>
      <c r="H137" s="16"/>
      <c r="I137" s="16"/>
      <c r="J137" s="16"/>
      <c r="K137" s="16"/>
      <c r="L137" s="16"/>
      <c r="M137" s="16"/>
      <c r="N137" s="16"/>
      <c r="O137" s="16"/>
      <c r="P137" s="16"/>
      <c r="Q137" s="16"/>
      <c r="R137" s="16"/>
      <c r="S137" s="16"/>
      <c r="T137" s="16"/>
      <c r="U137" s="16"/>
      <c r="V137" s="16"/>
      <c r="W137" s="16"/>
      <c r="X137" s="16"/>
      <c r="Y137" s="16"/>
      <c r="Z137" s="16"/>
    </row>
    <row r="138" ht="12.75" spans="1:26">
      <c r="A138" s="23"/>
      <c r="B138" s="16"/>
      <c r="C138" s="23"/>
      <c r="D138" s="24"/>
      <c r="E138" s="16"/>
      <c r="F138" s="24"/>
      <c r="G138" s="24"/>
      <c r="H138" s="16"/>
      <c r="I138" s="16"/>
      <c r="J138" s="16"/>
      <c r="K138" s="16"/>
      <c r="L138" s="16"/>
      <c r="M138" s="16"/>
      <c r="N138" s="16"/>
      <c r="O138" s="16"/>
      <c r="P138" s="16"/>
      <c r="Q138" s="16"/>
      <c r="R138" s="16"/>
      <c r="S138" s="16"/>
      <c r="T138" s="16"/>
      <c r="U138" s="16"/>
      <c r="V138" s="16"/>
      <c r="W138" s="16"/>
      <c r="X138" s="16"/>
      <c r="Y138" s="16"/>
      <c r="Z138" s="16"/>
    </row>
    <row r="139" ht="12.75" spans="1:26">
      <c r="A139" s="23"/>
      <c r="B139" s="16"/>
      <c r="C139" s="23"/>
      <c r="D139" s="24"/>
      <c r="E139" s="16"/>
      <c r="F139" s="24"/>
      <c r="G139" s="24"/>
      <c r="H139" s="16"/>
      <c r="I139" s="16"/>
      <c r="J139" s="16"/>
      <c r="K139" s="16"/>
      <c r="L139" s="16"/>
      <c r="M139" s="16"/>
      <c r="N139" s="16"/>
      <c r="O139" s="16"/>
      <c r="P139" s="16"/>
      <c r="Q139" s="16"/>
      <c r="R139" s="16"/>
      <c r="S139" s="16"/>
      <c r="T139" s="16"/>
      <c r="U139" s="16"/>
      <c r="V139" s="16"/>
      <c r="W139" s="16"/>
      <c r="X139" s="16"/>
      <c r="Y139" s="16"/>
      <c r="Z139" s="16"/>
    </row>
    <row r="140" ht="12.75" spans="1:26">
      <c r="A140" s="23"/>
      <c r="B140" s="16"/>
      <c r="C140" s="23"/>
      <c r="D140" s="24"/>
      <c r="E140" s="16"/>
      <c r="F140" s="24"/>
      <c r="G140" s="24"/>
      <c r="H140" s="16"/>
      <c r="I140" s="16"/>
      <c r="J140" s="16"/>
      <c r="K140" s="16"/>
      <c r="L140" s="16"/>
      <c r="M140" s="16"/>
      <c r="N140" s="16"/>
      <c r="O140" s="16"/>
      <c r="P140" s="16"/>
      <c r="Q140" s="16"/>
      <c r="R140" s="16"/>
      <c r="S140" s="16"/>
      <c r="T140" s="16"/>
      <c r="U140" s="16"/>
      <c r="V140" s="16"/>
      <c r="W140" s="16"/>
      <c r="X140" s="16"/>
      <c r="Y140" s="16"/>
      <c r="Z140" s="16"/>
    </row>
    <row r="141" ht="12.75" spans="1:26">
      <c r="A141" s="23"/>
      <c r="B141" s="16"/>
      <c r="C141" s="23"/>
      <c r="D141" s="24"/>
      <c r="E141" s="16"/>
      <c r="F141" s="24"/>
      <c r="G141" s="24"/>
      <c r="H141" s="16"/>
      <c r="I141" s="16"/>
      <c r="J141" s="16"/>
      <c r="K141" s="16"/>
      <c r="L141" s="16"/>
      <c r="M141" s="16"/>
      <c r="N141" s="16"/>
      <c r="O141" s="16"/>
      <c r="P141" s="16"/>
      <c r="Q141" s="16"/>
      <c r="R141" s="16"/>
      <c r="S141" s="16"/>
      <c r="T141" s="16"/>
      <c r="U141" s="16"/>
      <c r="V141" s="16"/>
      <c r="W141" s="16"/>
      <c r="X141" s="16"/>
      <c r="Y141" s="16"/>
      <c r="Z141" s="16"/>
    </row>
    <row r="142" ht="12.75" spans="1:26">
      <c r="A142" s="23"/>
      <c r="B142" s="16"/>
      <c r="C142" s="23"/>
      <c r="D142" s="24"/>
      <c r="E142" s="16"/>
      <c r="F142" s="24"/>
      <c r="G142" s="24"/>
      <c r="H142" s="16"/>
      <c r="I142" s="16"/>
      <c r="J142" s="16"/>
      <c r="K142" s="16"/>
      <c r="L142" s="16"/>
      <c r="M142" s="16"/>
      <c r="N142" s="16"/>
      <c r="O142" s="16"/>
      <c r="P142" s="16"/>
      <c r="Q142" s="16"/>
      <c r="R142" s="16"/>
      <c r="S142" s="16"/>
      <c r="T142" s="16"/>
      <c r="U142" s="16"/>
      <c r="V142" s="16"/>
      <c r="W142" s="16"/>
      <c r="X142" s="16"/>
      <c r="Y142" s="16"/>
      <c r="Z142" s="16"/>
    </row>
    <row r="143" ht="12.75" spans="1:26">
      <c r="A143" s="23"/>
      <c r="B143" s="16"/>
      <c r="C143" s="23"/>
      <c r="D143" s="24"/>
      <c r="E143" s="16"/>
      <c r="F143" s="24"/>
      <c r="G143" s="24"/>
      <c r="H143" s="16"/>
      <c r="I143" s="16"/>
      <c r="J143" s="16"/>
      <c r="K143" s="16"/>
      <c r="L143" s="16"/>
      <c r="M143" s="16"/>
      <c r="N143" s="16"/>
      <c r="O143" s="16"/>
      <c r="P143" s="16"/>
      <c r="Q143" s="16"/>
      <c r="R143" s="16"/>
      <c r="S143" s="16"/>
      <c r="T143" s="16"/>
      <c r="U143" s="16"/>
      <c r="V143" s="16"/>
      <c r="W143" s="16"/>
      <c r="X143" s="16"/>
      <c r="Y143" s="16"/>
      <c r="Z143" s="16"/>
    </row>
    <row r="144" ht="12.75" spans="1:26">
      <c r="A144" s="23"/>
      <c r="B144" s="16"/>
      <c r="C144" s="23"/>
      <c r="D144" s="24"/>
      <c r="E144" s="16"/>
      <c r="F144" s="24"/>
      <c r="G144" s="24"/>
      <c r="H144" s="16"/>
      <c r="I144" s="16"/>
      <c r="J144" s="16"/>
      <c r="K144" s="16"/>
      <c r="L144" s="16"/>
      <c r="M144" s="16"/>
      <c r="N144" s="16"/>
      <c r="O144" s="16"/>
      <c r="P144" s="16"/>
      <c r="Q144" s="16"/>
      <c r="R144" s="16"/>
      <c r="S144" s="16"/>
      <c r="T144" s="16"/>
      <c r="U144" s="16"/>
      <c r="V144" s="16"/>
      <c r="W144" s="16"/>
      <c r="X144" s="16"/>
      <c r="Y144" s="16"/>
      <c r="Z144" s="16"/>
    </row>
    <row r="145" ht="12.75" spans="1:26">
      <c r="A145" s="23"/>
      <c r="B145" s="16"/>
      <c r="C145" s="23"/>
      <c r="D145" s="24"/>
      <c r="E145" s="16"/>
      <c r="F145" s="24"/>
      <c r="G145" s="24"/>
      <c r="H145" s="16"/>
      <c r="I145" s="16"/>
      <c r="J145" s="16"/>
      <c r="K145" s="16"/>
      <c r="L145" s="16"/>
      <c r="M145" s="16"/>
      <c r="N145" s="16"/>
      <c r="O145" s="16"/>
      <c r="P145" s="16"/>
      <c r="Q145" s="16"/>
      <c r="R145" s="16"/>
      <c r="S145" s="16"/>
      <c r="T145" s="16"/>
      <c r="U145" s="16"/>
      <c r="V145" s="16"/>
      <c r="W145" s="16"/>
      <c r="X145" s="16"/>
      <c r="Y145" s="16"/>
      <c r="Z145" s="16"/>
    </row>
    <row r="146" ht="12.75" spans="1:26">
      <c r="A146" s="23"/>
      <c r="B146" s="16"/>
      <c r="C146" s="23"/>
      <c r="D146" s="24"/>
      <c r="E146" s="16"/>
      <c r="F146" s="24"/>
      <c r="G146" s="24"/>
      <c r="H146" s="16"/>
      <c r="I146" s="16"/>
      <c r="J146" s="16"/>
      <c r="K146" s="16"/>
      <c r="L146" s="16"/>
      <c r="M146" s="16"/>
      <c r="N146" s="16"/>
      <c r="O146" s="16"/>
      <c r="P146" s="16"/>
      <c r="Q146" s="16"/>
      <c r="R146" s="16"/>
      <c r="S146" s="16"/>
      <c r="T146" s="16"/>
      <c r="U146" s="16"/>
      <c r="V146" s="16"/>
      <c r="W146" s="16"/>
      <c r="X146" s="16"/>
      <c r="Y146" s="16"/>
      <c r="Z146" s="16"/>
    </row>
    <row r="147" ht="12.75" spans="1:26">
      <c r="A147" s="23"/>
      <c r="B147" s="16"/>
      <c r="C147" s="23"/>
      <c r="D147" s="24"/>
      <c r="E147" s="16"/>
      <c r="F147" s="24"/>
      <c r="G147" s="24"/>
      <c r="H147" s="16"/>
      <c r="I147" s="16"/>
      <c r="J147" s="16"/>
      <c r="K147" s="16"/>
      <c r="L147" s="16"/>
      <c r="M147" s="16"/>
      <c r="N147" s="16"/>
      <c r="O147" s="16"/>
      <c r="P147" s="16"/>
      <c r="Q147" s="16"/>
      <c r="R147" s="16"/>
      <c r="S147" s="16"/>
      <c r="T147" s="16"/>
      <c r="U147" s="16"/>
      <c r="V147" s="16"/>
      <c r="W147" s="16"/>
      <c r="X147" s="16"/>
      <c r="Y147" s="16"/>
      <c r="Z147" s="16"/>
    </row>
    <row r="148" ht="12.75" spans="1:26">
      <c r="A148" s="23"/>
      <c r="B148" s="16"/>
      <c r="C148" s="23"/>
      <c r="D148" s="24"/>
      <c r="E148" s="16"/>
      <c r="F148" s="24"/>
      <c r="G148" s="24"/>
      <c r="H148" s="16"/>
      <c r="I148" s="16"/>
      <c r="J148" s="16"/>
      <c r="K148" s="16"/>
      <c r="L148" s="16"/>
      <c r="M148" s="16"/>
      <c r="N148" s="16"/>
      <c r="O148" s="16"/>
      <c r="P148" s="16"/>
      <c r="Q148" s="16"/>
      <c r="R148" s="16"/>
      <c r="S148" s="16"/>
      <c r="T148" s="16"/>
      <c r="U148" s="16"/>
      <c r="V148" s="16"/>
      <c r="W148" s="16"/>
      <c r="X148" s="16"/>
      <c r="Y148" s="16"/>
      <c r="Z148" s="16"/>
    </row>
    <row r="149" ht="12.75" spans="1:26">
      <c r="A149" s="23"/>
      <c r="B149" s="16"/>
      <c r="C149" s="23"/>
      <c r="D149" s="24"/>
      <c r="E149" s="16"/>
      <c r="F149" s="24"/>
      <c r="G149" s="24"/>
      <c r="H149" s="16"/>
      <c r="I149" s="16"/>
      <c r="J149" s="16"/>
      <c r="K149" s="16"/>
      <c r="L149" s="16"/>
      <c r="M149" s="16"/>
      <c r="N149" s="16"/>
      <c r="O149" s="16"/>
      <c r="P149" s="16"/>
      <c r="Q149" s="16"/>
      <c r="R149" s="16"/>
      <c r="S149" s="16"/>
      <c r="T149" s="16"/>
      <c r="U149" s="16"/>
      <c r="V149" s="16"/>
      <c r="W149" s="16"/>
      <c r="X149" s="16"/>
      <c r="Y149" s="16"/>
      <c r="Z149" s="16"/>
    </row>
    <row r="150" ht="12.75" spans="1:26">
      <c r="A150" s="23"/>
      <c r="B150" s="16"/>
      <c r="C150" s="23"/>
      <c r="D150" s="24"/>
      <c r="E150" s="16"/>
      <c r="F150" s="24"/>
      <c r="G150" s="24"/>
      <c r="H150" s="16"/>
      <c r="I150" s="16"/>
      <c r="J150" s="16"/>
      <c r="K150" s="16"/>
      <c r="L150" s="16"/>
      <c r="M150" s="16"/>
      <c r="N150" s="16"/>
      <c r="O150" s="16"/>
      <c r="P150" s="16"/>
      <c r="Q150" s="16"/>
      <c r="R150" s="16"/>
      <c r="S150" s="16"/>
      <c r="T150" s="16"/>
      <c r="U150" s="16"/>
      <c r="V150" s="16"/>
      <c r="W150" s="16"/>
      <c r="X150" s="16"/>
      <c r="Y150" s="16"/>
      <c r="Z150" s="16"/>
    </row>
    <row r="151" ht="12.75" spans="1:26">
      <c r="A151" s="23"/>
      <c r="B151" s="16"/>
      <c r="C151" s="23"/>
      <c r="D151" s="24"/>
      <c r="E151" s="16"/>
      <c r="F151" s="24"/>
      <c r="G151" s="24"/>
      <c r="H151" s="16"/>
      <c r="I151" s="16"/>
      <c r="J151" s="16"/>
      <c r="K151" s="16"/>
      <c r="L151" s="16"/>
      <c r="M151" s="16"/>
      <c r="N151" s="16"/>
      <c r="O151" s="16"/>
      <c r="P151" s="16"/>
      <c r="Q151" s="16"/>
      <c r="R151" s="16"/>
      <c r="S151" s="16"/>
      <c r="T151" s="16"/>
      <c r="U151" s="16"/>
      <c r="V151" s="16"/>
      <c r="W151" s="16"/>
      <c r="X151" s="16"/>
      <c r="Y151" s="16"/>
      <c r="Z151" s="16"/>
    </row>
    <row r="152" ht="12.75" spans="1:26">
      <c r="A152" s="23"/>
      <c r="B152" s="16"/>
      <c r="C152" s="23"/>
      <c r="D152" s="24"/>
      <c r="E152" s="16"/>
      <c r="F152" s="24"/>
      <c r="G152" s="24"/>
      <c r="H152" s="16"/>
      <c r="I152" s="16"/>
      <c r="J152" s="16"/>
      <c r="K152" s="16"/>
      <c r="L152" s="16"/>
      <c r="M152" s="16"/>
      <c r="N152" s="16"/>
      <c r="O152" s="16"/>
      <c r="P152" s="16"/>
      <c r="Q152" s="16"/>
      <c r="R152" s="16"/>
      <c r="S152" s="16"/>
      <c r="T152" s="16"/>
      <c r="U152" s="16"/>
      <c r="V152" s="16"/>
      <c r="W152" s="16"/>
      <c r="X152" s="16"/>
      <c r="Y152" s="16"/>
      <c r="Z152" s="16"/>
    </row>
    <row r="153" ht="12.75" spans="1:26">
      <c r="A153" s="23"/>
      <c r="B153" s="16"/>
      <c r="C153" s="23"/>
      <c r="D153" s="24"/>
      <c r="E153" s="16"/>
      <c r="F153" s="24"/>
      <c r="G153" s="24"/>
      <c r="H153" s="16"/>
      <c r="I153" s="16"/>
      <c r="J153" s="16"/>
      <c r="K153" s="16"/>
      <c r="L153" s="16"/>
      <c r="M153" s="16"/>
      <c r="N153" s="16"/>
      <c r="O153" s="16"/>
      <c r="P153" s="16"/>
      <c r="Q153" s="16"/>
      <c r="R153" s="16"/>
      <c r="S153" s="16"/>
      <c r="T153" s="16"/>
      <c r="U153" s="16"/>
      <c r="V153" s="16"/>
      <c r="W153" s="16"/>
      <c r="X153" s="16"/>
      <c r="Y153" s="16"/>
      <c r="Z153" s="16"/>
    </row>
    <row r="154" ht="12.75" spans="1:26">
      <c r="A154" s="23"/>
      <c r="B154" s="16"/>
      <c r="C154" s="23"/>
      <c r="D154" s="24"/>
      <c r="E154" s="16"/>
      <c r="F154" s="24"/>
      <c r="G154" s="24"/>
      <c r="H154" s="16"/>
      <c r="I154" s="16"/>
      <c r="J154" s="16"/>
      <c r="K154" s="16"/>
      <c r="L154" s="16"/>
      <c r="M154" s="16"/>
      <c r="N154" s="16"/>
      <c r="O154" s="16"/>
      <c r="P154" s="16"/>
      <c r="Q154" s="16"/>
      <c r="R154" s="16"/>
      <c r="S154" s="16"/>
      <c r="T154" s="16"/>
      <c r="U154" s="16"/>
      <c r="V154" s="16"/>
      <c r="W154" s="16"/>
      <c r="X154" s="16"/>
      <c r="Y154" s="16"/>
      <c r="Z154" s="16"/>
    </row>
    <row r="155" ht="12.75" spans="1:26">
      <c r="A155" s="23"/>
      <c r="B155" s="16"/>
      <c r="C155" s="23"/>
      <c r="D155" s="24"/>
      <c r="E155" s="16"/>
      <c r="F155" s="24"/>
      <c r="G155" s="24"/>
      <c r="H155" s="16"/>
      <c r="I155" s="16"/>
      <c r="J155" s="16"/>
      <c r="K155" s="16"/>
      <c r="L155" s="16"/>
      <c r="M155" s="16"/>
      <c r="N155" s="16"/>
      <c r="O155" s="16"/>
      <c r="P155" s="16"/>
      <c r="Q155" s="16"/>
      <c r="R155" s="16"/>
      <c r="S155" s="16"/>
      <c r="T155" s="16"/>
      <c r="U155" s="16"/>
      <c r="V155" s="16"/>
      <c r="W155" s="16"/>
      <c r="X155" s="16"/>
      <c r="Y155" s="16"/>
      <c r="Z155" s="16"/>
    </row>
    <row r="156" ht="12.75" spans="1:26">
      <c r="A156" s="23"/>
      <c r="B156" s="16"/>
      <c r="C156" s="23"/>
      <c r="D156" s="24"/>
      <c r="E156" s="16"/>
      <c r="F156" s="24"/>
      <c r="G156" s="24"/>
      <c r="H156" s="16"/>
      <c r="I156" s="16"/>
      <c r="J156" s="16"/>
      <c r="K156" s="16"/>
      <c r="L156" s="16"/>
      <c r="M156" s="16"/>
      <c r="N156" s="16"/>
      <c r="O156" s="16"/>
      <c r="P156" s="16"/>
      <c r="Q156" s="16"/>
      <c r="R156" s="16"/>
      <c r="S156" s="16"/>
      <c r="T156" s="16"/>
      <c r="U156" s="16"/>
      <c r="V156" s="16"/>
      <c r="W156" s="16"/>
      <c r="X156" s="16"/>
      <c r="Y156" s="16"/>
      <c r="Z156" s="16"/>
    </row>
    <row r="157" ht="12.75" spans="1:26">
      <c r="A157" s="23"/>
      <c r="B157" s="16"/>
      <c r="C157" s="23"/>
      <c r="D157" s="24"/>
      <c r="E157" s="16"/>
      <c r="F157" s="24"/>
      <c r="G157" s="24"/>
      <c r="H157" s="16"/>
      <c r="I157" s="16"/>
      <c r="J157" s="16"/>
      <c r="K157" s="16"/>
      <c r="L157" s="16"/>
      <c r="M157" s="16"/>
      <c r="N157" s="16"/>
      <c r="O157" s="16"/>
      <c r="P157" s="16"/>
      <c r="Q157" s="16"/>
      <c r="R157" s="16"/>
      <c r="S157" s="16"/>
      <c r="T157" s="16"/>
      <c r="U157" s="16"/>
      <c r="V157" s="16"/>
      <c r="W157" s="16"/>
      <c r="X157" s="16"/>
      <c r="Y157" s="16"/>
      <c r="Z157" s="16"/>
    </row>
    <row r="158" ht="12.75" spans="1:26">
      <c r="A158" s="23"/>
      <c r="B158" s="16"/>
      <c r="C158" s="23"/>
      <c r="D158" s="24"/>
      <c r="E158" s="16"/>
      <c r="F158" s="24"/>
      <c r="G158" s="24"/>
      <c r="H158" s="16"/>
      <c r="I158" s="16"/>
      <c r="J158" s="16"/>
      <c r="K158" s="16"/>
      <c r="L158" s="16"/>
      <c r="M158" s="16"/>
      <c r="N158" s="16"/>
      <c r="O158" s="16"/>
      <c r="P158" s="16"/>
      <c r="Q158" s="16"/>
      <c r="R158" s="16"/>
      <c r="S158" s="16"/>
      <c r="T158" s="16"/>
      <c r="U158" s="16"/>
      <c r="V158" s="16"/>
      <c r="W158" s="16"/>
      <c r="X158" s="16"/>
      <c r="Y158" s="16"/>
      <c r="Z158" s="16"/>
    </row>
    <row r="159" ht="12.75" spans="1:26">
      <c r="A159" s="23"/>
      <c r="B159" s="16"/>
      <c r="C159" s="23"/>
      <c r="D159" s="24"/>
      <c r="E159" s="16"/>
      <c r="F159" s="24"/>
      <c r="G159" s="24"/>
      <c r="H159" s="16"/>
      <c r="I159" s="16"/>
      <c r="J159" s="16"/>
      <c r="K159" s="16"/>
      <c r="L159" s="16"/>
      <c r="M159" s="16"/>
      <c r="N159" s="16"/>
      <c r="O159" s="16"/>
      <c r="P159" s="16"/>
      <c r="Q159" s="16"/>
      <c r="R159" s="16"/>
      <c r="S159" s="16"/>
      <c r="T159" s="16"/>
      <c r="U159" s="16"/>
      <c r="V159" s="16"/>
      <c r="W159" s="16"/>
      <c r="X159" s="16"/>
      <c r="Y159" s="16"/>
      <c r="Z159" s="16"/>
    </row>
    <row r="160" ht="12.75" spans="1:26">
      <c r="A160" s="23"/>
      <c r="B160" s="16"/>
      <c r="C160" s="23"/>
      <c r="D160" s="24"/>
      <c r="E160" s="16"/>
      <c r="F160" s="24"/>
      <c r="G160" s="24"/>
      <c r="H160" s="16"/>
      <c r="I160" s="16"/>
      <c r="J160" s="16"/>
      <c r="K160" s="16"/>
      <c r="L160" s="16"/>
      <c r="M160" s="16"/>
      <c r="N160" s="16"/>
      <c r="O160" s="16"/>
      <c r="P160" s="16"/>
      <c r="Q160" s="16"/>
      <c r="R160" s="16"/>
      <c r="S160" s="16"/>
      <c r="T160" s="16"/>
      <c r="U160" s="16"/>
      <c r="V160" s="16"/>
      <c r="W160" s="16"/>
      <c r="X160" s="16"/>
      <c r="Y160" s="16"/>
      <c r="Z160" s="16"/>
    </row>
    <row r="161" ht="12.75" spans="1:26">
      <c r="A161" s="23"/>
      <c r="B161" s="16"/>
      <c r="C161" s="23"/>
      <c r="D161" s="24"/>
      <c r="E161" s="16"/>
      <c r="F161" s="24"/>
      <c r="G161" s="24"/>
      <c r="H161" s="16"/>
      <c r="I161" s="16"/>
      <c r="J161" s="16"/>
      <c r="K161" s="16"/>
      <c r="L161" s="16"/>
      <c r="M161" s="16"/>
      <c r="N161" s="16"/>
      <c r="O161" s="16"/>
      <c r="P161" s="16"/>
      <c r="Q161" s="16"/>
      <c r="R161" s="16"/>
      <c r="S161" s="16"/>
      <c r="T161" s="16"/>
      <c r="U161" s="16"/>
      <c r="V161" s="16"/>
      <c r="W161" s="16"/>
      <c r="X161" s="16"/>
      <c r="Y161" s="16"/>
      <c r="Z161" s="16"/>
    </row>
    <row r="162" ht="12.75" spans="1:26">
      <c r="A162" s="23"/>
      <c r="B162" s="16"/>
      <c r="C162" s="23"/>
      <c r="D162" s="24"/>
      <c r="E162" s="16"/>
      <c r="F162" s="24"/>
      <c r="G162" s="24"/>
      <c r="H162" s="16"/>
      <c r="I162" s="16"/>
      <c r="J162" s="16"/>
      <c r="K162" s="16"/>
      <c r="L162" s="16"/>
      <c r="M162" s="16"/>
      <c r="N162" s="16"/>
      <c r="O162" s="16"/>
      <c r="P162" s="16"/>
      <c r="Q162" s="16"/>
      <c r="R162" s="16"/>
      <c r="S162" s="16"/>
      <c r="T162" s="16"/>
      <c r="U162" s="16"/>
      <c r="V162" s="16"/>
      <c r="W162" s="16"/>
      <c r="X162" s="16"/>
      <c r="Y162" s="16"/>
      <c r="Z162" s="16"/>
    </row>
    <row r="163" ht="12.75" spans="1:26">
      <c r="A163" s="23"/>
      <c r="B163" s="16"/>
      <c r="C163" s="23"/>
      <c r="D163" s="24"/>
      <c r="E163" s="16"/>
      <c r="F163" s="24"/>
      <c r="G163" s="24"/>
      <c r="H163" s="16"/>
      <c r="I163" s="16"/>
      <c r="J163" s="16"/>
      <c r="K163" s="16"/>
      <c r="L163" s="16"/>
      <c r="M163" s="16"/>
      <c r="N163" s="16"/>
      <c r="O163" s="16"/>
      <c r="P163" s="16"/>
      <c r="Q163" s="16"/>
      <c r="R163" s="16"/>
      <c r="S163" s="16"/>
      <c r="T163" s="16"/>
      <c r="U163" s="16"/>
      <c r="V163" s="16"/>
      <c r="W163" s="16"/>
      <c r="X163" s="16"/>
      <c r="Y163" s="16"/>
      <c r="Z163" s="16"/>
    </row>
    <row r="164" ht="12.75" spans="1:26">
      <c r="A164" s="23"/>
      <c r="B164" s="16"/>
      <c r="C164" s="23"/>
      <c r="D164" s="24"/>
      <c r="E164" s="16"/>
      <c r="F164" s="24"/>
      <c r="G164" s="24"/>
      <c r="H164" s="16"/>
      <c r="I164" s="16"/>
      <c r="J164" s="16"/>
      <c r="K164" s="16"/>
      <c r="L164" s="16"/>
      <c r="M164" s="16"/>
      <c r="N164" s="16"/>
      <c r="O164" s="16"/>
      <c r="P164" s="16"/>
      <c r="Q164" s="16"/>
      <c r="R164" s="16"/>
      <c r="S164" s="16"/>
      <c r="T164" s="16"/>
      <c r="U164" s="16"/>
      <c r="V164" s="16"/>
      <c r="W164" s="16"/>
      <c r="X164" s="16"/>
      <c r="Y164" s="16"/>
      <c r="Z164" s="16"/>
    </row>
    <row r="165" ht="12.75" spans="1:26">
      <c r="A165" s="23"/>
      <c r="B165" s="16"/>
      <c r="C165" s="23"/>
      <c r="D165" s="24"/>
      <c r="E165" s="16"/>
      <c r="F165" s="24"/>
      <c r="G165" s="24"/>
      <c r="H165" s="16"/>
      <c r="I165" s="16"/>
      <c r="J165" s="16"/>
      <c r="K165" s="16"/>
      <c r="L165" s="16"/>
      <c r="M165" s="16"/>
      <c r="N165" s="16"/>
      <c r="O165" s="16"/>
      <c r="P165" s="16"/>
      <c r="Q165" s="16"/>
      <c r="R165" s="16"/>
      <c r="S165" s="16"/>
      <c r="T165" s="16"/>
      <c r="U165" s="16"/>
      <c r="V165" s="16"/>
      <c r="W165" s="16"/>
      <c r="X165" s="16"/>
      <c r="Y165" s="16"/>
      <c r="Z165" s="16"/>
    </row>
    <row r="166" ht="12.75" spans="1:26">
      <c r="A166" s="23"/>
      <c r="B166" s="16"/>
      <c r="C166" s="23"/>
      <c r="D166" s="24"/>
      <c r="E166" s="16"/>
      <c r="F166" s="24"/>
      <c r="G166" s="24"/>
      <c r="H166" s="16"/>
      <c r="I166" s="16"/>
      <c r="J166" s="16"/>
      <c r="K166" s="16"/>
      <c r="L166" s="16"/>
      <c r="M166" s="16"/>
      <c r="N166" s="16"/>
      <c r="O166" s="16"/>
      <c r="P166" s="16"/>
      <c r="Q166" s="16"/>
      <c r="R166" s="16"/>
      <c r="S166" s="16"/>
      <c r="T166" s="16"/>
      <c r="U166" s="16"/>
      <c r="V166" s="16"/>
      <c r="W166" s="16"/>
      <c r="X166" s="16"/>
      <c r="Y166" s="16"/>
      <c r="Z166" s="16"/>
    </row>
    <row r="167" ht="12.75" spans="1:26">
      <c r="A167" s="23"/>
      <c r="B167" s="16"/>
      <c r="C167" s="23"/>
      <c r="D167" s="24"/>
      <c r="E167" s="16"/>
      <c r="F167" s="24"/>
      <c r="G167" s="24"/>
      <c r="H167" s="16"/>
      <c r="I167" s="16"/>
      <c r="J167" s="16"/>
      <c r="K167" s="16"/>
      <c r="L167" s="16"/>
      <c r="M167" s="16"/>
      <c r="N167" s="16"/>
      <c r="O167" s="16"/>
      <c r="P167" s="16"/>
      <c r="Q167" s="16"/>
      <c r="R167" s="16"/>
      <c r="S167" s="16"/>
      <c r="T167" s="16"/>
      <c r="U167" s="16"/>
      <c r="V167" s="16"/>
      <c r="W167" s="16"/>
      <c r="X167" s="16"/>
      <c r="Y167" s="16"/>
      <c r="Z167" s="16"/>
    </row>
    <row r="168" ht="12.75" spans="1:26">
      <c r="A168" s="23"/>
      <c r="B168" s="16"/>
      <c r="C168" s="23"/>
      <c r="D168" s="24"/>
      <c r="E168" s="16"/>
      <c r="F168" s="24"/>
      <c r="G168" s="24"/>
      <c r="H168" s="16"/>
      <c r="I168" s="16"/>
      <c r="J168" s="16"/>
      <c r="K168" s="16"/>
      <c r="L168" s="16"/>
      <c r="M168" s="16"/>
      <c r="N168" s="16"/>
      <c r="O168" s="16"/>
      <c r="P168" s="16"/>
      <c r="Q168" s="16"/>
      <c r="R168" s="16"/>
      <c r="S168" s="16"/>
      <c r="T168" s="16"/>
      <c r="U168" s="16"/>
      <c r="V168" s="16"/>
      <c r="W168" s="16"/>
      <c r="X168" s="16"/>
      <c r="Y168" s="16"/>
      <c r="Z168" s="16"/>
    </row>
    <row r="169" ht="12.75" spans="1:26">
      <c r="A169" s="23"/>
      <c r="B169" s="16"/>
      <c r="C169" s="23"/>
      <c r="D169" s="24"/>
      <c r="E169" s="16"/>
      <c r="F169" s="24"/>
      <c r="G169" s="24"/>
      <c r="H169" s="16"/>
      <c r="I169" s="16"/>
      <c r="J169" s="16"/>
      <c r="K169" s="16"/>
      <c r="L169" s="16"/>
      <c r="M169" s="16"/>
      <c r="N169" s="16"/>
      <c r="O169" s="16"/>
      <c r="P169" s="16"/>
      <c r="Q169" s="16"/>
      <c r="R169" s="16"/>
      <c r="S169" s="16"/>
      <c r="T169" s="16"/>
      <c r="U169" s="16"/>
      <c r="V169" s="16"/>
      <c r="W169" s="16"/>
      <c r="X169" s="16"/>
      <c r="Y169" s="16"/>
      <c r="Z169" s="16"/>
    </row>
    <row r="170" ht="12.75" spans="1:26">
      <c r="A170" s="23"/>
      <c r="B170" s="16"/>
      <c r="C170" s="23"/>
      <c r="D170" s="24"/>
      <c r="E170" s="16"/>
      <c r="F170" s="24"/>
      <c r="G170" s="24"/>
      <c r="H170" s="16"/>
      <c r="I170" s="16"/>
      <c r="J170" s="16"/>
      <c r="K170" s="16"/>
      <c r="L170" s="16"/>
      <c r="M170" s="16"/>
      <c r="N170" s="16"/>
      <c r="O170" s="16"/>
      <c r="P170" s="16"/>
      <c r="Q170" s="16"/>
      <c r="R170" s="16"/>
      <c r="S170" s="16"/>
      <c r="T170" s="16"/>
      <c r="U170" s="16"/>
      <c r="V170" s="16"/>
      <c r="W170" s="16"/>
      <c r="X170" s="16"/>
      <c r="Y170" s="16"/>
      <c r="Z170" s="16"/>
    </row>
    <row r="171" ht="12.75" spans="1:26">
      <c r="A171" s="23"/>
      <c r="B171" s="16"/>
      <c r="C171" s="23"/>
      <c r="D171" s="24"/>
      <c r="E171" s="16"/>
      <c r="F171" s="24"/>
      <c r="G171" s="24"/>
      <c r="H171" s="16"/>
      <c r="I171" s="16"/>
      <c r="J171" s="16"/>
      <c r="K171" s="16"/>
      <c r="L171" s="16"/>
      <c r="M171" s="16"/>
      <c r="N171" s="16"/>
      <c r="O171" s="16"/>
      <c r="P171" s="16"/>
      <c r="Q171" s="16"/>
      <c r="R171" s="16"/>
      <c r="S171" s="16"/>
      <c r="T171" s="16"/>
      <c r="U171" s="16"/>
      <c r="V171" s="16"/>
      <c r="W171" s="16"/>
      <c r="X171" s="16"/>
      <c r="Y171" s="16"/>
      <c r="Z171" s="16"/>
    </row>
    <row r="172" ht="12.75" spans="1:26">
      <c r="A172" s="23"/>
      <c r="B172" s="16"/>
      <c r="C172" s="23"/>
      <c r="D172" s="24"/>
      <c r="E172" s="16"/>
      <c r="F172" s="24"/>
      <c r="G172" s="24"/>
      <c r="H172" s="16"/>
      <c r="I172" s="16"/>
      <c r="J172" s="16"/>
      <c r="K172" s="16"/>
      <c r="L172" s="16"/>
      <c r="M172" s="16"/>
      <c r="N172" s="16"/>
      <c r="O172" s="16"/>
      <c r="P172" s="16"/>
      <c r="Q172" s="16"/>
      <c r="R172" s="16"/>
      <c r="S172" s="16"/>
      <c r="T172" s="16"/>
      <c r="U172" s="16"/>
      <c r="V172" s="16"/>
      <c r="W172" s="16"/>
      <c r="X172" s="16"/>
      <c r="Y172" s="16"/>
      <c r="Z172" s="16"/>
    </row>
    <row r="173" ht="12.75" spans="1:26">
      <c r="A173" s="23"/>
      <c r="B173" s="16"/>
      <c r="C173" s="23"/>
      <c r="D173" s="24"/>
      <c r="E173" s="16"/>
      <c r="F173" s="24"/>
      <c r="G173" s="24"/>
      <c r="H173" s="16"/>
      <c r="I173" s="16"/>
      <c r="J173" s="16"/>
      <c r="K173" s="16"/>
      <c r="L173" s="16"/>
      <c r="M173" s="16"/>
      <c r="N173" s="16"/>
      <c r="O173" s="16"/>
      <c r="P173" s="16"/>
      <c r="Q173" s="16"/>
      <c r="R173" s="16"/>
      <c r="S173" s="16"/>
      <c r="T173" s="16"/>
      <c r="U173" s="16"/>
      <c r="V173" s="16"/>
      <c r="W173" s="16"/>
      <c r="X173" s="16"/>
      <c r="Y173" s="16"/>
      <c r="Z173" s="16"/>
    </row>
    <row r="174" ht="12.75" spans="1:26">
      <c r="A174" s="23"/>
      <c r="B174" s="16"/>
      <c r="C174" s="23"/>
      <c r="D174" s="24"/>
      <c r="E174" s="16"/>
      <c r="F174" s="24"/>
      <c r="G174" s="24"/>
      <c r="H174" s="16"/>
      <c r="I174" s="16"/>
      <c r="J174" s="16"/>
      <c r="K174" s="16"/>
      <c r="L174" s="16"/>
      <c r="M174" s="16"/>
      <c r="N174" s="16"/>
      <c r="O174" s="16"/>
      <c r="P174" s="16"/>
      <c r="Q174" s="16"/>
      <c r="R174" s="16"/>
      <c r="S174" s="16"/>
      <c r="T174" s="16"/>
      <c r="U174" s="16"/>
      <c r="V174" s="16"/>
      <c r="W174" s="16"/>
      <c r="X174" s="16"/>
      <c r="Y174" s="16"/>
      <c r="Z174" s="16"/>
    </row>
    <row r="175" ht="12.75" spans="1:26">
      <c r="A175" s="23"/>
      <c r="B175" s="16"/>
      <c r="C175" s="23"/>
      <c r="D175" s="24"/>
      <c r="E175" s="16"/>
      <c r="F175" s="24"/>
      <c r="G175" s="24"/>
      <c r="H175" s="16"/>
      <c r="I175" s="16"/>
      <c r="J175" s="16"/>
      <c r="K175" s="16"/>
      <c r="L175" s="16"/>
      <c r="M175" s="16"/>
      <c r="N175" s="16"/>
      <c r="O175" s="16"/>
      <c r="P175" s="16"/>
      <c r="Q175" s="16"/>
      <c r="R175" s="16"/>
      <c r="S175" s="16"/>
      <c r="T175" s="16"/>
      <c r="U175" s="16"/>
      <c r="V175" s="16"/>
      <c r="W175" s="16"/>
      <c r="X175" s="16"/>
      <c r="Y175" s="16"/>
      <c r="Z175" s="16"/>
    </row>
    <row r="176" ht="12.75" spans="1:26">
      <c r="A176" s="23"/>
      <c r="B176" s="16"/>
      <c r="C176" s="23"/>
      <c r="D176" s="24"/>
      <c r="E176" s="16"/>
      <c r="F176" s="24"/>
      <c r="G176" s="24"/>
      <c r="H176" s="16"/>
      <c r="I176" s="16"/>
      <c r="J176" s="16"/>
      <c r="K176" s="16"/>
      <c r="L176" s="16"/>
      <c r="M176" s="16"/>
      <c r="N176" s="16"/>
      <c r="O176" s="16"/>
      <c r="P176" s="16"/>
      <c r="Q176" s="16"/>
      <c r="R176" s="16"/>
      <c r="S176" s="16"/>
      <c r="T176" s="16"/>
      <c r="U176" s="16"/>
      <c r="V176" s="16"/>
      <c r="W176" s="16"/>
      <c r="X176" s="16"/>
      <c r="Y176" s="16"/>
      <c r="Z176" s="16"/>
    </row>
    <row r="177" ht="12.75" spans="1:26">
      <c r="A177" s="23"/>
      <c r="B177" s="16"/>
      <c r="C177" s="23"/>
      <c r="D177" s="24"/>
      <c r="E177" s="16"/>
      <c r="F177" s="24"/>
      <c r="G177" s="24"/>
      <c r="H177" s="16"/>
      <c r="I177" s="16"/>
      <c r="J177" s="16"/>
      <c r="K177" s="16"/>
      <c r="L177" s="16"/>
      <c r="M177" s="16"/>
      <c r="N177" s="16"/>
      <c r="O177" s="16"/>
      <c r="P177" s="16"/>
      <c r="Q177" s="16"/>
      <c r="R177" s="16"/>
      <c r="S177" s="16"/>
      <c r="T177" s="16"/>
      <c r="U177" s="16"/>
      <c r="V177" s="16"/>
      <c r="W177" s="16"/>
      <c r="X177" s="16"/>
      <c r="Y177" s="16"/>
      <c r="Z177" s="16"/>
    </row>
    <row r="178" ht="12.75" spans="1:26">
      <c r="A178" s="23"/>
      <c r="B178" s="16"/>
      <c r="C178" s="23"/>
      <c r="D178" s="24"/>
      <c r="E178" s="16"/>
      <c r="F178" s="24"/>
      <c r="G178" s="24"/>
      <c r="H178" s="16"/>
      <c r="I178" s="16"/>
      <c r="J178" s="16"/>
      <c r="K178" s="16"/>
      <c r="L178" s="16"/>
      <c r="M178" s="16"/>
      <c r="N178" s="16"/>
      <c r="O178" s="16"/>
      <c r="P178" s="16"/>
      <c r="Q178" s="16"/>
      <c r="R178" s="16"/>
      <c r="S178" s="16"/>
      <c r="T178" s="16"/>
      <c r="U178" s="16"/>
      <c r="V178" s="16"/>
      <c r="W178" s="16"/>
      <c r="X178" s="16"/>
      <c r="Y178" s="16"/>
      <c r="Z178" s="16"/>
    </row>
    <row r="179" ht="12.75" spans="1:26">
      <c r="A179" s="23"/>
      <c r="B179" s="16"/>
      <c r="C179" s="23"/>
      <c r="D179" s="24"/>
      <c r="E179" s="16"/>
      <c r="F179" s="24"/>
      <c r="G179" s="24"/>
      <c r="H179" s="16"/>
      <c r="I179" s="16"/>
      <c r="J179" s="16"/>
      <c r="K179" s="16"/>
      <c r="L179" s="16"/>
      <c r="M179" s="16"/>
      <c r="N179" s="16"/>
      <c r="O179" s="16"/>
      <c r="P179" s="16"/>
      <c r="Q179" s="16"/>
      <c r="R179" s="16"/>
      <c r="S179" s="16"/>
      <c r="T179" s="16"/>
      <c r="U179" s="16"/>
      <c r="V179" s="16"/>
      <c r="W179" s="16"/>
      <c r="X179" s="16"/>
      <c r="Y179" s="16"/>
      <c r="Z179" s="16"/>
    </row>
    <row r="180" ht="12.75" spans="1:26">
      <c r="A180" s="23"/>
      <c r="B180" s="16"/>
      <c r="C180" s="23"/>
      <c r="D180" s="24"/>
      <c r="E180" s="16"/>
      <c r="F180" s="24"/>
      <c r="G180" s="24"/>
      <c r="H180" s="16"/>
      <c r="I180" s="16"/>
      <c r="J180" s="16"/>
      <c r="K180" s="16"/>
      <c r="L180" s="16"/>
      <c r="M180" s="16"/>
      <c r="N180" s="16"/>
      <c r="O180" s="16"/>
      <c r="P180" s="16"/>
      <c r="Q180" s="16"/>
      <c r="R180" s="16"/>
      <c r="S180" s="16"/>
      <c r="T180" s="16"/>
      <c r="U180" s="16"/>
      <c r="V180" s="16"/>
      <c r="W180" s="16"/>
      <c r="X180" s="16"/>
      <c r="Y180" s="16"/>
      <c r="Z180" s="16"/>
    </row>
    <row r="181" ht="12.75" spans="1:26">
      <c r="A181" s="23"/>
      <c r="B181" s="16"/>
      <c r="C181" s="23"/>
      <c r="D181" s="24"/>
      <c r="E181" s="16"/>
      <c r="F181" s="24"/>
      <c r="G181" s="24"/>
      <c r="H181" s="16"/>
      <c r="I181" s="16"/>
      <c r="J181" s="16"/>
      <c r="K181" s="16"/>
      <c r="L181" s="16"/>
      <c r="M181" s="16"/>
      <c r="N181" s="16"/>
      <c r="O181" s="16"/>
      <c r="P181" s="16"/>
      <c r="Q181" s="16"/>
      <c r="R181" s="16"/>
      <c r="S181" s="16"/>
      <c r="T181" s="16"/>
      <c r="U181" s="16"/>
      <c r="V181" s="16"/>
      <c r="W181" s="16"/>
      <c r="X181" s="16"/>
      <c r="Y181" s="16"/>
      <c r="Z181" s="16"/>
    </row>
    <row r="182" ht="12.75" spans="1:26">
      <c r="A182" s="23"/>
      <c r="B182" s="16"/>
      <c r="C182" s="23"/>
      <c r="D182" s="24"/>
      <c r="E182" s="16"/>
      <c r="F182" s="24"/>
      <c r="G182" s="24"/>
      <c r="H182" s="16"/>
      <c r="I182" s="16"/>
      <c r="J182" s="16"/>
      <c r="K182" s="16"/>
      <c r="L182" s="16"/>
      <c r="M182" s="16"/>
      <c r="N182" s="16"/>
      <c r="O182" s="16"/>
      <c r="P182" s="16"/>
      <c r="Q182" s="16"/>
      <c r="R182" s="16"/>
      <c r="S182" s="16"/>
      <c r="T182" s="16"/>
      <c r="U182" s="16"/>
      <c r="V182" s="16"/>
      <c r="W182" s="16"/>
      <c r="X182" s="16"/>
      <c r="Y182" s="16"/>
      <c r="Z182" s="16"/>
    </row>
    <row r="183" ht="12.75" spans="1:26">
      <c r="A183" s="23"/>
      <c r="B183" s="16"/>
      <c r="C183" s="23"/>
      <c r="D183" s="24"/>
      <c r="E183" s="16"/>
      <c r="F183" s="24"/>
      <c r="G183" s="24"/>
      <c r="H183" s="16"/>
      <c r="I183" s="16"/>
      <c r="J183" s="16"/>
      <c r="K183" s="16"/>
      <c r="L183" s="16"/>
      <c r="M183" s="16"/>
      <c r="N183" s="16"/>
      <c r="O183" s="16"/>
      <c r="P183" s="16"/>
      <c r="Q183" s="16"/>
      <c r="R183" s="16"/>
      <c r="S183" s="16"/>
      <c r="T183" s="16"/>
      <c r="U183" s="16"/>
      <c r="V183" s="16"/>
      <c r="W183" s="16"/>
      <c r="X183" s="16"/>
      <c r="Y183" s="16"/>
      <c r="Z183" s="16"/>
    </row>
    <row r="184" ht="12.75" spans="1:26">
      <c r="A184" s="23"/>
      <c r="B184" s="16"/>
      <c r="C184" s="23"/>
      <c r="D184" s="24"/>
      <c r="E184" s="16"/>
      <c r="F184" s="24"/>
      <c r="G184" s="24"/>
      <c r="H184" s="16"/>
      <c r="I184" s="16"/>
      <c r="J184" s="16"/>
      <c r="K184" s="16"/>
      <c r="L184" s="16"/>
      <c r="M184" s="16"/>
      <c r="N184" s="16"/>
      <c r="O184" s="16"/>
      <c r="P184" s="16"/>
      <c r="Q184" s="16"/>
      <c r="R184" s="16"/>
      <c r="S184" s="16"/>
      <c r="T184" s="16"/>
      <c r="U184" s="16"/>
      <c r="V184" s="16"/>
      <c r="W184" s="16"/>
      <c r="X184" s="16"/>
      <c r="Y184" s="16"/>
      <c r="Z184" s="16"/>
    </row>
    <row r="185" ht="12.75" spans="1:26">
      <c r="A185" s="23"/>
      <c r="B185" s="16"/>
      <c r="C185" s="23"/>
      <c r="D185" s="24"/>
      <c r="E185" s="16"/>
      <c r="F185" s="24"/>
      <c r="G185" s="24"/>
      <c r="H185" s="16"/>
      <c r="I185" s="16"/>
      <c r="J185" s="16"/>
      <c r="K185" s="16"/>
      <c r="L185" s="16"/>
      <c r="M185" s="16"/>
      <c r="N185" s="16"/>
      <c r="O185" s="16"/>
      <c r="P185" s="16"/>
      <c r="Q185" s="16"/>
      <c r="R185" s="16"/>
      <c r="S185" s="16"/>
      <c r="T185" s="16"/>
      <c r="U185" s="16"/>
      <c r="V185" s="16"/>
      <c r="W185" s="16"/>
      <c r="X185" s="16"/>
      <c r="Y185" s="16"/>
      <c r="Z185" s="16"/>
    </row>
    <row r="186" ht="12.75" spans="1:26">
      <c r="A186" s="23"/>
      <c r="B186" s="16"/>
      <c r="C186" s="23"/>
      <c r="D186" s="24"/>
      <c r="E186" s="16"/>
      <c r="F186" s="24"/>
      <c r="G186" s="24"/>
      <c r="H186" s="16"/>
      <c r="I186" s="16"/>
      <c r="J186" s="16"/>
      <c r="K186" s="16"/>
      <c r="L186" s="16"/>
      <c r="M186" s="16"/>
      <c r="N186" s="16"/>
      <c r="O186" s="16"/>
      <c r="P186" s="16"/>
      <c r="Q186" s="16"/>
      <c r="R186" s="16"/>
      <c r="S186" s="16"/>
      <c r="T186" s="16"/>
      <c r="U186" s="16"/>
      <c r="V186" s="16"/>
      <c r="W186" s="16"/>
      <c r="X186" s="16"/>
      <c r="Y186" s="16"/>
      <c r="Z186" s="16"/>
    </row>
    <row r="187" ht="12.75" spans="1:26">
      <c r="A187" s="23"/>
      <c r="B187" s="16"/>
      <c r="C187" s="23"/>
      <c r="D187" s="24"/>
      <c r="E187" s="16"/>
      <c r="F187" s="24"/>
      <c r="G187" s="24"/>
      <c r="H187" s="16"/>
      <c r="I187" s="16"/>
      <c r="J187" s="16"/>
      <c r="K187" s="16"/>
      <c r="L187" s="16"/>
      <c r="M187" s="16"/>
      <c r="N187" s="16"/>
      <c r="O187" s="16"/>
      <c r="P187" s="16"/>
      <c r="Q187" s="16"/>
      <c r="R187" s="16"/>
      <c r="S187" s="16"/>
      <c r="T187" s="16"/>
      <c r="U187" s="16"/>
      <c r="V187" s="16"/>
      <c r="W187" s="16"/>
      <c r="X187" s="16"/>
      <c r="Y187" s="16"/>
      <c r="Z187" s="16"/>
    </row>
    <row r="188" ht="12.75" spans="1:26">
      <c r="A188" s="23"/>
      <c r="B188" s="16"/>
      <c r="C188" s="23"/>
      <c r="D188" s="24"/>
      <c r="E188" s="16"/>
      <c r="F188" s="24"/>
      <c r="G188" s="24"/>
      <c r="H188" s="16"/>
      <c r="I188" s="16"/>
      <c r="J188" s="16"/>
      <c r="K188" s="16"/>
      <c r="L188" s="16"/>
      <c r="M188" s="16"/>
      <c r="N188" s="16"/>
      <c r="O188" s="16"/>
      <c r="P188" s="16"/>
      <c r="Q188" s="16"/>
      <c r="R188" s="16"/>
      <c r="S188" s="16"/>
      <c r="T188" s="16"/>
      <c r="U188" s="16"/>
      <c r="V188" s="16"/>
      <c r="W188" s="16"/>
      <c r="X188" s="16"/>
      <c r="Y188" s="16"/>
      <c r="Z188" s="16"/>
    </row>
    <row r="189" ht="12.75" spans="1:26">
      <c r="A189" s="23"/>
      <c r="B189" s="16"/>
      <c r="C189" s="23"/>
      <c r="D189" s="24"/>
      <c r="E189" s="16"/>
      <c r="F189" s="24"/>
      <c r="G189" s="24"/>
      <c r="H189" s="16"/>
      <c r="I189" s="16"/>
      <c r="J189" s="16"/>
      <c r="K189" s="16"/>
      <c r="L189" s="16"/>
      <c r="M189" s="16"/>
      <c r="N189" s="16"/>
      <c r="O189" s="16"/>
      <c r="P189" s="16"/>
      <c r="Q189" s="16"/>
      <c r="R189" s="16"/>
      <c r="S189" s="16"/>
      <c r="T189" s="16"/>
      <c r="U189" s="16"/>
      <c r="V189" s="16"/>
      <c r="W189" s="16"/>
      <c r="X189" s="16"/>
      <c r="Y189" s="16"/>
      <c r="Z189" s="16"/>
    </row>
    <row r="190" ht="12.75" spans="1:26">
      <c r="A190" s="23"/>
      <c r="B190" s="16"/>
      <c r="C190" s="23"/>
      <c r="D190" s="24"/>
      <c r="E190" s="16"/>
      <c r="F190" s="24"/>
      <c r="G190" s="24"/>
      <c r="H190" s="16"/>
      <c r="I190" s="16"/>
      <c r="J190" s="16"/>
      <c r="K190" s="16"/>
      <c r="L190" s="16"/>
      <c r="M190" s="16"/>
      <c r="N190" s="16"/>
      <c r="O190" s="16"/>
      <c r="P190" s="16"/>
      <c r="Q190" s="16"/>
      <c r="R190" s="16"/>
      <c r="S190" s="16"/>
      <c r="T190" s="16"/>
      <c r="U190" s="16"/>
      <c r="V190" s="16"/>
      <c r="W190" s="16"/>
      <c r="X190" s="16"/>
      <c r="Y190" s="16"/>
      <c r="Z190" s="16"/>
    </row>
    <row r="191" ht="12.75" spans="1:26">
      <c r="A191" s="23"/>
      <c r="B191" s="16"/>
      <c r="C191" s="23"/>
      <c r="D191" s="24"/>
      <c r="E191" s="16"/>
      <c r="F191" s="24"/>
      <c r="G191" s="24"/>
      <c r="H191" s="16"/>
      <c r="I191" s="16"/>
      <c r="J191" s="16"/>
      <c r="K191" s="16"/>
      <c r="L191" s="16"/>
      <c r="M191" s="16"/>
      <c r="N191" s="16"/>
      <c r="O191" s="16"/>
      <c r="P191" s="16"/>
      <c r="Q191" s="16"/>
      <c r="R191" s="16"/>
      <c r="S191" s="16"/>
      <c r="T191" s="16"/>
      <c r="U191" s="16"/>
      <c r="V191" s="16"/>
      <c r="W191" s="16"/>
      <c r="X191" s="16"/>
      <c r="Y191" s="16"/>
      <c r="Z191" s="16"/>
    </row>
    <row r="192" ht="12.75" spans="1:26">
      <c r="A192" s="23"/>
      <c r="B192" s="16"/>
      <c r="C192" s="23"/>
      <c r="D192" s="24"/>
      <c r="E192" s="16"/>
      <c r="F192" s="24"/>
      <c r="G192" s="24"/>
      <c r="H192" s="16"/>
      <c r="I192" s="16"/>
      <c r="J192" s="16"/>
      <c r="K192" s="16"/>
      <c r="L192" s="16"/>
      <c r="M192" s="16"/>
      <c r="N192" s="16"/>
      <c r="O192" s="16"/>
      <c r="P192" s="16"/>
      <c r="Q192" s="16"/>
      <c r="R192" s="16"/>
      <c r="S192" s="16"/>
      <c r="T192" s="16"/>
      <c r="U192" s="16"/>
      <c r="V192" s="16"/>
      <c r="W192" s="16"/>
      <c r="X192" s="16"/>
      <c r="Y192" s="16"/>
      <c r="Z192" s="16"/>
    </row>
    <row r="193" ht="12.75" spans="1:26">
      <c r="A193" s="23"/>
      <c r="B193" s="16"/>
      <c r="C193" s="23"/>
      <c r="D193" s="24"/>
      <c r="E193" s="16"/>
      <c r="F193" s="24"/>
      <c r="G193" s="24"/>
      <c r="H193" s="16"/>
      <c r="I193" s="16"/>
      <c r="J193" s="16"/>
      <c r="K193" s="16"/>
      <c r="L193" s="16"/>
      <c r="M193" s="16"/>
      <c r="N193" s="16"/>
      <c r="O193" s="16"/>
      <c r="P193" s="16"/>
      <c r="Q193" s="16"/>
      <c r="R193" s="16"/>
      <c r="S193" s="16"/>
      <c r="T193" s="16"/>
      <c r="U193" s="16"/>
      <c r="V193" s="16"/>
      <c r="W193" s="16"/>
      <c r="X193" s="16"/>
      <c r="Y193" s="16"/>
      <c r="Z193" s="16"/>
    </row>
    <row r="194" ht="12.75" spans="1:26">
      <c r="A194" s="23"/>
      <c r="B194" s="16"/>
      <c r="C194" s="23"/>
      <c r="D194" s="24"/>
      <c r="E194" s="16"/>
      <c r="F194" s="24"/>
      <c r="G194" s="24"/>
      <c r="H194" s="16"/>
      <c r="I194" s="16"/>
      <c r="J194" s="16"/>
      <c r="K194" s="16"/>
      <c r="L194" s="16"/>
      <c r="M194" s="16"/>
      <c r="N194" s="16"/>
      <c r="O194" s="16"/>
      <c r="P194" s="16"/>
      <c r="Q194" s="16"/>
      <c r="R194" s="16"/>
      <c r="S194" s="16"/>
      <c r="T194" s="16"/>
      <c r="U194" s="16"/>
      <c r="V194" s="16"/>
      <c r="W194" s="16"/>
      <c r="X194" s="16"/>
      <c r="Y194" s="16"/>
      <c r="Z194" s="16"/>
    </row>
    <row r="195" ht="12.75" spans="1:26">
      <c r="A195" s="23"/>
      <c r="B195" s="16"/>
      <c r="C195" s="23"/>
      <c r="D195" s="24"/>
      <c r="E195" s="16"/>
      <c r="F195" s="24"/>
      <c r="G195" s="24"/>
      <c r="H195" s="16"/>
      <c r="I195" s="16"/>
      <c r="J195" s="16"/>
      <c r="K195" s="16"/>
      <c r="L195" s="16"/>
      <c r="M195" s="16"/>
      <c r="N195" s="16"/>
      <c r="O195" s="16"/>
      <c r="P195" s="16"/>
      <c r="Q195" s="16"/>
      <c r="R195" s="16"/>
      <c r="S195" s="16"/>
      <c r="T195" s="16"/>
      <c r="U195" s="16"/>
      <c r="V195" s="16"/>
      <c r="W195" s="16"/>
      <c r="X195" s="16"/>
      <c r="Y195" s="16"/>
      <c r="Z195" s="16"/>
    </row>
    <row r="196" ht="12.75" spans="1:26">
      <c r="A196" s="23"/>
      <c r="B196" s="16"/>
      <c r="C196" s="23"/>
      <c r="D196" s="24"/>
      <c r="E196" s="16"/>
      <c r="F196" s="24"/>
      <c r="G196" s="24"/>
      <c r="H196" s="16"/>
      <c r="I196" s="16"/>
      <c r="J196" s="16"/>
      <c r="K196" s="16"/>
      <c r="L196" s="16"/>
      <c r="M196" s="16"/>
      <c r="N196" s="16"/>
      <c r="O196" s="16"/>
      <c r="P196" s="16"/>
      <c r="Q196" s="16"/>
      <c r="R196" s="16"/>
      <c r="S196" s="16"/>
      <c r="T196" s="16"/>
      <c r="U196" s="16"/>
      <c r="V196" s="16"/>
      <c r="W196" s="16"/>
      <c r="X196" s="16"/>
      <c r="Y196" s="16"/>
      <c r="Z196" s="16"/>
    </row>
    <row r="197" ht="12.75" spans="1:26">
      <c r="A197" s="23"/>
      <c r="B197" s="16"/>
      <c r="C197" s="23"/>
      <c r="D197" s="24"/>
      <c r="E197" s="16"/>
      <c r="F197" s="24"/>
      <c r="G197" s="24"/>
      <c r="H197" s="16"/>
      <c r="I197" s="16"/>
      <c r="J197" s="16"/>
      <c r="K197" s="16"/>
      <c r="L197" s="16"/>
      <c r="M197" s="16"/>
      <c r="N197" s="16"/>
      <c r="O197" s="16"/>
      <c r="P197" s="16"/>
      <c r="Q197" s="16"/>
      <c r="R197" s="16"/>
      <c r="S197" s="16"/>
      <c r="T197" s="16"/>
      <c r="U197" s="16"/>
      <c r="V197" s="16"/>
      <c r="W197" s="16"/>
      <c r="X197" s="16"/>
      <c r="Y197" s="16"/>
      <c r="Z197" s="16"/>
    </row>
    <row r="198" ht="12.75" spans="1:26">
      <c r="A198" s="23"/>
      <c r="B198" s="16"/>
      <c r="C198" s="23"/>
      <c r="D198" s="24"/>
      <c r="E198" s="16"/>
      <c r="F198" s="24"/>
      <c r="G198" s="24"/>
      <c r="H198" s="16"/>
      <c r="I198" s="16"/>
      <c r="J198" s="16"/>
      <c r="K198" s="16"/>
      <c r="L198" s="16"/>
      <c r="M198" s="16"/>
      <c r="N198" s="16"/>
      <c r="O198" s="16"/>
      <c r="P198" s="16"/>
      <c r="Q198" s="16"/>
      <c r="R198" s="16"/>
      <c r="S198" s="16"/>
      <c r="T198" s="16"/>
      <c r="U198" s="16"/>
      <c r="V198" s="16"/>
      <c r="W198" s="16"/>
      <c r="X198" s="16"/>
      <c r="Y198" s="16"/>
      <c r="Z198" s="16"/>
    </row>
    <row r="199" ht="12.75" spans="1:26">
      <c r="A199" s="23"/>
      <c r="B199" s="16"/>
      <c r="C199" s="23"/>
      <c r="D199" s="24"/>
      <c r="E199" s="16"/>
      <c r="F199" s="24"/>
      <c r="G199" s="24"/>
      <c r="H199" s="16"/>
      <c r="I199" s="16"/>
      <c r="J199" s="16"/>
      <c r="K199" s="16"/>
      <c r="L199" s="16"/>
      <c r="M199" s="16"/>
      <c r="N199" s="16"/>
      <c r="O199" s="16"/>
      <c r="P199" s="16"/>
      <c r="Q199" s="16"/>
      <c r="R199" s="16"/>
      <c r="S199" s="16"/>
      <c r="T199" s="16"/>
      <c r="U199" s="16"/>
      <c r="V199" s="16"/>
      <c r="W199" s="16"/>
      <c r="X199" s="16"/>
      <c r="Y199" s="16"/>
      <c r="Z199" s="16"/>
    </row>
    <row r="200" ht="12.75" spans="1:26">
      <c r="A200" s="23"/>
      <c r="B200" s="16"/>
      <c r="C200" s="23"/>
      <c r="D200" s="24"/>
      <c r="E200" s="16"/>
      <c r="F200" s="24"/>
      <c r="G200" s="24"/>
      <c r="H200" s="16"/>
      <c r="I200" s="16"/>
      <c r="J200" s="16"/>
      <c r="K200" s="16"/>
      <c r="L200" s="16"/>
      <c r="M200" s="16"/>
      <c r="N200" s="16"/>
      <c r="O200" s="16"/>
      <c r="P200" s="16"/>
      <c r="Q200" s="16"/>
      <c r="R200" s="16"/>
      <c r="S200" s="16"/>
      <c r="T200" s="16"/>
      <c r="U200" s="16"/>
      <c r="V200" s="16"/>
      <c r="W200" s="16"/>
      <c r="X200" s="16"/>
      <c r="Y200" s="16"/>
      <c r="Z200" s="16"/>
    </row>
    <row r="201" ht="12.75" spans="1:26">
      <c r="A201" s="23"/>
      <c r="B201" s="16"/>
      <c r="C201" s="23"/>
      <c r="D201" s="24"/>
      <c r="E201" s="16"/>
      <c r="F201" s="24"/>
      <c r="G201" s="24"/>
      <c r="H201" s="16"/>
      <c r="I201" s="16"/>
      <c r="J201" s="16"/>
      <c r="K201" s="16"/>
      <c r="L201" s="16"/>
      <c r="M201" s="16"/>
      <c r="N201" s="16"/>
      <c r="O201" s="16"/>
      <c r="P201" s="16"/>
      <c r="Q201" s="16"/>
      <c r="R201" s="16"/>
      <c r="S201" s="16"/>
      <c r="T201" s="16"/>
      <c r="U201" s="16"/>
      <c r="V201" s="16"/>
      <c r="W201" s="16"/>
      <c r="X201" s="16"/>
      <c r="Y201" s="16"/>
      <c r="Z201" s="16"/>
    </row>
    <row r="202" ht="12.75" spans="1:26">
      <c r="A202" s="23"/>
      <c r="B202" s="16"/>
      <c r="C202" s="23"/>
      <c r="D202" s="24"/>
      <c r="E202" s="16"/>
      <c r="F202" s="24"/>
      <c r="G202" s="24"/>
      <c r="H202" s="16"/>
      <c r="I202" s="16"/>
      <c r="J202" s="16"/>
      <c r="K202" s="16"/>
      <c r="L202" s="16"/>
      <c r="M202" s="16"/>
      <c r="N202" s="16"/>
      <c r="O202" s="16"/>
      <c r="P202" s="16"/>
      <c r="Q202" s="16"/>
      <c r="R202" s="16"/>
      <c r="S202" s="16"/>
      <c r="T202" s="16"/>
      <c r="U202" s="16"/>
      <c r="V202" s="16"/>
      <c r="W202" s="16"/>
      <c r="X202" s="16"/>
      <c r="Y202" s="16"/>
      <c r="Z202" s="16"/>
    </row>
    <row r="203" ht="12.75" spans="1:26">
      <c r="A203" s="23"/>
      <c r="B203" s="16"/>
      <c r="C203" s="23"/>
      <c r="D203" s="24"/>
      <c r="E203" s="16"/>
      <c r="F203" s="24"/>
      <c r="G203" s="24"/>
      <c r="H203" s="16"/>
      <c r="I203" s="16"/>
      <c r="J203" s="16"/>
      <c r="K203" s="16"/>
      <c r="L203" s="16"/>
      <c r="M203" s="16"/>
      <c r="N203" s="16"/>
      <c r="O203" s="16"/>
      <c r="P203" s="16"/>
      <c r="Q203" s="16"/>
      <c r="R203" s="16"/>
      <c r="S203" s="16"/>
      <c r="T203" s="16"/>
      <c r="U203" s="16"/>
      <c r="V203" s="16"/>
      <c r="W203" s="16"/>
      <c r="X203" s="16"/>
      <c r="Y203" s="16"/>
      <c r="Z203" s="16"/>
    </row>
    <row r="204" ht="12.75" spans="1:26">
      <c r="A204" s="23"/>
      <c r="B204" s="16"/>
      <c r="C204" s="23"/>
      <c r="D204" s="24"/>
      <c r="E204" s="16"/>
      <c r="F204" s="24"/>
      <c r="G204" s="24"/>
      <c r="H204" s="16"/>
      <c r="I204" s="16"/>
      <c r="J204" s="16"/>
      <c r="K204" s="16"/>
      <c r="L204" s="16"/>
      <c r="M204" s="16"/>
      <c r="N204" s="16"/>
      <c r="O204" s="16"/>
      <c r="P204" s="16"/>
      <c r="Q204" s="16"/>
      <c r="R204" s="16"/>
      <c r="S204" s="16"/>
      <c r="T204" s="16"/>
      <c r="U204" s="16"/>
      <c r="V204" s="16"/>
      <c r="W204" s="16"/>
      <c r="X204" s="16"/>
      <c r="Y204" s="16"/>
      <c r="Z204" s="16"/>
    </row>
    <row r="205" ht="12.75" spans="1:26">
      <c r="A205" s="23"/>
      <c r="B205" s="16"/>
      <c r="C205" s="23"/>
      <c r="D205" s="24"/>
      <c r="E205" s="16"/>
      <c r="F205" s="24"/>
      <c r="G205" s="24"/>
      <c r="H205" s="16"/>
      <c r="I205" s="16"/>
      <c r="J205" s="16"/>
      <c r="K205" s="16"/>
      <c r="L205" s="16"/>
      <c r="M205" s="16"/>
      <c r="N205" s="16"/>
      <c r="O205" s="16"/>
      <c r="P205" s="16"/>
      <c r="Q205" s="16"/>
      <c r="R205" s="16"/>
      <c r="S205" s="16"/>
      <c r="T205" s="16"/>
      <c r="U205" s="16"/>
      <c r="V205" s="16"/>
      <c r="W205" s="16"/>
      <c r="X205" s="16"/>
      <c r="Y205" s="16"/>
      <c r="Z205" s="16"/>
    </row>
    <row r="206" ht="12.75" spans="1:26">
      <c r="A206" s="23"/>
      <c r="B206" s="16"/>
      <c r="C206" s="23"/>
      <c r="D206" s="24"/>
      <c r="E206" s="16"/>
      <c r="F206" s="24"/>
      <c r="G206" s="24"/>
      <c r="H206" s="16"/>
      <c r="I206" s="16"/>
      <c r="J206" s="16"/>
      <c r="K206" s="16"/>
      <c r="L206" s="16"/>
      <c r="M206" s="16"/>
      <c r="N206" s="16"/>
      <c r="O206" s="16"/>
      <c r="P206" s="16"/>
      <c r="Q206" s="16"/>
      <c r="R206" s="16"/>
      <c r="S206" s="16"/>
      <c r="T206" s="16"/>
      <c r="U206" s="16"/>
      <c r="V206" s="16"/>
      <c r="W206" s="16"/>
      <c r="X206" s="16"/>
      <c r="Y206" s="16"/>
      <c r="Z206" s="16"/>
    </row>
    <row r="207" ht="12.75" spans="1:26">
      <c r="A207" s="23"/>
      <c r="B207" s="16"/>
      <c r="C207" s="23"/>
      <c r="D207" s="24"/>
      <c r="E207" s="16"/>
      <c r="F207" s="24"/>
      <c r="G207" s="24"/>
      <c r="H207" s="16"/>
      <c r="I207" s="16"/>
      <c r="J207" s="16"/>
      <c r="K207" s="16"/>
      <c r="L207" s="16"/>
      <c r="M207" s="16"/>
      <c r="N207" s="16"/>
      <c r="O207" s="16"/>
      <c r="P207" s="16"/>
      <c r="Q207" s="16"/>
      <c r="R207" s="16"/>
      <c r="S207" s="16"/>
      <c r="T207" s="16"/>
      <c r="U207" s="16"/>
      <c r="V207" s="16"/>
      <c r="W207" s="16"/>
      <c r="X207" s="16"/>
      <c r="Y207" s="16"/>
      <c r="Z207" s="16"/>
    </row>
    <row r="208" ht="12.75" spans="1:26">
      <c r="A208" s="23"/>
      <c r="B208" s="16"/>
      <c r="C208" s="23"/>
      <c r="D208" s="24"/>
      <c r="E208" s="16"/>
      <c r="F208" s="24"/>
      <c r="G208" s="24"/>
      <c r="H208" s="16"/>
      <c r="I208" s="16"/>
      <c r="J208" s="16"/>
      <c r="K208" s="16"/>
      <c r="L208" s="16"/>
      <c r="M208" s="16"/>
      <c r="N208" s="16"/>
      <c r="O208" s="16"/>
      <c r="P208" s="16"/>
      <c r="Q208" s="16"/>
      <c r="R208" s="16"/>
      <c r="S208" s="16"/>
      <c r="T208" s="16"/>
      <c r="U208" s="16"/>
      <c r="V208" s="16"/>
      <c r="W208" s="16"/>
      <c r="X208" s="16"/>
      <c r="Y208" s="16"/>
      <c r="Z208" s="16"/>
    </row>
    <row r="209" ht="12.75" spans="1:26">
      <c r="A209" s="23"/>
      <c r="B209" s="16"/>
      <c r="C209" s="23"/>
      <c r="D209" s="24"/>
      <c r="E209" s="16"/>
      <c r="F209" s="24"/>
      <c r="G209" s="24"/>
      <c r="H209" s="16"/>
      <c r="I209" s="16"/>
      <c r="J209" s="16"/>
      <c r="K209" s="16"/>
      <c r="L209" s="16"/>
      <c r="M209" s="16"/>
      <c r="N209" s="16"/>
      <c r="O209" s="16"/>
      <c r="P209" s="16"/>
      <c r="Q209" s="16"/>
      <c r="R209" s="16"/>
      <c r="S209" s="16"/>
      <c r="T209" s="16"/>
      <c r="U209" s="16"/>
      <c r="V209" s="16"/>
      <c r="W209" s="16"/>
      <c r="X209" s="16"/>
      <c r="Y209" s="16"/>
      <c r="Z209" s="16"/>
    </row>
    <row r="210" ht="12.75" spans="1:26">
      <c r="A210" s="23"/>
      <c r="B210" s="16"/>
      <c r="C210" s="23"/>
      <c r="D210" s="24"/>
      <c r="E210" s="16"/>
      <c r="F210" s="24"/>
      <c r="G210" s="24"/>
      <c r="H210" s="16"/>
      <c r="I210" s="16"/>
      <c r="J210" s="16"/>
      <c r="K210" s="16"/>
      <c r="L210" s="16"/>
      <c r="M210" s="16"/>
      <c r="N210" s="16"/>
      <c r="O210" s="16"/>
      <c r="P210" s="16"/>
      <c r="Q210" s="16"/>
      <c r="R210" s="16"/>
      <c r="S210" s="16"/>
      <c r="T210" s="16"/>
      <c r="U210" s="16"/>
      <c r="V210" s="16"/>
      <c r="W210" s="16"/>
      <c r="X210" s="16"/>
      <c r="Y210" s="16"/>
      <c r="Z210" s="16"/>
    </row>
    <row r="211" ht="12.75" spans="1:26">
      <c r="A211" s="23"/>
      <c r="B211" s="16"/>
      <c r="C211" s="23"/>
      <c r="D211" s="24"/>
      <c r="E211" s="16"/>
      <c r="F211" s="24"/>
      <c r="G211" s="24"/>
      <c r="H211" s="16"/>
      <c r="I211" s="16"/>
      <c r="J211" s="16"/>
      <c r="K211" s="16"/>
      <c r="L211" s="16"/>
      <c r="M211" s="16"/>
      <c r="N211" s="16"/>
      <c r="O211" s="16"/>
      <c r="P211" s="16"/>
      <c r="Q211" s="16"/>
      <c r="R211" s="16"/>
      <c r="S211" s="16"/>
      <c r="T211" s="16"/>
      <c r="U211" s="16"/>
      <c r="V211" s="16"/>
      <c r="W211" s="16"/>
      <c r="X211" s="16"/>
      <c r="Y211" s="16"/>
      <c r="Z211" s="16"/>
    </row>
    <row r="212" ht="12.75" spans="1:26">
      <c r="A212" s="23"/>
      <c r="B212" s="16"/>
      <c r="C212" s="23"/>
      <c r="D212" s="24"/>
      <c r="E212" s="16"/>
      <c r="F212" s="24"/>
      <c r="G212" s="24"/>
      <c r="H212" s="16"/>
      <c r="I212" s="16"/>
      <c r="J212" s="16"/>
      <c r="K212" s="16"/>
      <c r="L212" s="16"/>
      <c r="M212" s="16"/>
      <c r="N212" s="16"/>
      <c r="O212" s="16"/>
      <c r="P212" s="16"/>
      <c r="Q212" s="16"/>
      <c r="R212" s="16"/>
      <c r="S212" s="16"/>
      <c r="T212" s="16"/>
      <c r="U212" s="16"/>
      <c r="V212" s="16"/>
      <c r="W212" s="16"/>
      <c r="X212" s="16"/>
      <c r="Y212" s="16"/>
      <c r="Z212" s="16"/>
    </row>
    <row r="213" ht="12.75" spans="1:26">
      <c r="A213" s="23"/>
      <c r="B213" s="16"/>
      <c r="C213" s="23"/>
      <c r="D213" s="24"/>
      <c r="E213" s="16"/>
      <c r="F213" s="24"/>
      <c r="G213" s="24"/>
      <c r="H213" s="16"/>
      <c r="I213" s="16"/>
      <c r="J213" s="16"/>
      <c r="K213" s="16"/>
      <c r="L213" s="16"/>
      <c r="M213" s="16"/>
      <c r="N213" s="16"/>
      <c r="O213" s="16"/>
      <c r="P213" s="16"/>
      <c r="Q213" s="16"/>
      <c r="R213" s="16"/>
      <c r="S213" s="16"/>
      <c r="T213" s="16"/>
      <c r="U213" s="16"/>
      <c r="V213" s="16"/>
      <c r="W213" s="16"/>
      <c r="X213" s="16"/>
      <c r="Y213" s="16"/>
      <c r="Z213" s="16"/>
    </row>
    <row r="214" ht="12.75" spans="1:26">
      <c r="A214" s="23"/>
      <c r="B214" s="16"/>
      <c r="C214" s="23"/>
      <c r="D214" s="24"/>
      <c r="E214" s="16"/>
      <c r="F214" s="24"/>
      <c r="G214" s="24"/>
      <c r="H214" s="16"/>
      <c r="I214" s="16"/>
      <c r="J214" s="16"/>
      <c r="K214" s="16"/>
      <c r="L214" s="16"/>
      <c r="M214" s="16"/>
      <c r="N214" s="16"/>
      <c r="O214" s="16"/>
      <c r="P214" s="16"/>
      <c r="Q214" s="16"/>
      <c r="R214" s="16"/>
      <c r="S214" s="16"/>
      <c r="T214" s="16"/>
      <c r="U214" s="16"/>
      <c r="V214" s="16"/>
      <c r="W214" s="16"/>
      <c r="X214" s="16"/>
      <c r="Y214" s="16"/>
      <c r="Z214" s="16"/>
    </row>
    <row r="215" ht="12.75" spans="1:26">
      <c r="A215" s="23"/>
      <c r="B215" s="16"/>
      <c r="C215" s="23"/>
      <c r="D215" s="24"/>
      <c r="E215" s="16"/>
      <c r="F215" s="24"/>
      <c r="G215" s="24"/>
      <c r="H215" s="16"/>
      <c r="I215" s="16"/>
      <c r="J215" s="16"/>
      <c r="K215" s="16"/>
      <c r="L215" s="16"/>
      <c r="M215" s="16"/>
      <c r="N215" s="16"/>
      <c r="O215" s="16"/>
      <c r="P215" s="16"/>
      <c r="Q215" s="16"/>
      <c r="R215" s="16"/>
      <c r="S215" s="16"/>
      <c r="T215" s="16"/>
      <c r="U215" s="16"/>
      <c r="V215" s="16"/>
      <c r="W215" s="16"/>
      <c r="X215" s="16"/>
      <c r="Y215" s="16"/>
      <c r="Z215" s="16"/>
    </row>
    <row r="216" ht="12.75" spans="1:26">
      <c r="A216" s="23"/>
      <c r="B216" s="16"/>
      <c r="C216" s="23"/>
      <c r="D216" s="24"/>
      <c r="E216" s="16"/>
      <c r="F216" s="24"/>
      <c r="G216" s="24"/>
      <c r="H216" s="16"/>
      <c r="I216" s="16"/>
      <c r="J216" s="16"/>
      <c r="K216" s="16"/>
      <c r="L216" s="16"/>
      <c r="M216" s="16"/>
      <c r="N216" s="16"/>
      <c r="O216" s="16"/>
      <c r="P216" s="16"/>
      <c r="Q216" s="16"/>
      <c r="R216" s="16"/>
      <c r="S216" s="16"/>
      <c r="T216" s="16"/>
      <c r="U216" s="16"/>
      <c r="V216" s="16"/>
      <c r="W216" s="16"/>
      <c r="X216" s="16"/>
      <c r="Y216" s="16"/>
      <c r="Z216" s="16"/>
    </row>
    <row r="217" ht="12.75" spans="1:26">
      <c r="A217" s="23"/>
      <c r="B217" s="16"/>
      <c r="C217" s="23"/>
      <c r="D217" s="24"/>
      <c r="E217" s="16"/>
      <c r="F217" s="24"/>
      <c r="G217" s="24"/>
      <c r="H217" s="16"/>
      <c r="I217" s="16"/>
      <c r="J217" s="16"/>
      <c r="K217" s="16"/>
      <c r="L217" s="16"/>
      <c r="M217" s="16"/>
      <c r="N217" s="16"/>
      <c r="O217" s="16"/>
      <c r="P217" s="16"/>
      <c r="Q217" s="16"/>
      <c r="R217" s="16"/>
      <c r="S217" s="16"/>
      <c r="T217" s="16"/>
      <c r="U217" s="16"/>
      <c r="V217" s="16"/>
      <c r="W217" s="16"/>
      <c r="X217" s="16"/>
      <c r="Y217" s="16"/>
      <c r="Z217" s="16"/>
    </row>
    <row r="218" ht="12.75" spans="1:26">
      <c r="A218" s="23"/>
      <c r="B218" s="16"/>
      <c r="C218" s="23"/>
      <c r="D218" s="24"/>
      <c r="E218" s="16"/>
      <c r="F218" s="24"/>
      <c r="G218" s="24"/>
      <c r="H218" s="16"/>
      <c r="I218" s="16"/>
      <c r="J218" s="16"/>
      <c r="K218" s="16"/>
      <c r="L218" s="16"/>
      <c r="M218" s="16"/>
      <c r="N218" s="16"/>
      <c r="O218" s="16"/>
      <c r="P218" s="16"/>
      <c r="Q218" s="16"/>
      <c r="R218" s="16"/>
      <c r="S218" s="16"/>
      <c r="T218" s="16"/>
      <c r="U218" s="16"/>
      <c r="V218" s="16"/>
      <c r="W218" s="16"/>
      <c r="X218" s="16"/>
      <c r="Y218" s="16"/>
      <c r="Z218" s="16"/>
    </row>
    <row r="219" ht="12.75" spans="1:26">
      <c r="A219" s="23"/>
      <c r="B219" s="16"/>
      <c r="C219" s="23"/>
      <c r="D219" s="24"/>
      <c r="E219" s="16"/>
      <c r="F219" s="24"/>
      <c r="G219" s="24"/>
      <c r="H219" s="16"/>
      <c r="I219" s="16"/>
      <c r="J219" s="16"/>
      <c r="K219" s="16"/>
      <c r="L219" s="16"/>
      <c r="M219" s="16"/>
      <c r="N219" s="16"/>
      <c r="O219" s="16"/>
      <c r="P219" s="16"/>
      <c r="Q219" s="16"/>
      <c r="R219" s="16"/>
      <c r="S219" s="16"/>
      <c r="T219" s="16"/>
      <c r="U219" s="16"/>
      <c r="V219" s="16"/>
      <c r="W219" s="16"/>
      <c r="X219" s="16"/>
      <c r="Y219" s="16"/>
      <c r="Z219" s="16"/>
    </row>
    <row r="220" ht="12.75" spans="1:26">
      <c r="A220" s="23"/>
      <c r="B220" s="16"/>
      <c r="C220" s="23"/>
      <c r="D220" s="24"/>
      <c r="E220" s="16"/>
      <c r="F220" s="24"/>
      <c r="G220" s="24"/>
      <c r="H220" s="16"/>
      <c r="I220" s="16"/>
      <c r="J220" s="16"/>
      <c r="K220" s="16"/>
      <c r="L220" s="16"/>
      <c r="M220" s="16"/>
      <c r="N220" s="16"/>
      <c r="O220" s="16"/>
      <c r="P220" s="16"/>
      <c r="Q220" s="16"/>
      <c r="R220" s="16"/>
      <c r="S220" s="16"/>
      <c r="T220" s="16"/>
      <c r="U220" s="16"/>
      <c r="V220" s="16"/>
      <c r="W220" s="16"/>
      <c r="X220" s="16"/>
      <c r="Y220" s="16"/>
      <c r="Z220" s="16"/>
    </row>
    <row r="221" ht="12.75" spans="1:26">
      <c r="A221" s="23"/>
      <c r="B221" s="16"/>
      <c r="C221" s="23"/>
      <c r="D221" s="24"/>
      <c r="E221" s="16"/>
      <c r="F221" s="24"/>
      <c r="G221" s="24"/>
      <c r="H221" s="16"/>
      <c r="I221" s="16"/>
      <c r="J221" s="16"/>
      <c r="K221" s="16"/>
      <c r="L221" s="16"/>
      <c r="M221" s="16"/>
      <c r="N221" s="16"/>
      <c r="O221" s="16"/>
      <c r="P221" s="16"/>
      <c r="Q221" s="16"/>
      <c r="R221" s="16"/>
      <c r="S221" s="16"/>
      <c r="T221" s="16"/>
      <c r="U221" s="16"/>
      <c r="V221" s="16"/>
      <c r="W221" s="16"/>
      <c r="X221" s="16"/>
      <c r="Y221" s="16"/>
      <c r="Z221" s="16"/>
    </row>
    <row r="222" ht="12.75" spans="1:26">
      <c r="A222" s="23"/>
      <c r="B222" s="16"/>
      <c r="C222" s="23"/>
      <c r="D222" s="24"/>
      <c r="E222" s="16"/>
      <c r="F222" s="24"/>
      <c r="G222" s="24"/>
      <c r="H222" s="16"/>
      <c r="I222" s="16"/>
      <c r="J222" s="16"/>
      <c r="K222" s="16"/>
      <c r="L222" s="16"/>
      <c r="M222" s="16"/>
      <c r="N222" s="16"/>
      <c r="O222" s="16"/>
      <c r="P222" s="16"/>
      <c r="Q222" s="16"/>
      <c r="R222" s="16"/>
      <c r="S222" s="16"/>
      <c r="T222" s="16"/>
      <c r="U222" s="16"/>
      <c r="V222" s="16"/>
      <c r="W222" s="16"/>
      <c r="X222" s="16"/>
      <c r="Y222" s="16"/>
      <c r="Z222" s="16"/>
    </row>
    <row r="223" ht="12.75" spans="1:26">
      <c r="A223" s="23"/>
      <c r="B223" s="16"/>
      <c r="C223" s="23"/>
      <c r="D223" s="24"/>
      <c r="E223" s="16"/>
      <c r="F223" s="24"/>
      <c r="G223" s="24"/>
      <c r="H223" s="16"/>
      <c r="I223" s="16"/>
      <c r="J223" s="16"/>
      <c r="K223" s="16"/>
      <c r="L223" s="16"/>
      <c r="M223" s="16"/>
      <c r="N223" s="16"/>
      <c r="O223" s="16"/>
      <c r="P223" s="16"/>
      <c r="Q223" s="16"/>
      <c r="R223" s="16"/>
      <c r="S223" s="16"/>
      <c r="T223" s="16"/>
      <c r="U223" s="16"/>
      <c r="V223" s="16"/>
      <c r="W223" s="16"/>
      <c r="X223" s="16"/>
      <c r="Y223" s="16"/>
      <c r="Z223" s="16"/>
    </row>
    <row r="224" ht="12.75" spans="1:26">
      <c r="A224" s="23"/>
      <c r="B224" s="16"/>
      <c r="C224" s="23"/>
      <c r="D224" s="24"/>
      <c r="E224" s="16"/>
      <c r="F224" s="24"/>
      <c r="G224" s="24"/>
      <c r="H224" s="16"/>
      <c r="I224" s="16"/>
      <c r="J224" s="16"/>
      <c r="K224" s="16"/>
      <c r="L224" s="16"/>
      <c r="M224" s="16"/>
      <c r="N224" s="16"/>
      <c r="O224" s="16"/>
      <c r="P224" s="16"/>
      <c r="Q224" s="16"/>
      <c r="R224" s="16"/>
      <c r="S224" s="16"/>
      <c r="T224" s="16"/>
      <c r="U224" s="16"/>
      <c r="V224" s="16"/>
      <c r="W224" s="16"/>
      <c r="X224" s="16"/>
      <c r="Y224" s="16"/>
      <c r="Z224" s="16"/>
    </row>
    <row r="225" ht="12.75" spans="1:26">
      <c r="A225" s="23"/>
      <c r="B225" s="16"/>
      <c r="C225" s="23"/>
      <c r="D225" s="24"/>
      <c r="E225" s="16"/>
      <c r="F225" s="24"/>
      <c r="G225" s="24"/>
      <c r="H225" s="16"/>
      <c r="I225" s="16"/>
      <c r="J225" s="16"/>
      <c r="K225" s="16"/>
      <c r="L225" s="16"/>
      <c r="M225" s="16"/>
      <c r="N225" s="16"/>
      <c r="O225" s="16"/>
      <c r="P225" s="16"/>
      <c r="Q225" s="16"/>
      <c r="R225" s="16"/>
      <c r="S225" s="16"/>
      <c r="T225" s="16"/>
      <c r="U225" s="16"/>
      <c r="V225" s="16"/>
      <c r="W225" s="16"/>
      <c r="X225" s="16"/>
      <c r="Y225" s="16"/>
      <c r="Z225" s="16"/>
    </row>
    <row r="226" ht="12.75" spans="1:26">
      <c r="A226" s="23"/>
      <c r="B226" s="16"/>
      <c r="C226" s="23"/>
      <c r="D226" s="24"/>
      <c r="E226" s="16"/>
      <c r="F226" s="24"/>
      <c r="G226" s="24"/>
      <c r="H226" s="16"/>
      <c r="I226" s="16"/>
      <c r="J226" s="16"/>
      <c r="K226" s="16"/>
      <c r="L226" s="16"/>
      <c r="M226" s="16"/>
      <c r="N226" s="16"/>
      <c r="O226" s="16"/>
      <c r="P226" s="16"/>
      <c r="Q226" s="16"/>
      <c r="R226" s="16"/>
      <c r="S226" s="16"/>
      <c r="T226" s="16"/>
      <c r="U226" s="16"/>
      <c r="V226" s="16"/>
      <c r="W226" s="16"/>
      <c r="X226" s="16"/>
      <c r="Y226" s="16"/>
      <c r="Z226" s="16"/>
    </row>
    <row r="227" ht="12.75" spans="1:26">
      <c r="A227" s="23"/>
      <c r="B227" s="16"/>
      <c r="C227" s="23"/>
      <c r="D227" s="24"/>
      <c r="E227" s="16"/>
      <c r="F227" s="24"/>
      <c r="G227" s="24"/>
      <c r="H227" s="16"/>
      <c r="I227" s="16"/>
      <c r="J227" s="16"/>
      <c r="K227" s="16"/>
      <c r="L227" s="16"/>
      <c r="M227" s="16"/>
      <c r="N227" s="16"/>
      <c r="O227" s="16"/>
      <c r="P227" s="16"/>
      <c r="Q227" s="16"/>
      <c r="R227" s="16"/>
      <c r="S227" s="16"/>
      <c r="T227" s="16"/>
      <c r="U227" s="16"/>
      <c r="V227" s="16"/>
      <c r="W227" s="16"/>
      <c r="X227" s="16"/>
      <c r="Y227" s="16"/>
      <c r="Z227" s="16"/>
    </row>
    <row r="228" ht="12.75" spans="1:26">
      <c r="A228" s="23"/>
      <c r="B228" s="16"/>
      <c r="C228" s="23"/>
      <c r="D228" s="24"/>
      <c r="E228" s="16"/>
      <c r="F228" s="24"/>
      <c r="G228" s="24"/>
      <c r="H228" s="16"/>
      <c r="I228" s="16"/>
      <c r="J228" s="16"/>
      <c r="K228" s="16"/>
      <c r="L228" s="16"/>
      <c r="M228" s="16"/>
      <c r="N228" s="16"/>
      <c r="O228" s="16"/>
      <c r="P228" s="16"/>
      <c r="Q228" s="16"/>
      <c r="R228" s="16"/>
      <c r="S228" s="16"/>
      <c r="T228" s="16"/>
      <c r="U228" s="16"/>
      <c r="V228" s="16"/>
      <c r="W228" s="16"/>
      <c r="X228" s="16"/>
      <c r="Y228" s="16"/>
      <c r="Z228" s="16"/>
    </row>
    <row r="229" ht="12.75" spans="1:26">
      <c r="A229" s="23"/>
      <c r="B229" s="16"/>
      <c r="C229" s="23"/>
      <c r="D229" s="24"/>
      <c r="E229" s="16"/>
      <c r="F229" s="24"/>
      <c r="G229" s="24"/>
      <c r="H229" s="16"/>
      <c r="I229" s="16"/>
      <c r="J229" s="16"/>
      <c r="K229" s="16"/>
      <c r="L229" s="16"/>
      <c r="M229" s="16"/>
      <c r="N229" s="16"/>
      <c r="O229" s="16"/>
      <c r="P229" s="16"/>
      <c r="Q229" s="16"/>
      <c r="R229" s="16"/>
      <c r="S229" s="16"/>
      <c r="T229" s="16"/>
      <c r="U229" s="16"/>
      <c r="V229" s="16"/>
      <c r="W229" s="16"/>
      <c r="X229" s="16"/>
      <c r="Y229" s="16"/>
      <c r="Z229" s="16"/>
    </row>
    <row r="230" ht="12.75" spans="1:26">
      <c r="A230" s="23"/>
      <c r="B230" s="16"/>
      <c r="C230" s="23"/>
      <c r="D230" s="24"/>
      <c r="E230" s="16"/>
      <c r="F230" s="24"/>
      <c r="G230" s="24"/>
      <c r="H230" s="16"/>
      <c r="I230" s="16"/>
      <c r="J230" s="16"/>
      <c r="K230" s="16"/>
      <c r="L230" s="16"/>
      <c r="M230" s="16"/>
      <c r="N230" s="16"/>
      <c r="O230" s="16"/>
      <c r="P230" s="16"/>
      <c r="Q230" s="16"/>
      <c r="R230" s="16"/>
      <c r="S230" s="16"/>
      <c r="T230" s="16"/>
      <c r="U230" s="16"/>
      <c r="V230" s="16"/>
      <c r="W230" s="16"/>
      <c r="X230" s="16"/>
      <c r="Y230" s="16"/>
      <c r="Z230" s="16"/>
    </row>
    <row r="231" ht="12.75" spans="1:26">
      <c r="A231" s="23"/>
      <c r="B231" s="16"/>
      <c r="C231" s="23"/>
      <c r="D231" s="24"/>
      <c r="E231" s="16"/>
      <c r="F231" s="24"/>
      <c r="G231" s="24"/>
      <c r="H231" s="16"/>
      <c r="I231" s="16"/>
      <c r="J231" s="16"/>
      <c r="K231" s="16"/>
      <c r="L231" s="16"/>
      <c r="M231" s="16"/>
      <c r="N231" s="16"/>
      <c r="O231" s="16"/>
      <c r="P231" s="16"/>
      <c r="Q231" s="16"/>
      <c r="R231" s="16"/>
      <c r="S231" s="16"/>
      <c r="T231" s="16"/>
      <c r="U231" s="16"/>
      <c r="V231" s="16"/>
      <c r="W231" s="16"/>
      <c r="X231" s="16"/>
      <c r="Y231" s="16"/>
      <c r="Z231" s="16"/>
    </row>
    <row r="232" ht="12.75" spans="1:26">
      <c r="A232" s="23"/>
      <c r="B232" s="16"/>
      <c r="C232" s="23"/>
      <c r="D232" s="24"/>
      <c r="E232" s="16"/>
      <c r="F232" s="24"/>
      <c r="G232" s="24"/>
      <c r="H232" s="16"/>
      <c r="I232" s="16"/>
      <c r="J232" s="16"/>
      <c r="K232" s="16"/>
      <c r="L232" s="16"/>
      <c r="M232" s="16"/>
      <c r="N232" s="16"/>
      <c r="O232" s="16"/>
      <c r="P232" s="16"/>
      <c r="Q232" s="16"/>
      <c r="R232" s="16"/>
      <c r="S232" s="16"/>
      <c r="T232" s="16"/>
      <c r="U232" s="16"/>
      <c r="V232" s="16"/>
      <c r="W232" s="16"/>
      <c r="X232" s="16"/>
      <c r="Y232" s="16"/>
      <c r="Z232" s="16"/>
    </row>
    <row r="233" ht="12.75" spans="1:26">
      <c r="A233" s="23"/>
      <c r="B233" s="16"/>
      <c r="C233" s="23"/>
      <c r="D233" s="24"/>
      <c r="E233" s="16"/>
      <c r="F233" s="24"/>
      <c r="G233" s="24"/>
      <c r="H233" s="16"/>
      <c r="I233" s="16"/>
      <c r="J233" s="16"/>
      <c r="K233" s="16"/>
      <c r="L233" s="16"/>
      <c r="M233" s="16"/>
      <c r="N233" s="16"/>
      <c r="O233" s="16"/>
      <c r="P233" s="16"/>
      <c r="Q233" s="16"/>
      <c r="R233" s="16"/>
      <c r="S233" s="16"/>
      <c r="T233" s="16"/>
      <c r="U233" s="16"/>
      <c r="V233" s="16"/>
      <c r="W233" s="16"/>
      <c r="X233" s="16"/>
      <c r="Y233" s="16"/>
      <c r="Z233" s="16"/>
    </row>
    <row r="234" ht="12.75" spans="1:26">
      <c r="A234" s="23"/>
      <c r="B234" s="16"/>
      <c r="C234" s="23"/>
      <c r="D234" s="24"/>
      <c r="E234" s="16"/>
      <c r="F234" s="24"/>
      <c r="G234" s="24"/>
      <c r="H234" s="16"/>
      <c r="I234" s="16"/>
      <c r="J234" s="16"/>
      <c r="K234" s="16"/>
      <c r="L234" s="16"/>
      <c r="M234" s="16"/>
      <c r="N234" s="16"/>
      <c r="O234" s="16"/>
      <c r="P234" s="16"/>
      <c r="Q234" s="16"/>
      <c r="R234" s="16"/>
      <c r="S234" s="16"/>
      <c r="T234" s="16"/>
      <c r="U234" s="16"/>
      <c r="V234" s="16"/>
      <c r="W234" s="16"/>
      <c r="X234" s="16"/>
      <c r="Y234" s="16"/>
      <c r="Z234" s="16"/>
    </row>
    <row r="235" ht="12.75" spans="1:26">
      <c r="A235" s="23"/>
      <c r="B235" s="16"/>
      <c r="C235" s="23"/>
      <c r="D235" s="24"/>
      <c r="E235" s="16"/>
      <c r="F235" s="24"/>
      <c r="G235" s="24"/>
      <c r="H235" s="16"/>
      <c r="I235" s="16"/>
      <c r="J235" s="16"/>
      <c r="K235" s="16"/>
      <c r="L235" s="16"/>
      <c r="M235" s="16"/>
      <c r="N235" s="16"/>
      <c r="O235" s="16"/>
      <c r="P235" s="16"/>
      <c r="Q235" s="16"/>
      <c r="R235" s="16"/>
      <c r="S235" s="16"/>
      <c r="T235" s="16"/>
      <c r="U235" s="16"/>
      <c r="V235" s="16"/>
      <c r="W235" s="16"/>
      <c r="X235" s="16"/>
      <c r="Y235" s="16"/>
      <c r="Z235" s="16"/>
    </row>
    <row r="236" ht="12.75" spans="1:26">
      <c r="A236" s="23"/>
      <c r="B236" s="16"/>
      <c r="C236" s="23"/>
      <c r="D236" s="24"/>
      <c r="E236" s="16"/>
      <c r="F236" s="24"/>
      <c r="G236" s="24"/>
      <c r="H236" s="16"/>
      <c r="I236" s="16"/>
      <c r="J236" s="16"/>
      <c r="K236" s="16"/>
      <c r="L236" s="16"/>
      <c r="M236" s="16"/>
      <c r="N236" s="16"/>
      <c r="O236" s="16"/>
      <c r="P236" s="16"/>
      <c r="Q236" s="16"/>
      <c r="R236" s="16"/>
      <c r="S236" s="16"/>
      <c r="T236" s="16"/>
      <c r="U236" s="16"/>
      <c r="V236" s="16"/>
      <c r="W236" s="16"/>
      <c r="X236" s="16"/>
      <c r="Y236" s="16"/>
      <c r="Z236" s="16"/>
    </row>
    <row r="237" ht="12.75" spans="1:26">
      <c r="A237" s="23"/>
      <c r="B237" s="16"/>
      <c r="C237" s="23"/>
      <c r="D237" s="24"/>
      <c r="E237" s="16"/>
      <c r="F237" s="24"/>
      <c r="G237" s="24"/>
      <c r="H237" s="16"/>
      <c r="I237" s="16"/>
      <c r="J237" s="16"/>
      <c r="K237" s="16"/>
      <c r="L237" s="16"/>
      <c r="M237" s="16"/>
      <c r="N237" s="16"/>
      <c r="O237" s="16"/>
      <c r="P237" s="16"/>
      <c r="Q237" s="16"/>
      <c r="R237" s="16"/>
      <c r="S237" s="16"/>
      <c r="T237" s="16"/>
      <c r="U237" s="16"/>
      <c r="V237" s="16"/>
      <c r="W237" s="16"/>
      <c r="X237" s="16"/>
      <c r="Y237" s="16"/>
      <c r="Z237" s="16"/>
    </row>
    <row r="238" ht="12.75" spans="1:26">
      <c r="A238" s="23"/>
      <c r="B238" s="16"/>
      <c r="C238" s="23"/>
      <c r="D238" s="24"/>
      <c r="E238" s="16"/>
      <c r="F238" s="24"/>
      <c r="G238" s="24"/>
      <c r="H238" s="16"/>
      <c r="I238" s="16"/>
      <c r="J238" s="16"/>
      <c r="K238" s="16"/>
      <c r="L238" s="16"/>
      <c r="M238" s="16"/>
      <c r="N238" s="16"/>
      <c r="O238" s="16"/>
      <c r="P238" s="16"/>
      <c r="Q238" s="16"/>
      <c r="R238" s="16"/>
      <c r="S238" s="16"/>
      <c r="T238" s="16"/>
      <c r="U238" s="16"/>
      <c r="V238" s="16"/>
      <c r="W238" s="16"/>
      <c r="X238" s="16"/>
      <c r="Y238" s="16"/>
      <c r="Z238" s="16"/>
    </row>
    <row r="239" ht="12.75" spans="1:26">
      <c r="A239" s="23"/>
      <c r="B239" s="16"/>
      <c r="C239" s="23"/>
      <c r="D239" s="24"/>
      <c r="E239" s="16"/>
      <c r="F239" s="24"/>
      <c r="G239" s="24"/>
      <c r="H239" s="16"/>
      <c r="I239" s="16"/>
      <c r="J239" s="16"/>
      <c r="K239" s="16"/>
      <c r="L239" s="16"/>
      <c r="M239" s="16"/>
      <c r="N239" s="16"/>
      <c r="O239" s="16"/>
      <c r="P239" s="16"/>
      <c r="Q239" s="16"/>
      <c r="R239" s="16"/>
      <c r="S239" s="16"/>
      <c r="T239" s="16"/>
      <c r="U239" s="16"/>
      <c r="V239" s="16"/>
      <c r="W239" s="16"/>
      <c r="X239" s="16"/>
      <c r="Y239" s="16"/>
      <c r="Z239" s="16"/>
    </row>
    <row r="240" ht="12.75" spans="1:26">
      <c r="A240" s="23"/>
      <c r="B240" s="16"/>
      <c r="C240" s="23"/>
      <c r="D240" s="24"/>
      <c r="E240" s="16"/>
      <c r="F240" s="24"/>
      <c r="G240" s="24"/>
      <c r="H240" s="16"/>
      <c r="I240" s="16"/>
      <c r="J240" s="16"/>
      <c r="K240" s="16"/>
      <c r="L240" s="16"/>
      <c r="M240" s="16"/>
      <c r="N240" s="16"/>
      <c r="O240" s="16"/>
      <c r="P240" s="16"/>
      <c r="Q240" s="16"/>
      <c r="R240" s="16"/>
      <c r="S240" s="16"/>
      <c r="T240" s="16"/>
      <c r="U240" s="16"/>
      <c r="V240" s="16"/>
      <c r="W240" s="16"/>
      <c r="X240" s="16"/>
      <c r="Y240" s="16"/>
      <c r="Z240" s="16"/>
    </row>
    <row r="241" ht="12.75" spans="1:26">
      <c r="A241" s="23"/>
      <c r="B241" s="16"/>
      <c r="C241" s="23"/>
      <c r="D241" s="24"/>
      <c r="E241" s="16"/>
      <c r="F241" s="24"/>
      <c r="G241" s="24"/>
      <c r="H241" s="16"/>
      <c r="I241" s="16"/>
      <c r="J241" s="16"/>
      <c r="K241" s="16"/>
      <c r="L241" s="16"/>
      <c r="M241" s="16"/>
      <c r="N241" s="16"/>
      <c r="O241" s="16"/>
      <c r="P241" s="16"/>
      <c r="Q241" s="16"/>
      <c r="R241" s="16"/>
      <c r="S241" s="16"/>
      <c r="T241" s="16"/>
      <c r="U241" s="16"/>
      <c r="V241" s="16"/>
      <c r="W241" s="16"/>
      <c r="X241" s="16"/>
      <c r="Y241" s="16"/>
      <c r="Z241" s="16"/>
    </row>
    <row r="242" ht="12.75" spans="1:26">
      <c r="A242" s="23"/>
      <c r="B242" s="16"/>
      <c r="C242" s="23"/>
      <c r="D242" s="24"/>
      <c r="E242" s="16"/>
      <c r="F242" s="24"/>
      <c r="G242" s="24"/>
      <c r="H242" s="16"/>
      <c r="I242" s="16"/>
      <c r="J242" s="16"/>
      <c r="K242" s="16"/>
      <c r="L242" s="16"/>
      <c r="M242" s="16"/>
      <c r="N242" s="16"/>
      <c r="O242" s="16"/>
      <c r="P242" s="16"/>
      <c r="Q242" s="16"/>
      <c r="R242" s="16"/>
      <c r="S242" s="16"/>
      <c r="T242" s="16"/>
      <c r="U242" s="16"/>
      <c r="V242" s="16"/>
      <c r="W242" s="16"/>
      <c r="X242" s="16"/>
      <c r="Y242" s="16"/>
      <c r="Z242" s="16"/>
    </row>
    <row r="243" ht="12.75" spans="1:26">
      <c r="A243" s="23"/>
      <c r="B243" s="16"/>
      <c r="C243" s="23"/>
      <c r="D243" s="24"/>
      <c r="E243" s="16"/>
      <c r="F243" s="24"/>
      <c r="G243" s="24"/>
      <c r="H243" s="16"/>
      <c r="I243" s="16"/>
      <c r="J243" s="16"/>
      <c r="K243" s="16"/>
      <c r="L243" s="16"/>
      <c r="M243" s="16"/>
      <c r="N243" s="16"/>
      <c r="O243" s="16"/>
      <c r="P243" s="16"/>
      <c r="Q243" s="16"/>
      <c r="R243" s="16"/>
      <c r="S243" s="16"/>
      <c r="T243" s="16"/>
      <c r="U243" s="16"/>
      <c r="V243" s="16"/>
      <c r="W243" s="16"/>
      <c r="X243" s="16"/>
      <c r="Y243" s="16"/>
      <c r="Z243" s="16"/>
    </row>
    <row r="244" ht="12.75" spans="1:26">
      <c r="A244" s="23"/>
      <c r="B244" s="16"/>
      <c r="C244" s="23"/>
      <c r="D244" s="24"/>
      <c r="E244" s="16"/>
      <c r="F244" s="24"/>
      <c r="G244" s="24"/>
      <c r="H244" s="16"/>
      <c r="I244" s="16"/>
      <c r="J244" s="16"/>
      <c r="K244" s="16"/>
      <c r="L244" s="16"/>
      <c r="M244" s="16"/>
      <c r="N244" s="16"/>
      <c r="O244" s="16"/>
      <c r="P244" s="16"/>
      <c r="Q244" s="16"/>
      <c r="R244" s="16"/>
      <c r="S244" s="16"/>
      <c r="T244" s="16"/>
      <c r="U244" s="16"/>
      <c r="V244" s="16"/>
      <c r="W244" s="16"/>
      <c r="X244" s="16"/>
      <c r="Y244" s="16"/>
      <c r="Z244" s="16"/>
    </row>
    <row r="245" ht="12.75" spans="1:26">
      <c r="A245" s="23"/>
      <c r="B245" s="16"/>
      <c r="C245" s="23"/>
      <c r="D245" s="24"/>
      <c r="E245" s="16"/>
      <c r="F245" s="24"/>
      <c r="G245" s="24"/>
      <c r="H245" s="16"/>
      <c r="I245" s="16"/>
      <c r="J245" s="16"/>
      <c r="K245" s="16"/>
      <c r="L245" s="16"/>
      <c r="M245" s="16"/>
      <c r="N245" s="16"/>
      <c r="O245" s="16"/>
      <c r="P245" s="16"/>
      <c r="Q245" s="16"/>
      <c r="R245" s="16"/>
      <c r="S245" s="16"/>
      <c r="T245" s="16"/>
      <c r="U245" s="16"/>
      <c r="V245" s="16"/>
      <c r="W245" s="16"/>
      <c r="X245" s="16"/>
      <c r="Y245" s="16"/>
      <c r="Z245" s="16"/>
    </row>
    <row r="246" ht="12.75" spans="1:26">
      <c r="A246" s="23"/>
      <c r="B246" s="16"/>
      <c r="C246" s="23"/>
      <c r="D246" s="24"/>
      <c r="E246" s="16"/>
      <c r="F246" s="24"/>
      <c r="G246" s="24"/>
      <c r="H246" s="16"/>
      <c r="I246" s="16"/>
      <c r="J246" s="16"/>
      <c r="K246" s="16"/>
      <c r="L246" s="16"/>
      <c r="M246" s="16"/>
      <c r="N246" s="16"/>
      <c r="O246" s="16"/>
      <c r="P246" s="16"/>
      <c r="Q246" s="16"/>
      <c r="R246" s="16"/>
      <c r="S246" s="16"/>
      <c r="T246" s="16"/>
      <c r="U246" s="16"/>
      <c r="V246" s="16"/>
      <c r="W246" s="16"/>
      <c r="X246" s="16"/>
      <c r="Y246" s="16"/>
      <c r="Z246" s="16"/>
    </row>
    <row r="247" ht="12.75" spans="1:26">
      <c r="A247" s="23"/>
      <c r="B247" s="16"/>
      <c r="C247" s="23"/>
      <c r="D247" s="24"/>
      <c r="E247" s="16"/>
      <c r="F247" s="24"/>
      <c r="G247" s="24"/>
      <c r="H247" s="16"/>
      <c r="I247" s="16"/>
      <c r="J247" s="16"/>
      <c r="K247" s="16"/>
      <c r="L247" s="16"/>
      <c r="M247" s="16"/>
      <c r="N247" s="16"/>
      <c r="O247" s="16"/>
      <c r="P247" s="16"/>
      <c r="Q247" s="16"/>
      <c r="R247" s="16"/>
      <c r="S247" s="16"/>
      <c r="T247" s="16"/>
      <c r="U247" s="16"/>
      <c r="V247" s="16"/>
      <c r="W247" s="16"/>
      <c r="X247" s="16"/>
      <c r="Y247" s="16"/>
      <c r="Z247" s="16"/>
    </row>
    <row r="248" ht="12.75" spans="1:26">
      <c r="A248" s="23"/>
      <c r="B248" s="16"/>
      <c r="C248" s="23"/>
      <c r="D248" s="24"/>
      <c r="E248" s="16"/>
      <c r="F248" s="24"/>
      <c r="G248" s="24"/>
      <c r="H248" s="16"/>
      <c r="I248" s="16"/>
      <c r="J248" s="16"/>
      <c r="K248" s="16"/>
      <c r="L248" s="16"/>
      <c r="M248" s="16"/>
      <c r="N248" s="16"/>
      <c r="O248" s="16"/>
      <c r="P248" s="16"/>
      <c r="Q248" s="16"/>
      <c r="R248" s="16"/>
      <c r="S248" s="16"/>
      <c r="T248" s="16"/>
      <c r="U248" s="16"/>
      <c r="V248" s="16"/>
      <c r="W248" s="16"/>
      <c r="X248" s="16"/>
      <c r="Y248" s="16"/>
      <c r="Z248" s="16"/>
    </row>
    <row r="249" ht="12.75" spans="1:26">
      <c r="A249" s="23"/>
      <c r="B249" s="16"/>
      <c r="C249" s="23"/>
      <c r="D249" s="24"/>
      <c r="E249" s="16"/>
      <c r="F249" s="24"/>
      <c r="G249" s="24"/>
      <c r="H249" s="16"/>
      <c r="I249" s="16"/>
      <c r="J249" s="16"/>
      <c r="K249" s="16"/>
      <c r="L249" s="16"/>
      <c r="M249" s="16"/>
      <c r="N249" s="16"/>
      <c r="O249" s="16"/>
      <c r="P249" s="16"/>
      <c r="Q249" s="16"/>
      <c r="R249" s="16"/>
      <c r="S249" s="16"/>
      <c r="T249" s="16"/>
      <c r="U249" s="16"/>
      <c r="V249" s="16"/>
      <c r="W249" s="16"/>
      <c r="X249" s="16"/>
      <c r="Y249" s="16"/>
      <c r="Z249" s="16"/>
    </row>
    <row r="250" ht="12.75" spans="1:26">
      <c r="A250" s="23"/>
      <c r="B250" s="16"/>
      <c r="C250" s="23"/>
      <c r="D250" s="24"/>
      <c r="E250" s="16"/>
      <c r="F250" s="24"/>
      <c r="G250" s="24"/>
      <c r="H250" s="16"/>
      <c r="I250" s="16"/>
      <c r="J250" s="16"/>
      <c r="K250" s="16"/>
      <c r="L250" s="16"/>
      <c r="M250" s="16"/>
      <c r="N250" s="16"/>
      <c r="O250" s="16"/>
      <c r="P250" s="16"/>
      <c r="Q250" s="16"/>
      <c r="R250" s="16"/>
      <c r="S250" s="16"/>
      <c r="T250" s="16"/>
      <c r="U250" s="16"/>
      <c r="V250" s="16"/>
      <c r="W250" s="16"/>
      <c r="X250" s="16"/>
      <c r="Y250" s="16"/>
      <c r="Z250" s="16"/>
    </row>
    <row r="251" ht="12.75" spans="1:26">
      <c r="A251" s="23"/>
      <c r="B251" s="16"/>
      <c r="C251" s="23"/>
      <c r="D251" s="24"/>
      <c r="E251" s="16"/>
      <c r="F251" s="24"/>
      <c r="G251" s="24"/>
      <c r="H251" s="16"/>
      <c r="I251" s="16"/>
      <c r="J251" s="16"/>
      <c r="K251" s="16"/>
      <c r="L251" s="16"/>
      <c r="M251" s="16"/>
      <c r="N251" s="16"/>
      <c r="O251" s="16"/>
      <c r="P251" s="16"/>
      <c r="Q251" s="16"/>
      <c r="R251" s="16"/>
      <c r="S251" s="16"/>
      <c r="T251" s="16"/>
      <c r="U251" s="16"/>
      <c r="V251" s="16"/>
      <c r="W251" s="16"/>
      <c r="X251" s="16"/>
      <c r="Y251" s="16"/>
      <c r="Z251" s="16"/>
    </row>
    <row r="252" ht="12.75" spans="1:26">
      <c r="A252" s="23"/>
      <c r="B252" s="16"/>
      <c r="C252" s="23"/>
      <c r="D252" s="24"/>
      <c r="E252" s="16"/>
      <c r="F252" s="24"/>
      <c r="G252" s="24"/>
      <c r="H252" s="16"/>
      <c r="I252" s="16"/>
      <c r="J252" s="16"/>
      <c r="K252" s="16"/>
      <c r="L252" s="16"/>
      <c r="M252" s="16"/>
      <c r="N252" s="16"/>
      <c r="O252" s="16"/>
      <c r="P252" s="16"/>
      <c r="Q252" s="16"/>
      <c r="R252" s="16"/>
      <c r="S252" s="16"/>
      <c r="T252" s="16"/>
      <c r="U252" s="16"/>
      <c r="V252" s="16"/>
      <c r="W252" s="16"/>
      <c r="X252" s="16"/>
      <c r="Y252" s="16"/>
      <c r="Z252" s="16"/>
    </row>
    <row r="253" ht="12.75" spans="1:26">
      <c r="A253" s="23"/>
      <c r="B253" s="16"/>
      <c r="C253" s="23"/>
      <c r="D253" s="24"/>
      <c r="E253" s="16"/>
      <c r="F253" s="24"/>
      <c r="G253" s="24"/>
      <c r="H253" s="16"/>
      <c r="I253" s="16"/>
      <c r="J253" s="16"/>
      <c r="K253" s="16"/>
      <c r="L253" s="16"/>
      <c r="M253" s="16"/>
      <c r="N253" s="16"/>
      <c r="O253" s="16"/>
      <c r="P253" s="16"/>
      <c r="Q253" s="16"/>
      <c r="R253" s="16"/>
      <c r="S253" s="16"/>
      <c r="T253" s="16"/>
      <c r="U253" s="16"/>
      <c r="V253" s="16"/>
      <c r="W253" s="16"/>
      <c r="X253" s="16"/>
      <c r="Y253" s="16"/>
      <c r="Z253" s="16"/>
    </row>
    <row r="254" ht="12.75" spans="1:26">
      <c r="A254" s="23"/>
      <c r="B254" s="16"/>
      <c r="C254" s="23"/>
      <c r="D254" s="24"/>
      <c r="E254" s="16"/>
      <c r="F254" s="24"/>
      <c r="G254" s="24"/>
      <c r="H254" s="16"/>
      <c r="I254" s="16"/>
      <c r="J254" s="16"/>
      <c r="K254" s="16"/>
      <c r="L254" s="16"/>
      <c r="M254" s="16"/>
      <c r="N254" s="16"/>
      <c r="O254" s="16"/>
      <c r="P254" s="16"/>
      <c r="Q254" s="16"/>
      <c r="R254" s="16"/>
      <c r="S254" s="16"/>
      <c r="T254" s="16"/>
      <c r="U254" s="16"/>
      <c r="V254" s="16"/>
      <c r="W254" s="16"/>
      <c r="X254" s="16"/>
      <c r="Y254" s="16"/>
      <c r="Z254" s="16"/>
    </row>
    <row r="255" ht="12.75" spans="1:26">
      <c r="A255" s="23"/>
      <c r="B255" s="16"/>
      <c r="C255" s="23"/>
      <c r="D255" s="24"/>
      <c r="E255" s="16"/>
      <c r="F255" s="24"/>
      <c r="G255" s="24"/>
      <c r="H255" s="16"/>
      <c r="I255" s="16"/>
      <c r="J255" s="16"/>
      <c r="K255" s="16"/>
      <c r="L255" s="16"/>
      <c r="M255" s="16"/>
      <c r="N255" s="16"/>
      <c r="O255" s="16"/>
      <c r="P255" s="16"/>
      <c r="Q255" s="16"/>
      <c r="R255" s="16"/>
      <c r="S255" s="16"/>
      <c r="T255" s="16"/>
      <c r="U255" s="16"/>
      <c r="V255" s="16"/>
      <c r="W255" s="16"/>
      <c r="X255" s="16"/>
      <c r="Y255" s="16"/>
      <c r="Z255" s="16"/>
    </row>
    <row r="256" ht="12.75" spans="1:26">
      <c r="A256" s="23"/>
      <c r="B256" s="16"/>
      <c r="C256" s="23"/>
      <c r="D256" s="24"/>
      <c r="E256" s="16"/>
      <c r="F256" s="24"/>
      <c r="G256" s="24"/>
      <c r="H256" s="16"/>
      <c r="I256" s="16"/>
      <c r="J256" s="16"/>
      <c r="K256" s="16"/>
      <c r="L256" s="16"/>
      <c r="M256" s="16"/>
      <c r="N256" s="16"/>
      <c r="O256" s="16"/>
      <c r="P256" s="16"/>
      <c r="Q256" s="16"/>
      <c r="R256" s="16"/>
      <c r="S256" s="16"/>
      <c r="T256" s="16"/>
      <c r="U256" s="16"/>
      <c r="V256" s="16"/>
      <c r="W256" s="16"/>
      <c r="X256" s="16"/>
      <c r="Y256" s="16"/>
      <c r="Z256" s="16"/>
    </row>
    <row r="257" ht="12.75" spans="1:26">
      <c r="A257" s="23"/>
      <c r="B257" s="16"/>
      <c r="C257" s="23"/>
      <c r="D257" s="24"/>
      <c r="E257" s="16"/>
      <c r="F257" s="24"/>
      <c r="G257" s="24"/>
      <c r="H257" s="16"/>
      <c r="I257" s="16"/>
      <c r="J257" s="16"/>
      <c r="K257" s="16"/>
      <c r="L257" s="16"/>
      <c r="M257" s="16"/>
      <c r="N257" s="16"/>
      <c r="O257" s="16"/>
      <c r="P257" s="16"/>
      <c r="Q257" s="16"/>
      <c r="R257" s="16"/>
      <c r="S257" s="16"/>
      <c r="T257" s="16"/>
      <c r="U257" s="16"/>
      <c r="V257" s="16"/>
      <c r="W257" s="16"/>
      <c r="X257" s="16"/>
      <c r="Y257" s="16"/>
      <c r="Z257" s="16"/>
    </row>
    <row r="258" ht="12.75" spans="1:26">
      <c r="A258" s="23"/>
      <c r="B258" s="16"/>
      <c r="C258" s="23"/>
      <c r="D258" s="24"/>
      <c r="E258" s="16"/>
      <c r="F258" s="24"/>
      <c r="G258" s="24"/>
      <c r="H258" s="16"/>
      <c r="I258" s="16"/>
      <c r="J258" s="16"/>
      <c r="K258" s="16"/>
      <c r="L258" s="16"/>
      <c r="M258" s="16"/>
      <c r="N258" s="16"/>
      <c r="O258" s="16"/>
      <c r="P258" s="16"/>
      <c r="Q258" s="16"/>
      <c r="R258" s="16"/>
      <c r="S258" s="16"/>
      <c r="T258" s="16"/>
      <c r="U258" s="16"/>
      <c r="V258" s="16"/>
      <c r="W258" s="16"/>
      <c r="X258" s="16"/>
      <c r="Y258" s="16"/>
      <c r="Z258" s="16"/>
    </row>
    <row r="259" ht="12.75" spans="1:26">
      <c r="A259" s="23"/>
      <c r="B259" s="16"/>
      <c r="C259" s="23"/>
      <c r="D259" s="24"/>
      <c r="E259" s="16"/>
      <c r="F259" s="24"/>
      <c r="G259" s="24"/>
      <c r="H259" s="16"/>
      <c r="I259" s="16"/>
      <c r="J259" s="16"/>
      <c r="K259" s="16"/>
      <c r="L259" s="16"/>
      <c r="M259" s="16"/>
      <c r="N259" s="16"/>
      <c r="O259" s="16"/>
      <c r="P259" s="16"/>
      <c r="Q259" s="16"/>
      <c r="R259" s="16"/>
      <c r="S259" s="16"/>
      <c r="T259" s="16"/>
      <c r="U259" s="16"/>
      <c r="V259" s="16"/>
      <c r="W259" s="16"/>
      <c r="X259" s="16"/>
      <c r="Y259" s="16"/>
      <c r="Z259" s="16"/>
    </row>
    <row r="260" ht="12.75" spans="1:26">
      <c r="A260" s="23"/>
      <c r="B260" s="16"/>
      <c r="C260" s="23"/>
      <c r="D260" s="24"/>
      <c r="E260" s="16"/>
      <c r="F260" s="24"/>
      <c r="G260" s="24"/>
      <c r="H260" s="16"/>
      <c r="I260" s="16"/>
      <c r="J260" s="16"/>
      <c r="K260" s="16"/>
      <c r="L260" s="16"/>
      <c r="M260" s="16"/>
      <c r="N260" s="16"/>
      <c r="O260" s="16"/>
      <c r="P260" s="16"/>
      <c r="Q260" s="16"/>
      <c r="R260" s="16"/>
      <c r="S260" s="16"/>
      <c r="T260" s="16"/>
      <c r="U260" s="16"/>
      <c r="V260" s="16"/>
      <c r="W260" s="16"/>
      <c r="X260" s="16"/>
      <c r="Y260" s="16"/>
      <c r="Z260" s="16"/>
    </row>
    <row r="261" ht="12.75" spans="1:26">
      <c r="A261" s="23"/>
      <c r="B261" s="16"/>
      <c r="C261" s="23"/>
      <c r="D261" s="24"/>
      <c r="E261" s="16"/>
      <c r="F261" s="24"/>
      <c r="G261" s="24"/>
      <c r="H261" s="16"/>
      <c r="I261" s="16"/>
      <c r="J261" s="16"/>
      <c r="K261" s="16"/>
      <c r="L261" s="16"/>
      <c r="M261" s="16"/>
      <c r="N261" s="16"/>
      <c r="O261" s="16"/>
      <c r="P261" s="16"/>
      <c r="Q261" s="16"/>
      <c r="R261" s="16"/>
      <c r="S261" s="16"/>
      <c r="T261" s="16"/>
      <c r="U261" s="16"/>
      <c r="V261" s="16"/>
      <c r="W261" s="16"/>
      <c r="X261" s="16"/>
      <c r="Y261" s="16"/>
      <c r="Z261" s="16"/>
    </row>
    <row r="262" ht="12.75" spans="1:26">
      <c r="A262" s="23"/>
      <c r="B262" s="16"/>
      <c r="C262" s="23"/>
      <c r="D262" s="24"/>
      <c r="E262" s="16"/>
      <c r="F262" s="24"/>
      <c r="G262" s="24"/>
      <c r="H262" s="16"/>
      <c r="I262" s="16"/>
      <c r="J262" s="16"/>
      <c r="K262" s="16"/>
      <c r="L262" s="16"/>
      <c r="M262" s="16"/>
      <c r="N262" s="16"/>
      <c r="O262" s="16"/>
      <c r="P262" s="16"/>
      <c r="Q262" s="16"/>
      <c r="R262" s="16"/>
      <c r="S262" s="16"/>
      <c r="T262" s="16"/>
      <c r="U262" s="16"/>
      <c r="V262" s="16"/>
      <c r="W262" s="16"/>
      <c r="X262" s="16"/>
      <c r="Y262" s="16"/>
      <c r="Z262" s="16"/>
    </row>
    <row r="263" ht="12.75" spans="1:26">
      <c r="A263" s="23"/>
      <c r="B263" s="16"/>
      <c r="C263" s="23"/>
      <c r="D263" s="24"/>
      <c r="E263" s="16"/>
      <c r="F263" s="24"/>
      <c r="G263" s="24"/>
      <c r="H263" s="16"/>
      <c r="I263" s="16"/>
      <c r="J263" s="16"/>
      <c r="K263" s="16"/>
      <c r="L263" s="16"/>
      <c r="M263" s="16"/>
      <c r="N263" s="16"/>
      <c r="O263" s="16"/>
      <c r="P263" s="16"/>
      <c r="Q263" s="16"/>
      <c r="R263" s="16"/>
      <c r="S263" s="16"/>
      <c r="T263" s="16"/>
      <c r="U263" s="16"/>
      <c r="V263" s="16"/>
      <c r="W263" s="16"/>
      <c r="X263" s="16"/>
      <c r="Y263" s="16"/>
      <c r="Z263" s="16"/>
    </row>
    <row r="264" ht="12.75" spans="1:26">
      <c r="A264" s="23"/>
      <c r="B264" s="16"/>
      <c r="C264" s="23"/>
      <c r="D264" s="24"/>
      <c r="E264" s="16"/>
      <c r="F264" s="24"/>
      <c r="G264" s="24"/>
      <c r="H264" s="16"/>
      <c r="I264" s="16"/>
      <c r="J264" s="16"/>
      <c r="K264" s="16"/>
      <c r="L264" s="16"/>
      <c r="M264" s="16"/>
      <c r="N264" s="16"/>
      <c r="O264" s="16"/>
      <c r="P264" s="16"/>
      <c r="Q264" s="16"/>
      <c r="R264" s="16"/>
      <c r="S264" s="16"/>
      <c r="T264" s="16"/>
      <c r="U264" s="16"/>
      <c r="V264" s="16"/>
      <c r="W264" s="16"/>
      <c r="X264" s="16"/>
      <c r="Y264" s="16"/>
      <c r="Z264" s="16"/>
    </row>
    <row r="265" ht="12.75" spans="1:26">
      <c r="A265" s="23"/>
      <c r="B265" s="16"/>
      <c r="C265" s="23"/>
      <c r="D265" s="24"/>
      <c r="E265" s="16"/>
      <c r="F265" s="24"/>
      <c r="G265" s="24"/>
      <c r="H265" s="16"/>
      <c r="I265" s="16"/>
      <c r="J265" s="16"/>
      <c r="K265" s="16"/>
      <c r="L265" s="16"/>
      <c r="M265" s="16"/>
      <c r="N265" s="16"/>
      <c r="O265" s="16"/>
      <c r="P265" s="16"/>
      <c r="Q265" s="16"/>
      <c r="R265" s="16"/>
      <c r="S265" s="16"/>
      <c r="T265" s="16"/>
      <c r="U265" s="16"/>
      <c r="V265" s="16"/>
      <c r="W265" s="16"/>
      <c r="X265" s="16"/>
      <c r="Y265" s="16"/>
      <c r="Z265" s="16"/>
    </row>
    <row r="266" ht="12.75" spans="1:26">
      <c r="A266" s="23"/>
      <c r="B266" s="16"/>
      <c r="C266" s="23"/>
      <c r="D266" s="24"/>
      <c r="E266" s="16"/>
      <c r="F266" s="24"/>
      <c r="G266" s="24"/>
      <c r="H266" s="16"/>
      <c r="I266" s="16"/>
      <c r="J266" s="16"/>
      <c r="K266" s="16"/>
      <c r="L266" s="16"/>
      <c r="M266" s="16"/>
      <c r="N266" s="16"/>
      <c r="O266" s="16"/>
      <c r="P266" s="16"/>
      <c r="Q266" s="16"/>
      <c r="R266" s="16"/>
      <c r="S266" s="16"/>
      <c r="T266" s="16"/>
      <c r="U266" s="16"/>
      <c r="V266" s="16"/>
      <c r="W266" s="16"/>
      <c r="X266" s="16"/>
      <c r="Y266" s="16"/>
      <c r="Z266" s="16"/>
    </row>
    <row r="267" ht="12.75" spans="1:26">
      <c r="A267" s="23"/>
      <c r="B267" s="16"/>
      <c r="C267" s="23"/>
      <c r="D267" s="24"/>
      <c r="E267" s="16"/>
      <c r="F267" s="24"/>
      <c r="G267" s="24"/>
      <c r="H267" s="16"/>
      <c r="I267" s="16"/>
      <c r="J267" s="16"/>
      <c r="K267" s="16"/>
      <c r="L267" s="16"/>
      <c r="M267" s="16"/>
      <c r="N267" s="16"/>
      <c r="O267" s="16"/>
      <c r="P267" s="16"/>
      <c r="Q267" s="16"/>
      <c r="R267" s="16"/>
      <c r="S267" s="16"/>
      <c r="T267" s="16"/>
      <c r="U267" s="16"/>
      <c r="V267" s="16"/>
      <c r="W267" s="16"/>
      <c r="X267" s="16"/>
      <c r="Y267" s="16"/>
      <c r="Z267" s="16"/>
    </row>
    <row r="268" ht="12.75" spans="1:26">
      <c r="A268" s="23"/>
      <c r="B268" s="16"/>
      <c r="C268" s="23"/>
      <c r="D268" s="24"/>
      <c r="E268" s="16"/>
      <c r="F268" s="24"/>
      <c r="G268" s="24"/>
      <c r="H268" s="16"/>
      <c r="I268" s="16"/>
      <c r="J268" s="16"/>
      <c r="K268" s="16"/>
      <c r="L268" s="16"/>
      <c r="M268" s="16"/>
      <c r="N268" s="16"/>
      <c r="O268" s="16"/>
      <c r="P268" s="16"/>
      <c r="Q268" s="16"/>
      <c r="R268" s="16"/>
      <c r="S268" s="16"/>
      <c r="T268" s="16"/>
      <c r="U268" s="16"/>
      <c r="V268" s="16"/>
      <c r="W268" s="16"/>
      <c r="X268" s="16"/>
      <c r="Y268" s="16"/>
      <c r="Z268" s="16"/>
    </row>
    <row r="269" ht="12.75" spans="1:26">
      <c r="A269" s="23"/>
      <c r="B269" s="16"/>
      <c r="C269" s="23"/>
      <c r="D269" s="24"/>
      <c r="E269" s="16"/>
      <c r="F269" s="24"/>
      <c r="G269" s="24"/>
      <c r="H269" s="16"/>
      <c r="I269" s="16"/>
      <c r="J269" s="16"/>
      <c r="K269" s="16"/>
      <c r="L269" s="16"/>
      <c r="M269" s="16"/>
      <c r="N269" s="16"/>
      <c r="O269" s="16"/>
      <c r="P269" s="16"/>
      <c r="Q269" s="16"/>
      <c r="R269" s="16"/>
      <c r="S269" s="16"/>
      <c r="T269" s="16"/>
      <c r="U269" s="16"/>
      <c r="V269" s="16"/>
      <c r="W269" s="16"/>
      <c r="X269" s="16"/>
      <c r="Y269" s="16"/>
      <c r="Z269" s="16"/>
    </row>
    <row r="270" ht="12.75" spans="1:26">
      <c r="A270" s="23"/>
      <c r="B270" s="16"/>
      <c r="C270" s="23"/>
      <c r="D270" s="24"/>
      <c r="E270" s="16"/>
      <c r="F270" s="24"/>
      <c r="G270" s="24"/>
      <c r="H270" s="16"/>
      <c r="I270" s="16"/>
      <c r="J270" s="16"/>
      <c r="K270" s="16"/>
      <c r="L270" s="16"/>
      <c r="M270" s="16"/>
      <c r="N270" s="16"/>
      <c r="O270" s="16"/>
      <c r="P270" s="16"/>
      <c r="Q270" s="16"/>
      <c r="R270" s="16"/>
      <c r="S270" s="16"/>
      <c r="T270" s="16"/>
      <c r="U270" s="16"/>
      <c r="V270" s="16"/>
      <c r="W270" s="16"/>
      <c r="X270" s="16"/>
      <c r="Y270" s="16"/>
      <c r="Z270" s="16"/>
    </row>
    <row r="271" ht="12.75" spans="1:26">
      <c r="A271" s="23"/>
      <c r="B271" s="16"/>
      <c r="C271" s="23"/>
      <c r="D271" s="24"/>
      <c r="E271" s="16"/>
      <c r="F271" s="24"/>
      <c r="G271" s="24"/>
      <c r="H271" s="16"/>
      <c r="I271" s="16"/>
      <c r="J271" s="16"/>
      <c r="K271" s="16"/>
      <c r="L271" s="16"/>
      <c r="M271" s="16"/>
      <c r="N271" s="16"/>
      <c r="O271" s="16"/>
      <c r="P271" s="16"/>
      <c r="Q271" s="16"/>
      <c r="R271" s="16"/>
      <c r="S271" s="16"/>
      <c r="T271" s="16"/>
      <c r="U271" s="16"/>
      <c r="V271" s="16"/>
      <c r="W271" s="16"/>
      <c r="X271" s="16"/>
      <c r="Y271" s="16"/>
      <c r="Z271" s="16"/>
    </row>
    <row r="272" ht="12.75" spans="1:26">
      <c r="A272" s="23"/>
      <c r="B272" s="16"/>
      <c r="C272" s="23"/>
      <c r="D272" s="24"/>
      <c r="E272" s="16"/>
      <c r="F272" s="24"/>
      <c r="G272" s="24"/>
      <c r="H272" s="16"/>
      <c r="I272" s="16"/>
      <c r="J272" s="16"/>
      <c r="K272" s="16"/>
      <c r="L272" s="16"/>
      <c r="M272" s="16"/>
      <c r="N272" s="16"/>
      <c r="O272" s="16"/>
      <c r="P272" s="16"/>
      <c r="Q272" s="16"/>
      <c r="R272" s="16"/>
      <c r="S272" s="16"/>
      <c r="T272" s="16"/>
      <c r="U272" s="16"/>
      <c r="V272" s="16"/>
      <c r="W272" s="16"/>
      <c r="X272" s="16"/>
      <c r="Y272" s="16"/>
      <c r="Z272" s="16"/>
    </row>
    <row r="273" ht="12.75" spans="1:26">
      <c r="A273" s="23"/>
      <c r="B273" s="16"/>
      <c r="C273" s="23"/>
      <c r="D273" s="24"/>
      <c r="E273" s="16"/>
      <c r="F273" s="24"/>
      <c r="G273" s="24"/>
      <c r="H273" s="16"/>
      <c r="I273" s="16"/>
      <c r="J273" s="16"/>
      <c r="K273" s="16"/>
      <c r="L273" s="16"/>
      <c r="M273" s="16"/>
      <c r="N273" s="16"/>
      <c r="O273" s="16"/>
      <c r="P273" s="16"/>
      <c r="Q273" s="16"/>
      <c r="R273" s="16"/>
      <c r="S273" s="16"/>
      <c r="T273" s="16"/>
      <c r="U273" s="16"/>
      <c r="V273" s="16"/>
      <c r="W273" s="16"/>
      <c r="X273" s="16"/>
      <c r="Y273" s="16"/>
      <c r="Z273" s="16"/>
    </row>
    <row r="274" ht="12.75" spans="1:26">
      <c r="A274" s="23"/>
      <c r="B274" s="16"/>
      <c r="C274" s="23"/>
      <c r="D274" s="24"/>
      <c r="E274" s="16"/>
      <c r="F274" s="24"/>
      <c r="G274" s="24"/>
      <c r="H274" s="16"/>
      <c r="I274" s="16"/>
      <c r="J274" s="16"/>
      <c r="K274" s="16"/>
      <c r="L274" s="16"/>
      <c r="M274" s="16"/>
      <c r="N274" s="16"/>
      <c r="O274" s="16"/>
      <c r="P274" s="16"/>
      <c r="Q274" s="16"/>
      <c r="R274" s="16"/>
      <c r="S274" s="16"/>
      <c r="T274" s="16"/>
      <c r="U274" s="16"/>
      <c r="V274" s="16"/>
      <c r="W274" s="16"/>
      <c r="X274" s="16"/>
      <c r="Y274" s="16"/>
      <c r="Z274" s="16"/>
    </row>
    <row r="275" ht="12.75" spans="1:26">
      <c r="A275" s="23"/>
      <c r="B275" s="16"/>
      <c r="C275" s="23"/>
      <c r="D275" s="24"/>
      <c r="E275" s="16"/>
      <c r="F275" s="24"/>
      <c r="G275" s="24"/>
      <c r="H275" s="16"/>
      <c r="I275" s="16"/>
      <c r="J275" s="16"/>
      <c r="K275" s="16"/>
      <c r="L275" s="16"/>
      <c r="M275" s="16"/>
      <c r="N275" s="16"/>
      <c r="O275" s="16"/>
      <c r="P275" s="16"/>
      <c r="Q275" s="16"/>
      <c r="R275" s="16"/>
      <c r="S275" s="16"/>
      <c r="T275" s="16"/>
      <c r="U275" s="16"/>
      <c r="V275" s="16"/>
      <c r="W275" s="16"/>
      <c r="X275" s="16"/>
      <c r="Y275" s="16"/>
      <c r="Z275" s="16"/>
    </row>
    <row r="276" ht="12.75" spans="1:26">
      <c r="A276" s="23"/>
      <c r="B276" s="16"/>
      <c r="C276" s="23"/>
      <c r="D276" s="24"/>
      <c r="E276" s="16"/>
      <c r="F276" s="24"/>
      <c r="G276" s="24"/>
      <c r="H276" s="16"/>
      <c r="I276" s="16"/>
      <c r="J276" s="16"/>
      <c r="K276" s="16"/>
      <c r="L276" s="16"/>
      <c r="M276" s="16"/>
      <c r="N276" s="16"/>
      <c r="O276" s="16"/>
      <c r="P276" s="16"/>
      <c r="Q276" s="16"/>
      <c r="R276" s="16"/>
      <c r="S276" s="16"/>
      <c r="T276" s="16"/>
      <c r="U276" s="16"/>
      <c r="V276" s="16"/>
      <c r="W276" s="16"/>
      <c r="X276" s="16"/>
      <c r="Y276" s="16"/>
      <c r="Z276" s="16"/>
    </row>
    <row r="277" ht="12.75" spans="1:26">
      <c r="A277" s="23"/>
      <c r="B277" s="16"/>
      <c r="C277" s="23"/>
      <c r="D277" s="24"/>
      <c r="E277" s="16"/>
      <c r="F277" s="24"/>
      <c r="G277" s="24"/>
      <c r="H277" s="16"/>
      <c r="I277" s="16"/>
      <c r="J277" s="16"/>
      <c r="K277" s="16"/>
      <c r="L277" s="16"/>
      <c r="M277" s="16"/>
      <c r="N277" s="16"/>
      <c r="O277" s="16"/>
      <c r="P277" s="16"/>
      <c r="Q277" s="16"/>
      <c r="R277" s="16"/>
      <c r="S277" s="16"/>
      <c r="T277" s="16"/>
      <c r="U277" s="16"/>
      <c r="V277" s="16"/>
      <c r="W277" s="16"/>
      <c r="X277" s="16"/>
      <c r="Y277" s="16"/>
      <c r="Z277" s="16"/>
    </row>
    <row r="278" ht="12.75" spans="1:26">
      <c r="A278" s="23"/>
      <c r="B278" s="16"/>
      <c r="C278" s="23"/>
      <c r="D278" s="24"/>
      <c r="E278" s="16"/>
      <c r="F278" s="24"/>
      <c r="G278" s="24"/>
      <c r="H278" s="16"/>
      <c r="I278" s="16"/>
      <c r="J278" s="16"/>
      <c r="K278" s="16"/>
      <c r="L278" s="16"/>
      <c r="M278" s="16"/>
      <c r="N278" s="16"/>
      <c r="O278" s="16"/>
      <c r="P278" s="16"/>
      <c r="Q278" s="16"/>
      <c r="R278" s="16"/>
      <c r="S278" s="16"/>
      <c r="T278" s="16"/>
      <c r="U278" s="16"/>
      <c r="V278" s="16"/>
      <c r="W278" s="16"/>
      <c r="X278" s="16"/>
      <c r="Y278" s="16"/>
      <c r="Z278" s="16"/>
    </row>
    <row r="279" ht="12.75" spans="1:26">
      <c r="A279" s="23"/>
      <c r="B279" s="16"/>
      <c r="C279" s="23"/>
      <c r="D279" s="24"/>
      <c r="E279" s="16"/>
      <c r="F279" s="24"/>
      <c r="G279" s="24"/>
      <c r="H279" s="16"/>
      <c r="I279" s="16"/>
      <c r="J279" s="16"/>
      <c r="K279" s="16"/>
      <c r="L279" s="16"/>
      <c r="M279" s="16"/>
      <c r="N279" s="16"/>
      <c r="O279" s="16"/>
      <c r="P279" s="16"/>
      <c r="Q279" s="16"/>
      <c r="R279" s="16"/>
      <c r="S279" s="16"/>
      <c r="T279" s="16"/>
      <c r="U279" s="16"/>
      <c r="V279" s="16"/>
      <c r="W279" s="16"/>
      <c r="X279" s="16"/>
      <c r="Y279" s="16"/>
      <c r="Z279" s="16"/>
    </row>
    <row r="280" ht="12.75" spans="1:26">
      <c r="A280" s="23"/>
      <c r="B280" s="16"/>
      <c r="C280" s="23"/>
      <c r="D280" s="24"/>
      <c r="E280" s="16"/>
      <c r="F280" s="24"/>
      <c r="G280" s="24"/>
      <c r="H280" s="16"/>
      <c r="I280" s="16"/>
      <c r="J280" s="16"/>
      <c r="K280" s="16"/>
      <c r="L280" s="16"/>
      <c r="M280" s="16"/>
      <c r="N280" s="16"/>
      <c r="O280" s="16"/>
      <c r="P280" s="16"/>
      <c r="Q280" s="16"/>
      <c r="R280" s="16"/>
      <c r="S280" s="16"/>
      <c r="T280" s="16"/>
      <c r="U280" s="16"/>
      <c r="V280" s="16"/>
      <c r="W280" s="16"/>
      <c r="X280" s="16"/>
      <c r="Y280" s="16"/>
      <c r="Z280" s="16"/>
    </row>
    <row r="281" ht="12.75" spans="1:26">
      <c r="A281" s="23"/>
      <c r="B281" s="16"/>
      <c r="C281" s="23"/>
      <c r="D281" s="24"/>
      <c r="E281" s="16"/>
      <c r="F281" s="24"/>
      <c r="G281" s="24"/>
      <c r="H281" s="16"/>
      <c r="I281" s="16"/>
      <c r="J281" s="16"/>
      <c r="K281" s="16"/>
      <c r="L281" s="16"/>
      <c r="M281" s="16"/>
      <c r="N281" s="16"/>
      <c r="O281" s="16"/>
      <c r="P281" s="16"/>
      <c r="Q281" s="16"/>
      <c r="R281" s="16"/>
      <c r="S281" s="16"/>
      <c r="T281" s="16"/>
      <c r="U281" s="16"/>
      <c r="V281" s="16"/>
      <c r="W281" s="16"/>
      <c r="X281" s="16"/>
      <c r="Y281" s="16"/>
      <c r="Z281" s="16"/>
    </row>
    <row r="282" ht="12.75" spans="1:26">
      <c r="A282" s="23"/>
      <c r="B282" s="16"/>
      <c r="C282" s="23"/>
      <c r="D282" s="24"/>
      <c r="E282" s="16"/>
      <c r="F282" s="24"/>
      <c r="G282" s="24"/>
      <c r="H282" s="16"/>
      <c r="I282" s="16"/>
      <c r="J282" s="16"/>
      <c r="K282" s="16"/>
      <c r="L282" s="16"/>
      <c r="M282" s="16"/>
      <c r="N282" s="16"/>
      <c r="O282" s="16"/>
      <c r="P282" s="16"/>
      <c r="Q282" s="16"/>
      <c r="R282" s="16"/>
      <c r="S282" s="16"/>
      <c r="T282" s="16"/>
      <c r="U282" s="16"/>
      <c r="V282" s="16"/>
      <c r="W282" s="16"/>
      <c r="X282" s="16"/>
      <c r="Y282" s="16"/>
      <c r="Z282" s="16"/>
    </row>
    <row r="283" ht="12.75" spans="1:26">
      <c r="A283" s="23"/>
      <c r="B283" s="16"/>
      <c r="C283" s="23"/>
      <c r="D283" s="24"/>
      <c r="E283" s="16"/>
      <c r="F283" s="24"/>
      <c r="G283" s="24"/>
      <c r="H283" s="16"/>
      <c r="I283" s="16"/>
      <c r="J283" s="16"/>
      <c r="K283" s="16"/>
      <c r="L283" s="16"/>
      <c r="M283" s="16"/>
      <c r="N283" s="16"/>
      <c r="O283" s="16"/>
      <c r="P283" s="16"/>
      <c r="Q283" s="16"/>
      <c r="R283" s="16"/>
      <c r="S283" s="16"/>
      <c r="T283" s="16"/>
      <c r="U283" s="16"/>
      <c r="V283" s="16"/>
      <c r="W283" s="16"/>
      <c r="X283" s="16"/>
      <c r="Y283" s="16"/>
      <c r="Z283" s="16"/>
    </row>
    <row r="284" ht="12.75" spans="1:26">
      <c r="A284" s="23"/>
      <c r="B284" s="16"/>
      <c r="C284" s="23"/>
      <c r="D284" s="24"/>
      <c r="E284" s="16"/>
      <c r="F284" s="24"/>
      <c r="G284" s="24"/>
      <c r="H284" s="16"/>
      <c r="I284" s="16"/>
      <c r="J284" s="16"/>
      <c r="K284" s="16"/>
      <c r="L284" s="16"/>
      <c r="M284" s="16"/>
      <c r="N284" s="16"/>
      <c r="O284" s="16"/>
      <c r="P284" s="16"/>
      <c r="Q284" s="16"/>
      <c r="R284" s="16"/>
      <c r="S284" s="16"/>
      <c r="T284" s="16"/>
      <c r="U284" s="16"/>
      <c r="V284" s="16"/>
      <c r="W284" s="16"/>
      <c r="X284" s="16"/>
      <c r="Y284" s="16"/>
      <c r="Z284" s="16"/>
    </row>
    <row r="285" ht="12.75" spans="1:26">
      <c r="A285" s="23"/>
      <c r="B285" s="16"/>
      <c r="C285" s="23"/>
      <c r="D285" s="24"/>
      <c r="E285" s="16"/>
      <c r="F285" s="24"/>
      <c r="G285" s="24"/>
      <c r="H285" s="16"/>
      <c r="I285" s="16"/>
      <c r="J285" s="16"/>
      <c r="K285" s="16"/>
      <c r="L285" s="16"/>
      <c r="M285" s="16"/>
      <c r="N285" s="16"/>
      <c r="O285" s="16"/>
      <c r="P285" s="16"/>
      <c r="Q285" s="16"/>
      <c r="R285" s="16"/>
      <c r="S285" s="16"/>
      <c r="T285" s="16"/>
      <c r="U285" s="16"/>
      <c r="V285" s="16"/>
      <c r="W285" s="16"/>
      <c r="X285" s="16"/>
      <c r="Y285" s="16"/>
      <c r="Z285" s="16"/>
    </row>
    <row r="286" ht="12.75" spans="1:26">
      <c r="A286" s="23"/>
      <c r="B286" s="16"/>
      <c r="C286" s="23"/>
      <c r="D286" s="24"/>
      <c r="E286" s="16"/>
      <c r="F286" s="24"/>
      <c r="G286" s="24"/>
      <c r="H286" s="16"/>
      <c r="I286" s="16"/>
      <c r="J286" s="16"/>
      <c r="K286" s="16"/>
      <c r="L286" s="16"/>
      <c r="M286" s="16"/>
      <c r="N286" s="16"/>
      <c r="O286" s="16"/>
      <c r="P286" s="16"/>
      <c r="Q286" s="16"/>
      <c r="R286" s="16"/>
      <c r="S286" s="16"/>
      <c r="T286" s="16"/>
      <c r="U286" s="16"/>
      <c r="V286" s="16"/>
      <c r="W286" s="16"/>
      <c r="X286" s="16"/>
      <c r="Y286" s="16"/>
      <c r="Z286" s="16"/>
    </row>
    <row r="287" ht="12.75" spans="1:26">
      <c r="A287" s="23"/>
      <c r="B287" s="16"/>
      <c r="C287" s="23"/>
      <c r="D287" s="24"/>
      <c r="E287" s="16"/>
      <c r="F287" s="24"/>
      <c r="G287" s="24"/>
      <c r="H287" s="16"/>
      <c r="I287" s="16"/>
      <c r="J287" s="16"/>
      <c r="K287" s="16"/>
      <c r="L287" s="16"/>
      <c r="M287" s="16"/>
      <c r="N287" s="16"/>
      <c r="O287" s="16"/>
      <c r="P287" s="16"/>
      <c r="Q287" s="16"/>
      <c r="R287" s="16"/>
      <c r="S287" s="16"/>
      <c r="T287" s="16"/>
      <c r="U287" s="16"/>
      <c r="V287" s="16"/>
      <c r="W287" s="16"/>
      <c r="X287" s="16"/>
      <c r="Y287" s="16"/>
      <c r="Z287" s="16"/>
    </row>
    <row r="288" ht="12.75" spans="1:26">
      <c r="A288" s="23"/>
      <c r="B288" s="16"/>
      <c r="C288" s="23"/>
      <c r="D288" s="24"/>
      <c r="E288" s="16"/>
      <c r="F288" s="24"/>
      <c r="G288" s="24"/>
      <c r="H288" s="16"/>
      <c r="I288" s="16"/>
      <c r="J288" s="16"/>
      <c r="K288" s="16"/>
      <c r="L288" s="16"/>
      <c r="M288" s="16"/>
      <c r="N288" s="16"/>
      <c r="O288" s="16"/>
      <c r="P288" s="16"/>
      <c r="Q288" s="16"/>
      <c r="R288" s="16"/>
      <c r="S288" s="16"/>
      <c r="T288" s="16"/>
      <c r="U288" s="16"/>
      <c r="V288" s="16"/>
      <c r="W288" s="16"/>
      <c r="X288" s="16"/>
      <c r="Y288" s="16"/>
      <c r="Z288" s="16"/>
    </row>
    <row r="289" ht="12.75" spans="1:26">
      <c r="A289" s="23"/>
      <c r="B289" s="16"/>
      <c r="C289" s="23"/>
      <c r="D289" s="24"/>
      <c r="E289" s="16"/>
      <c r="F289" s="24"/>
      <c r="G289" s="24"/>
      <c r="H289" s="16"/>
      <c r="I289" s="16"/>
      <c r="J289" s="16"/>
      <c r="K289" s="16"/>
      <c r="L289" s="16"/>
      <c r="M289" s="16"/>
      <c r="N289" s="16"/>
      <c r="O289" s="16"/>
      <c r="P289" s="16"/>
      <c r="Q289" s="16"/>
      <c r="R289" s="16"/>
      <c r="S289" s="16"/>
      <c r="T289" s="16"/>
      <c r="U289" s="16"/>
      <c r="V289" s="16"/>
      <c r="W289" s="16"/>
      <c r="X289" s="16"/>
      <c r="Y289" s="16"/>
      <c r="Z289" s="16"/>
    </row>
    <row r="290" ht="12.75" spans="1:26">
      <c r="A290" s="23"/>
      <c r="B290" s="16"/>
      <c r="C290" s="23"/>
      <c r="D290" s="24"/>
      <c r="E290" s="16"/>
      <c r="F290" s="24"/>
      <c r="G290" s="24"/>
      <c r="H290" s="16"/>
      <c r="I290" s="16"/>
      <c r="J290" s="16"/>
      <c r="K290" s="16"/>
      <c r="L290" s="16"/>
      <c r="M290" s="16"/>
      <c r="N290" s="16"/>
      <c r="O290" s="16"/>
      <c r="P290" s="16"/>
      <c r="Q290" s="16"/>
      <c r="R290" s="16"/>
      <c r="S290" s="16"/>
      <c r="T290" s="16"/>
      <c r="U290" s="16"/>
      <c r="V290" s="16"/>
      <c r="W290" s="16"/>
      <c r="X290" s="16"/>
      <c r="Y290" s="16"/>
      <c r="Z290" s="16"/>
    </row>
    <row r="291" ht="12.75" spans="1:26">
      <c r="A291" s="23"/>
      <c r="B291" s="16"/>
      <c r="C291" s="23"/>
      <c r="D291" s="24"/>
      <c r="E291" s="16"/>
      <c r="F291" s="24"/>
      <c r="G291" s="24"/>
      <c r="H291" s="16"/>
      <c r="I291" s="16"/>
      <c r="J291" s="16"/>
      <c r="K291" s="16"/>
      <c r="L291" s="16"/>
      <c r="M291" s="16"/>
      <c r="N291" s="16"/>
      <c r="O291" s="16"/>
      <c r="P291" s="16"/>
      <c r="Q291" s="16"/>
      <c r="R291" s="16"/>
      <c r="S291" s="16"/>
      <c r="T291" s="16"/>
      <c r="U291" s="16"/>
      <c r="V291" s="16"/>
      <c r="W291" s="16"/>
      <c r="X291" s="16"/>
      <c r="Y291" s="16"/>
      <c r="Z291" s="16"/>
    </row>
    <row r="292" ht="12.75" spans="1:26">
      <c r="A292" s="23"/>
      <c r="B292" s="16"/>
      <c r="C292" s="23"/>
      <c r="D292" s="24"/>
      <c r="E292" s="16"/>
      <c r="F292" s="24"/>
      <c r="G292" s="24"/>
      <c r="H292" s="16"/>
      <c r="I292" s="16"/>
      <c r="J292" s="16"/>
      <c r="K292" s="16"/>
      <c r="L292" s="16"/>
      <c r="M292" s="16"/>
      <c r="N292" s="16"/>
      <c r="O292" s="16"/>
      <c r="P292" s="16"/>
      <c r="Q292" s="16"/>
      <c r="R292" s="16"/>
      <c r="S292" s="16"/>
      <c r="T292" s="16"/>
      <c r="U292" s="16"/>
      <c r="V292" s="16"/>
      <c r="W292" s="16"/>
      <c r="X292" s="16"/>
      <c r="Y292" s="16"/>
      <c r="Z292" s="16"/>
    </row>
    <row r="293" ht="12.75" spans="1:26">
      <c r="A293" s="23"/>
      <c r="B293" s="16"/>
      <c r="C293" s="23"/>
      <c r="D293" s="24"/>
      <c r="E293" s="16"/>
      <c r="F293" s="24"/>
      <c r="G293" s="24"/>
      <c r="H293" s="16"/>
      <c r="I293" s="16"/>
      <c r="J293" s="16"/>
      <c r="K293" s="16"/>
      <c r="L293" s="16"/>
      <c r="M293" s="16"/>
      <c r="N293" s="16"/>
      <c r="O293" s="16"/>
      <c r="P293" s="16"/>
      <c r="Q293" s="16"/>
      <c r="R293" s="16"/>
      <c r="S293" s="16"/>
      <c r="T293" s="16"/>
      <c r="U293" s="16"/>
      <c r="V293" s="16"/>
      <c r="W293" s="16"/>
      <c r="X293" s="16"/>
      <c r="Y293" s="16"/>
      <c r="Z293" s="16"/>
    </row>
    <row r="294" ht="12.75" spans="1:26">
      <c r="A294" s="23"/>
      <c r="B294" s="16"/>
      <c r="C294" s="23"/>
      <c r="D294" s="24"/>
      <c r="E294" s="16"/>
      <c r="F294" s="24"/>
      <c r="G294" s="24"/>
      <c r="H294" s="16"/>
      <c r="I294" s="16"/>
      <c r="J294" s="16"/>
      <c r="K294" s="16"/>
      <c r="L294" s="16"/>
      <c r="M294" s="16"/>
      <c r="N294" s="16"/>
      <c r="O294" s="16"/>
      <c r="P294" s="16"/>
      <c r="Q294" s="16"/>
      <c r="R294" s="16"/>
      <c r="S294" s="16"/>
      <c r="T294" s="16"/>
      <c r="U294" s="16"/>
      <c r="V294" s="16"/>
      <c r="W294" s="16"/>
      <c r="X294" s="16"/>
      <c r="Y294" s="16"/>
      <c r="Z294" s="16"/>
    </row>
    <row r="295" ht="12.75" spans="1:26">
      <c r="A295" s="23"/>
      <c r="B295" s="16"/>
      <c r="C295" s="23"/>
      <c r="D295" s="24"/>
      <c r="E295" s="16"/>
      <c r="F295" s="24"/>
      <c r="G295" s="24"/>
      <c r="H295" s="16"/>
      <c r="I295" s="16"/>
      <c r="J295" s="16"/>
      <c r="K295" s="16"/>
      <c r="L295" s="16"/>
      <c r="M295" s="16"/>
      <c r="N295" s="16"/>
      <c r="O295" s="16"/>
      <c r="P295" s="16"/>
      <c r="Q295" s="16"/>
      <c r="R295" s="16"/>
      <c r="S295" s="16"/>
      <c r="T295" s="16"/>
      <c r="U295" s="16"/>
      <c r="V295" s="16"/>
      <c r="W295" s="16"/>
      <c r="X295" s="16"/>
      <c r="Y295" s="16"/>
      <c r="Z295" s="16"/>
    </row>
    <row r="296" ht="12.75" spans="1:26">
      <c r="A296" s="23"/>
      <c r="B296" s="16"/>
      <c r="C296" s="23"/>
      <c r="D296" s="24"/>
      <c r="E296" s="16"/>
      <c r="F296" s="24"/>
      <c r="G296" s="24"/>
      <c r="H296" s="16"/>
      <c r="I296" s="16"/>
      <c r="J296" s="16"/>
      <c r="K296" s="16"/>
      <c r="L296" s="16"/>
      <c r="M296" s="16"/>
      <c r="N296" s="16"/>
      <c r="O296" s="16"/>
      <c r="P296" s="16"/>
      <c r="Q296" s="16"/>
      <c r="R296" s="16"/>
      <c r="S296" s="16"/>
      <c r="T296" s="16"/>
      <c r="U296" s="16"/>
      <c r="V296" s="16"/>
      <c r="W296" s="16"/>
      <c r="X296" s="16"/>
      <c r="Y296" s="16"/>
      <c r="Z296" s="16"/>
    </row>
    <row r="297" ht="12.75" spans="1:26">
      <c r="A297" s="23"/>
      <c r="B297" s="16"/>
      <c r="C297" s="23"/>
      <c r="D297" s="24"/>
      <c r="E297" s="16"/>
      <c r="F297" s="24"/>
      <c r="G297" s="24"/>
      <c r="H297" s="16"/>
      <c r="I297" s="16"/>
      <c r="J297" s="16"/>
      <c r="K297" s="16"/>
      <c r="L297" s="16"/>
      <c r="M297" s="16"/>
      <c r="N297" s="16"/>
      <c r="O297" s="16"/>
      <c r="P297" s="16"/>
      <c r="Q297" s="16"/>
      <c r="R297" s="16"/>
      <c r="S297" s="16"/>
      <c r="T297" s="16"/>
      <c r="U297" s="16"/>
      <c r="V297" s="16"/>
      <c r="W297" s="16"/>
      <c r="X297" s="16"/>
      <c r="Y297" s="16"/>
      <c r="Z297" s="16"/>
    </row>
    <row r="298" ht="12.75" spans="1:26">
      <c r="A298" s="23"/>
      <c r="B298" s="16"/>
      <c r="C298" s="23"/>
      <c r="D298" s="24"/>
      <c r="E298" s="16"/>
      <c r="F298" s="24"/>
      <c r="G298" s="24"/>
      <c r="H298" s="16"/>
      <c r="I298" s="16"/>
      <c r="J298" s="16"/>
      <c r="K298" s="16"/>
      <c r="L298" s="16"/>
      <c r="M298" s="16"/>
      <c r="N298" s="16"/>
      <c r="O298" s="16"/>
      <c r="P298" s="16"/>
      <c r="Q298" s="16"/>
      <c r="R298" s="16"/>
      <c r="S298" s="16"/>
      <c r="T298" s="16"/>
      <c r="U298" s="16"/>
      <c r="V298" s="16"/>
      <c r="W298" s="16"/>
      <c r="X298" s="16"/>
      <c r="Y298" s="16"/>
      <c r="Z298" s="16"/>
    </row>
    <row r="299" ht="12.75" spans="1:26">
      <c r="A299" s="23"/>
      <c r="B299" s="16"/>
      <c r="C299" s="23"/>
      <c r="D299" s="24"/>
      <c r="E299" s="16"/>
      <c r="F299" s="24"/>
      <c r="G299" s="24"/>
      <c r="H299" s="16"/>
      <c r="I299" s="16"/>
      <c r="J299" s="16"/>
      <c r="K299" s="16"/>
      <c r="L299" s="16"/>
      <c r="M299" s="16"/>
      <c r="N299" s="16"/>
      <c r="O299" s="16"/>
      <c r="P299" s="16"/>
      <c r="Q299" s="16"/>
      <c r="R299" s="16"/>
      <c r="S299" s="16"/>
      <c r="T299" s="16"/>
      <c r="U299" s="16"/>
      <c r="V299" s="16"/>
      <c r="W299" s="16"/>
      <c r="X299" s="16"/>
      <c r="Y299" s="16"/>
      <c r="Z299" s="16"/>
    </row>
    <row r="300" ht="12.75" spans="1:26">
      <c r="A300" s="23"/>
      <c r="B300" s="16"/>
      <c r="C300" s="23"/>
      <c r="D300" s="24"/>
      <c r="E300" s="16"/>
      <c r="F300" s="24"/>
      <c r="G300" s="24"/>
      <c r="H300" s="16"/>
      <c r="I300" s="16"/>
      <c r="J300" s="16"/>
      <c r="K300" s="16"/>
      <c r="L300" s="16"/>
      <c r="M300" s="16"/>
      <c r="N300" s="16"/>
      <c r="O300" s="16"/>
      <c r="P300" s="16"/>
      <c r="Q300" s="16"/>
      <c r="R300" s="16"/>
      <c r="S300" s="16"/>
      <c r="T300" s="16"/>
      <c r="U300" s="16"/>
      <c r="V300" s="16"/>
      <c r="W300" s="16"/>
      <c r="X300" s="16"/>
      <c r="Y300" s="16"/>
      <c r="Z300" s="16"/>
    </row>
    <row r="301" ht="12.75" spans="1:26">
      <c r="A301" s="23"/>
      <c r="B301" s="16"/>
      <c r="C301" s="23"/>
      <c r="D301" s="24"/>
      <c r="E301" s="16"/>
      <c r="F301" s="24"/>
      <c r="G301" s="24"/>
      <c r="H301" s="16"/>
      <c r="I301" s="16"/>
      <c r="J301" s="16"/>
      <c r="K301" s="16"/>
      <c r="L301" s="16"/>
      <c r="M301" s="16"/>
      <c r="N301" s="16"/>
      <c r="O301" s="16"/>
      <c r="P301" s="16"/>
      <c r="Q301" s="16"/>
      <c r="R301" s="16"/>
      <c r="S301" s="16"/>
      <c r="T301" s="16"/>
      <c r="U301" s="16"/>
      <c r="V301" s="16"/>
      <c r="W301" s="16"/>
      <c r="X301" s="16"/>
      <c r="Y301" s="16"/>
      <c r="Z301" s="16"/>
    </row>
    <row r="302" ht="12.75" spans="1:26">
      <c r="A302" s="23"/>
      <c r="B302" s="16"/>
      <c r="C302" s="23"/>
      <c r="D302" s="24"/>
      <c r="E302" s="16"/>
      <c r="F302" s="24"/>
      <c r="G302" s="24"/>
      <c r="H302" s="16"/>
      <c r="I302" s="16"/>
      <c r="J302" s="16"/>
      <c r="K302" s="16"/>
      <c r="L302" s="16"/>
      <c r="M302" s="16"/>
      <c r="N302" s="16"/>
      <c r="O302" s="16"/>
      <c r="P302" s="16"/>
      <c r="Q302" s="16"/>
      <c r="R302" s="16"/>
      <c r="S302" s="16"/>
      <c r="T302" s="16"/>
      <c r="U302" s="16"/>
      <c r="V302" s="16"/>
      <c r="W302" s="16"/>
      <c r="X302" s="16"/>
      <c r="Y302" s="16"/>
      <c r="Z302" s="16"/>
    </row>
    <row r="303" ht="12.75" spans="1:26">
      <c r="A303" s="23"/>
      <c r="B303" s="16"/>
      <c r="C303" s="23"/>
      <c r="D303" s="24"/>
      <c r="E303" s="16"/>
      <c r="F303" s="24"/>
      <c r="G303" s="24"/>
      <c r="H303" s="16"/>
      <c r="I303" s="16"/>
      <c r="J303" s="16"/>
      <c r="K303" s="16"/>
      <c r="L303" s="16"/>
      <c r="M303" s="16"/>
      <c r="N303" s="16"/>
      <c r="O303" s="16"/>
      <c r="P303" s="16"/>
      <c r="Q303" s="16"/>
      <c r="R303" s="16"/>
      <c r="S303" s="16"/>
      <c r="T303" s="16"/>
      <c r="U303" s="16"/>
      <c r="V303" s="16"/>
      <c r="W303" s="16"/>
      <c r="X303" s="16"/>
      <c r="Y303" s="16"/>
      <c r="Z303" s="16"/>
    </row>
    <row r="304" ht="12.75" spans="1:26">
      <c r="A304" s="23"/>
      <c r="B304" s="16"/>
      <c r="C304" s="23"/>
      <c r="D304" s="24"/>
      <c r="E304" s="16"/>
      <c r="F304" s="24"/>
      <c r="G304" s="24"/>
      <c r="H304" s="16"/>
      <c r="I304" s="16"/>
      <c r="J304" s="16"/>
      <c r="K304" s="16"/>
      <c r="L304" s="16"/>
      <c r="M304" s="16"/>
      <c r="N304" s="16"/>
      <c r="O304" s="16"/>
      <c r="P304" s="16"/>
      <c r="Q304" s="16"/>
      <c r="R304" s="16"/>
      <c r="S304" s="16"/>
      <c r="T304" s="16"/>
      <c r="U304" s="16"/>
      <c r="V304" s="16"/>
      <c r="W304" s="16"/>
      <c r="X304" s="16"/>
      <c r="Y304" s="16"/>
      <c r="Z304" s="16"/>
    </row>
    <row r="305" ht="12.75" spans="1:26">
      <c r="A305" s="23"/>
      <c r="B305" s="16"/>
      <c r="C305" s="23"/>
      <c r="D305" s="24"/>
      <c r="E305" s="16"/>
      <c r="F305" s="24"/>
      <c r="G305" s="24"/>
      <c r="H305" s="16"/>
      <c r="I305" s="16"/>
      <c r="J305" s="16"/>
      <c r="K305" s="16"/>
      <c r="L305" s="16"/>
      <c r="M305" s="16"/>
      <c r="N305" s="16"/>
      <c r="O305" s="16"/>
      <c r="P305" s="16"/>
      <c r="Q305" s="16"/>
      <c r="R305" s="16"/>
      <c r="S305" s="16"/>
      <c r="T305" s="16"/>
      <c r="U305" s="16"/>
      <c r="V305" s="16"/>
      <c r="W305" s="16"/>
      <c r="X305" s="16"/>
      <c r="Y305" s="16"/>
      <c r="Z305" s="16"/>
    </row>
    <row r="306" ht="12.75" spans="1:26">
      <c r="A306" s="23"/>
      <c r="B306" s="16"/>
      <c r="C306" s="23"/>
      <c r="D306" s="24"/>
      <c r="E306" s="16"/>
      <c r="F306" s="24"/>
      <c r="G306" s="24"/>
      <c r="H306" s="16"/>
      <c r="I306" s="16"/>
      <c r="J306" s="16"/>
      <c r="K306" s="16"/>
      <c r="L306" s="16"/>
      <c r="M306" s="16"/>
      <c r="N306" s="16"/>
      <c r="O306" s="16"/>
      <c r="P306" s="16"/>
      <c r="Q306" s="16"/>
      <c r="R306" s="16"/>
      <c r="S306" s="16"/>
      <c r="T306" s="16"/>
      <c r="U306" s="16"/>
      <c r="V306" s="16"/>
      <c r="W306" s="16"/>
      <c r="X306" s="16"/>
      <c r="Y306" s="16"/>
      <c r="Z306" s="16"/>
    </row>
    <row r="307" ht="12.75" spans="1:26">
      <c r="A307" s="23"/>
      <c r="B307" s="16"/>
      <c r="C307" s="23"/>
      <c r="D307" s="24"/>
      <c r="E307" s="16"/>
      <c r="F307" s="24"/>
      <c r="G307" s="24"/>
      <c r="H307" s="16"/>
      <c r="I307" s="16"/>
      <c r="J307" s="16"/>
      <c r="K307" s="16"/>
      <c r="L307" s="16"/>
      <c r="M307" s="16"/>
      <c r="N307" s="16"/>
      <c r="O307" s="16"/>
      <c r="P307" s="16"/>
      <c r="Q307" s="16"/>
      <c r="R307" s="16"/>
      <c r="S307" s="16"/>
      <c r="T307" s="16"/>
      <c r="U307" s="16"/>
      <c r="V307" s="16"/>
      <c r="W307" s="16"/>
      <c r="X307" s="16"/>
      <c r="Y307" s="16"/>
      <c r="Z307" s="16"/>
    </row>
    <row r="308" ht="12.75" spans="1:26">
      <c r="A308" s="23"/>
      <c r="B308" s="16"/>
      <c r="C308" s="23"/>
      <c r="D308" s="24"/>
      <c r="E308" s="16"/>
      <c r="F308" s="24"/>
      <c r="G308" s="24"/>
      <c r="H308" s="16"/>
      <c r="I308" s="16"/>
      <c r="J308" s="16"/>
      <c r="K308" s="16"/>
      <c r="L308" s="16"/>
      <c r="M308" s="16"/>
      <c r="N308" s="16"/>
      <c r="O308" s="16"/>
      <c r="P308" s="16"/>
      <c r="Q308" s="16"/>
      <c r="R308" s="16"/>
      <c r="S308" s="16"/>
      <c r="T308" s="16"/>
      <c r="U308" s="16"/>
      <c r="V308" s="16"/>
      <c r="W308" s="16"/>
      <c r="X308" s="16"/>
      <c r="Y308" s="16"/>
      <c r="Z308" s="16"/>
    </row>
    <row r="309" ht="12.75" spans="1:26">
      <c r="A309" s="23"/>
      <c r="B309" s="16"/>
      <c r="C309" s="23"/>
      <c r="D309" s="24"/>
      <c r="E309" s="16"/>
      <c r="F309" s="24"/>
      <c r="G309" s="24"/>
      <c r="H309" s="16"/>
      <c r="I309" s="16"/>
      <c r="J309" s="16"/>
      <c r="K309" s="16"/>
      <c r="L309" s="16"/>
      <c r="M309" s="16"/>
      <c r="N309" s="16"/>
      <c r="O309" s="16"/>
      <c r="P309" s="16"/>
      <c r="Q309" s="16"/>
      <c r="R309" s="16"/>
      <c r="S309" s="16"/>
      <c r="T309" s="16"/>
      <c r="U309" s="16"/>
      <c r="V309" s="16"/>
      <c r="W309" s="16"/>
      <c r="X309" s="16"/>
      <c r="Y309" s="16"/>
      <c r="Z309" s="16"/>
    </row>
    <row r="310" ht="12.75" spans="1:26">
      <c r="A310" s="23"/>
      <c r="B310" s="16"/>
      <c r="C310" s="23"/>
      <c r="D310" s="24"/>
      <c r="E310" s="16"/>
      <c r="F310" s="24"/>
      <c r="G310" s="24"/>
      <c r="H310" s="16"/>
      <c r="I310" s="16"/>
      <c r="J310" s="16"/>
      <c r="K310" s="16"/>
      <c r="L310" s="16"/>
      <c r="M310" s="16"/>
      <c r="N310" s="16"/>
      <c r="O310" s="16"/>
      <c r="P310" s="16"/>
      <c r="Q310" s="16"/>
      <c r="R310" s="16"/>
      <c r="S310" s="16"/>
      <c r="T310" s="16"/>
      <c r="U310" s="16"/>
      <c r="V310" s="16"/>
      <c r="W310" s="16"/>
      <c r="X310" s="16"/>
      <c r="Y310" s="16"/>
      <c r="Z310" s="16"/>
    </row>
    <row r="311" ht="12.75" spans="1:26">
      <c r="A311" s="23"/>
      <c r="B311" s="16"/>
      <c r="C311" s="23"/>
      <c r="D311" s="24"/>
      <c r="E311" s="16"/>
      <c r="F311" s="24"/>
      <c r="G311" s="24"/>
      <c r="H311" s="16"/>
      <c r="I311" s="16"/>
      <c r="J311" s="16"/>
      <c r="K311" s="16"/>
      <c r="L311" s="16"/>
      <c r="M311" s="16"/>
      <c r="N311" s="16"/>
      <c r="O311" s="16"/>
      <c r="P311" s="16"/>
      <c r="Q311" s="16"/>
      <c r="R311" s="16"/>
      <c r="S311" s="16"/>
      <c r="T311" s="16"/>
      <c r="U311" s="16"/>
      <c r="V311" s="16"/>
      <c r="W311" s="16"/>
      <c r="X311" s="16"/>
      <c r="Y311" s="16"/>
      <c r="Z311" s="16"/>
    </row>
    <row r="312" ht="12.75" spans="1:26">
      <c r="A312" s="23"/>
      <c r="B312" s="16"/>
      <c r="C312" s="23"/>
      <c r="D312" s="24"/>
      <c r="E312" s="16"/>
      <c r="F312" s="24"/>
      <c r="G312" s="24"/>
      <c r="H312" s="16"/>
      <c r="I312" s="16"/>
      <c r="J312" s="16"/>
      <c r="K312" s="16"/>
      <c r="L312" s="16"/>
      <c r="M312" s="16"/>
      <c r="N312" s="16"/>
      <c r="O312" s="16"/>
      <c r="P312" s="16"/>
      <c r="Q312" s="16"/>
      <c r="R312" s="16"/>
      <c r="S312" s="16"/>
      <c r="T312" s="16"/>
      <c r="U312" s="16"/>
      <c r="V312" s="16"/>
      <c r="W312" s="16"/>
      <c r="X312" s="16"/>
      <c r="Y312" s="16"/>
      <c r="Z312" s="16"/>
    </row>
    <row r="313" ht="12.75" spans="1:26">
      <c r="A313" s="23"/>
      <c r="B313" s="16"/>
      <c r="C313" s="23"/>
      <c r="D313" s="24"/>
      <c r="E313" s="16"/>
      <c r="F313" s="24"/>
      <c r="G313" s="24"/>
      <c r="H313" s="16"/>
      <c r="I313" s="16"/>
      <c r="J313" s="16"/>
      <c r="K313" s="16"/>
      <c r="L313" s="16"/>
      <c r="M313" s="16"/>
      <c r="N313" s="16"/>
      <c r="O313" s="16"/>
      <c r="P313" s="16"/>
      <c r="Q313" s="16"/>
      <c r="R313" s="16"/>
      <c r="S313" s="16"/>
      <c r="T313" s="16"/>
      <c r="U313" s="16"/>
      <c r="V313" s="16"/>
      <c r="W313" s="16"/>
      <c r="X313" s="16"/>
      <c r="Y313" s="16"/>
      <c r="Z313" s="16"/>
    </row>
    <row r="314" ht="12.75" spans="1:26">
      <c r="A314" s="23"/>
      <c r="B314" s="16"/>
      <c r="C314" s="23"/>
      <c r="D314" s="24"/>
      <c r="E314" s="16"/>
      <c r="F314" s="24"/>
      <c r="G314" s="24"/>
      <c r="H314" s="16"/>
      <c r="I314" s="16"/>
      <c r="J314" s="16"/>
      <c r="K314" s="16"/>
      <c r="L314" s="16"/>
      <c r="M314" s="16"/>
      <c r="N314" s="16"/>
      <c r="O314" s="16"/>
      <c r="P314" s="16"/>
      <c r="Q314" s="16"/>
      <c r="R314" s="16"/>
      <c r="S314" s="16"/>
      <c r="T314" s="16"/>
      <c r="U314" s="16"/>
      <c r="V314" s="16"/>
      <c r="W314" s="16"/>
      <c r="X314" s="16"/>
      <c r="Y314" s="16"/>
      <c r="Z314" s="16"/>
    </row>
    <row r="315" ht="12.75" spans="1:26">
      <c r="A315" s="23"/>
      <c r="B315" s="16"/>
      <c r="C315" s="23"/>
      <c r="D315" s="24"/>
      <c r="E315" s="16"/>
      <c r="F315" s="24"/>
      <c r="G315" s="24"/>
      <c r="H315" s="16"/>
      <c r="I315" s="16"/>
      <c r="J315" s="16"/>
      <c r="K315" s="16"/>
      <c r="L315" s="16"/>
      <c r="M315" s="16"/>
      <c r="N315" s="16"/>
      <c r="O315" s="16"/>
      <c r="P315" s="16"/>
      <c r="Q315" s="16"/>
      <c r="R315" s="16"/>
      <c r="S315" s="16"/>
      <c r="T315" s="16"/>
      <c r="U315" s="16"/>
      <c r="V315" s="16"/>
      <c r="W315" s="16"/>
      <c r="X315" s="16"/>
      <c r="Y315" s="16"/>
      <c r="Z315" s="16"/>
    </row>
    <row r="316" ht="12.75" spans="1:26">
      <c r="A316" s="23"/>
      <c r="B316" s="16"/>
      <c r="C316" s="23"/>
      <c r="D316" s="24"/>
      <c r="E316" s="16"/>
      <c r="F316" s="24"/>
      <c r="G316" s="24"/>
      <c r="H316" s="16"/>
      <c r="I316" s="16"/>
      <c r="J316" s="16"/>
      <c r="K316" s="16"/>
      <c r="L316" s="16"/>
      <c r="M316" s="16"/>
      <c r="N316" s="16"/>
      <c r="O316" s="16"/>
      <c r="P316" s="16"/>
      <c r="Q316" s="16"/>
      <c r="R316" s="16"/>
      <c r="S316" s="16"/>
      <c r="T316" s="16"/>
      <c r="U316" s="16"/>
      <c r="V316" s="16"/>
      <c r="W316" s="16"/>
      <c r="X316" s="16"/>
      <c r="Y316" s="16"/>
      <c r="Z316" s="16"/>
    </row>
    <row r="317" ht="12.75" spans="1:26">
      <c r="A317" s="23"/>
      <c r="B317" s="16"/>
      <c r="C317" s="23"/>
      <c r="D317" s="24"/>
      <c r="E317" s="16"/>
      <c r="F317" s="24"/>
      <c r="G317" s="24"/>
      <c r="H317" s="16"/>
      <c r="I317" s="16"/>
      <c r="J317" s="16"/>
      <c r="K317" s="16"/>
      <c r="L317" s="16"/>
      <c r="M317" s="16"/>
      <c r="N317" s="16"/>
      <c r="O317" s="16"/>
      <c r="P317" s="16"/>
      <c r="Q317" s="16"/>
      <c r="R317" s="16"/>
      <c r="S317" s="16"/>
      <c r="T317" s="16"/>
      <c r="U317" s="16"/>
      <c r="V317" s="16"/>
      <c r="W317" s="16"/>
      <c r="X317" s="16"/>
      <c r="Y317" s="16"/>
      <c r="Z317" s="16"/>
    </row>
    <row r="318" ht="12.75" spans="1:26">
      <c r="A318" s="23"/>
      <c r="B318" s="16"/>
      <c r="C318" s="23"/>
      <c r="D318" s="24"/>
      <c r="E318" s="16"/>
      <c r="F318" s="24"/>
      <c r="G318" s="24"/>
      <c r="H318" s="16"/>
      <c r="I318" s="16"/>
      <c r="J318" s="16"/>
      <c r="K318" s="16"/>
      <c r="L318" s="16"/>
      <c r="M318" s="16"/>
      <c r="N318" s="16"/>
      <c r="O318" s="16"/>
      <c r="P318" s="16"/>
      <c r="Q318" s="16"/>
      <c r="R318" s="16"/>
      <c r="S318" s="16"/>
      <c r="T318" s="16"/>
      <c r="U318" s="16"/>
      <c r="V318" s="16"/>
      <c r="W318" s="16"/>
      <c r="X318" s="16"/>
      <c r="Y318" s="16"/>
      <c r="Z318" s="16"/>
    </row>
    <row r="319" ht="12.75" spans="1:26">
      <c r="A319" s="23"/>
      <c r="B319" s="16"/>
      <c r="C319" s="23"/>
      <c r="D319" s="24"/>
      <c r="E319" s="16"/>
      <c r="F319" s="24"/>
      <c r="G319" s="24"/>
      <c r="H319" s="16"/>
      <c r="I319" s="16"/>
      <c r="J319" s="16"/>
      <c r="K319" s="16"/>
      <c r="L319" s="16"/>
      <c r="M319" s="16"/>
      <c r="N319" s="16"/>
      <c r="O319" s="16"/>
      <c r="P319" s="16"/>
      <c r="Q319" s="16"/>
      <c r="R319" s="16"/>
      <c r="S319" s="16"/>
      <c r="T319" s="16"/>
      <c r="U319" s="16"/>
      <c r="V319" s="16"/>
      <c r="W319" s="16"/>
      <c r="X319" s="16"/>
      <c r="Y319" s="16"/>
      <c r="Z319" s="16"/>
    </row>
    <row r="320" ht="12.75" spans="1:26">
      <c r="A320" s="23"/>
      <c r="B320" s="16"/>
      <c r="C320" s="23"/>
      <c r="D320" s="24"/>
      <c r="E320" s="16"/>
      <c r="F320" s="24"/>
      <c r="G320" s="24"/>
      <c r="H320" s="16"/>
      <c r="I320" s="16"/>
      <c r="J320" s="16"/>
      <c r="K320" s="16"/>
      <c r="L320" s="16"/>
      <c r="M320" s="16"/>
      <c r="N320" s="16"/>
      <c r="O320" s="16"/>
      <c r="P320" s="16"/>
      <c r="Q320" s="16"/>
      <c r="R320" s="16"/>
      <c r="S320" s="16"/>
      <c r="T320" s="16"/>
      <c r="U320" s="16"/>
      <c r="V320" s="16"/>
      <c r="W320" s="16"/>
      <c r="X320" s="16"/>
      <c r="Y320" s="16"/>
      <c r="Z320" s="16"/>
    </row>
    <row r="321" ht="12.75" spans="1:26">
      <c r="A321" s="23"/>
      <c r="B321" s="16"/>
      <c r="C321" s="23"/>
      <c r="D321" s="24"/>
      <c r="E321" s="16"/>
      <c r="F321" s="24"/>
      <c r="G321" s="24"/>
      <c r="H321" s="16"/>
      <c r="I321" s="16"/>
      <c r="J321" s="16"/>
      <c r="K321" s="16"/>
      <c r="L321" s="16"/>
      <c r="M321" s="16"/>
      <c r="N321" s="16"/>
      <c r="O321" s="16"/>
      <c r="P321" s="16"/>
      <c r="Q321" s="16"/>
      <c r="R321" s="16"/>
      <c r="S321" s="16"/>
      <c r="T321" s="16"/>
      <c r="U321" s="16"/>
      <c r="V321" s="16"/>
      <c r="W321" s="16"/>
      <c r="X321" s="16"/>
      <c r="Y321" s="16"/>
      <c r="Z321" s="16"/>
    </row>
    <row r="322" ht="12.75" spans="1:26">
      <c r="A322" s="23"/>
      <c r="B322" s="16"/>
      <c r="C322" s="23"/>
      <c r="D322" s="24"/>
      <c r="E322" s="16"/>
      <c r="F322" s="24"/>
      <c r="G322" s="24"/>
      <c r="H322" s="16"/>
      <c r="I322" s="16"/>
      <c r="J322" s="16"/>
      <c r="K322" s="16"/>
      <c r="L322" s="16"/>
      <c r="M322" s="16"/>
      <c r="N322" s="16"/>
      <c r="O322" s="16"/>
      <c r="P322" s="16"/>
      <c r="Q322" s="16"/>
      <c r="R322" s="16"/>
      <c r="S322" s="16"/>
      <c r="T322" s="16"/>
      <c r="U322" s="16"/>
      <c r="V322" s="16"/>
      <c r="W322" s="16"/>
      <c r="X322" s="16"/>
      <c r="Y322" s="16"/>
      <c r="Z322" s="16"/>
    </row>
    <row r="323" ht="12.75" spans="1:26">
      <c r="A323" s="23"/>
      <c r="B323" s="16"/>
      <c r="C323" s="23"/>
      <c r="D323" s="24"/>
      <c r="E323" s="16"/>
      <c r="F323" s="24"/>
      <c r="G323" s="24"/>
      <c r="H323" s="16"/>
      <c r="I323" s="16"/>
      <c r="J323" s="16"/>
      <c r="K323" s="16"/>
      <c r="L323" s="16"/>
      <c r="M323" s="16"/>
      <c r="N323" s="16"/>
      <c r="O323" s="16"/>
      <c r="P323" s="16"/>
      <c r="Q323" s="16"/>
      <c r="R323" s="16"/>
      <c r="S323" s="16"/>
      <c r="T323" s="16"/>
      <c r="U323" s="16"/>
      <c r="V323" s="16"/>
      <c r="W323" s="16"/>
      <c r="X323" s="16"/>
      <c r="Y323" s="16"/>
      <c r="Z323" s="16"/>
    </row>
    <row r="324" ht="12.75" spans="1:26">
      <c r="A324" s="23"/>
      <c r="B324" s="16"/>
      <c r="C324" s="23"/>
      <c r="D324" s="24"/>
      <c r="E324" s="16"/>
      <c r="F324" s="24"/>
      <c r="G324" s="24"/>
      <c r="H324" s="16"/>
      <c r="I324" s="16"/>
      <c r="J324" s="16"/>
      <c r="K324" s="16"/>
      <c r="L324" s="16"/>
      <c r="M324" s="16"/>
      <c r="N324" s="16"/>
      <c r="O324" s="16"/>
      <c r="P324" s="16"/>
      <c r="Q324" s="16"/>
      <c r="R324" s="16"/>
      <c r="S324" s="16"/>
      <c r="T324" s="16"/>
      <c r="U324" s="16"/>
      <c r="V324" s="16"/>
      <c r="W324" s="16"/>
      <c r="X324" s="16"/>
      <c r="Y324" s="16"/>
      <c r="Z324" s="16"/>
    </row>
    <row r="325" ht="12.75" spans="1:26">
      <c r="A325" s="23"/>
      <c r="B325" s="16"/>
      <c r="C325" s="23"/>
      <c r="D325" s="24"/>
      <c r="E325" s="16"/>
      <c r="F325" s="24"/>
      <c r="G325" s="24"/>
      <c r="H325" s="16"/>
      <c r="I325" s="16"/>
      <c r="J325" s="16"/>
      <c r="K325" s="16"/>
      <c r="L325" s="16"/>
      <c r="M325" s="16"/>
      <c r="N325" s="16"/>
      <c r="O325" s="16"/>
      <c r="P325" s="16"/>
      <c r="Q325" s="16"/>
      <c r="R325" s="16"/>
      <c r="S325" s="16"/>
      <c r="T325" s="16"/>
      <c r="U325" s="16"/>
      <c r="V325" s="16"/>
      <c r="W325" s="16"/>
      <c r="X325" s="16"/>
      <c r="Y325" s="16"/>
      <c r="Z325" s="16"/>
    </row>
    <row r="326" ht="12.75" spans="1:26">
      <c r="A326" s="23"/>
      <c r="B326" s="16"/>
      <c r="C326" s="23"/>
      <c r="D326" s="24"/>
      <c r="E326" s="16"/>
      <c r="F326" s="24"/>
      <c r="G326" s="24"/>
      <c r="H326" s="16"/>
      <c r="I326" s="16"/>
      <c r="J326" s="16"/>
      <c r="K326" s="16"/>
      <c r="L326" s="16"/>
      <c r="M326" s="16"/>
      <c r="N326" s="16"/>
      <c r="O326" s="16"/>
      <c r="P326" s="16"/>
      <c r="Q326" s="16"/>
      <c r="R326" s="16"/>
      <c r="S326" s="16"/>
      <c r="T326" s="16"/>
      <c r="U326" s="16"/>
      <c r="V326" s="16"/>
      <c r="W326" s="16"/>
      <c r="X326" s="16"/>
      <c r="Y326" s="16"/>
      <c r="Z326" s="16"/>
    </row>
    <row r="327" ht="12.75" spans="1:26">
      <c r="A327" s="23"/>
      <c r="B327" s="16"/>
      <c r="C327" s="23"/>
      <c r="D327" s="24"/>
      <c r="E327" s="16"/>
      <c r="F327" s="24"/>
      <c r="G327" s="24"/>
      <c r="H327" s="16"/>
      <c r="I327" s="16"/>
      <c r="J327" s="16"/>
      <c r="K327" s="16"/>
      <c r="L327" s="16"/>
      <c r="M327" s="16"/>
      <c r="N327" s="16"/>
      <c r="O327" s="16"/>
      <c r="P327" s="16"/>
      <c r="Q327" s="16"/>
      <c r="R327" s="16"/>
      <c r="S327" s="16"/>
      <c r="T327" s="16"/>
      <c r="U327" s="16"/>
      <c r="V327" s="16"/>
      <c r="W327" s="16"/>
      <c r="X327" s="16"/>
      <c r="Y327" s="16"/>
      <c r="Z327" s="16"/>
    </row>
    <row r="328" ht="12.75" spans="1:26">
      <c r="A328" s="23"/>
      <c r="B328" s="16"/>
      <c r="C328" s="23"/>
      <c r="D328" s="24"/>
      <c r="E328" s="16"/>
      <c r="F328" s="24"/>
      <c r="G328" s="24"/>
      <c r="H328" s="16"/>
      <c r="I328" s="16"/>
      <c r="J328" s="16"/>
      <c r="K328" s="16"/>
      <c r="L328" s="16"/>
      <c r="M328" s="16"/>
      <c r="N328" s="16"/>
      <c r="O328" s="16"/>
      <c r="P328" s="16"/>
      <c r="Q328" s="16"/>
      <c r="R328" s="16"/>
      <c r="S328" s="16"/>
      <c r="T328" s="16"/>
      <c r="U328" s="16"/>
      <c r="V328" s="16"/>
      <c r="W328" s="16"/>
      <c r="X328" s="16"/>
      <c r="Y328" s="16"/>
      <c r="Z328" s="16"/>
    </row>
    <row r="329" ht="12.75" spans="1:26">
      <c r="A329" s="23"/>
      <c r="B329" s="16"/>
      <c r="C329" s="23"/>
      <c r="D329" s="24"/>
      <c r="E329" s="16"/>
      <c r="F329" s="24"/>
      <c r="G329" s="24"/>
      <c r="H329" s="16"/>
      <c r="I329" s="16"/>
      <c r="J329" s="16"/>
      <c r="K329" s="16"/>
      <c r="L329" s="16"/>
      <c r="M329" s="16"/>
      <c r="N329" s="16"/>
      <c r="O329" s="16"/>
      <c r="P329" s="16"/>
      <c r="Q329" s="16"/>
      <c r="R329" s="16"/>
      <c r="S329" s="16"/>
      <c r="T329" s="16"/>
      <c r="U329" s="16"/>
      <c r="V329" s="16"/>
      <c r="W329" s="16"/>
      <c r="X329" s="16"/>
      <c r="Y329" s="16"/>
      <c r="Z329" s="16"/>
    </row>
    <row r="330" ht="12.75" spans="1:26">
      <c r="A330" s="23"/>
      <c r="B330" s="16"/>
      <c r="C330" s="23"/>
      <c r="D330" s="24"/>
      <c r="E330" s="16"/>
      <c r="F330" s="24"/>
      <c r="G330" s="24"/>
      <c r="H330" s="16"/>
      <c r="I330" s="16"/>
      <c r="J330" s="16"/>
      <c r="K330" s="16"/>
      <c r="L330" s="16"/>
      <c r="M330" s="16"/>
      <c r="N330" s="16"/>
      <c r="O330" s="16"/>
      <c r="P330" s="16"/>
      <c r="Q330" s="16"/>
      <c r="R330" s="16"/>
      <c r="S330" s="16"/>
      <c r="T330" s="16"/>
      <c r="U330" s="16"/>
      <c r="V330" s="16"/>
      <c r="W330" s="16"/>
      <c r="X330" s="16"/>
      <c r="Y330" s="16"/>
      <c r="Z330" s="16"/>
    </row>
    <row r="331" ht="12.75" spans="1:26">
      <c r="A331" s="23"/>
      <c r="B331" s="16"/>
      <c r="C331" s="23"/>
      <c r="D331" s="24"/>
      <c r="E331" s="16"/>
      <c r="F331" s="24"/>
      <c r="G331" s="24"/>
      <c r="H331" s="16"/>
      <c r="I331" s="16"/>
      <c r="J331" s="16"/>
      <c r="K331" s="16"/>
      <c r="L331" s="16"/>
      <c r="M331" s="16"/>
      <c r="N331" s="16"/>
      <c r="O331" s="16"/>
      <c r="P331" s="16"/>
      <c r="Q331" s="16"/>
      <c r="R331" s="16"/>
      <c r="S331" s="16"/>
      <c r="T331" s="16"/>
      <c r="U331" s="16"/>
      <c r="V331" s="16"/>
      <c r="W331" s="16"/>
      <c r="X331" s="16"/>
      <c r="Y331" s="16"/>
      <c r="Z331" s="16"/>
    </row>
    <row r="332" ht="12.75" spans="1:26">
      <c r="A332" s="23"/>
      <c r="B332" s="16"/>
      <c r="C332" s="23"/>
      <c r="D332" s="24"/>
      <c r="E332" s="16"/>
      <c r="F332" s="24"/>
      <c r="G332" s="24"/>
      <c r="H332" s="16"/>
      <c r="I332" s="16"/>
      <c r="J332" s="16"/>
      <c r="K332" s="16"/>
      <c r="L332" s="16"/>
      <c r="M332" s="16"/>
      <c r="N332" s="16"/>
      <c r="O332" s="16"/>
      <c r="P332" s="16"/>
      <c r="Q332" s="16"/>
      <c r="R332" s="16"/>
      <c r="S332" s="16"/>
      <c r="T332" s="16"/>
      <c r="U332" s="16"/>
      <c r="V332" s="16"/>
      <c r="W332" s="16"/>
      <c r="X332" s="16"/>
      <c r="Y332" s="16"/>
      <c r="Z332" s="16"/>
    </row>
    <row r="333" ht="12.75" spans="1:26">
      <c r="A333" s="23"/>
      <c r="B333" s="16"/>
      <c r="C333" s="23"/>
      <c r="D333" s="24"/>
      <c r="E333" s="16"/>
      <c r="F333" s="24"/>
      <c r="G333" s="24"/>
      <c r="H333" s="16"/>
      <c r="I333" s="16"/>
      <c r="J333" s="16"/>
      <c r="K333" s="16"/>
      <c r="L333" s="16"/>
      <c r="M333" s="16"/>
      <c r="N333" s="16"/>
      <c r="O333" s="16"/>
      <c r="P333" s="16"/>
      <c r="Q333" s="16"/>
      <c r="R333" s="16"/>
      <c r="S333" s="16"/>
      <c r="T333" s="16"/>
      <c r="U333" s="16"/>
      <c r="V333" s="16"/>
      <c r="W333" s="16"/>
      <c r="X333" s="16"/>
      <c r="Y333" s="16"/>
      <c r="Z333" s="16"/>
    </row>
    <row r="334" ht="12.75" spans="1:26">
      <c r="A334" s="23"/>
      <c r="B334" s="16"/>
      <c r="C334" s="23"/>
      <c r="D334" s="24"/>
      <c r="E334" s="16"/>
      <c r="F334" s="24"/>
      <c r="G334" s="24"/>
      <c r="H334" s="16"/>
      <c r="I334" s="16"/>
      <c r="J334" s="16"/>
      <c r="K334" s="16"/>
      <c r="L334" s="16"/>
      <c r="M334" s="16"/>
      <c r="N334" s="16"/>
      <c r="O334" s="16"/>
      <c r="P334" s="16"/>
      <c r="Q334" s="16"/>
      <c r="R334" s="16"/>
      <c r="S334" s="16"/>
      <c r="T334" s="16"/>
      <c r="U334" s="16"/>
      <c r="V334" s="16"/>
      <c r="W334" s="16"/>
      <c r="X334" s="16"/>
      <c r="Y334" s="16"/>
      <c r="Z334" s="16"/>
    </row>
    <row r="335" ht="12.75" spans="1:26">
      <c r="A335" s="23"/>
      <c r="B335" s="16"/>
      <c r="C335" s="23"/>
      <c r="D335" s="24"/>
      <c r="E335" s="16"/>
      <c r="F335" s="24"/>
      <c r="G335" s="24"/>
      <c r="H335" s="16"/>
      <c r="I335" s="16"/>
      <c r="J335" s="16"/>
      <c r="K335" s="16"/>
      <c r="L335" s="16"/>
      <c r="M335" s="16"/>
      <c r="N335" s="16"/>
      <c r="O335" s="16"/>
      <c r="P335" s="16"/>
      <c r="Q335" s="16"/>
      <c r="R335" s="16"/>
      <c r="S335" s="16"/>
      <c r="T335" s="16"/>
      <c r="U335" s="16"/>
      <c r="V335" s="16"/>
      <c r="W335" s="16"/>
      <c r="X335" s="16"/>
      <c r="Y335" s="16"/>
      <c r="Z335" s="16"/>
    </row>
    <row r="336" ht="12.75" spans="1:26">
      <c r="A336" s="23"/>
      <c r="B336" s="16"/>
      <c r="C336" s="23"/>
      <c r="D336" s="24"/>
      <c r="E336" s="16"/>
      <c r="F336" s="24"/>
      <c r="G336" s="24"/>
      <c r="H336" s="16"/>
      <c r="I336" s="16"/>
      <c r="J336" s="16"/>
      <c r="K336" s="16"/>
      <c r="L336" s="16"/>
      <c r="M336" s="16"/>
      <c r="N336" s="16"/>
      <c r="O336" s="16"/>
      <c r="P336" s="16"/>
      <c r="Q336" s="16"/>
      <c r="R336" s="16"/>
      <c r="S336" s="16"/>
      <c r="T336" s="16"/>
      <c r="U336" s="16"/>
      <c r="V336" s="16"/>
      <c r="W336" s="16"/>
      <c r="X336" s="16"/>
      <c r="Y336" s="16"/>
      <c r="Z336" s="16"/>
    </row>
    <row r="337" ht="12.75" spans="1:26">
      <c r="A337" s="23"/>
      <c r="B337" s="16"/>
      <c r="C337" s="23"/>
      <c r="D337" s="24"/>
      <c r="E337" s="16"/>
      <c r="F337" s="24"/>
      <c r="G337" s="24"/>
      <c r="H337" s="16"/>
      <c r="I337" s="16"/>
      <c r="J337" s="16"/>
      <c r="K337" s="16"/>
      <c r="L337" s="16"/>
      <c r="M337" s="16"/>
      <c r="N337" s="16"/>
      <c r="O337" s="16"/>
      <c r="P337" s="16"/>
      <c r="Q337" s="16"/>
      <c r="R337" s="16"/>
      <c r="S337" s="16"/>
      <c r="T337" s="16"/>
      <c r="U337" s="16"/>
      <c r="V337" s="16"/>
      <c r="W337" s="16"/>
      <c r="X337" s="16"/>
      <c r="Y337" s="16"/>
      <c r="Z337" s="16"/>
    </row>
    <row r="338" ht="12.75" spans="1:26">
      <c r="A338" s="23"/>
      <c r="B338" s="16"/>
      <c r="C338" s="23"/>
      <c r="D338" s="24"/>
      <c r="E338" s="16"/>
      <c r="F338" s="24"/>
      <c r="G338" s="24"/>
      <c r="H338" s="16"/>
      <c r="I338" s="16"/>
      <c r="J338" s="16"/>
      <c r="K338" s="16"/>
      <c r="L338" s="16"/>
      <c r="M338" s="16"/>
      <c r="N338" s="16"/>
      <c r="O338" s="16"/>
      <c r="P338" s="16"/>
      <c r="Q338" s="16"/>
      <c r="R338" s="16"/>
      <c r="S338" s="16"/>
      <c r="T338" s="16"/>
      <c r="U338" s="16"/>
      <c r="V338" s="16"/>
      <c r="W338" s="16"/>
      <c r="X338" s="16"/>
      <c r="Y338" s="16"/>
      <c r="Z338" s="16"/>
    </row>
    <row r="339" ht="12.75" spans="1:26">
      <c r="A339" s="23"/>
      <c r="B339" s="16"/>
      <c r="C339" s="23"/>
      <c r="D339" s="24"/>
      <c r="E339" s="16"/>
      <c r="F339" s="24"/>
      <c r="G339" s="24"/>
      <c r="H339" s="16"/>
      <c r="I339" s="16"/>
      <c r="J339" s="16"/>
      <c r="K339" s="16"/>
      <c r="L339" s="16"/>
      <c r="M339" s="16"/>
      <c r="N339" s="16"/>
      <c r="O339" s="16"/>
      <c r="P339" s="16"/>
      <c r="Q339" s="16"/>
      <c r="R339" s="16"/>
      <c r="S339" s="16"/>
      <c r="T339" s="16"/>
      <c r="U339" s="16"/>
      <c r="V339" s="16"/>
      <c r="W339" s="16"/>
      <c r="X339" s="16"/>
      <c r="Y339" s="16"/>
      <c r="Z339" s="16"/>
    </row>
    <row r="340" ht="12.75" spans="1:26">
      <c r="A340" s="23"/>
      <c r="B340" s="16"/>
      <c r="C340" s="23"/>
      <c r="D340" s="24"/>
      <c r="E340" s="16"/>
      <c r="F340" s="24"/>
      <c r="G340" s="24"/>
      <c r="H340" s="16"/>
      <c r="I340" s="16"/>
      <c r="J340" s="16"/>
      <c r="K340" s="16"/>
      <c r="L340" s="16"/>
      <c r="M340" s="16"/>
      <c r="N340" s="16"/>
      <c r="O340" s="16"/>
      <c r="P340" s="16"/>
      <c r="Q340" s="16"/>
      <c r="R340" s="16"/>
      <c r="S340" s="16"/>
      <c r="T340" s="16"/>
      <c r="U340" s="16"/>
      <c r="V340" s="16"/>
      <c r="W340" s="16"/>
      <c r="X340" s="16"/>
      <c r="Y340" s="16"/>
      <c r="Z340" s="16"/>
    </row>
    <row r="341" ht="12.75" spans="1:26">
      <c r="A341" s="23"/>
      <c r="B341" s="16"/>
      <c r="C341" s="23"/>
      <c r="D341" s="24"/>
      <c r="E341" s="16"/>
      <c r="F341" s="24"/>
      <c r="G341" s="24"/>
      <c r="H341" s="16"/>
      <c r="I341" s="16"/>
      <c r="J341" s="16"/>
      <c r="K341" s="16"/>
      <c r="L341" s="16"/>
      <c r="M341" s="16"/>
      <c r="N341" s="16"/>
      <c r="O341" s="16"/>
      <c r="P341" s="16"/>
      <c r="Q341" s="16"/>
      <c r="R341" s="16"/>
      <c r="S341" s="16"/>
      <c r="T341" s="16"/>
      <c r="U341" s="16"/>
      <c r="V341" s="16"/>
      <c r="W341" s="16"/>
      <c r="X341" s="16"/>
      <c r="Y341" s="16"/>
      <c r="Z341" s="16"/>
    </row>
    <row r="342" ht="12.75" spans="1:26">
      <c r="A342" s="23"/>
      <c r="B342" s="16"/>
      <c r="C342" s="23"/>
      <c r="D342" s="24"/>
      <c r="E342" s="16"/>
      <c r="F342" s="24"/>
      <c r="G342" s="24"/>
      <c r="H342" s="16"/>
      <c r="I342" s="16"/>
      <c r="J342" s="16"/>
      <c r="K342" s="16"/>
      <c r="L342" s="16"/>
      <c r="M342" s="16"/>
      <c r="N342" s="16"/>
      <c r="O342" s="16"/>
      <c r="P342" s="16"/>
      <c r="Q342" s="16"/>
      <c r="R342" s="16"/>
      <c r="S342" s="16"/>
      <c r="T342" s="16"/>
      <c r="U342" s="16"/>
      <c r="V342" s="16"/>
      <c r="W342" s="16"/>
      <c r="X342" s="16"/>
      <c r="Y342" s="16"/>
      <c r="Z342" s="16"/>
    </row>
    <row r="343" ht="12.75" spans="1:26">
      <c r="A343" s="23"/>
      <c r="B343" s="16"/>
      <c r="C343" s="23"/>
      <c r="D343" s="24"/>
      <c r="E343" s="16"/>
      <c r="F343" s="24"/>
      <c r="G343" s="24"/>
      <c r="H343" s="16"/>
      <c r="I343" s="16"/>
      <c r="J343" s="16"/>
      <c r="K343" s="16"/>
      <c r="L343" s="16"/>
      <c r="M343" s="16"/>
      <c r="N343" s="16"/>
      <c r="O343" s="16"/>
      <c r="P343" s="16"/>
      <c r="Q343" s="16"/>
      <c r="R343" s="16"/>
      <c r="S343" s="16"/>
      <c r="T343" s="16"/>
      <c r="U343" s="16"/>
      <c r="V343" s="16"/>
      <c r="W343" s="16"/>
      <c r="X343" s="16"/>
      <c r="Y343" s="16"/>
      <c r="Z343" s="16"/>
    </row>
    <row r="344" ht="12.75" spans="1:26">
      <c r="A344" s="23"/>
      <c r="B344" s="16"/>
      <c r="C344" s="23"/>
      <c r="D344" s="24"/>
      <c r="E344" s="16"/>
      <c r="F344" s="24"/>
      <c r="G344" s="24"/>
      <c r="H344" s="16"/>
      <c r="I344" s="16"/>
      <c r="J344" s="16"/>
      <c r="K344" s="16"/>
      <c r="L344" s="16"/>
      <c r="M344" s="16"/>
      <c r="N344" s="16"/>
      <c r="O344" s="16"/>
      <c r="P344" s="16"/>
      <c r="Q344" s="16"/>
      <c r="R344" s="16"/>
      <c r="S344" s="16"/>
      <c r="T344" s="16"/>
      <c r="U344" s="16"/>
      <c r="V344" s="16"/>
      <c r="W344" s="16"/>
      <c r="X344" s="16"/>
      <c r="Y344" s="16"/>
      <c r="Z344" s="16"/>
    </row>
    <row r="345" ht="12.75" spans="1:26">
      <c r="A345" s="23"/>
      <c r="B345" s="16"/>
      <c r="C345" s="23"/>
      <c r="D345" s="24"/>
      <c r="E345" s="16"/>
      <c r="F345" s="24"/>
      <c r="G345" s="24"/>
      <c r="H345" s="16"/>
      <c r="I345" s="16"/>
      <c r="J345" s="16"/>
      <c r="K345" s="16"/>
      <c r="L345" s="16"/>
      <c r="M345" s="16"/>
      <c r="N345" s="16"/>
      <c r="O345" s="16"/>
      <c r="P345" s="16"/>
      <c r="Q345" s="16"/>
      <c r="R345" s="16"/>
      <c r="S345" s="16"/>
      <c r="T345" s="16"/>
      <c r="U345" s="16"/>
      <c r="V345" s="16"/>
      <c r="W345" s="16"/>
      <c r="X345" s="16"/>
      <c r="Y345" s="16"/>
      <c r="Z345" s="16"/>
    </row>
    <row r="346" ht="12.75" spans="1:26">
      <c r="A346" s="23"/>
      <c r="B346" s="16"/>
      <c r="C346" s="23"/>
      <c r="D346" s="24"/>
      <c r="E346" s="16"/>
      <c r="F346" s="24"/>
      <c r="G346" s="24"/>
      <c r="H346" s="16"/>
      <c r="I346" s="16"/>
      <c r="J346" s="16"/>
      <c r="K346" s="16"/>
      <c r="L346" s="16"/>
      <c r="M346" s="16"/>
      <c r="N346" s="16"/>
      <c r="O346" s="16"/>
      <c r="P346" s="16"/>
      <c r="Q346" s="16"/>
      <c r="R346" s="16"/>
      <c r="S346" s="16"/>
      <c r="T346" s="16"/>
      <c r="U346" s="16"/>
      <c r="V346" s="16"/>
      <c r="W346" s="16"/>
      <c r="X346" s="16"/>
      <c r="Y346" s="16"/>
      <c r="Z346" s="16"/>
    </row>
    <row r="347" ht="12.75" spans="1:26">
      <c r="A347" s="23"/>
      <c r="B347" s="16"/>
      <c r="C347" s="23"/>
      <c r="D347" s="24"/>
      <c r="E347" s="16"/>
      <c r="F347" s="24"/>
      <c r="G347" s="24"/>
      <c r="H347" s="16"/>
      <c r="I347" s="16"/>
      <c r="J347" s="16"/>
      <c r="K347" s="16"/>
      <c r="L347" s="16"/>
      <c r="M347" s="16"/>
      <c r="N347" s="16"/>
      <c r="O347" s="16"/>
      <c r="P347" s="16"/>
      <c r="Q347" s="16"/>
      <c r="R347" s="16"/>
      <c r="S347" s="16"/>
      <c r="T347" s="16"/>
      <c r="U347" s="16"/>
      <c r="V347" s="16"/>
      <c r="W347" s="16"/>
      <c r="X347" s="16"/>
      <c r="Y347" s="16"/>
      <c r="Z347" s="16"/>
    </row>
    <row r="348" ht="12.75" spans="1:26">
      <c r="A348" s="23"/>
      <c r="B348" s="16"/>
      <c r="C348" s="23"/>
      <c r="D348" s="24"/>
      <c r="E348" s="16"/>
      <c r="F348" s="24"/>
      <c r="G348" s="24"/>
      <c r="H348" s="16"/>
      <c r="I348" s="16"/>
      <c r="J348" s="16"/>
      <c r="K348" s="16"/>
      <c r="L348" s="16"/>
      <c r="M348" s="16"/>
      <c r="N348" s="16"/>
      <c r="O348" s="16"/>
      <c r="P348" s="16"/>
      <c r="Q348" s="16"/>
      <c r="R348" s="16"/>
      <c r="S348" s="16"/>
      <c r="T348" s="16"/>
      <c r="U348" s="16"/>
      <c r="V348" s="16"/>
      <c r="W348" s="16"/>
      <c r="X348" s="16"/>
      <c r="Y348" s="16"/>
      <c r="Z348" s="16"/>
    </row>
    <row r="349" ht="12.75" spans="1:26">
      <c r="A349" s="23"/>
      <c r="B349" s="16"/>
      <c r="C349" s="23"/>
      <c r="D349" s="24"/>
      <c r="E349" s="16"/>
      <c r="F349" s="24"/>
      <c r="G349" s="24"/>
      <c r="H349" s="16"/>
      <c r="I349" s="16"/>
      <c r="J349" s="16"/>
      <c r="K349" s="16"/>
      <c r="L349" s="16"/>
      <c r="M349" s="16"/>
      <c r="N349" s="16"/>
      <c r="O349" s="16"/>
      <c r="P349" s="16"/>
      <c r="Q349" s="16"/>
      <c r="R349" s="16"/>
      <c r="S349" s="16"/>
      <c r="T349" s="16"/>
      <c r="U349" s="16"/>
      <c r="V349" s="16"/>
      <c r="W349" s="16"/>
      <c r="X349" s="16"/>
      <c r="Y349" s="16"/>
      <c r="Z349" s="16"/>
    </row>
    <row r="350" ht="12.75" spans="1:26">
      <c r="A350" s="23"/>
      <c r="B350" s="16"/>
      <c r="C350" s="23"/>
      <c r="D350" s="24"/>
      <c r="E350" s="16"/>
      <c r="F350" s="24"/>
      <c r="G350" s="24"/>
      <c r="H350" s="16"/>
      <c r="I350" s="16"/>
      <c r="J350" s="16"/>
      <c r="K350" s="16"/>
      <c r="L350" s="16"/>
      <c r="M350" s="16"/>
      <c r="N350" s="16"/>
      <c r="O350" s="16"/>
      <c r="P350" s="16"/>
      <c r="Q350" s="16"/>
      <c r="R350" s="16"/>
      <c r="S350" s="16"/>
      <c r="T350" s="16"/>
      <c r="U350" s="16"/>
      <c r="V350" s="16"/>
      <c r="W350" s="16"/>
      <c r="X350" s="16"/>
      <c r="Y350" s="16"/>
      <c r="Z350" s="16"/>
    </row>
    <row r="351" ht="12.75" spans="1:26">
      <c r="A351" s="23"/>
      <c r="B351" s="16"/>
      <c r="C351" s="23"/>
      <c r="D351" s="24"/>
      <c r="E351" s="16"/>
      <c r="F351" s="24"/>
      <c r="G351" s="24"/>
      <c r="H351" s="16"/>
      <c r="I351" s="16"/>
      <c r="J351" s="16"/>
      <c r="K351" s="16"/>
      <c r="L351" s="16"/>
      <c r="M351" s="16"/>
      <c r="N351" s="16"/>
      <c r="O351" s="16"/>
      <c r="P351" s="16"/>
      <c r="Q351" s="16"/>
      <c r="R351" s="16"/>
      <c r="S351" s="16"/>
      <c r="T351" s="16"/>
      <c r="U351" s="16"/>
      <c r="V351" s="16"/>
      <c r="W351" s="16"/>
      <c r="X351" s="16"/>
      <c r="Y351" s="16"/>
      <c r="Z351" s="16"/>
    </row>
    <row r="352" ht="12.75" spans="1:26">
      <c r="A352" s="23"/>
      <c r="B352" s="16"/>
      <c r="C352" s="23"/>
      <c r="D352" s="24"/>
      <c r="E352" s="16"/>
      <c r="F352" s="24"/>
      <c r="G352" s="24"/>
      <c r="H352" s="16"/>
      <c r="I352" s="16"/>
      <c r="J352" s="16"/>
      <c r="K352" s="16"/>
      <c r="L352" s="16"/>
      <c r="M352" s="16"/>
      <c r="N352" s="16"/>
      <c r="O352" s="16"/>
      <c r="P352" s="16"/>
      <c r="Q352" s="16"/>
      <c r="R352" s="16"/>
      <c r="S352" s="16"/>
      <c r="T352" s="16"/>
      <c r="U352" s="16"/>
      <c r="V352" s="16"/>
      <c r="W352" s="16"/>
      <c r="X352" s="16"/>
      <c r="Y352" s="16"/>
      <c r="Z352" s="16"/>
    </row>
    <row r="353" ht="12.75" spans="1:26">
      <c r="A353" s="23"/>
      <c r="B353" s="16"/>
      <c r="C353" s="23"/>
      <c r="D353" s="24"/>
      <c r="E353" s="16"/>
      <c r="F353" s="24"/>
      <c r="G353" s="24"/>
      <c r="H353" s="16"/>
      <c r="I353" s="16"/>
      <c r="J353" s="16"/>
      <c r="K353" s="16"/>
      <c r="L353" s="16"/>
      <c r="M353" s="16"/>
      <c r="N353" s="16"/>
      <c r="O353" s="16"/>
      <c r="P353" s="16"/>
      <c r="Q353" s="16"/>
      <c r="R353" s="16"/>
      <c r="S353" s="16"/>
      <c r="T353" s="16"/>
      <c r="U353" s="16"/>
      <c r="V353" s="16"/>
      <c r="W353" s="16"/>
      <c r="X353" s="16"/>
      <c r="Y353" s="16"/>
      <c r="Z353" s="16"/>
    </row>
    <row r="354" ht="12.75" spans="1:26">
      <c r="A354" s="23"/>
      <c r="B354" s="16"/>
      <c r="C354" s="23"/>
      <c r="D354" s="24"/>
      <c r="E354" s="16"/>
      <c r="F354" s="24"/>
      <c r="G354" s="24"/>
      <c r="H354" s="16"/>
      <c r="I354" s="16"/>
      <c r="J354" s="16"/>
      <c r="K354" s="16"/>
      <c r="L354" s="16"/>
      <c r="M354" s="16"/>
      <c r="N354" s="16"/>
      <c r="O354" s="16"/>
      <c r="P354" s="16"/>
      <c r="Q354" s="16"/>
      <c r="R354" s="16"/>
      <c r="S354" s="16"/>
      <c r="T354" s="16"/>
      <c r="U354" s="16"/>
      <c r="V354" s="16"/>
      <c r="W354" s="16"/>
      <c r="X354" s="16"/>
      <c r="Y354" s="16"/>
      <c r="Z354" s="16"/>
    </row>
    <row r="355" ht="12.75" spans="1:26">
      <c r="A355" s="23"/>
      <c r="B355" s="16"/>
      <c r="C355" s="23"/>
      <c r="D355" s="24"/>
      <c r="E355" s="16"/>
      <c r="F355" s="24"/>
      <c r="G355" s="24"/>
      <c r="H355" s="16"/>
      <c r="I355" s="16"/>
      <c r="J355" s="16"/>
      <c r="K355" s="16"/>
      <c r="L355" s="16"/>
      <c r="M355" s="16"/>
      <c r="N355" s="16"/>
      <c r="O355" s="16"/>
      <c r="P355" s="16"/>
      <c r="Q355" s="16"/>
      <c r="R355" s="16"/>
      <c r="S355" s="16"/>
      <c r="T355" s="16"/>
      <c r="U355" s="16"/>
      <c r="V355" s="16"/>
      <c r="W355" s="16"/>
      <c r="X355" s="16"/>
      <c r="Y355" s="16"/>
      <c r="Z355" s="16"/>
    </row>
    <row r="356" ht="12.75" spans="1:26">
      <c r="A356" s="23"/>
      <c r="B356" s="16"/>
      <c r="C356" s="23"/>
      <c r="D356" s="24"/>
      <c r="E356" s="16"/>
      <c r="F356" s="24"/>
      <c r="G356" s="24"/>
      <c r="H356" s="16"/>
      <c r="I356" s="16"/>
      <c r="J356" s="16"/>
      <c r="K356" s="16"/>
      <c r="L356" s="16"/>
      <c r="M356" s="16"/>
      <c r="N356" s="16"/>
      <c r="O356" s="16"/>
      <c r="P356" s="16"/>
      <c r="Q356" s="16"/>
      <c r="R356" s="16"/>
      <c r="S356" s="16"/>
      <c r="T356" s="16"/>
      <c r="U356" s="16"/>
      <c r="V356" s="16"/>
      <c r="W356" s="16"/>
      <c r="X356" s="16"/>
      <c r="Y356" s="16"/>
      <c r="Z356" s="16"/>
    </row>
    <row r="357" ht="12.75" spans="1:26">
      <c r="A357" s="23"/>
      <c r="B357" s="16"/>
      <c r="C357" s="23"/>
      <c r="D357" s="24"/>
      <c r="E357" s="16"/>
      <c r="F357" s="24"/>
      <c r="G357" s="24"/>
      <c r="H357" s="16"/>
      <c r="I357" s="16"/>
      <c r="J357" s="16"/>
      <c r="K357" s="16"/>
      <c r="L357" s="16"/>
      <c r="M357" s="16"/>
      <c r="N357" s="16"/>
      <c r="O357" s="16"/>
      <c r="P357" s="16"/>
      <c r="Q357" s="16"/>
      <c r="R357" s="16"/>
      <c r="S357" s="16"/>
      <c r="T357" s="16"/>
      <c r="U357" s="16"/>
      <c r="V357" s="16"/>
      <c r="W357" s="16"/>
      <c r="X357" s="16"/>
      <c r="Y357" s="16"/>
      <c r="Z357" s="16"/>
    </row>
    <row r="358" ht="12.75" spans="1:26">
      <c r="A358" s="23"/>
      <c r="B358" s="16"/>
      <c r="C358" s="23"/>
      <c r="D358" s="24"/>
      <c r="E358" s="16"/>
      <c r="F358" s="24"/>
      <c r="G358" s="24"/>
      <c r="H358" s="16"/>
      <c r="I358" s="16"/>
      <c r="J358" s="16"/>
      <c r="K358" s="16"/>
      <c r="L358" s="16"/>
      <c r="M358" s="16"/>
      <c r="N358" s="16"/>
      <c r="O358" s="16"/>
      <c r="P358" s="16"/>
      <c r="Q358" s="16"/>
      <c r="R358" s="16"/>
      <c r="S358" s="16"/>
      <c r="T358" s="16"/>
      <c r="U358" s="16"/>
      <c r="V358" s="16"/>
      <c r="W358" s="16"/>
      <c r="X358" s="16"/>
      <c r="Y358" s="16"/>
      <c r="Z358" s="16"/>
    </row>
    <row r="359" ht="12.75" spans="1:26">
      <c r="A359" s="23"/>
      <c r="B359" s="16"/>
      <c r="C359" s="23"/>
      <c r="D359" s="24"/>
      <c r="E359" s="16"/>
      <c r="F359" s="24"/>
      <c r="G359" s="24"/>
      <c r="H359" s="16"/>
      <c r="I359" s="16"/>
      <c r="J359" s="16"/>
      <c r="K359" s="16"/>
      <c r="L359" s="16"/>
      <c r="M359" s="16"/>
      <c r="N359" s="16"/>
      <c r="O359" s="16"/>
      <c r="P359" s="16"/>
      <c r="Q359" s="16"/>
      <c r="R359" s="16"/>
      <c r="S359" s="16"/>
      <c r="T359" s="16"/>
      <c r="U359" s="16"/>
      <c r="V359" s="16"/>
      <c r="W359" s="16"/>
      <c r="X359" s="16"/>
      <c r="Y359" s="16"/>
      <c r="Z359" s="16"/>
    </row>
    <row r="360" ht="12.75" spans="1:26">
      <c r="A360" s="23"/>
      <c r="B360" s="16"/>
      <c r="C360" s="23"/>
      <c r="D360" s="24"/>
      <c r="E360" s="16"/>
      <c r="F360" s="24"/>
      <c r="G360" s="24"/>
      <c r="H360" s="16"/>
      <c r="I360" s="16"/>
      <c r="J360" s="16"/>
      <c r="K360" s="16"/>
      <c r="L360" s="16"/>
      <c r="M360" s="16"/>
      <c r="N360" s="16"/>
      <c r="O360" s="16"/>
      <c r="P360" s="16"/>
      <c r="Q360" s="16"/>
      <c r="R360" s="16"/>
      <c r="S360" s="16"/>
      <c r="T360" s="16"/>
      <c r="U360" s="16"/>
      <c r="V360" s="16"/>
      <c r="W360" s="16"/>
      <c r="X360" s="16"/>
      <c r="Y360" s="16"/>
      <c r="Z360" s="16"/>
    </row>
    <row r="361" ht="12.75" spans="1:26">
      <c r="A361" s="23"/>
      <c r="B361" s="16"/>
      <c r="C361" s="23"/>
      <c r="D361" s="24"/>
      <c r="E361" s="16"/>
      <c r="F361" s="24"/>
      <c r="G361" s="24"/>
      <c r="H361" s="16"/>
      <c r="I361" s="16"/>
      <c r="J361" s="16"/>
      <c r="K361" s="16"/>
      <c r="L361" s="16"/>
      <c r="M361" s="16"/>
      <c r="N361" s="16"/>
      <c r="O361" s="16"/>
      <c r="P361" s="16"/>
      <c r="Q361" s="16"/>
      <c r="R361" s="16"/>
      <c r="S361" s="16"/>
      <c r="T361" s="16"/>
      <c r="U361" s="16"/>
      <c r="V361" s="16"/>
      <c r="W361" s="16"/>
      <c r="X361" s="16"/>
      <c r="Y361" s="16"/>
      <c r="Z361" s="16"/>
    </row>
    <row r="362" ht="12.75" spans="1:26">
      <c r="A362" s="23"/>
      <c r="B362" s="16"/>
      <c r="C362" s="23"/>
      <c r="D362" s="24"/>
      <c r="E362" s="16"/>
      <c r="F362" s="24"/>
      <c r="G362" s="24"/>
      <c r="H362" s="16"/>
      <c r="I362" s="16"/>
      <c r="J362" s="16"/>
      <c r="K362" s="16"/>
      <c r="L362" s="16"/>
      <c r="M362" s="16"/>
      <c r="N362" s="16"/>
      <c r="O362" s="16"/>
      <c r="P362" s="16"/>
      <c r="Q362" s="16"/>
      <c r="R362" s="16"/>
      <c r="S362" s="16"/>
      <c r="T362" s="16"/>
      <c r="U362" s="16"/>
      <c r="V362" s="16"/>
      <c r="W362" s="16"/>
      <c r="X362" s="16"/>
      <c r="Y362" s="16"/>
      <c r="Z362" s="16"/>
    </row>
    <row r="363" ht="12.75" spans="1:26">
      <c r="A363" s="23"/>
      <c r="B363" s="16"/>
      <c r="C363" s="23"/>
      <c r="D363" s="24"/>
      <c r="E363" s="16"/>
      <c r="F363" s="24"/>
      <c r="G363" s="24"/>
      <c r="H363" s="16"/>
      <c r="I363" s="16"/>
      <c r="J363" s="16"/>
      <c r="K363" s="16"/>
      <c r="L363" s="16"/>
      <c r="M363" s="16"/>
      <c r="N363" s="16"/>
      <c r="O363" s="16"/>
      <c r="P363" s="16"/>
      <c r="Q363" s="16"/>
      <c r="R363" s="16"/>
      <c r="S363" s="16"/>
      <c r="T363" s="16"/>
      <c r="U363" s="16"/>
      <c r="V363" s="16"/>
      <c r="W363" s="16"/>
      <c r="X363" s="16"/>
      <c r="Y363" s="16"/>
      <c r="Z363" s="16"/>
    </row>
    <row r="364" ht="12.75" spans="1:26">
      <c r="A364" s="23"/>
      <c r="B364" s="16"/>
      <c r="C364" s="23"/>
      <c r="D364" s="24"/>
      <c r="E364" s="16"/>
      <c r="F364" s="24"/>
      <c r="G364" s="24"/>
      <c r="H364" s="16"/>
      <c r="I364" s="16"/>
      <c r="J364" s="16"/>
      <c r="K364" s="16"/>
      <c r="L364" s="16"/>
      <c r="M364" s="16"/>
      <c r="N364" s="16"/>
      <c r="O364" s="16"/>
      <c r="P364" s="16"/>
      <c r="Q364" s="16"/>
      <c r="R364" s="16"/>
      <c r="S364" s="16"/>
      <c r="T364" s="16"/>
      <c r="U364" s="16"/>
      <c r="V364" s="16"/>
      <c r="W364" s="16"/>
      <c r="X364" s="16"/>
      <c r="Y364" s="16"/>
      <c r="Z364" s="16"/>
    </row>
    <row r="365" ht="12.75" spans="1:26">
      <c r="A365" s="23"/>
      <c r="B365" s="16"/>
      <c r="C365" s="23"/>
      <c r="D365" s="24"/>
      <c r="E365" s="16"/>
      <c r="F365" s="24"/>
      <c r="G365" s="24"/>
      <c r="H365" s="16"/>
      <c r="I365" s="16"/>
      <c r="J365" s="16"/>
      <c r="K365" s="16"/>
      <c r="L365" s="16"/>
      <c r="M365" s="16"/>
      <c r="N365" s="16"/>
      <c r="O365" s="16"/>
      <c r="P365" s="16"/>
      <c r="Q365" s="16"/>
      <c r="R365" s="16"/>
      <c r="S365" s="16"/>
      <c r="T365" s="16"/>
      <c r="U365" s="16"/>
      <c r="V365" s="16"/>
      <c r="W365" s="16"/>
      <c r="X365" s="16"/>
      <c r="Y365" s="16"/>
      <c r="Z365" s="16"/>
    </row>
    <row r="366" ht="12.75" spans="1:26">
      <c r="A366" s="23"/>
      <c r="B366" s="16"/>
      <c r="C366" s="23"/>
      <c r="D366" s="24"/>
      <c r="E366" s="16"/>
      <c r="F366" s="24"/>
      <c r="G366" s="24"/>
      <c r="H366" s="16"/>
      <c r="I366" s="16"/>
      <c r="J366" s="16"/>
      <c r="K366" s="16"/>
      <c r="L366" s="16"/>
      <c r="M366" s="16"/>
      <c r="N366" s="16"/>
      <c r="O366" s="16"/>
      <c r="P366" s="16"/>
      <c r="Q366" s="16"/>
      <c r="R366" s="16"/>
      <c r="S366" s="16"/>
      <c r="T366" s="16"/>
      <c r="U366" s="16"/>
      <c r="V366" s="16"/>
      <c r="W366" s="16"/>
      <c r="X366" s="16"/>
      <c r="Y366" s="16"/>
      <c r="Z366" s="16"/>
    </row>
    <row r="367" ht="12.75" spans="1:26">
      <c r="A367" s="23"/>
      <c r="B367" s="16"/>
      <c r="C367" s="23"/>
      <c r="D367" s="24"/>
      <c r="E367" s="16"/>
      <c r="F367" s="24"/>
      <c r="G367" s="24"/>
      <c r="H367" s="16"/>
      <c r="I367" s="16"/>
      <c r="J367" s="16"/>
      <c r="K367" s="16"/>
      <c r="L367" s="16"/>
      <c r="M367" s="16"/>
      <c r="N367" s="16"/>
      <c r="O367" s="16"/>
      <c r="P367" s="16"/>
      <c r="Q367" s="16"/>
      <c r="R367" s="16"/>
      <c r="S367" s="16"/>
      <c r="T367" s="16"/>
      <c r="U367" s="16"/>
      <c r="V367" s="16"/>
      <c r="W367" s="16"/>
      <c r="X367" s="16"/>
      <c r="Y367" s="16"/>
      <c r="Z367" s="16"/>
    </row>
    <row r="368" ht="12.75" spans="1:26">
      <c r="A368" s="23"/>
      <c r="B368" s="16"/>
      <c r="C368" s="23"/>
      <c r="D368" s="24"/>
      <c r="E368" s="16"/>
      <c r="F368" s="24"/>
      <c r="G368" s="24"/>
      <c r="H368" s="16"/>
      <c r="I368" s="16"/>
      <c r="J368" s="16"/>
      <c r="K368" s="16"/>
      <c r="L368" s="16"/>
      <c r="M368" s="16"/>
      <c r="N368" s="16"/>
      <c r="O368" s="16"/>
      <c r="P368" s="16"/>
      <c r="Q368" s="16"/>
      <c r="R368" s="16"/>
      <c r="S368" s="16"/>
      <c r="T368" s="16"/>
      <c r="U368" s="16"/>
      <c r="V368" s="16"/>
      <c r="W368" s="16"/>
      <c r="X368" s="16"/>
      <c r="Y368" s="16"/>
      <c r="Z368" s="16"/>
    </row>
    <row r="369" ht="12.75" spans="1:26">
      <c r="A369" s="23"/>
      <c r="B369" s="16"/>
      <c r="C369" s="23"/>
      <c r="D369" s="24"/>
      <c r="E369" s="16"/>
      <c r="F369" s="24"/>
      <c r="G369" s="24"/>
      <c r="H369" s="16"/>
      <c r="I369" s="16"/>
      <c r="J369" s="16"/>
      <c r="K369" s="16"/>
      <c r="L369" s="16"/>
      <c r="M369" s="16"/>
      <c r="N369" s="16"/>
      <c r="O369" s="16"/>
      <c r="P369" s="16"/>
      <c r="Q369" s="16"/>
      <c r="R369" s="16"/>
      <c r="S369" s="16"/>
      <c r="T369" s="16"/>
      <c r="U369" s="16"/>
      <c r="V369" s="16"/>
      <c r="W369" s="16"/>
      <c r="X369" s="16"/>
      <c r="Y369" s="16"/>
      <c r="Z369" s="16"/>
    </row>
    <row r="370" ht="12.75" spans="1:26">
      <c r="A370" s="23"/>
      <c r="B370" s="16"/>
      <c r="C370" s="23"/>
      <c r="D370" s="24"/>
      <c r="E370" s="16"/>
      <c r="F370" s="24"/>
      <c r="G370" s="24"/>
      <c r="H370" s="16"/>
      <c r="I370" s="16"/>
      <c r="J370" s="16"/>
      <c r="K370" s="16"/>
      <c r="L370" s="16"/>
      <c r="M370" s="16"/>
      <c r="N370" s="16"/>
      <c r="O370" s="16"/>
      <c r="P370" s="16"/>
      <c r="Q370" s="16"/>
      <c r="R370" s="16"/>
      <c r="S370" s="16"/>
      <c r="T370" s="16"/>
      <c r="U370" s="16"/>
      <c r="V370" s="16"/>
      <c r="W370" s="16"/>
      <c r="X370" s="16"/>
      <c r="Y370" s="16"/>
      <c r="Z370" s="16"/>
    </row>
    <row r="371" ht="12.75" spans="1:26">
      <c r="A371" s="23"/>
      <c r="B371" s="16"/>
      <c r="C371" s="23"/>
      <c r="D371" s="24"/>
      <c r="E371" s="16"/>
      <c r="F371" s="24"/>
      <c r="G371" s="24"/>
      <c r="H371" s="16"/>
      <c r="I371" s="16"/>
      <c r="J371" s="16"/>
      <c r="K371" s="16"/>
      <c r="L371" s="16"/>
      <c r="M371" s="16"/>
      <c r="N371" s="16"/>
      <c r="O371" s="16"/>
      <c r="P371" s="16"/>
      <c r="Q371" s="16"/>
      <c r="R371" s="16"/>
      <c r="S371" s="16"/>
      <c r="T371" s="16"/>
      <c r="U371" s="16"/>
      <c r="V371" s="16"/>
      <c r="W371" s="16"/>
      <c r="X371" s="16"/>
      <c r="Y371" s="16"/>
      <c r="Z371" s="16"/>
    </row>
    <row r="372" ht="12.75" spans="1:26">
      <c r="A372" s="23"/>
      <c r="B372" s="16"/>
      <c r="C372" s="23"/>
      <c r="D372" s="24"/>
      <c r="E372" s="16"/>
      <c r="F372" s="24"/>
      <c r="G372" s="24"/>
      <c r="H372" s="16"/>
      <c r="I372" s="16"/>
      <c r="J372" s="16"/>
      <c r="K372" s="16"/>
      <c r="L372" s="16"/>
      <c r="M372" s="16"/>
      <c r="N372" s="16"/>
      <c r="O372" s="16"/>
      <c r="P372" s="16"/>
      <c r="Q372" s="16"/>
      <c r="R372" s="16"/>
      <c r="S372" s="16"/>
      <c r="T372" s="16"/>
      <c r="U372" s="16"/>
      <c r="V372" s="16"/>
      <c r="W372" s="16"/>
      <c r="X372" s="16"/>
      <c r="Y372" s="16"/>
      <c r="Z372" s="16"/>
    </row>
    <row r="373" ht="12.75" spans="1:26">
      <c r="A373" s="23"/>
      <c r="B373" s="16"/>
      <c r="C373" s="23"/>
      <c r="D373" s="24"/>
      <c r="E373" s="16"/>
      <c r="F373" s="24"/>
      <c r="G373" s="24"/>
      <c r="H373" s="16"/>
      <c r="I373" s="16"/>
      <c r="J373" s="16"/>
      <c r="K373" s="16"/>
      <c r="L373" s="16"/>
      <c r="M373" s="16"/>
      <c r="N373" s="16"/>
      <c r="O373" s="16"/>
      <c r="P373" s="16"/>
      <c r="Q373" s="16"/>
      <c r="R373" s="16"/>
      <c r="S373" s="16"/>
      <c r="T373" s="16"/>
      <c r="U373" s="16"/>
      <c r="V373" s="16"/>
      <c r="W373" s="16"/>
      <c r="X373" s="16"/>
      <c r="Y373" s="16"/>
      <c r="Z373" s="16"/>
    </row>
    <row r="374" ht="12.75" spans="1:26">
      <c r="A374" s="23"/>
      <c r="B374" s="16"/>
      <c r="C374" s="23"/>
      <c r="D374" s="24"/>
      <c r="E374" s="16"/>
      <c r="F374" s="24"/>
      <c r="G374" s="24"/>
      <c r="H374" s="16"/>
      <c r="I374" s="16"/>
      <c r="J374" s="16"/>
      <c r="K374" s="16"/>
      <c r="L374" s="16"/>
      <c r="M374" s="16"/>
      <c r="N374" s="16"/>
      <c r="O374" s="16"/>
      <c r="P374" s="16"/>
      <c r="Q374" s="16"/>
      <c r="R374" s="16"/>
      <c r="S374" s="16"/>
      <c r="T374" s="16"/>
      <c r="U374" s="16"/>
      <c r="V374" s="16"/>
      <c r="W374" s="16"/>
      <c r="X374" s="16"/>
      <c r="Y374" s="16"/>
      <c r="Z374" s="16"/>
    </row>
    <row r="375" ht="12.75" spans="1:26">
      <c r="A375" s="23"/>
      <c r="B375" s="16"/>
      <c r="C375" s="23"/>
      <c r="D375" s="24"/>
      <c r="E375" s="16"/>
      <c r="F375" s="24"/>
      <c r="G375" s="24"/>
      <c r="H375" s="16"/>
      <c r="I375" s="16"/>
      <c r="J375" s="16"/>
      <c r="K375" s="16"/>
      <c r="L375" s="16"/>
      <c r="M375" s="16"/>
      <c r="N375" s="16"/>
      <c r="O375" s="16"/>
      <c r="P375" s="16"/>
      <c r="Q375" s="16"/>
      <c r="R375" s="16"/>
      <c r="S375" s="16"/>
      <c r="T375" s="16"/>
      <c r="U375" s="16"/>
      <c r="V375" s="16"/>
      <c r="W375" s="16"/>
      <c r="X375" s="16"/>
      <c r="Y375" s="16"/>
      <c r="Z375" s="16"/>
    </row>
    <row r="376" ht="12.75" spans="1:26">
      <c r="A376" s="23"/>
      <c r="B376" s="16"/>
      <c r="C376" s="23"/>
      <c r="D376" s="24"/>
      <c r="E376" s="16"/>
      <c r="F376" s="24"/>
      <c r="G376" s="24"/>
      <c r="H376" s="16"/>
      <c r="I376" s="16"/>
      <c r="J376" s="16"/>
      <c r="K376" s="16"/>
      <c r="L376" s="16"/>
      <c r="M376" s="16"/>
      <c r="N376" s="16"/>
      <c r="O376" s="16"/>
      <c r="P376" s="16"/>
      <c r="Q376" s="16"/>
      <c r="R376" s="16"/>
      <c r="S376" s="16"/>
      <c r="T376" s="16"/>
      <c r="U376" s="16"/>
      <c r="V376" s="16"/>
      <c r="W376" s="16"/>
      <c r="X376" s="16"/>
      <c r="Y376" s="16"/>
      <c r="Z376" s="16"/>
    </row>
    <row r="377" ht="12.75" spans="1:26">
      <c r="A377" s="23"/>
      <c r="B377" s="16"/>
      <c r="C377" s="23"/>
      <c r="D377" s="24"/>
      <c r="E377" s="16"/>
      <c r="F377" s="24"/>
      <c r="G377" s="24"/>
      <c r="H377" s="16"/>
      <c r="I377" s="16"/>
      <c r="J377" s="16"/>
      <c r="K377" s="16"/>
      <c r="L377" s="16"/>
      <c r="M377" s="16"/>
      <c r="N377" s="16"/>
      <c r="O377" s="16"/>
      <c r="P377" s="16"/>
      <c r="Q377" s="16"/>
      <c r="R377" s="16"/>
      <c r="S377" s="16"/>
      <c r="T377" s="16"/>
      <c r="U377" s="16"/>
      <c r="V377" s="16"/>
      <c r="W377" s="16"/>
      <c r="X377" s="16"/>
      <c r="Y377" s="16"/>
      <c r="Z377" s="16"/>
    </row>
    <row r="378" ht="12.75" spans="1:26">
      <c r="A378" s="23"/>
      <c r="B378" s="16"/>
      <c r="C378" s="23"/>
      <c r="D378" s="24"/>
      <c r="E378" s="16"/>
      <c r="F378" s="24"/>
      <c r="G378" s="24"/>
      <c r="H378" s="16"/>
      <c r="I378" s="16"/>
      <c r="J378" s="16"/>
      <c r="K378" s="16"/>
      <c r="L378" s="16"/>
      <c r="M378" s="16"/>
      <c r="N378" s="16"/>
      <c r="O378" s="16"/>
      <c r="P378" s="16"/>
      <c r="Q378" s="16"/>
      <c r="R378" s="16"/>
      <c r="S378" s="16"/>
      <c r="T378" s="16"/>
      <c r="U378" s="16"/>
      <c r="V378" s="16"/>
      <c r="W378" s="16"/>
      <c r="X378" s="16"/>
      <c r="Y378" s="16"/>
      <c r="Z378" s="16"/>
    </row>
    <row r="379" ht="12.75" spans="1:26">
      <c r="A379" s="23"/>
      <c r="B379" s="16"/>
      <c r="C379" s="23"/>
      <c r="D379" s="24"/>
      <c r="E379" s="16"/>
      <c r="F379" s="24"/>
      <c r="G379" s="24"/>
      <c r="H379" s="16"/>
      <c r="I379" s="16"/>
      <c r="J379" s="16"/>
      <c r="K379" s="16"/>
      <c r="L379" s="16"/>
      <c r="M379" s="16"/>
      <c r="N379" s="16"/>
      <c r="O379" s="16"/>
      <c r="P379" s="16"/>
      <c r="Q379" s="16"/>
      <c r="R379" s="16"/>
      <c r="S379" s="16"/>
      <c r="T379" s="16"/>
      <c r="U379" s="16"/>
      <c r="V379" s="16"/>
      <c r="W379" s="16"/>
      <c r="X379" s="16"/>
      <c r="Y379" s="16"/>
      <c r="Z379" s="16"/>
    </row>
    <row r="380" ht="12.75" spans="1:26">
      <c r="A380" s="23"/>
      <c r="B380" s="16"/>
      <c r="C380" s="23"/>
      <c r="D380" s="24"/>
      <c r="E380" s="16"/>
      <c r="F380" s="24"/>
      <c r="G380" s="24"/>
      <c r="H380" s="16"/>
      <c r="I380" s="16"/>
      <c r="J380" s="16"/>
      <c r="K380" s="16"/>
      <c r="L380" s="16"/>
      <c r="M380" s="16"/>
      <c r="N380" s="16"/>
      <c r="O380" s="16"/>
      <c r="P380" s="16"/>
      <c r="Q380" s="16"/>
      <c r="R380" s="16"/>
      <c r="S380" s="16"/>
      <c r="T380" s="16"/>
      <c r="U380" s="16"/>
      <c r="V380" s="16"/>
      <c r="W380" s="16"/>
      <c r="X380" s="16"/>
      <c r="Y380" s="16"/>
      <c r="Z380" s="16"/>
    </row>
    <row r="381" ht="12.75" spans="1:26">
      <c r="A381" s="23"/>
      <c r="B381" s="16"/>
      <c r="C381" s="23"/>
      <c r="D381" s="24"/>
      <c r="E381" s="16"/>
      <c r="F381" s="24"/>
      <c r="G381" s="24"/>
      <c r="H381" s="16"/>
      <c r="I381" s="16"/>
      <c r="J381" s="16"/>
      <c r="K381" s="16"/>
      <c r="L381" s="16"/>
      <c r="M381" s="16"/>
      <c r="N381" s="16"/>
      <c r="O381" s="16"/>
      <c r="P381" s="16"/>
      <c r="Q381" s="16"/>
      <c r="R381" s="16"/>
      <c r="S381" s="16"/>
      <c r="T381" s="16"/>
      <c r="U381" s="16"/>
      <c r="V381" s="16"/>
      <c r="W381" s="16"/>
      <c r="X381" s="16"/>
      <c r="Y381" s="16"/>
      <c r="Z381" s="16"/>
    </row>
    <row r="382" ht="12.75" spans="1:26">
      <c r="A382" s="23"/>
      <c r="B382" s="16"/>
      <c r="C382" s="23"/>
      <c r="D382" s="24"/>
      <c r="E382" s="16"/>
      <c r="F382" s="24"/>
      <c r="G382" s="24"/>
      <c r="H382" s="16"/>
      <c r="I382" s="16"/>
      <c r="J382" s="16"/>
      <c r="K382" s="16"/>
      <c r="L382" s="16"/>
      <c r="M382" s="16"/>
      <c r="N382" s="16"/>
      <c r="O382" s="16"/>
      <c r="P382" s="16"/>
      <c r="Q382" s="16"/>
      <c r="R382" s="16"/>
      <c r="S382" s="16"/>
      <c r="T382" s="16"/>
      <c r="U382" s="16"/>
      <c r="V382" s="16"/>
      <c r="W382" s="16"/>
      <c r="X382" s="16"/>
      <c r="Y382" s="16"/>
      <c r="Z382" s="16"/>
    </row>
    <row r="383" ht="12.75" spans="1:26">
      <c r="A383" s="23"/>
      <c r="B383" s="16"/>
      <c r="C383" s="23"/>
      <c r="D383" s="24"/>
      <c r="E383" s="16"/>
      <c r="F383" s="24"/>
      <c r="G383" s="24"/>
      <c r="H383" s="16"/>
      <c r="I383" s="16"/>
      <c r="J383" s="16"/>
      <c r="K383" s="16"/>
      <c r="L383" s="16"/>
      <c r="M383" s="16"/>
      <c r="N383" s="16"/>
      <c r="O383" s="16"/>
      <c r="P383" s="16"/>
      <c r="Q383" s="16"/>
      <c r="R383" s="16"/>
      <c r="S383" s="16"/>
      <c r="T383" s="16"/>
      <c r="U383" s="16"/>
      <c r="V383" s="16"/>
      <c r="W383" s="16"/>
      <c r="X383" s="16"/>
      <c r="Y383" s="16"/>
      <c r="Z383" s="16"/>
    </row>
    <row r="384" ht="12.75" spans="1:26">
      <c r="A384" s="23"/>
      <c r="B384" s="16"/>
      <c r="C384" s="23"/>
      <c r="D384" s="24"/>
      <c r="E384" s="16"/>
      <c r="F384" s="24"/>
      <c r="G384" s="24"/>
      <c r="H384" s="16"/>
      <c r="I384" s="16"/>
      <c r="J384" s="16"/>
      <c r="K384" s="16"/>
      <c r="L384" s="16"/>
      <c r="M384" s="16"/>
      <c r="N384" s="16"/>
      <c r="O384" s="16"/>
      <c r="P384" s="16"/>
      <c r="Q384" s="16"/>
      <c r="R384" s="16"/>
      <c r="S384" s="16"/>
      <c r="T384" s="16"/>
      <c r="U384" s="16"/>
      <c r="V384" s="16"/>
      <c r="W384" s="16"/>
      <c r="X384" s="16"/>
      <c r="Y384" s="16"/>
      <c r="Z384" s="16"/>
    </row>
    <row r="385" ht="12.75" spans="1:26">
      <c r="A385" s="23"/>
      <c r="B385" s="16"/>
      <c r="C385" s="23"/>
      <c r="D385" s="24"/>
      <c r="E385" s="16"/>
      <c r="F385" s="24"/>
      <c r="G385" s="24"/>
      <c r="H385" s="16"/>
      <c r="I385" s="16"/>
      <c r="J385" s="16"/>
      <c r="K385" s="16"/>
      <c r="L385" s="16"/>
      <c r="M385" s="16"/>
      <c r="N385" s="16"/>
      <c r="O385" s="16"/>
      <c r="P385" s="16"/>
      <c r="Q385" s="16"/>
      <c r="R385" s="16"/>
      <c r="S385" s="16"/>
      <c r="T385" s="16"/>
      <c r="U385" s="16"/>
      <c r="V385" s="16"/>
      <c r="W385" s="16"/>
      <c r="X385" s="16"/>
      <c r="Y385" s="16"/>
      <c r="Z385" s="16"/>
    </row>
    <row r="386" ht="12.75" spans="1:26">
      <c r="A386" s="23"/>
      <c r="B386" s="16"/>
      <c r="C386" s="23"/>
      <c r="D386" s="24"/>
      <c r="E386" s="16"/>
      <c r="F386" s="24"/>
      <c r="G386" s="24"/>
      <c r="H386" s="16"/>
      <c r="I386" s="16"/>
      <c r="J386" s="16"/>
      <c r="K386" s="16"/>
      <c r="L386" s="16"/>
      <c r="M386" s="16"/>
      <c r="N386" s="16"/>
      <c r="O386" s="16"/>
      <c r="P386" s="16"/>
      <c r="Q386" s="16"/>
      <c r="R386" s="16"/>
      <c r="S386" s="16"/>
      <c r="T386" s="16"/>
      <c r="U386" s="16"/>
      <c r="V386" s="16"/>
      <c r="W386" s="16"/>
      <c r="X386" s="16"/>
      <c r="Y386" s="16"/>
      <c r="Z386" s="16"/>
    </row>
    <row r="387" ht="12.75" spans="1:26">
      <c r="A387" s="23"/>
      <c r="B387" s="16"/>
      <c r="C387" s="23"/>
      <c r="D387" s="24"/>
      <c r="E387" s="16"/>
      <c r="F387" s="24"/>
      <c r="G387" s="24"/>
      <c r="H387" s="16"/>
      <c r="I387" s="16"/>
      <c r="J387" s="16"/>
      <c r="K387" s="16"/>
      <c r="L387" s="16"/>
      <c r="M387" s="16"/>
      <c r="N387" s="16"/>
      <c r="O387" s="16"/>
      <c r="P387" s="16"/>
      <c r="Q387" s="16"/>
      <c r="R387" s="16"/>
      <c r="S387" s="16"/>
      <c r="T387" s="16"/>
      <c r="U387" s="16"/>
      <c r="V387" s="16"/>
      <c r="W387" s="16"/>
      <c r="X387" s="16"/>
      <c r="Y387" s="16"/>
      <c r="Z387" s="16"/>
    </row>
    <row r="388" ht="12.75" spans="1:26">
      <c r="A388" s="23"/>
      <c r="B388" s="16"/>
      <c r="C388" s="23"/>
      <c r="D388" s="24"/>
      <c r="E388" s="16"/>
      <c r="F388" s="24"/>
      <c r="G388" s="24"/>
      <c r="H388" s="16"/>
      <c r="I388" s="16"/>
      <c r="J388" s="16"/>
      <c r="K388" s="16"/>
      <c r="L388" s="16"/>
      <c r="M388" s="16"/>
      <c r="N388" s="16"/>
      <c r="O388" s="16"/>
      <c r="P388" s="16"/>
      <c r="Q388" s="16"/>
      <c r="R388" s="16"/>
      <c r="S388" s="16"/>
      <c r="T388" s="16"/>
      <c r="U388" s="16"/>
      <c r="V388" s="16"/>
      <c r="W388" s="16"/>
      <c r="X388" s="16"/>
      <c r="Y388" s="16"/>
      <c r="Z388" s="16"/>
    </row>
    <row r="389" ht="12.75" spans="1:26">
      <c r="A389" s="23"/>
      <c r="B389" s="16"/>
      <c r="C389" s="23"/>
      <c r="D389" s="24"/>
      <c r="E389" s="16"/>
      <c r="F389" s="24"/>
      <c r="G389" s="24"/>
      <c r="H389" s="16"/>
      <c r="I389" s="16"/>
      <c r="J389" s="16"/>
      <c r="K389" s="16"/>
      <c r="L389" s="16"/>
      <c r="M389" s="16"/>
      <c r="N389" s="16"/>
      <c r="O389" s="16"/>
      <c r="P389" s="16"/>
      <c r="Q389" s="16"/>
      <c r="R389" s="16"/>
      <c r="S389" s="16"/>
      <c r="T389" s="16"/>
      <c r="U389" s="16"/>
      <c r="V389" s="16"/>
      <c r="W389" s="16"/>
      <c r="X389" s="16"/>
      <c r="Y389" s="16"/>
      <c r="Z389" s="16"/>
    </row>
    <row r="390" ht="12.75" spans="1:26">
      <c r="A390" s="23"/>
      <c r="B390" s="16"/>
      <c r="C390" s="23"/>
      <c r="D390" s="24"/>
      <c r="E390" s="16"/>
      <c r="F390" s="24"/>
      <c r="G390" s="24"/>
      <c r="H390" s="16"/>
      <c r="I390" s="16"/>
      <c r="J390" s="16"/>
      <c r="K390" s="16"/>
      <c r="L390" s="16"/>
      <c r="M390" s="16"/>
      <c r="N390" s="16"/>
      <c r="O390" s="16"/>
      <c r="P390" s="16"/>
      <c r="Q390" s="16"/>
      <c r="R390" s="16"/>
      <c r="S390" s="16"/>
      <c r="T390" s="16"/>
      <c r="U390" s="16"/>
      <c r="V390" s="16"/>
      <c r="W390" s="16"/>
      <c r="X390" s="16"/>
      <c r="Y390" s="16"/>
      <c r="Z390" s="16"/>
    </row>
    <row r="391" ht="12.75" spans="1:26">
      <c r="A391" s="23"/>
      <c r="B391" s="16"/>
      <c r="C391" s="23"/>
      <c r="D391" s="24"/>
      <c r="E391" s="16"/>
      <c r="F391" s="24"/>
      <c r="G391" s="24"/>
      <c r="H391" s="16"/>
      <c r="I391" s="16"/>
      <c r="J391" s="16"/>
      <c r="K391" s="16"/>
      <c r="L391" s="16"/>
      <c r="M391" s="16"/>
      <c r="N391" s="16"/>
      <c r="O391" s="16"/>
      <c r="P391" s="16"/>
      <c r="Q391" s="16"/>
      <c r="R391" s="16"/>
      <c r="S391" s="16"/>
      <c r="T391" s="16"/>
      <c r="U391" s="16"/>
      <c r="V391" s="16"/>
      <c r="W391" s="16"/>
      <c r="X391" s="16"/>
      <c r="Y391" s="16"/>
      <c r="Z391" s="16"/>
    </row>
    <row r="392" ht="12.75" spans="1:26">
      <c r="A392" s="23"/>
      <c r="B392" s="16"/>
      <c r="C392" s="23"/>
      <c r="D392" s="24"/>
      <c r="E392" s="16"/>
      <c r="F392" s="24"/>
      <c r="G392" s="24"/>
      <c r="H392" s="16"/>
      <c r="I392" s="16"/>
      <c r="J392" s="16"/>
      <c r="K392" s="16"/>
      <c r="L392" s="16"/>
      <c r="M392" s="16"/>
      <c r="N392" s="16"/>
      <c r="O392" s="16"/>
      <c r="P392" s="16"/>
      <c r="Q392" s="16"/>
      <c r="R392" s="16"/>
      <c r="S392" s="16"/>
      <c r="T392" s="16"/>
      <c r="U392" s="16"/>
      <c r="V392" s="16"/>
      <c r="W392" s="16"/>
      <c r="X392" s="16"/>
      <c r="Y392" s="16"/>
      <c r="Z392" s="16"/>
    </row>
    <row r="393" ht="12.75" spans="1:26">
      <c r="A393" s="23"/>
      <c r="B393" s="16"/>
      <c r="C393" s="23"/>
      <c r="D393" s="24"/>
      <c r="E393" s="16"/>
      <c r="F393" s="24"/>
      <c r="G393" s="24"/>
      <c r="H393" s="16"/>
      <c r="I393" s="16"/>
      <c r="J393" s="16"/>
      <c r="K393" s="16"/>
      <c r="L393" s="16"/>
      <c r="M393" s="16"/>
      <c r="N393" s="16"/>
      <c r="O393" s="16"/>
      <c r="P393" s="16"/>
      <c r="Q393" s="16"/>
      <c r="R393" s="16"/>
      <c r="S393" s="16"/>
      <c r="T393" s="16"/>
      <c r="U393" s="16"/>
      <c r="V393" s="16"/>
      <c r="W393" s="16"/>
      <c r="X393" s="16"/>
      <c r="Y393" s="16"/>
      <c r="Z393" s="16"/>
    </row>
    <row r="394" ht="12.75" spans="1:26">
      <c r="A394" s="23"/>
      <c r="B394" s="16"/>
      <c r="C394" s="23"/>
      <c r="D394" s="24"/>
      <c r="E394" s="16"/>
      <c r="F394" s="24"/>
      <c r="G394" s="24"/>
      <c r="H394" s="16"/>
      <c r="I394" s="16"/>
      <c r="J394" s="16"/>
      <c r="K394" s="16"/>
      <c r="L394" s="16"/>
      <c r="M394" s="16"/>
      <c r="N394" s="16"/>
      <c r="O394" s="16"/>
      <c r="P394" s="16"/>
      <c r="Q394" s="16"/>
      <c r="R394" s="16"/>
      <c r="S394" s="16"/>
      <c r="T394" s="16"/>
      <c r="U394" s="16"/>
      <c r="V394" s="16"/>
      <c r="W394" s="16"/>
      <c r="X394" s="16"/>
      <c r="Y394" s="16"/>
      <c r="Z394" s="16"/>
    </row>
    <row r="395" ht="12.75" spans="1:26">
      <c r="A395" s="23"/>
      <c r="B395" s="16"/>
      <c r="C395" s="23"/>
      <c r="D395" s="24"/>
      <c r="E395" s="16"/>
      <c r="F395" s="24"/>
      <c r="G395" s="24"/>
      <c r="H395" s="16"/>
      <c r="I395" s="16"/>
      <c r="J395" s="16"/>
      <c r="K395" s="16"/>
      <c r="L395" s="16"/>
      <c r="M395" s="16"/>
      <c r="N395" s="16"/>
      <c r="O395" s="16"/>
      <c r="P395" s="16"/>
      <c r="Q395" s="16"/>
      <c r="R395" s="16"/>
      <c r="S395" s="16"/>
      <c r="T395" s="16"/>
      <c r="U395" s="16"/>
      <c r="V395" s="16"/>
      <c r="W395" s="16"/>
      <c r="X395" s="16"/>
      <c r="Y395" s="16"/>
      <c r="Z395" s="16"/>
    </row>
    <row r="396" ht="12.75" spans="1:26">
      <c r="A396" s="23"/>
      <c r="B396" s="16"/>
      <c r="C396" s="23"/>
      <c r="D396" s="24"/>
      <c r="E396" s="16"/>
      <c r="F396" s="24"/>
      <c r="G396" s="24"/>
      <c r="H396" s="16"/>
      <c r="I396" s="16"/>
      <c r="J396" s="16"/>
      <c r="K396" s="16"/>
      <c r="L396" s="16"/>
      <c r="M396" s="16"/>
      <c r="N396" s="16"/>
      <c r="O396" s="16"/>
      <c r="P396" s="16"/>
      <c r="Q396" s="16"/>
      <c r="R396" s="16"/>
      <c r="S396" s="16"/>
      <c r="T396" s="16"/>
      <c r="U396" s="16"/>
      <c r="V396" s="16"/>
      <c r="W396" s="16"/>
      <c r="X396" s="16"/>
      <c r="Y396" s="16"/>
      <c r="Z396" s="16"/>
    </row>
    <row r="397" ht="12.75" spans="1:26">
      <c r="A397" s="23"/>
      <c r="B397" s="16"/>
      <c r="C397" s="23"/>
      <c r="D397" s="24"/>
      <c r="E397" s="16"/>
      <c r="F397" s="24"/>
      <c r="G397" s="24"/>
      <c r="H397" s="16"/>
      <c r="I397" s="16"/>
      <c r="J397" s="16"/>
      <c r="K397" s="16"/>
      <c r="L397" s="16"/>
      <c r="M397" s="16"/>
      <c r="N397" s="16"/>
      <c r="O397" s="16"/>
      <c r="P397" s="16"/>
      <c r="Q397" s="16"/>
      <c r="R397" s="16"/>
      <c r="S397" s="16"/>
      <c r="T397" s="16"/>
      <c r="U397" s="16"/>
      <c r="V397" s="16"/>
      <c r="W397" s="16"/>
      <c r="X397" s="16"/>
      <c r="Y397" s="16"/>
      <c r="Z397" s="16"/>
    </row>
    <row r="398" ht="12.75" spans="1:26">
      <c r="A398" s="23"/>
      <c r="B398" s="16"/>
      <c r="C398" s="23"/>
      <c r="D398" s="24"/>
      <c r="E398" s="16"/>
      <c r="F398" s="24"/>
      <c r="G398" s="24"/>
      <c r="H398" s="16"/>
      <c r="I398" s="16"/>
      <c r="J398" s="16"/>
      <c r="K398" s="16"/>
      <c r="L398" s="16"/>
      <c r="M398" s="16"/>
      <c r="N398" s="16"/>
      <c r="O398" s="16"/>
      <c r="P398" s="16"/>
      <c r="Q398" s="16"/>
      <c r="R398" s="16"/>
      <c r="S398" s="16"/>
      <c r="T398" s="16"/>
      <c r="U398" s="16"/>
      <c r="V398" s="16"/>
      <c r="W398" s="16"/>
      <c r="X398" s="16"/>
      <c r="Y398" s="16"/>
      <c r="Z398" s="16"/>
    </row>
    <row r="399" ht="12.75" spans="1:26">
      <c r="A399" s="23"/>
      <c r="B399" s="16"/>
      <c r="C399" s="23"/>
      <c r="D399" s="24"/>
      <c r="E399" s="16"/>
      <c r="F399" s="24"/>
      <c r="G399" s="24"/>
      <c r="H399" s="16"/>
      <c r="I399" s="16"/>
      <c r="J399" s="16"/>
      <c r="K399" s="16"/>
      <c r="L399" s="16"/>
      <c r="M399" s="16"/>
      <c r="N399" s="16"/>
      <c r="O399" s="16"/>
      <c r="P399" s="16"/>
      <c r="Q399" s="16"/>
      <c r="R399" s="16"/>
      <c r="S399" s="16"/>
      <c r="T399" s="16"/>
      <c r="U399" s="16"/>
      <c r="V399" s="16"/>
      <c r="W399" s="16"/>
      <c r="X399" s="16"/>
      <c r="Y399" s="16"/>
      <c r="Z399" s="16"/>
    </row>
    <row r="400" ht="12.75" spans="1:26">
      <c r="A400" s="23"/>
      <c r="B400" s="16"/>
      <c r="C400" s="23"/>
      <c r="D400" s="24"/>
      <c r="E400" s="16"/>
      <c r="F400" s="24"/>
      <c r="G400" s="24"/>
      <c r="H400" s="16"/>
      <c r="I400" s="16"/>
      <c r="J400" s="16"/>
      <c r="K400" s="16"/>
      <c r="L400" s="16"/>
      <c r="M400" s="16"/>
      <c r="N400" s="16"/>
      <c r="O400" s="16"/>
      <c r="P400" s="16"/>
      <c r="Q400" s="16"/>
      <c r="R400" s="16"/>
      <c r="S400" s="16"/>
      <c r="T400" s="16"/>
      <c r="U400" s="16"/>
      <c r="V400" s="16"/>
      <c r="W400" s="16"/>
      <c r="X400" s="16"/>
      <c r="Y400" s="16"/>
      <c r="Z400" s="16"/>
    </row>
    <row r="401" ht="12.75" spans="1:26">
      <c r="A401" s="23"/>
      <c r="B401" s="16"/>
      <c r="C401" s="23"/>
      <c r="D401" s="24"/>
      <c r="E401" s="16"/>
      <c r="F401" s="24"/>
      <c r="G401" s="24"/>
      <c r="H401" s="16"/>
      <c r="I401" s="16"/>
      <c r="J401" s="16"/>
      <c r="K401" s="16"/>
      <c r="L401" s="16"/>
      <c r="M401" s="16"/>
      <c r="N401" s="16"/>
      <c r="O401" s="16"/>
      <c r="P401" s="16"/>
      <c r="Q401" s="16"/>
      <c r="R401" s="16"/>
      <c r="S401" s="16"/>
      <c r="T401" s="16"/>
      <c r="U401" s="16"/>
      <c r="V401" s="16"/>
      <c r="W401" s="16"/>
      <c r="X401" s="16"/>
      <c r="Y401" s="16"/>
      <c r="Z401" s="16"/>
    </row>
    <row r="402" ht="12.75" spans="1:26">
      <c r="A402" s="23"/>
      <c r="B402" s="16"/>
      <c r="C402" s="23"/>
      <c r="D402" s="24"/>
      <c r="E402" s="16"/>
      <c r="F402" s="24"/>
      <c r="G402" s="24"/>
      <c r="H402" s="16"/>
      <c r="I402" s="16"/>
      <c r="J402" s="16"/>
      <c r="K402" s="16"/>
      <c r="L402" s="16"/>
      <c r="M402" s="16"/>
      <c r="N402" s="16"/>
      <c r="O402" s="16"/>
      <c r="P402" s="16"/>
      <c r="Q402" s="16"/>
      <c r="R402" s="16"/>
      <c r="S402" s="16"/>
      <c r="T402" s="16"/>
      <c r="U402" s="16"/>
      <c r="V402" s="16"/>
      <c r="W402" s="16"/>
      <c r="X402" s="16"/>
      <c r="Y402" s="16"/>
      <c r="Z402" s="16"/>
    </row>
    <row r="403" ht="12.75" spans="1:26">
      <c r="A403" s="23"/>
      <c r="B403" s="16"/>
      <c r="C403" s="23"/>
      <c r="D403" s="24"/>
      <c r="E403" s="16"/>
      <c r="F403" s="24"/>
      <c r="G403" s="24"/>
      <c r="H403" s="16"/>
      <c r="I403" s="16"/>
      <c r="J403" s="16"/>
      <c r="K403" s="16"/>
      <c r="L403" s="16"/>
      <c r="M403" s="16"/>
      <c r="N403" s="16"/>
      <c r="O403" s="16"/>
      <c r="P403" s="16"/>
      <c r="Q403" s="16"/>
      <c r="R403" s="16"/>
      <c r="S403" s="16"/>
      <c r="T403" s="16"/>
      <c r="U403" s="16"/>
      <c r="V403" s="16"/>
      <c r="W403" s="16"/>
      <c r="X403" s="16"/>
      <c r="Y403" s="16"/>
      <c r="Z403" s="16"/>
    </row>
    <row r="404" ht="12.75" spans="1:26">
      <c r="A404" s="23"/>
      <c r="B404" s="16"/>
      <c r="C404" s="23"/>
      <c r="D404" s="24"/>
      <c r="E404" s="16"/>
      <c r="F404" s="24"/>
      <c r="G404" s="24"/>
      <c r="H404" s="16"/>
      <c r="I404" s="16"/>
      <c r="J404" s="16"/>
      <c r="K404" s="16"/>
      <c r="L404" s="16"/>
      <c r="M404" s="16"/>
      <c r="N404" s="16"/>
      <c r="O404" s="16"/>
      <c r="P404" s="16"/>
      <c r="Q404" s="16"/>
      <c r="R404" s="16"/>
      <c r="S404" s="16"/>
      <c r="T404" s="16"/>
      <c r="U404" s="16"/>
      <c r="V404" s="16"/>
      <c r="W404" s="16"/>
      <c r="X404" s="16"/>
      <c r="Y404" s="16"/>
      <c r="Z404" s="16"/>
    </row>
    <row r="405" ht="12.75" spans="1:26">
      <c r="A405" s="23"/>
      <c r="B405" s="16"/>
      <c r="C405" s="23"/>
      <c r="D405" s="24"/>
      <c r="E405" s="16"/>
      <c r="F405" s="24"/>
      <c r="G405" s="24"/>
      <c r="H405" s="16"/>
      <c r="I405" s="16"/>
      <c r="J405" s="16"/>
      <c r="K405" s="16"/>
      <c r="L405" s="16"/>
      <c r="M405" s="16"/>
      <c r="N405" s="16"/>
      <c r="O405" s="16"/>
      <c r="P405" s="16"/>
      <c r="Q405" s="16"/>
      <c r="R405" s="16"/>
      <c r="S405" s="16"/>
      <c r="T405" s="16"/>
      <c r="U405" s="16"/>
      <c r="V405" s="16"/>
      <c r="W405" s="16"/>
      <c r="X405" s="16"/>
      <c r="Y405" s="16"/>
      <c r="Z405" s="16"/>
    </row>
    <row r="406" ht="12.75" spans="1:26">
      <c r="A406" s="23"/>
      <c r="B406" s="16"/>
      <c r="C406" s="23"/>
      <c r="D406" s="24"/>
      <c r="E406" s="16"/>
      <c r="F406" s="24"/>
      <c r="G406" s="24"/>
      <c r="H406" s="16"/>
      <c r="I406" s="16"/>
      <c r="J406" s="16"/>
      <c r="K406" s="16"/>
      <c r="L406" s="16"/>
      <c r="M406" s="16"/>
      <c r="N406" s="16"/>
      <c r="O406" s="16"/>
      <c r="P406" s="16"/>
      <c r="Q406" s="16"/>
      <c r="R406" s="16"/>
      <c r="S406" s="16"/>
      <c r="T406" s="16"/>
      <c r="U406" s="16"/>
      <c r="V406" s="16"/>
      <c r="W406" s="16"/>
      <c r="X406" s="16"/>
      <c r="Y406" s="16"/>
      <c r="Z406" s="16"/>
    </row>
    <row r="407" ht="12.75" spans="1:26">
      <c r="A407" s="23"/>
      <c r="B407" s="16"/>
      <c r="C407" s="23"/>
      <c r="D407" s="24"/>
      <c r="E407" s="16"/>
      <c r="F407" s="24"/>
      <c r="G407" s="24"/>
      <c r="H407" s="16"/>
      <c r="I407" s="16"/>
      <c r="J407" s="16"/>
      <c r="K407" s="16"/>
      <c r="L407" s="16"/>
      <c r="M407" s="16"/>
      <c r="N407" s="16"/>
      <c r="O407" s="16"/>
      <c r="P407" s="16"/>
      <c r="Q407" s="16"/>
      <c r="R407" s="16"/>
      <c r="S407" s="16"/>
      <c r="T407" s="16"/>
      <c r="U407" s="16"/>
      <c r="V407" s="16"/>
      <c r="W407" s="16"/>
      <c r="X407" s="16"/>
      <c r="Y407" s="16"/>
      <c r="Z407" s="16"/>
    </row>
    <row r="408" ht="12.75" spans="1:26">
      <c r="A408" s="23"/>
      <c r="B408" s="16"/>
      <c r="C408" s="23"/>
      <c r="D408" s="24"/>
      <c r="E408" s="16"/>
      <c r="F408" s="24"/>
      <c r="G408" s="24"/>
      <c r="H408" s="16"/>
      <c r="I408" s="16"/>
      <c r="J408" s="16"/>
      <c r="K408" s="16"/>
      <c r="L408" s="16"/>
      <c r="M408" s="16"/>
      <c r="N408" s="16"/>
      <c r="O408" s="16"/>
      <c r="P408" s="16"/>
      <c r="Q408" s="16"/>
      <c r="R408" s="16"/>
      <c r="S408" s="16"/>
      <c r="T408" s="16"/>
      <c r="U408" s="16"/>
      <c r="V408" s="16"/>
      <c r="W408" s="16"/>
      <c r="X408" s="16"/>
      <c r="Y408" s="16"/>
      <c r="Z408" s="16"/>
    </row>
    <row r="409" ht="12.75" spans="1:26">
      <c r="A409" s="23"/>
      <c r="B409" s="16"/>
      <c r="C409" s="23"/>
      <c r="D409" s="24"/>
      <c r="E409" s="16"/>
      <c r="F409" s="24"/>
      <c r="G409" s="24"/>
      <c r="H409" s="16"/>
      <c r="I409" s="16"/>
      <c r="J409" s="16"/>
      <c r="K409" s="16"/>
      <c r="L409" s="16"/>
      <c r="M409" s="16"/>
      <c r="N409" s="16"/>
      <c r="O409" s="16"/>
      <c r="P409" s="16"/>
      <c r="Q409" s="16"/>
      <c r="R409" s="16"/>
      <c r="S409" s="16"/>
      <c r="T409" s="16"/>
      <c r="U409" s="16"/>
      <c r="V409" s="16"/>
      <c r="W409" s="16"/>
      <c r="X409" s="16"/>
      <c r="Y409" s="16"/>
      <c r="Z409" s="16"/>
    </row>
    <row r="410" ht="12.75" spans="1:26">
      <c r="A410" s="23"/>
      <c r="B410" s="16"/>
      <c r="C410" s="23"/>
      <c r="D410" s="24"/>
      <c r="E410" s="16"/>
      <c r="F410" s="24"/>
      <c r="G410" s="24"/>
      <c r="H410" s="16"/>
      <c r="I410" s="16"/>
      <c r="J410" s="16"/>
      <c r="K410" s="16"/>
      <c r="L410" s="16"/>
      <c r="M410" s="16"/>
      <c r="N410" s="16"/>
      <c r="O410" s="16"/>
      <c r="P410" s="16"/>
      <c r="Q410" s="16"/>
      <c r="R410" s="16"/>
      <c r="S410" s="16"/>
      <c r="T410" s="16"/>
      <c r="U410" s="16"/>
      <c r="V410" s="16"/>
      <c r="W410" s="16"/>
      <c r="X410" s="16"/>
      <c r="Y410" s="16"/>
      <c r="Z410" s="16"/>
    </row>
    <row r="411" ht="12.75" spans="1:26">
      <c r="A411" s="23"/>
      <c r="B411" s="16"/>
      <c r="C411" s="23"/>
      <c r="D411" s="24"/>
      <c r="E411" s="16"/>
      <c r="F411" s="24"/>
      <c r="G411" s="24"/>
      <c r="H411" s="16"/>
      <c r="I411" s="16"/>
      <c r="J411" s="16"/>
      <c r="K411" s="16"/>
      <c r="L411" s="16"/>
      <c r="M411" s="16"/>
      <c r="N411" s="16"/>
      <c r="O411" s="16"/>
      <c r="P411" s="16"/>
      <c r="Q411" s="16"/>
      <c r="R411" s="16"/>
      <c r="S411" s="16"/>
      <c r="T411" s="16"/>
      <c r="U411" s="16"/>
      <c r="V411" s="16"/>
      <c r="W411" s="16"/>
      <c r="X411" s="16"/>
      <c r="Y411" s="16"/>
      <c r="Z411" s="16"/>
    </row>
    <row r="412" ht="12.75" spans="1:26">
      <c r="A412" s="23"/>
      <c r="B412" s="16"/>
      <c r="C412" s="23"/>
      <c r="D412" s="24"/>
      <c r="E412" s="16"/>
      <c r="F412" s="24"/>
      <c r="G412" s="24"/>
      <c r="H412" s="16"/>
      <c r="I412" s="16"/>
      <c r="J412" s="16"/>
      <c r="K412" s="16"/>
      <c r="L412" s="16"/>
      <c r="M412" s="16"/>
      <c r="N412" s="16"/>
      <c r="O412" s="16"/>
      <c r="P412" s="16"/>
      <c r="Q412" s="16"/>
      <c r="R412" s="16"/>
      <c r="S412" s="16"/>
      <c r="T412" s="16"/>
      <c r="U412" s="16"/>
      <c r="V412" s="16"/>
      <c r="W412" s="16"/>
      <c r="X412" s="16"/>
      <c r="Y412" s="16"/>
      <c r="Z412" s="16"/>
    </row>
    <row r="413" ht="12.75" spans="1:26">
      <c r="A413" s="23"/>
      <c r="B413" s="16"/>
      <c r="C413" s="23"/>
      <c r="D413" s="24"/>
      <c r="E413" s="16"/>
      <c r="F413" s="24"/>
      <c r="G413" s="24"/>
      <c r="H413" s="16"/>
      <c r="I413" s="16"/>
      <c r="J413" s="16"/>
      <c r="K413" s="16"/>
      <c r="L413" s="16"/>
      <c r="M413" s="16"/>
      <c r="N413" s="16"/>
      <c r="O413" s="16"/>
      <c r="P413" s="16"/>
      <c r="Q413" s="16"/>
      <c r="R413" s="16"/>
      <c r="S413" s="16"/>
      <c r="T413" s="16"/>
      <c r="U413" s="16"/>
      <c r="V413" s="16"/>
      <c r="W413" s="16"/>
      <c r="X413" s="16"/>
      <c r="Y413" s="16"/>
      <c r="Z413" s="16"/>
    </row>
    <row r="414" ht="12.75" spans="1:26">
      <c r="A414" s="23"/>
      <c r="B414" s="16"/>
      <c r="C414" s="23"/>
      <c r="D414" s="24"/>
      <c r="E414" s="16"/>
      <c r="F414" s="24"/>
      <c r="G414" s="24"/>
      <c r="H414" s="16"/>
      <c r="I414" s="16"/>
      <c r="J414" s="16"/>
      <c r="K414" s="16"/>
      <c r="L414" s="16"/>
      <c r="M414" s="16"/>
      <c r="N414" s="16"/>
      <c r="O414" s="16"/>
      <c r="P414" s="16"/>
      <c r="Q414" s="16"/>
      <c r="R414" s="16"/>
      <c r="S414" s="16"/>
      <c r="T414" s="16"/>
      <c r="U414" s="16"/>
      <c r="V414" s="16"/>
      <c r="W414" s="16"/>
      <c r="X414" s="16"/>
      <c r="Y414" s="16"/>
      <c r="Z414" s="16"/>
    </row>
    <row r="415" ht="12.75" spans="1:26">
      <c r="A415" s="23"/>
      <c r="B415" s="16"/>
      <c r="C415" s="23"/>
      <c r="D415" s="24"/>
      <c r="E415" s="16"/>
      <c r="F415" s="24"/>
      <c r="G415" s="24"/>
      <c r="H415" s="16"/>
      <c r="I415" s="16"/>
      <c r="J415" s="16"/>
      <c r="K415" s="16"/>
      <c r="L415" s="16"/>
      <c r="M415" s="16"/>
      <c r="N415" s="16"/>
      <c r="O415" s="16"/>
      <c r="P415" s="16"/>
      <c r="Q415" s="16"/>
      <c r="R415" s="16"/>
      <c r="S415" s="16"/>
      <c r="T415" s="16"/>
      <c r="U415" s="16"/>
      <c r="V415" s="16"/>
      <c r="W415" s="16"/>
      <c r="X415" s="16"/>
      <c r="Y415" s="16"/>
      <c r="Z415" s="16"/>
    </row>
    <row r="416" ht="12.75" spans="1:26">
      <c r="A416" s="23"/>
      <c r="B416" s="16"/>
      <c r="C416" s="23"/>
      <c r="D416" s="24"/>
      <c r="E416" s="16"/>
      <c r="F416" s="24"/>
      <c r="G416" s="24"/>
      <c r="H416" s="16"/>
      <c r="I416" s="16"/>
      <c r="J416" s="16"/>
      <c r="K416" s="16"/>
      <c r="L416" s="16"/>
      <c r="M416" s="16"/>
      <c r="N416" s="16"/>
      <c r="O416" s="16"/>
      <c r="P416" s="16"/>
      <c r="Q416" s="16"/>
      <c r="R416" s="16"/>
      <c r="S416" s="16"/>
      <c r="T416" s="16"/>
      <c r="U416" s="16"/>
      <c r="V416" s="16"/>
      <c r="W416" s="16"/>
      <c r="X416" s="16"/>
      <c r="Y416" s="16"/>
      <c r="Z416" s="16"/>
    </row>
    <row r="417" ht="12.75" spans="1:26">
      <c r="A417" s="23"/>
      <c r="B417" s="16"/>
      <c r="C417" s="23"/>
      <c r="D417" s="24"/>
      <c r="E417" s="16"/>
      <c r="F417" s="24"/>
      <c r="G417" s="24"/>
      <c r="H417" s="16"/>
      <c r="I417" s="16"/>
      <c r="J417" s="16"/>
      <c r="K417" s="16"/>
      <c r="L417" s="16"/>
      <c r="M417" s="16"/>
      <c r="N417" s="16"/>
      <c r="O417" s="16"/>
      <c r="P417" s="16"/>
      <c r="Q417" s="16"/>
      <c r="R417" s="16"/>
      <c r="S417" s="16"/>
      <c r="T417" s="16"/>
      <c r="U417" s="16"/>
      <c r="V417" s="16"/>
      <c r="W417" s="16"/>
      <c r="X417" s="16"/>
      <c r="Y417" s="16"/>
      <c r="Z417" s="16"/>
    </row>
    <row r="418" ht="12.75" spans="1:26">
      <c r="A418" s="23"/>
      <c r="B418" s="16"/>
      <c r="C418" s="23"/>
      <c r="D418" s="24"/>
      <c r="E418" s="16"/>
      <c r="F418" s="24"/>
      <c r="G418" s="24"/>
      <c r="H418" s="16"/>
      <c r="I418" s="16"/>
      <c r="J418" s="16"/>
      <c r="K418" s="16"/>
      <c r="L418" s="16"/>
      <c r="M418" s="16"/>
      <c r="N418" s="16"/>
      <c r="O418" s="16"/>
      <c r="P418" s="16"/>
      <c r="Q418" s="16"/>
      <c r="R418" s="16"/>
      <c r="S418" s="16"/>
      <c r="T418" s="16"/>
      <c r="U418" s="16"/>
      <c r="V418" s="16"/>
      <c r="W418" s="16"/>
      <c r="X418" s="16"/>
      <c r="Y418" s="16"/>
      <c r="Z418" s="16"/>
    </row>
    <row r="419" ht="12.75" spans="1:26">
      <c r="A419" s="23"/>
      <c r="B419" s="16"/>
      <c r="C419" s="23"/>
      <c r="D419" s="24"/>
      <c r="E419" s="16"/>
      <c r="F419" s="24"/>
      <c r="G419" s="24"/>
      <c r="H419" s="16"/>
      <c r="I419" s="16"/>
      <c r="J419" s="16"/>
      <c r="K419" s="16"/>
      <c r="L419" s="16"/>
      <c r="M419" s="16"/>
      <c r="N419" s="16"/>
      <c r="O419" s="16"/>
      <c r="P419" s="16"/>
      <c r="Q419" s="16"/>
      <c r="R419" s="16"/>
      <c r="S419" s="16"/>
      <c r="T419" s="16"/>
      <c r="U419" s="16"/>
      <c r="V419" s="16"/>
      <c r="W419" s="16"/>
      <c r="X419" s="16"/>
      <c r="Y419" s="16"/>
      <c r="Z419" s="16"/>
    </row>
    <row r="420" ht="12.75" spans="1:26">
      <c r="A420" s="23"/>
      <c r="B420" s="16"/>
      <c r="C420" s="23"/>
      <c r="D420" s="24"/>
      <c r="E420" s="16"/>
      <c r="F420" s="24"/>
      <c r="G420" s="24"/>
      <c r="H420" s="16"/>
      <c r="I420" s="16"/>
      <c r="J420" s="16"/>
      <c r="K420" s="16"/>
      <c r="L420" s="16"/>
      <c r="M420" s="16"/>
      <c r="N420" s="16"/>
      <c r="O420" s="16"/>
      <c r="P420" s="16"/>
      <c r="Q420" s="16"/>
      <c r="R420" s="16"/>
      <c r="S420" s="16"/>
      <c r="T420" s="16"/>
      <c r="U420" s="16"/>
      <c r="V420" s="16"/>
      <c r="W420" s="16"/>
      <c r="X420" s="16"/>
      <c r="Y420" s="16"/>
      <c r="Z420" s="16"/>
    </row>
    <row r="421" ht="12.75" spans="1:26">
      <c r="A421" s="23"/>
      <c r="B421" s="16"/>
      <c r="C421" s="23"/>
      <c r="D421" s="24"/>
      <c r="E421" s="16"/>
      <c r="F421" s="24"/>
      <c r="G421" s="24"/>
      <c r="H421" s="16"/>
      <c r="I421" s="16"/>
      <c r="J421" s="16"/>
      <c r="K421" s="16"/>
      <c r="L421" s="16"/>
      <c r="M421" s="16"/>
      <c r="N421" s="16"/>
      <c r="O421" s="16"/>
      <c r="P421" s="16"/>
      <c r="Q421" s="16"/>
      <c r="R421" s="16"/>
      <c r="S421" s="16"/>
      <c r="T421" s="16"/>
      <c r="U421" s="16"/>
      <c r="V421" s="16"/>
      <c r="W421" s="16"/>
      <c r="X421" s="16"/>
      <c r="Y421" s="16"/>
      <c r="Z421" s="16"/>
    </row>
    <row r="422" ht="12.75" spans="1:26">
      <c r="A422" s="23"/>
      <c r="B422" s="16"/>
      <c r="C422" s="23"/>
      <c r="D422" s="24"/>
      <c r="E422" s="16"/>
      <c r="F422" s="24"/>
      <c r="G422" s="24"/>
      <c r="H422" s="16"/>
      <c r="I422" s="16"/>
      <c r="J422" s="16"/>
      <c r="K422" s="16"/>
      <c r="L422" s="16"/>
      <c r="M422" s="16"/>
      <c r="N422" s="16"/>
      <c r="O422" s="16"/>
      <c r="P422" s="16"/>
      <c r="Q422" s="16"/>
      <c r="R422" s="16"/>
      <c r="S422" s="16"/>
      <c r="T422" s="16"/>
      <c r="U422" s="16"/>
      <c r="V422" s="16"/>
      <c r="W422" s="16"/>
      <c r="X422" s="16"/>
      <c r="Y422" s="16"/>
      <c r="Z422" s="16"/>
    </row>
    <row r="423" ht="12.75" spans="1:26">
      <c r="A423" s="23"/>
      <c r="B423" s="16"/>
      <c r="C423" s="23"/>
      <c r="D423" s="24"/>
      <c r="E423" s="16"/>
      <c r="F423" s="24"/>
      <c r="G423" s="24"/>
      <c r="H423" s="16"/>
      <c r="I423" s="16"/>
      <c r="J423" s="16"/>
      <c r="K423" s="16"/>
      <c r="L423" s="16"/>
      <c r="M423" s="16"/>
      <c r="N423" s="16"/>
      <c r="O423" s="16"/>
      <c r="P423" s="16"/>
      <c r="Q423" s="16"/>
      <c r="R423" s="16"/>
      <c r="S423" s="16"/>
      <c r="T423" s="16"/>
      <c r="U423" s="16"/>
      <c r="V423" s="16"/>
      <c r="W423" s="16"/>
      <c r="X423" s="16"/>
      <c r="Y423" s="16"/>
      <c r="Z423" s="16"/>
    </row>
    <row r="424" ht="12.75" spans="1:26">
      <c r="A424" s="23"/>
      <c r="B424" s="16"/>
      <c r="C424" s="23"/>
      <c r="D424" s="24"/>
      <c r="E424" s="16"/>
      <c r="F424" s="24"/>
      <c r="G424" s="24"/>
      <c r="H424" s="16"/>
      <c r="I424" s="16"/>
      <c r="J424" s="16"/>
      <c r="K424" s="16"/>
      <c r="L424" s="16"/>
      <c r="M424" s="16"/>
      <c r="N424" s="16"/>
      <c r="O424" s="16"/>
      <c r="P424" s="16"/>
      <c r="Q424" s="16"/>
      <c r="R424" s="16"/>
      <c r="S424" s="16"/>
      <c r="T424" s="16"/>
      <c r="U424" s="16"/>
      <c r="V424" s="16"/>
      <c r="W424" s="16"/>
      <c r="X424" s="16"/>
      <c r="Y424" s="16"/>
      <c r="Z424" s="16"/>
    </row>
    <row r="425" ht="12.75" spans="1:26">
      <c r="A425" s="23"/>
      <c r="B425" s="16"/>
      <c r="C425" s="23"/>
      <c r="D425" s="24"/>
      <c r="E425" s="16"/>
      <c r="F425" s="24"/>
      <c r="G425" s="24"/>
      <c r="H425" s="16"/>
      <c r="I425" s="16"/>
      <c r="J425" s="16"/>
      <c r="K425" s="16"/>
      <c r="L425" s="16"/>
      <c r="M425" s="16"/>
      <c r="N425" s="16"/>
      <c r="O425" s="16"/>
      <c r="P425" s="16"/>
      <c r="Q425" s="16"/>
      <c r="R425" s="16"/>
      <c r="S425" s="16"/>
      <c r="T425" s="16"/>
      <c r="U425" s="16"/>
      <c r="V425" s="16"/>
      <c r="W425" s="16"/>
      <c r="X425" s="16"/>
      <c r="Y425" s="16"/>
      <c r="Z425" s="16"/>
    </row>
    <row r="426" ht="12.75" spans="1:26">
      <c r="A426" s="23"/>
      <c r="B426" s="16"/>
      <c r="C426" s="23"/>
      <c r="D426" s="24"/>
      <c r="E426" s="16"/>
      <c r="F426" s="24"/>
      <c r="G426" s="24"/>
      <c r="H426" s="16"/>
      <c r="I426" s="16"/>
      <c r="J426" s="16"/>
      <c r="K426" s="16"/>
      <c r="L426" s="16"/>
      <c r="M426" s="16"/>
      <c r="N426" s="16"/>
      <c r="O426" s="16"/>
      <c r="P426" s="16"/>
      <c r="Q426" s="16"/>
      <c r="R426" s="16"/>
      <c r="S426" s="16"/>
      <c r="T426" s="16"/>
      <c r="U426" s="16"/>
      <c r="V426" s="16"/>
      <c r="W426" s="16"/>
      <c r="X426" s="16"/>
      <c r="Y426" s="16"/>
      <c r="Z426" s="16"/>
    </row>
    <row r="427" ht="12.75" spans="1:26">
      <c r="A427" s="23"/>
      <c r="B427" s="16"/>
      <c r="C427" s="23"/>
      <c r="D427" s="24"/>
      <c r="E427" s="16"/>
      <c r="F427" s="24"/>
      <c r="G427" s="24"/>
      <c r="H427" s="16"/>
      <c r="I427" s="16"/>
      <c r="J427" s="16"/>
      <c r="K427" s="16"/>
      <c r="L427" s="16"/>
      <c r="M427" s="16"/>
      <c r="N427" s="16"/>
      <c r="O427" s="16"/>
      <c r="P427" s="16"/>
      <c r="Q427" s="16"/>
      <c r="R427" s="16"/>
      <c r="S427" s="16"/>
      <c r="T427" s="16"/>
      <c r="U427" s="16"/>
      <c r="V427" s="16"/>
      <c r="W427" s="16"/>
      <c r="X427" s="16"/>
      <c r="Y427" s="16"/>
      <c r="Z427" s="16"/>
    </row>
    <row r="428" ht="12.75" spans="1:26">
      <c r="A428" s="23"/>
      <c r="B428" s="16"/>
      <c r="C428" s="23"/>
      <c r="D428" s="24"/>
      <c r="E428" s="16"/>
      <c r="F428" s="24"/>
      <c r="G428" s="24"/>
      <c r="H428" s="16"/>
      <c r="I428" s="16"/>
      <c r="J428" s="16"/>
      <c r="K428" s="16"/>
      <c r="L428" s="16"/>
      <c r="M428" s="16"/>
      <c r="N428" s="16"/>
      <c r="O428" s="16"/>
      <c r="P428" s="16"/>
      <c r="Q428" s="16"/>
      <c r="R428" s="16"/>
      <c r="S428" s="16"/>
      <c r="T428" s="16"/>
      <c r="U428" s="16"/>
      <c r="V428" s="16"/>
      <c r="W428" s="16"/>
      <c r="X428" s="16"/>
      <c r="Y428" s="16"/>
      <c r="Z428" s="16"/>
    </row>
    <row r="429" ht="12.75" spans="1:26">
      <c r="A429" s="23"/>
      <c r="B429" s="16"/>
      <c r="C429" s="23"/>
      <c r="D429" s="24"/>
      <c r="E429" s="16"/>
      <c r="F429" s="24"/>
      <c r="G429" s="24"/>
      <c r="H429" s="16"/>
      <c r="I429" s="16"/>
      <c r="J429" s="16"/>
      <c r="K429" s="16"/>
      <c r="L429" s="16"/>
      <c r="M429" s="16"/>
      <c r="N429" s="16"/>
      <c r="O429" s="16"/>
      <c r="P429" s="16"/>
      <c r="Q429" s="16"/>
      <c r="R429" s="16"/>
      <c r="S429" s="16"/>
      <c r="T429" s="16"/>
      <c r="U429" s="16"/>
      <c r="V429" s="16"/>
      <c r="W429" s="16"/>
      <c r="X429" s="16"/>
      <c r="Y429" s="16"/>
      <c r="Z429" s="16"/>
    </row>
    <row r="430" ht="12.75" spans="1:26">
      <c r="A430" s="23"/>
      <c r="B430" s="16"/>
      <c r="C430" s="23"/>
      <c r="D430" s="24"/>
      <c r="E430" s="16"/>
      <c r="F430" s="24"/>
      <c r="G430" s="24"/>
      <c r="H430" s="16"/>
      <c r="I430" s="16"/>
      <c r="J430" s="16"/>
      <c r="K430" s="16"/>
      <c r="L430" s="16"/>
      <c r="M430" s="16"/>
      <c r="N430" s="16"/>
      <c r="O430" s="16"/>
      <c r="P430" s="16"/>
      <c r="Q430" s="16"/>
      <c r="R430" s="16"/>
      <c r="S430" s="16"/>
      <c r="T430" s="16"/>
      <c r="U430" s="16"/>
      <c r="V430" s="16"/>
      <c r="W430" s="16"/>
      <c r="X430" s="16"/>
      <c r="Y430" s="16"/>
      <c r="Z430" s="16"/>
    </row>
    <row r="431" ht="12.75" spans="1:26">
      <c r="A431" s="23"/>
      <c r="B431" s="16"/>
      <c r="C431" s="23"/>
      <c r="D431" s="24"/>
      <c r="E431" s="16"/>
      <c r="F431" s="24"/>
      <c r="G431" s="24"/>
      <c r="H431" s="16"/>
      <c r="I431" s="16"/>
      <c r="J431" s="16"/>
      <c r="K431" s="16"/>
      <c r="L431" s="16"/>
      <c r="M431" s="16"/>
      <c r="N431" s="16"/>
      <c r="O431" s="16"/>
      <c r="P431" s="16"/>
      <c r="Q431" s="16"/>
      <c r="R431" s="16"/>
      <c r="S431" s="16"/>
      <c r="T431" s="16"/>
      <c r="U431" s="16"/>
      <c r="V431" s="16"/>
      <c r="W431" s="16"/>
      <c r="X431" s="16"/>
      <c r="Y431" s="16"/>
      <c r="Z431" s="16"/>
    </row>
    <row r="432" ht="12.75" spans="1:26">
      <c r="A432" s="23"/>
      <c r="B432" s="16"/>
      <c r="C432" s="23"/>
      <c r="D432" s="24"/>
      <c r="E432" s="16"/>
      <c r="F432" s="24"/>
      <c r="G432" s="24"/>
      <c r="H432" s="16"/>
      <c r="I432" s="16"/>
      <c r="J432" s="16"/>
      <c r="K432" s="16"/>
      <c r="L432" s="16"/>
      <c r="M432" s="16"/>
      <c r="N432" s="16"/>
      <c r="O432" s="16"/>
      <c r="P432" s="16"/>
      <c r="Q432" s="16"/>
      <c r="R432" s="16"/>
      <c r="S432" s="16"/>
      <c r="T432" s="16"/>
      <c r="U432" s="16"/>
      <c r="V432" s="16"/>
      <c r="W432" s="16"/>
      <c r="X432" s="16"/>
      <c r="Y432" s="16"/>
      <c r="Z432" s="16"/>
    </row>
    <row r="433" ht="12.75" spans="1:26">
      <c r="A433" s="23"/>
      <c r="B433" s="16"/>
      <c r="C433" s="23"/>
      <c r="D433" s="24"/>
      <c r="E433" s="16"/>
      <c r="F433" s="24"/>
      <c r="G433" s="24"/>
      <c r="H433" s="16"/>
      <c r="I433" s="16"/>
      <c r="J433" s="16"/>
      <c r="K433" s="16"/>
      <c r="L433" s="16"/>
      <c r="M433" s="16"/>
      <c r="N433" s="16"/>
      <c r="O433" s="16"/>
      <c r="P433" s="16"/>
      <c r="Q433" s="16"/>
      <c r="R433" s="16"/>
      <c r="S433" s="16"/>
      <c r="T433" s="16"/>
      <c r="U433" s="16"/>
      <c r="V433" s="16"/>
      <c r="W433" s="16"/>
      <c r="X433" s="16"/>
      <c r="Y433" s="16"/>
      <c r="Z433" s="16"/>
    </row>
    <row r="434" ht="12.75" spans="1:26">
      <c r="A434" s="23"/>
      <c r="B434" s="16"/>
      <c r="C434" s="23"/>
      <c r="D434" s="24"/>
      <c r="E434" s="16"/>
      <c r="F434" s="24"/>
      <c r="G434" s="24"/>
      <c r="H434" s="16"/>
      <c r="I434" s="16"/>
      <c r="J434" s="16"/>
      <c r="K434" s="16"/>
      <c r="L434" s="16"/>
      <c r="M434" s="16"/>
      <c r="N434" s="16"/>
      <c r="O434" s="16"/>
      <c r="P434" s="16"/>
      <c r="Q434" s="16"/>
      <c r="R434" s="16"/>
      <c r="S434" s="16"/>
      <c r="T434" s="16"/>
      <c r="U434" s="16"/>
      <c r="V434" s="16"/>
      <c r="W434" s="16"/>
      <c r="X434" s="16"/>
      <c r="Y434" s="16"/>
      <c r="Z434" s="16"/>
    </row>
    <row r="435" ht="12.75" spans="1:26">
      <c r="A435" s="23"/>
      <c r="B435" s="16"/>
      <c r="C435" s="23"/>
      <c r="D435" s="24"/>
      <c r="E435" s="16"/>
      <c r="F435" s="24"/>
      <c r="G435" s="24"/>
      <c r="H435" s="16"/>
      <c r="I435" s="16"/>
      <c r="J435" s="16"/>
      <c r="K435" s="16"/>
      <c r="L435" s="16"/>
      <c r="M435" s="16"/>
      <c r="N435" s="16"/>
      <c r="O435" s="16"/>
      <c r="P435" s="16"/>
      <c r="Q435" s="16"/>
      <c r="R435" s="16"/>
      <c r="S435" s="16"/>
      <c r="T435" s="16"/>
      <c r="U435" s="16"/>
      <c r="V435" s="16"/>
      <c r="W435" s="16"/>
      <c r="X435" s="16"/>
      <c r="Y435" s="16"/>
      <c r="Z435" s="16"/>
    </row>
    <row r="436" ht="12.75" spans="1:26">
      <c r="A436" s="23"/>
      <c r="B436" s="16"/>
      <c r="C436" s="23"/>
      <c r="D436" s="24"/>
      <c r="E436" s="16"/>
      <c r="F436" s="24"/>
      <c r="G436" s="24"/>
      <c r="H436" s="16"/>
      <c r="I436" s="16"/>
      <c r="J436" s="16"/>
      <c r="K436" s="16"/>
      <c r="L436" s="16"/>
      <c r="M436" s="16"/>
      <c r="N436" s="16"/>
      <c r="O436" s="16"/>
      <c r="P436" s="16"/>
      <c r="Q436" s="16"/>
      <c r="R436" s="16"/>
      <c r="S436" s="16"/>
      <c r="T436" s="16"/>
      <c r="U436" s="16"/>
      <c r="V436" s="16"/>
      <c r="W436" s="16"/>
      <c r="X436" s="16"/>
      <c r="Y436" s="16"/>
      <c r="Z436" s="16"/>
    </row>
    <row r="437" ht="12.75" spans="1:26">
      <c r="A437" s="23"/>
      <c r="B437" s="16"/>
      <c r="C437" s="23"/>
      <c r="D437" s="24"/>
      <c r="E437" s="16"/>
      <c r="F437" s="24"/>
      <c r="G437" s="24"/>
      <c r="H437" s="16"/>
      <c r="I437" s="16"/>
      <c r="J437" s="16"/>
      <c r="K437" s="16"/>
      <c r="L437" s="16"/>
      <c r="M437" s="16"/>
      <c r="N437" s="16"/>
      <c r="O437" s="16"/>
      <c r="P437" s="16"/>
      <c r="Q437" s="16"/>
      <c r="R437" s="16"/>
      <c r="S437" s="16"/>
      <c r="T437" s="16"/>
      <c r="U437" s="16"/>
      <c r="V437" s="16"/>
      <c r="W437" s="16"/>
      <c r="X437" s="16"/>
      <c r="Y437" s="16"/>
      <c r="Z437" s="16"/>
    </row>
    <row r="438" ht="12.75" spans="1:26">
      <c r="A438" s="23"/>
      <c r="B438" s="16"/>
      <c r="C438" s="23"/>
      <c r="D438" s="24"/>
      <c r="E438" s="16"/>
      <c r="F438" s="24"/>
      <c r="G438" s="24"/>
      <c r="H438" s="16"/>
      <c r="I438" s="16"/>
      <c r="J438" s="16"/>
      <c r="K438" s="16"/>
      <c r="L438" s="16"/>
      <c r="M438" s="16"/>
      <c r="N438" s="16"/>
      <c r="O438" s="16"/>
      <c r="P438" s="16"/>
      <c r="Q438" s="16"/>
      <c r="R438" s="16"/>
      <c r="S438" s="16"/>
      <c r="T438" s="16"/>
      <c r="U438" s="16"/>
      <c r="V438" s="16"/>
      <c r="W438" s="16"/>
      <c r="X438" s="16"/>
      <c r="Y438" s="16"/>
      <c r="Z438" s="16"/>
    </row>
    <row r="439" ht="12.75" spans="1:26">
      <c r="A439" s="23"/>
      <c r="B439" s="16"/>
      <c r="C439" s="23"/>
      <c r="D439" s="24"/>
      <c r="E439" s="16"/>
      <c r="F439" s="24"/>
      <c r="G439" s="24"/>
      <c r="H439" s="16"/>
      <c r="I439" s="16"/>
      <c r="J439" s="16"/>
      <c r="K439" s="16"/>
      <c r="L439" s="16"/>
      <c r="M439" s="16"/>
      <c r="N439" s="16"/>
      <c r="O439" s="16"/>
      <c r="P439" s="16"/>
      <c r="Q439" s="16"/>
      <c r="R439" s="16"/>
      <c r="S439" s="16"/>
      <c r="T439" s="16"/>
      <c r="U439" s="16"/>
      <c r="V439" s="16"/>
      <c r="W439" s="16"/>
      <c r="X439" s="16"/>
      <c r="Y439" s="16"/>
      <c r="Z439" s="16"/>
    </row>
    <row r="440" ht="12.75" spans="1:26">
      <c r="A440" s="23"/>
      <c r="B440" s="16"/>
      <c r="C440" s="23"/>
      <c r="D440" s="24"/>
      <c r="E440" s="16"/>
      <c r="F440" s="24"/>
      <c r="G440" s="24"/>
      <c r="H440" s="16"/>
      <c r="I440" s="16"/>
      <c r="J440" s="16"/>
      <c r="K440" s="16"/>
      <c r="L440" s="16"/>
      <c r="M440" s="16"/>
      <c r="N440" s="16"/>
      <c r="O440" s="16"/>
      <c r="P440" s="16"/>
      <c r="Q440" s="16"/>
      <c r="R440" s="16"/>
      <c r="S440" s="16"/>
      <c r="T440" s="16"/>
      <c r="U440" s="16"/>
      <c r="V440" s="16"/>
      <c r="W440" s="16"/>
      <c r="X440" s="16"/>
      <c r="Y440" s="16"/>
      <c r="Z440" s="16"/>
    </row>
    <row r="441" ht="12.75" spans="1:26">
      <c r="A441" s="23"/>
      <c r="B441" s="16"/>
      <c r="C441" s="23"/>
      <c r="D441" s="24"/>
      <c r="E441" s="16"/>
      <c r="F441" s="24"/>
      <c r="G441" s="24"/>
      <c r="H441" s="16"/>
      <c r="I441" s="16"/>
      <c r="J441" s="16"/>
      <c r="K441" s="16"/>
      <c r="L441" s="16"/>
      <c r="M441" s="16"/>
      <c r="N441" s="16"/>
      <c r="O441" s="16"/>
      <c r="P441" s="16"/>
      <c r="Q441" s="16"/>
      <c r="R441" s="16"/>
      <c r="S441" s="16"/>
      <c r="T441" s="16"/>
      <c r="U441" s="16"/>
      <c r="V441" s="16"/>
      <c r="W441" s="16"/>
      <c r="X441" s="16"/>
      <c r="Y441" s="16"/>
      <c r="Z441" s="16"/>
    </row>
    <row r="442" ht="12.75" spans="1:26">
      <c r="A442" s="23"/>
      <c r="B442" s="16"/>
      <c r="C442" s="23"/>
      <c r="D442" s="24"/>
      <c r="E442" s="16"/>
      <c r="F442" s="24"/>
      <c r="G442" s="24"/>
      <c r="H442" s="16"/>
      <c r="I442" s="16"/>
      <c r="J442" s="16"/>
      <c r="K442" s="16"/>
      <c r="L442" s="16"/>
      <c r="M442" s="16"/>
      <c r="N442" s="16"/>
      <c r="O442" s="16"/>
      <c r="P442" s="16"/>
      <c r="Q442" s="16"/>
      <c r="R442" s="16"/>
      <c r="S442" s="16"/>
      <c r="T442" s="16"/>
      <c r="U442" s="16"/>
      <c r="V442" s="16"/>
      <c r="W442" s="16"/>
      <c r="X442" s="16"/>
      <c r="Y442" s="16"/>
      <c r="Z442" s="16"/>
    </row>
    <row r="443" ht="12.75" spans="1:26">
      <c r="A443" s="23"/>
      <c r="B443" s="16"/>
      <c r="C443" s="23"/>
      <c r="D443" s="24"/>
      <c r="E443" s="16"/>
      <c r="F443" s="24"/>
      <c r="G443" s="24"/>
      <c r="H443" s="16"/>
      <c r="I443" s="16"/>
      <c r="J443" s="16"/>
      <c r="K443" s="16"/>
      <c r="L443" s="16"/>
      <c r="M443" s="16"/>
      <c r="N443" s="16"/>
      <c r="O443" s="16"/>
      <c r="P443" s="16"/>
      <c r="Q443" s="16"/>
      <c r="R443" s="16"/>
      <c r="S443" s="16"/>
      <c r="T443" s="16"/>
      <c r="U443" s="16"/>
      <c r="V443" s="16"/>
      <c r="W443" s="16"/>
      <c r="X443" s="16"/>
      <c r="Y443" s="16"/>
      <c r="Z443" s="16"/>
    </row>
    <row r="444" ht="12.75" spans="1:26">
      <c r="A444" s="23"/>
      <c r="B444" s="16"/>
      <c r="C444" s="23"/>
      <c r="D444" s="24"/>
      <c r="E444" s="16"/>
      <c r="F444" s="24"/>
      <c r="G444" s="24"/>
      <c r="H444" s="16"/>
      <c r="I444" s="16"/>
      <c r="J444" s="16"/>
      <c r="K444" s="16"/>
      <c r="L444" s="16"/>
      <c r="M444" s="16"/>
      <c r="N444" s="16"/>
      <c r="O444" s="16"/>
      <c r="P444" s="16"/>
      <c r="Q444" s="16"/>
      <c r="R444" s="16"/>
      <c r="S444" s="16"/>
      <c r="T444" s="16"/>
      <c r="U444" s="16"/>
      <c r="V444" s="16"/>
      <c r="W444" s="16"/>
      <c r="X444" s="16"/>
      <c r="Y444" s="16"/>
      <c r="Z444" s="16"/>
    </row>
    <row r="445" ht="12.75" spans="1:26">
      <c r="A445" s="23"/>
      <c r="B445" s="16"/>
      <c r="C445" s="23"/>
      <c r="D445" s="24"/>
      <c r="E445" s="16"/>
      <c r="F445" s="24"/>
      <c r="G445" s="24"/>
      <c r="H445" s="16"/>
      <c r="I445" s="16"/>
      <c r="J445" s="16"/>
      <c r="K445" s="16"/>
      <c r="L445" s="16"/>
      <c r="M445" s="16"/>
      <c r="N445" s="16"/>
      <c r="O445" s="16"/>
      <c r="P445" s="16"/>
      <c r="Q445" s="16"/>
      <c r="R445" s="16"/>
      <c r="S445" s="16"/>
      <c r="T445" s="16"/>
      <c r="U445" s="16"/>
      <c r="V445" s="16"/>
      <c r="W445" s="16"/>
      <c r="X445" s="16"/>
      <c r="Y445" s="16"/>
      <c r="Z445" s="16"/>
    </row>
    <row r="446" ht="12.75" spans="1:26">
      <c r="A446" s="23"/>
      <c r="B446" s="16"/>
      <c r="C446" s="23"/>
      <c r="D446" s="24"/>
      <c r="E446" s="16"/>
      <c r="F446" s="24"/>
      <c r="G446" s="24"/>
      <c r="H446" s="16"/>
      <c r="I446" s="16"/>
      <c r="J446" s="16"/>
      <c r="K446" s="16"/>
      <c r="L446" s="16"/>
      <c r="M446" s="16"/>
      <c r="N446" s="16"/>
      <c r="O446" s="16"/>
      <c r="P446" s="16"/>
      <c r="Q446" s="16"/>
      <c r="R446" s="16"/>
      <c r="S446" s="16"/>
      <c r="T446" s="16"/>
      <c r="U446" s="16"/>
      <c r="V446" s="16"/>
      <c r="W446" s="16"/>
      <c r="X446" s="16"/>
      <c r="Y446" s="16"/>
      <c r="Z446" s="16"/>
    </row>
    <row r="447" ht="12.75" spans="1:26">
      <c r="A447" s="23"/>
      <c r="B447" s="16"/>
      <c r="C447" s="23"/>
      <c r="D447" s="24"/>
      <c r="E447" s="16"/>
      <c r="F447" s="24"/>
      <c r="G447" s="24"/>
      <c r="H447" s="16"/>
      <c r="I447" s="16"/>
      <c r="J447" s="16"/>
      <c r="K447" s="16"/>
      <c r="L447" s="16"/>
      <c r="M447" s="16"/>
      <c r="N447" s="16"/>
      <c r="O447" s="16"/>
      <c r="P447" s="16"/>
      <c r="Q447" s="16"/>
      <c r="R447" s="16"/>
      <c r="S447" s="16"/>
      <c r="T447" s="16"/>
      <c r="U447" s="16"/>
      <c r="V447" s="16"/>
      <c r="W447" s="16"/>
      <c r="X447" s="16"/>
      <c r="Y447" s="16"/>
      <c r="Z447" s="16"/>
    </row>
    <row r="448" ht="12.75" spans="1:26">
      <c r="A448" s="23"/>
      <c r="B448" s="16"/>
      <c r="C448" s="23"/>
      <c r="D448" s="24"/>
      <c r="E448" s="16"/>
      <c r="F448" s="24"/>
      <c r="G448" s="24"/>
      <c r="H448" s="16"/>
      <c r="I448" s="16"/>
      <c r="J448" s="16"/>
      <c r="K448" s="16"/>
      <c r="L448" s="16"/>
      <c r="M448" s="16"/>
      <c r="N448" s="16"/>
      <c r="O448" s="16"/>
      <c r="P448" s="16"/>
      <c r="Q448" s="16"/>
      <c r="R448" s="16"/>
      <c r="S448" s="16"/>
      <c r="T448" s="16"/>
      <c r="U448" s="16"/>
      <c r="V448" s="16"/>
      <c r="W448" s="16"/>
      <c r="X448" s="16"/>
      <c r="Y448" s="16"/>
      <c r="Z448" s="16"/>
    </row>
    <row r="449" ht="12.75" spans="1:26">
      <c r="A449" s="23"/>
      <c r="B449" s="16"/>
      <c r="C449" s="23"/>
      <c r="D449" s="24"/>
      <c r="E449" s="16"/>
      <c r="F449" s="24"/>
      <c r="G449" s="24"/>
      <c r="H449" s="16"/>
      <c r="I449" s="16"/>
      <c r="J449" s="16"/>
      <c r="K449" s="16"/>
      <c r="L449" s="16"/>
      <c r="M449" s="16"/>
      <c r="N449" s="16"/>
      <c r="O449" s="16"/>
      <c r="P449" s="16"/>
      <c r="Q449" s="16"/>
      <c r="R449" s="16"/>
      <c r="S449" s="16"/>
      <c r="T449" s="16"/>
      <c r="U449" s="16"/>
      <c r="V449" s="16"/>
      <c r="W449" s="16"/>
      <c r="X449" s="16"/>
      <c r="Y449" s="16"/>
      <c r="Z449" s="16"/>
    </row>
    <row r="450" ht="12.75" spans="1:26">
      <c r="A450" s="23"/>
      <c r="B450" s="16"/>
      <c r="C450" s="23"/>
      <c r="D450" s="24"/>
      <c r="E450" s="16"/>
      <c r="F450" s="24"/>
      <c r="G450" s="24"/>
      <c r="H450" s="16"/>
      <c r="I450" s="16"/>
      <c r="J450" s="16"/>
      <c r="K450" s="16"/>
      <c r="L450" s="16"/>
      <c r="M450" s="16"/>
      <c r="N450" s="16"/>
      <c r="O450" s="16"/>
      <c r="P450" s="16"/>
      <c r="Q450" s="16"/>
      <c r="R450" s="16"/>
      <c r="S450" s="16"/>
      <c r="T450" s="16"/>
      <c r="U450" s="16"/>
      <c r="V450" s="16"/>
      <c r="W450" s="16"/>
      <c r="X450" s="16"/>
      <c r="Y450" s="16"/>
      <c r="Z450" s="16"/>
    </row>
    <row r="451" ht="12.75" spans="1:26">
      <c r="A451" s="23"/>
      <c r="B451" s="16"/>
      <c r="C451" s="23"/>
      <c r="D451" s="24"/>
      <c r="E451" s="16"/>
      <c r="F451" s="24"/>
      <c r="G451" s="24"/>
      <c r="H451" s="16"/>
      <c r="I451" s="16"/>
      <c r="J451" s="16"/>
      <c r="K451" s="16"/>
      <c r="L451" s="16"/>
      <c r="M451" s="16"/>
      <c r="N451" s="16"/>
      <c r="O451" s="16"/>
      <c r="P451" s="16"/>
      <c r="Q451" s="16"/>
      <c r="R451" s="16"/>
      <c r="S451" s="16"/>
      <c r="T451" s="16"/>
      <c r="U451" s="16"/>
      <c r="V451" s="16"/>
      <c r="W451" s="16"/>
      <c r="X451" s="16"/>
      <c r="Y451" s="16"/>
      <c r="Z451" s="16"/>
    </row>
    <row r="452" ht="12.75" spans="1:26">
      <c r="A452" s="23"/>
      <c r="B452" s="16"/>
      <c r="C452" s="23"/>
      <c r="D452" s="24"/>
      <c r="E452" s="16"/>
      <c r="F452" s="24"/>
      <c r="G452" s="24"/>
      <c r="H452" s="16"/>
      <c r="I452" s="16"/>
      <c r="J452" s="16"/>
      <c r="K452" s="16"/>
      <c r="L452" s="16"/>
      <c r="M452" s="16"/>
      <c r="N452" s="16"/>
      <c r="O452" s="16"/>
      <c r="P452" s="16"/>
      <c r="Q452" s="16"/>
      <c r="R452" s="16"/>
      <c r="S452" s="16"/>
      <c r="T452" s="16"/>
      <c r="U452" s="16"/>
      <c r="V452" s="16"/>
      <c r="W452" s="16"/>
      <c r="X452" s="16"/>
      <c r="Y452" s="16"/>
      <c r="Z452" s="16"/>
    </row>
    <row r="453" ht="12.75" spans="1:26">
      <c r="A453" s="23"/>
      <c r="B453" s="16"/>
      <c r="C453" s="23"/>
      <c r="D453" s="24"/>
      <c r="E453" s="16"/>
      <c r="F453" s="24"/>
      <c r="G453" s="24"/>
      <c r="H453" s="16"/>
      <c r="I453" s="16"/>
      <c r="J453" s="16"/>
      <c r="K453" s="16"/>
      <c r="L453" s="16"/>
      <c r="M453" s="16"/>
      <c r="N453" s="16"/>
      <c r="O453" s="16"/>
      <c r="P453" s="16"/>
      <c r="Q453" s="16"/>
      <c r="R453" s="16"/>
      <c r="S453" s="16"/>
      <c r="T453" s="16"/>
      <c r="U453" s="16"/>
      <c r="V453" s="16"/>
      <c r="W453" s="16"/>
      <c r="X453" s="16"/>
      <c r="Y453" s="16"/>
      <c r="Z453" s="16"/>
    </row>
    <row r="454" ht="12.75" spans="1:26">
      <c r="A454" s="23"/>
      <c r="B454" s="16"/>
      <c r="C454" s="23"/>
      <c r="D454" s="24"/>
      <c r="E454" s="16"/>
      <c r="F454" s="24"/>
      <c r="G454" s="24"/>
      <c r="H454" s="16"/>
      <c r="I454" s="16"/>
      <c r="J454" s="16"/>
      <c r="K454" s="16"/>
      <c r="L454" s="16"/>
      <c r="M454" s="16"/>
      <c r="N454" s="16"/>
      <c r="O454" s="16"/>
      <c r="P454" s="16"/>
      <c r="Q454" s="16"/>
      <c r="R454" s="16"/>
      <c r="S454" s="16"/>
      <c r="T454" s="16"/>
      <c r="U454" s="16"/>
      <c r="V454" s="16"/>
      <c r="W454" s="16"/>
      <c r="X454" s="16"/>
      <c r="Y454" s="16"/>
      <c r="Z454" s="16"/>
    </row>
    <row r="455" ht="12.75" spans="1:26">
      <c r="A455" s="23"/>
      <c r="B455" s="16"/>
      <c r="C455" s="23"/>
      <c r="D455" s="24"/>
      <c r="E455" s="16"/>
      <c r="F455" s="24"/>
      <c r="G455" s="24"/>
      <c r="H455" s="16"/>
      <c r="I455" s="16"/>
      <c r="J455" s="16"/>
      <c r="K455" s="16"/>
      <c r="L455" s="16"/>
      <c r="M455" s="16"/>
      <c r="N455" s="16"/>
      <c r="O455" s="16"/>
      <c r="P455" s="16"/>
      <c r="Q455" s="16"/>
      <c r="R455" s="16"/>
      <c r="S455" s="16"/>
      <c r="T455" s="16"/>
      <c r="U455" s="16"/>
      <c r="V455" s="16"/>
      <c r="W455" s="16"/>
      <c r="X455" s="16"/>
      <c r="Y455" s="16"/>
      <c r="Z455" s="16"/>
    </row>
    <row r="456" ht="12.75" spans="1:26">
      <c r="A456" s="23"/>
      <c r="B456" s="16"/>
      <c r="C456" s="23"/>
      <c r="D456" s="24"/>
      <c r="E456" s="16"/>
      <c r="F456" s="24"/>
      <c r="G456" s="24"/>
      <c r="H456" s="16"/>
      <c r="I456" s="16"/>
      <c r="J456" s="16"/>
      <c r="K456" s="16"/>
      <c r="L456" s="16"/>
      <c r="M456" s="16"/>
      <c r="N456" s="16"/>
      <c r="O456" s="16"/>
      <c r="P456" s="16"/>
      <c r="Q456" s="16"/>
      <c r="R456" s="16"/>
      <c r="S456" s="16"/>
      <c r="T456" s="16"/>
      <c r="U456" s="16"/>
      <c r="V456" s="16"/>
      <c r="W456" s="16"/>
      <c r="X456" s="16"/>
      <c r="Y456" s="16"/>
      <c r="Z456" s="16"/>
    </row>
    <row r="457" ht="12.75" spans="1:26">
      <c r="A457" s="23"/>
      <c r="B457" s="16"/>
      <c r="C457" s="23"/>
      <c r="D457" s="24"/>
      <c r="E457" s="16"/>
      <c r="F457" s="24"/>
      <c r="G457" s="24"/>
      <c r="H457" s="16"/>
      <c r="I457" s="16"/>
      <c r="J457" s="16"/>
      <c r="K457" s="16"/>
      <c r="L457" s="16"/>
      <c r="M457" s="16"/>
      <c r="N457" s="16"/>
      <c r="O457" s="16"/>
      <c r="P457" s="16"/>
      <c r="Q457" s="16"/>
      <c r="R457" s="16"/>
      <c r="S457" s="16"/>
      <c r="T457" s="16"/>
      <c r="U457" s="16"/>
      <c r="V457" s="16"/>
      <c r="W457" s="16"/>
      <c r="X457" s="16"/>
      <c r="Y457" s="16"/>
      <c r="Z457" s="16"/>
    </row>
    <row r="458" ht="12.75" spans="1:26">
      <c r="A458" s="23"/>
      <c r="B458" s="16"/>
      <c r="C458" s="23"/>
      <c r="D458" s="24"/>
      <c r="E458" s="16"/>
      <c r="F458" s="24"/>
      <c r="G458" s="24"/>
      <c r="H458" s="16"/>
      <c r="I458" s="16"/>
      <c r="J458" s="16"/>
      <c r="K458" s="16"/>
      <c r="L458" s="16"/>
      <c r="M458" s="16"/>
      <c r="N458" s="16"/>
      <c r="O458" s="16"/>
      <c r="P458" s="16"/>
      <c r="Q458" s="16"/>
      <c r="R458" s="16"/>
      <c r="S458" s="16"/>
      <c r="T458" s="16"/>
      <c r="U458" s="16"/>
      <c r="V458" s="16"/>
      <c r="W458" s="16"/>
      <c r="X458" s="16"/>
      <c r="Y458" s="16"/>
      <c r="Z458" s="16"/>
    </row>
    <row r="459" ht="12.75" spans="1:26">
      <c r="A459" s="23"/>
      <c r="B459" s="16"/>
      <c r="C459" s="23"/>
      <c r="D459" s="24"/>
      <c r="E459" s="16"/>
      <c r="F459" s="24"/>
      <c r="G459" s="24"/>
      <c r="H459" s="16"/>
      <c r="I459" s="16"/>
      <c r="J459" s="16"/>
      <c r="K459" s="16"/>
      <c r="L459" s="16"/>
      <c r="M459" s="16"/>
      <c r="N459" s="16"/>
      <c r="O459" s="16"/>
      <c r="P459" s="16"/>
      <c r="Q459" s="16"/>
      <c r="R459" s="16"/>
      <c r="S459" s="16"/>
      <c r="T459" s="16"/>
      <c r="U459" s="16"/>
      <c r="V459" s="16"/>
      <c r="W459" s="16"/>
      <c r="X459" s="16"/>
      <c r="Y459" s="16"/>
      <c r="Z459" s="16"/>
    </row>
    <row r="460" ht="12.75" spans="1:26">
      <c r="A460" s="23"/>
      <c r="B460" s="16"/>
      <c r="C460" s="23"/>
      <c r="D460" s="24"/>
      <c r="E460" s="16"/>
      <c r="F460" s="24"/>
      <c r="G460" s="24"/>
      <c r="H460" s="16"/>
      <c r="I460" s="16"/>
      <c r="J460" s="16"/>
      <c r="K460" s="16"/>
      <c r="L460" s="16"/>
      <c r="M460" s="16"/>
      <c r="N460" s="16"/>
      <c r="O460" s="16"/>
      <c r="P460" s="16"/>
      <c r="Q460" s="16"/>
      <c r="R460" s="16"/>
      <c r="S460" s="16"/>
      <c r="T460" s="16"/>
      <c r="U460" s="16"/>
      <c r="V460" s="16"/>
      <c r="W460" s="16"/>
      <c r="X460" s="16"/>
      <c r="Y460" s="16"/>
      <c r="Z460" s="16"/>
    </row>
    <row r="461" ht="12.75" spans="1:26">
      <c r="A461" s="23"/>
      <c r="B461" s="16"/>
      <c r="C461" s="23"/>
      <c r="D461" s="24"/>
      <c r="E461" s="16"/>
      <c r="F461" s="24"/>
      <c r="G461" s="24"/>
      <c r="H461" s="16"/>
      <c r="I461" s="16"/>
      <c r="J461" s="16"/>
      <c r="K461" s="16"/>
      <c r="L461" s="16"/>
      <c r="M461" s="16"/>
      <c r="N461" s="16"/>
      <c r="O461" s="16"/>
      <c r="P461" s="16"/>
      <c r="Q461" s="16"/>
      <c r="R461" s="16"/>
      <c r="S461" s="16"/>
      <c r="T461" s="16"/>
      <c r="U461" s="16"/>
      <c r="V461" s="16"/>
      <c r="W461" s="16"/>
      <c r="X461" s="16"/>
      <c r="Y461" s="16"/>
      <c r="Z461" s="16"/>
    </row>
    <row r="462" ht="12.75" spans="1:26">
      <c r="A462" s="23"/>
      <c r="B462" s="16"/>
      <c r="C462" s="23"/>
      <c r="D462" s="24"/>
      <c r="E462" s="16"/>
      <c r="F462" s="24"/>
      <c r="G462" s="24"/>
      <c r="H462" s="16"/>
      <c r="I462" s="16"/>
      <c r="J462" s="16"/>
      <c r="K462" s="16"/>
      <c r="L462" s="16"/>
      <c r="M462" s="16"/>
      <c r="N462" s="16"/>
      <c r="O462" s="16"/>
      <c r="P462" s="16"/>
      <c r="Q462" s="16"/>
      <c r="R462" s="16"/>
      <c r="S462" s="16"/>
      <c r="T462" s="16"/>
      <c r="U462" s="16"/>
      <c r="V462" s="16"/>
      <c r="W462" s="16"/>
      <c r="X462" s="16"/>
      <c r="Y462" s="16"/>
      <c r="Z462" s="16"/>
    </row>
    <row r="463" ht="12.75" spans="1:26">
      <c r="A463" s="23"/>
      <c r="B463" s="16"/>
      <c r="C463" s="23"/>
      <c r="D463" s="24"/>
      <c r="E463" s="16"/>
      <c r="F463" s="24"/>
      <c r="G463" s="24"/>
      <c r="H463" s="16"/>
      <c r="I463" s="16"/>
      <c r="J463" s="16"/>
      <c r="K463" s="16"/>
      <c r="L463" s="16"/>
      <c r="M463" s="16"/>
      <c r="N463" s="16"/>
      <c r="O463" s="16"/>
      <c r="P463" s="16"/>
      <c r="Q463" s="16"/>
      <c r="R463" s="16"/>
      <c r="S463" s="16"/>
      <c r="T463" s="16"/>
      <c r="U463" s="16"/>
      <c r="V463" s="16"/>
      <c r="W463" s="16"/>
      <c r="X463" s="16"/>
      <c r="Y463" s="16"/>
      <c r="Z463" s="16"/>
    </row>
    <row r="464" ht="12.75" spans="1:26">
      <c r="A464" s="23"/>
      <c r="B464" s="16"/>
      <c r="C464" s="23"/>
      <c r="D464" s="24"/>
      <c r="E464" s="16"/>
      <c r="F464" s="24"/>
      <c r="G464" s="24"/>
      <c r="H464" s="16"/>
      <c r="I464" s="16"/>
      <c r="J464" s="16"/>
      <c r="K464" s="16"/>
      <c r="L464" s="16"/>
      <c r="M464" s="16"/>
      <c r="N464" s="16"/>
      <c r="O464" s="16"/>
      <c r="P464" s="16"/>
      <c r="Q464" s="16"/>
      <c r="R464" s="16"/>
      <c r="S464" s="16"/>
      <c r="T464" s="16"/>
      <c r="U464" s="16"/>
      <c r="V464" s="16"/>
      <c r="W464" s="16"/>
      <c r="X464" s="16"/>
      <c r="Y464" s="16"/>
      <c r="Z464" s="16"/>
    </row>
    <row r="465" ht="12.75" spans="1:26">
      <c r="A465" s="23"/>
      <c r="B465" s="16"/>
      <c r="C465" s="23"/>
      <c r="D465" s="24"/>
      <c r="E465" s="16"/>
      <c r="F465" s="24"/>
      <c r="G465" s="24"/>
      <c r="H465" s="16"/>
      <c r="I465" s="16"/>
      <c r="J465" s="16"/>
      <c r="K465" s="16"/>
      <c r="L465" s="16"/>
      <c r="M465" s="16"/>
      <c r="N465" s="16"/>
      <c r="O465" s="16"/>
      <c r="P465" s="16"/>
      <c r="Q465" s="16"/>
      <c r="R465" s="16"/>
      <c r="S465" s="16"/>
      <c r="T465" s="16"/>
      <c r="U465" s="16"/>
      <c r="V465" s="16"/>
      <c r="W465" s="16"/>
      <c r="X465" s="16"/>
      <c r="Y465" s="16"/>
      <c r="Z465" s="16"/>
    </row>
    <row r="466" ht="12.75" spans="1:26">
      <c r="A466" s="23"/>
      <c r="B466" s="16"/>
      <c r="C466" s="23"/>
      <c r="D466" s="24"/>
      <c r="E466" s="16"/>
      <c r="F466" s="24"/>
      <c r="G466" s="24"/>
      <c r="H466" s="16"/>
      <c r="I466" s="16"/>
      <c r="J466" s="16"/>
      <c r="K466" s="16"/>
      <c r="L466" s="16"/>
      <c r="M466" s="16"/>
      <c r="N466" s="16"/>
      <c r="O466" s="16"/>
      <c r="P466" s="16"/>
      <c r="Q466" s="16"/>
      <c r="R466" s="16"/>
      <c r="S466" s="16"/>
      <c r="T466" s="16"/>
      <c r="U466" s="16"/>
      <c r="V466" s="16"/>
      <c r="W466" s="16"/>
      <c r="X466" s="16"/>
      <c r="Y466" s="16"/>
      <c r="Z466" s="16"/>
    </row>
    <row r="467" ht="12.75" spans="1:26">
      <c r="A467" s="23"/>
      <c r="B467" s="16"/>
      <c r="C467" s="23"/>
      <c r="D467" s="24"/>
      <c r="E467" s="16"/>
      <c r="F467" s="24"/>
      <c r="G467" s="24"/>
      <c r="H467" s="16"/>
      <c r="I467" s="16"/>
      <c r="J467" s="16"/>
      <c r="K467" s="16"/>
      <c r="L467" s="16"/>
      <c r="M467" s="16"/>
      <c r="N467" s="16"/>
      <c r="O467" s="16"/>
      <c r="P467" s="16"/>
      <c r="Q467" s="16"/>
      <c r="R467" s="16"/>
      <c r="S467" s="16"/>
      <c r="T467" s="16"/>
      <c r="U467" s="16"/>
      <c r="V467" s="16"/>
      <c r="W467" s="16"/>
      <c r="X467" s="16"/>
      <c r="Y467" s="16"/>
      <c r="Z467" s="16"/>
    </row>
    <row r="468" ht="12.75" spans="1:26">
      <c r="A468" s="23"/>
      <c r="B468" s="16"/>
      <c r="C468" s="23"/>
      <c r="D468" s="24"/>
      <c r="E468" s="16"/>
      <c r="F468" s="24"/>
      <c r="G468" s="24"/>
      <c r="H468" s="16"/>
      <c r="I468" s="16"/>
      <c r="J468" s="16"/>
      <c r="K468" s="16"/>
      <c r="L468" s="16"/>
      <c r="M468" s="16"/>
      <c r="N468" s="16"/>
      <c r="O468" s="16"/>
      <c r="P468" s="16"/>
      <c r="Q468" s="16"/>
      <c r="R468" s="16"/>
      <c r="S468" s="16"/>
      <c r="T468" s="16"/>
      <c r="U468" s="16"/>
      <c r="V468" s="16"/>
      <c r="W468" s="16"/>
      <c r="X468" s="16"/>
      <c r="Y468" s="16"/>
      <c r="Z468" s="16"/>
    </row>
    <row r="469" ht="12.75" spans="1:26">
      <c r="A469" s="23"/>
      <c r="B469" s="16"/>
      <c r="C469" s="23"/>
      <c r="D469" s="24"/>
      <c r="E469" s="16"/>
      <c r="F469" s="24"/>
      <c r="G469" s="24"/>
      <c r="H469" s="16"/>
      <c r="I469" s="16"/>
      <c r="J469" s="16"/>
      <c r="K469" s="16"/>
      <c r="L469" s="16"/>
      <c r="M469" s="16"/>
      <c r="N469" s="16"/>
      <c r="O469" s="16"/>
      <c r="P469" s="16"/>
      <c r="Q469" s="16"/>
      <c r="R469" s="16"/>
      <c r="S469" s="16"/>
      <c r="T469" s="16"/>
      <c r="U469" s="16"/>
      <c r="V469" s="16"/>
      <c r="W469" s="16"/>
      <c r="X469" s="16"/>
      <c r="Y469" s="16"/>
      <c r="Z469" s="16"/>
    </row>
    <row r="470" ht="12.75" spans="1:26">
      <c r="A470" s="23"/>
      <c r="B470" s="16"/>
      <c r="C470" s="23"/>
      <c r="D470" s="24"/>
      <c r="E470" s="16"/>
      <c r="F470" s="24"/>
      <c r="G470" s="24"/>
      <c r="H470" s="16"/>
      <c r="I470" s="16"/>
      <c r="J470" s="16"/>
      <c r="K470" s="16"/>
      <c r="L470" s="16"/>
      <c r="M470" s="16"/>
      <c r="N470" s="16"/>
      <c r="O470" s="16"/>
      <c r="P470" s="16"/>
      <c r="Q470" s="16"/>
      <c r="R470" s="16"/>
      <c r="S470" s="16"/>
      <c r="T470" s="16"/>
      <c r="U470" s="16"/>
      <c r="V470" s="16"/>
      <c r="W470" s="16"/>
      <c r="X470" s="16"/>
      <c r="Y470" s="16"/>
      <c r="Z470" s="16"/>
    </row>
    <row r="471" ht="12.75" spans="1:26">
      <c r="A471" s="23"/>
      <c r="B471" s="16"/>
      <c r="C471" s="23"/>
      <c r="D471" s="24"/>
      <c r="E471" s="16"/>
      <c r="F471" s="24"/>
      <c r="G471" s="24"/>
      <c r="H471" s="16"/>
      <c r="I471" s="16"/>
      <c r="J471" s="16"/>
      <c r="K471" s="16"/>
      <c r="L471" s="16"/>
      <c r="M471" s="16"/>
      <c r="N471" s="16"/>
      <c r="O471" s="16"/>
      <c r="P471" s="16"/>
      <c r="Q471" s="16"/>
      <c r="R471" s="16"/>
      <c r="S471" s="16"/>
      <c r="T471" s="16"/>
      <c r="U471" s="16"/>
      <c r="V471" s="16"/>
      <c r="W471" s="16"/>
      <c r="X471" s="16"/>
      <c r="Y471" s="16"/>
      <c r="Z471" s="16"/>
    </row>
    <row r="472" ht="12.75" spans="1:26">
      <c r="A472" s="23"/>
      <c r="B472" s="16"/>
      <c r="C472" s="23"/>
      <c r="D472" s="24"/>
      <c r="E472" s="16"/>
      <c r="F472" s="24"/>
      <c r="G472" s="24"/>
      <c r="H472" s="16"/>
      <c r="I472" s="16"/>
      <c r="J472" s="16"/>
      <c r="K472" s="16"/>
      <c r="L472" s="16"/>
      <c r="M472" s="16"/>
      <c r="N472" s="16"/>
      <c r="O472" s="16"/>
      <c r="P472" s="16"/>
      <c r="Q472" s="16"/>
      <c r="R472" s="16"/>
      <c r="S472" s="16"/>
      <c r="T472" s="16"/>
      <c r="U472" s="16"/>
      <c r="V472" s="16"/>
      <c r="W472" s="16"/>
      <c r="X472" s="16"/>
      <c r="Y472" s="16"/>
      <c r="Z472" s="16"/>
    </row>
    <row r="473" ht="12.75" spans="1:26">
      <c r="A473" s="23"/>
      <c r="B473" s="16"/>
      <c r="C473" s="23"/>
      <c r="D473" s="24"/>
      <c r="E473" s="16"/>
      <c r="F473" s="24"/>
      <c r="G473" s="24"/>
      <c r="H473" s="16"/>
      <c r="I473" s="16"/>
      <c r="J473" s="16"/>
      <c r="K473" s="16"/>
      <c r="L473" s="16"/>
      <c r="M473" s="16"/>
      <c r="N473" s="16"/>
      <c r="O473" s="16"/>
      <c r="P473" s="16"/>
      <c r="Q473" s="16"/>
      <c r="R473" s="16"/>
      <c r="S473" s="16"/>
      <c r="T473" s="16"/>
      <c r="U473" s="16"/>
      <c r="V473" s="16"/>
      <c r="W473" s="16"/>
      <c r="X473" s="16"/>
      <c r="Y473" s="16"/>
      <c r="Z473" s="16"/>
    </row>
    <row r="474" ht="12.75" spans="1:26">
      <c r="A474" s="23"/>
      <c r="B474" s="16"/>
      <c r="C474" s="23"/>
      <c r="D474" s="24"/>
      <c r="E474" s="16"/>
      <c r="F474" s="24"/>
      <c r="G474" s="24"/>
      <c r="H474" s="16"/>
      <c r="I474" s="16"/>
      <c r="J474" s="16"/>
      <c r="K474" s="16"/>
      <c r="L474" s="16"/>
      <c r="M474" s="16"/>
      <c r="N474" s="16"/>
      <c r="O474" s="16"/>
      <c r="P474" s="16"/>
      <c r="Q474" s="16"/>
      <c r="R474" s="16"/>
      <c r="S474" s="16"/>
      <c r="T474" s="16"/>
      <c r="U474" s="16"/>
      <c r="V474" s="16"/>
      <c r="W474" s="16"/>
      <c r="X474" s="16"/>
      <c r="Y474" s="16"/>
      <c r="Z474" s="16"/>
    </row>
    <row r="475" ht="12.75" spans="1:26">
      <c r="A475" s="23"/>
      <c r="B475" s="16"/>
      <c r="C475" s="23"/>
      <c r="D475" s="24"/>
      <c r="E475" s="16"/>
      <c r="F475" s="24"/>
      <c r="G475" s="24"/>
      <c r="H475" s="16"/>
      <c r="I475" s="16"/>
      <c r="J475" s="16"/>
      <c r="K475" s="16"/>
      <c r="L475" s="16"/>
      <c r="M475" s="16"/>
      <c r="N475" s="16"/>
      <c r="O475" s="16"/>
      <c r="P475" s="16"/>
      <c r="Q475" s="16"/>
      <c r="R475" s="16"/>
      <c r="S475" s="16"/>
      <c r="T475" s="16"/>
      <c r="U475" s="16"/>
      <c r="V475" s="16"/>
      <c r="W475" s="16"/>
      <c r="X475" s="16"/>
      <c r="Y475" s="16"/>
      <c r="Z475" s="16"/>
    </row>
    <row r="476" ht="12.75" spans="1:26">
      <c r="A476" s="23"/>
      <c r="B476" s="16"/>
      <c r="C476" s="23"/>
      <c r="D476" s="24"/>
      <c r="E476" s="16"/>
      <c r="F476" s="24"/>
      <c r="G476" s="24"/>
      <c r="H476" s="16"/>
      <c r="I476" s="16"/>
      <c r="J476" s="16"/>
      <c r="K476" s="16"/>
      <c r="L476" s="16"/>
      <c r="M476" s="16"/>
      <c r="N476" s="16"/>
      <c r="O476" s="16"/>
      <c r="P476" s="16"/>
      <c r="Q476" s="16"/>
      <c r="R476" s="16"/>
      <c r="S476" s="16"/>
      <c r="T476" s="16"/>
      <c r="U476" s="16"/>
      <c r="V476" s="16"/>
      <c r="W476" s="16"/>
      <c r="X476" s="16"/>
      <c r="Y476" s="16"/>
      <c r="Z476" s="16"/>
    </row>
    <row r="477" ht="12.75" spans="1:26">
      <c r="A477" s="23"/>
      <c r="B477" s="16"/>
      <c r="C477" s="23"/>
      <c r="D477" s="24"/>
      <c r="E477" s="16"/>
      <c r="F477" s="24"/>
      <c r="G477" s="24"/>
      <c r="H477" s="16"/>
      <c r="I477" s="16"/>
      <c r="J477" s="16"/>
      <c r="K477" s="16"/>
      <c r="L477" s="16"/>
      <c r="M477" s="16"/>
      <c r="N477" s="16"/>
      <c r="O477" s="16"/>
      <c r="P477" s="16"/>
      <c r="Q477" s="16"/>
      <c r="R477" s="16"/>
      <c r="S477" s="16"/>
      <c r="T477" s="16"/>
      <c r="U477" s="16"/>
      <c r="V477" s="16"/>
      <c r="W477" s="16"/>
      <c r="X477" s="16"/>
      <c r="Y477" s="16"/>
      <c r="Z477" s="16"/>
    </row>
    <row r="478" ht="12.75" spans="1:26">
      <c r="A478" s="23"/>
      <c r="B478" s="16"/>
      <c r="C478" s="23"/>
      <c r="D478" s="24"/>
      <c r="E478" s="16"/>
      <c r="F478" s="24"/>
      <c r="G478" s="24"/>
      <c r="H478" s="16"/>
      <c r="I478" s="16"/>
      <c r="J478" s="16"/>
      <c r="K478" s="16"/>
      <c r="L478" s="16"/>
      <c r="M478" s="16"/>
      <c r="N478" s="16"/>
      <c r="O478" s="16"/>
      <c r="P478" s="16"/>
      <c r="Q478" s="16"/>
      <c r="R478" s="16"/>
      <c r="S478" s="16"/>
      <c r="T478" s="16"/>
      <c r="U478" s="16"/>
      <c r="V478" s="16"/>
      <c r="W478" s="16"/>
      <c r="X478" s="16"/>
      <c r="Y478" s="16"/>
      <c r="Z478" s="16"/>
    </row>
    <row r="479" ht="12.75" spans="1:26">
      <c r="A479" s="23"/>
      <c r="B479" s="16"/>
      <c r="C479" s="23"/>
      <c r="D479" s="24"/>
      <c r="E479" s="16"/>
      <c r="F479" s="24"/>
      <c r="G479" s="24"/>
      <c r="H479" s="16"/>
      <c r="I479" s="16"/>
      <c r="J479" s="16"/>
      <c r="K479" s="16"/>
      <c r="L479" s="16"/>
      <c r="M479" s="16"/>
      <c r="N479" s="16"/>
      <c r="O479" s="16"/>
      <c r="P479" s="16"/>
      <c r="Q479" s="16"/>
      <c r="R479" s="16"/>
      <c r="S479" s="16"/>
      <c r="T479" s="16"/>
      <c r="U479" s="16"/>
      <c r="V479" s="16"/>
      <c r="W479" s="16"/>
      <c r="X479" s="16"/>
      <c r="Y479" s="16"/>
      <c r="Z479" s="16"/>
    </row>
    <row r="480" ht="12.75" spans="1:26">
      <c r="A480" s="23"/>
      <c r="B480" s="16"/>
      <c r="C480" s="23"/>
      <c r="D480" s="24"/>
      <c r="E480" s="16"/>
      <c r="F480" s="24"/>
      <c r="G480" s="24"/>
      <c r="H480" s="16"/>
      <c r="I480" s="16"/>
      <c r="J480" s="16"/>
      <c r="K480" s="16"/>
      <c r="L480" s="16"/>
      <c r="M480" s="16"/>
      <c r="N480" s="16"/>
      <c r="O480" s="16"/>
      <c r="P480" s="16"/>
      <c r="Q480" s="16"/>
      <c r="R480" s="16"/>
      <c r="S480" s="16"/>
      <c r="T480" s="16"/>
      <c r="U480" s="16"/>
      <c r="V480" s="16"/>
      <c r="W480" s="16"/>
      <c r="X480" s="16"/>
      <c r="Y480" s="16"/>
      <c r="Z480" s="16"/>
    </row>
    <row r="481" ht="12.75" spans="1:26">
      <c r="A481" s="23"/>
      <c r="B481" s="16"/>
      <c r="C481" s="23"/>
      <c r="D481" s="24"/>
      <c r="E481" s="16"/>
      <c r="F481" s="24"/>
      <c r="G481" s="24"/>
      <c r="H481" s="16"/>
      <c r="I481" s="16"/>
      <c r="J481" s="16"/>
      <c r="K481" s="16"/>
      <c r="L481" s="16"/>
      <c r="M481" s="16"/>
      <c r="N481" s="16"/>
      <c r="O481" s="16"/>
      <c r="P481" s="16"/>
      <c r="Q481" s="16"/>
      <c r="R481" s="16"/>
      <c r="S481" s="16"/>
      <c r="T481" s="16"/>
      <c r="U481" s="16"/>
      <c r="V481" s="16"/>
      <c r="W481" s="16"/>
      <c r="X481" s="16"/>
      <c r="Y481" s="16"/>
      <c r="Z481" s="16"/>
    </row>
    <row r="482" ht="12.75" spans="1:26">
      <c r="A482" s="23"/>
      <c r="B482" s="16"/>
      <c r="C482" s="23"/>
      <c r="D482" s="24"/>
      <c r="E482" s="16"/>
      <c r="F482" s="24"/>
      <c r="G482" s="24"/>
      <c r="H482" s="16"/>
      <c r="I482" s="16"/>
      <c r="J482" s="16"/>
      <c r="K482" s="16"/>
      <c r="L482" s="16"/>
      <c r="M482" s="16"/>
      <c r="N482" s="16"/>
      <c r="O482" s="16"/>
      <c r="P482" s="16"/>
      <c r="Q482" s="16"/>
      <c r="R482" s="16"/>
      <c r="S482" s="16"/>
      <c r="T482" s="16"/>
      <c r="U482" s="16"/>
      <c r="V482" s="16"/>
      <c r="W482" s="16"/>
      <c r="X482" s="16"/>
      <c r="Y482" s="16"/>
      <c r="Z482" s="16"/>
    </row>
    <row r="483" ht="12.75" spans="1:26">
      <c r="A483" s="23"/>
      <c r="B483" s="16"/>
      <c r="C483" s="23"/>
      <c r="D483" s="24"/>
      <c r="E483" s="16"/>
      <c r="F483" s="24"/>
      <c r="G483" s="24"/>
      <c r="H483" s="16"/>
      <c r="I483" s="16"/>
      <c r="J483" s="16"/>
      <c r="K483" s="16"/>
      <c r="L483" s="16"/>
      <c r="M483" s="16"/>
      <c r="N483" s="16"/>
      <c r="O483" s="16"/>
      <c r="P483" s="16"/>
      <c r="Q483" s="16"/>
      <c r="R483" s="16"/>
      <c r="S483" s="16"/>
      <c r="T483" s="16"/>
      <c r="U483" s="16"/>
      <c r="V483" s="16"/>
      <c r="W483" s="16"/>
      <c r="X483" s="16"/>
      <c r="Y483" s="16"/>
      <c r="Z483" s="16"/>
    </row>
    <row r="484" ht="12.75" spans="1:26">
      <c r="A484" s="23"/>
      <c r="B484" s="16"/>
      <c r="C484" s="23"/>
      <c r="D484" s="24"/>
      <c r="E484" s="16"/>
      <c r="F484" s="24"/>
      <c r="G484" s="24"/>
      <c r="H484" s="16"/>
      <c r="I484" s="16"/>
      <c r="J484" s="16"/>
      <c r="K484" s="16"/>
      <c r="L484" s="16"/>
      <c r="M484" s="16"/>
      <c r="N484" s="16"/>
      <c r="O484" s="16"/>
      <c r="P484" s="16"/>
      <c r="Q484" s="16"/>
      <c r="R484" s="16"/>
      <c r="S484" s="16"/>
      <c r="T484" s="16"/>
      <c r="U484" s="16"/>
      <c r="V484" s="16"/>
      <c r="W484" s="16"/>
      <c r="X484" s="16"/>
      <c r="Y484" s="16"/>
      <c r="Z484" s="16"/>
    </row>
    <row r="485" ht="12.75" spans="1:26">
      <c r="A485" s="23"/>
      <c r="B485" s="16"/>
      <c r="C485" s="23"/>
      <c r="D485" s="24"/>
      <c r="E485" s="16"/>
      <c r="F485" s="24"/>
      <c r="G485" s="24"/>
      <c r="H485" s="16"/>
      <c r="I485" s="16"/>
      <c r="J485" s="16"/>
      <c r="K485" s="16"/>
      <c r="L485" s="16"/>
      <c r="M485" s="16"/>
      <c r="N485" s="16"/>
      <c r="O485" s="16"/>
      <c r="P485" s="16"/>
      <c r="Q485" s="16"/>
      <c r="R485" s="16"/>
      <c r="S485" s="16"/>
      <c r="T485" s="16"/>
      <c r="U485" s="16"/>
      <c r="V485" s="16"/>
      <c r="W485" s="16"/>
      <c r="X485" s="16"/>
      <c r="Y485" s="16"/>
      <c r="Z485" s="16"/>
    </row>
    <row r="486" ht="12.75" spans="1:26">
      <c r="A486" s="23"/>
      <c r="B486" s="16"/>
      <c r="C486" s="23"/>
      <c r="D486" s="24"/>
      <c r="E486" s="16"/>
      <c r="F486" s="24"/>
      <c r="G486" s="24"/>
      <c r="H486" s="16"/>
      <c r="I486" s="16"/>
      <c r="J486" s="16"/>
      <c r="K486" s="16"/>
      <c r="L486" s="16"/>
      <c r="M486" s="16"/>
      <c r="N486" s="16"/>
      <c r="O486" s="16"/>
      <c r="P486" s="16"/>
      <c r="Q486" s="16"/>
      <c r="R486" s="16"/>
      <c r="S486" s="16"/>
      <c r="T486" s="16"/>
      <c r="U486" s="16"/>
      <c r="V486" s="16"/>
      <c r="W486" s="16"/>
      <c r="X486" s="16"/>
      <c r="Y486" s="16"/>
      <c r="Z486" s="16"/>
    </row>
    <row r="487" ht="12.75" spans="1:26">
      <c r="A487" s="23"/>
      <c r="B487" s="16"/>
      <c r="C487" s="23"/>
      <c r="D487" s="24"/>
      <c r="E487" s="16"/>
      <c r="F487" s="24"/>
      <c r="G487" s="24"/>
      <c r="H487" s="16"/>
      <c r="I487" s="16"/>
      <c r="J487" s="16"/>
      <c r="K487" s="16"/>
      <c r="L487" s="16"/>
      <c r="M487" s="16"/>
      <c r="N487" s="16"/>
      <c r="O487" s="16"/>
      <c r="P487" s="16"/>
      <c r="Q487" s="16"/>
      <c r="R487" s="16"/>
      <c r="S487" s="16"/>
      <c r="T487" s="16"/>
      <c r="U487" s="16"/>
      <c r="V487" s="16"/>
      <c r="W487" s="16"/>
      <c r="X487" s="16"/>
      <c r="Y487" s="16"/>
      <c r="Z487" s="16"/>
    </row>
    <row r="488" ht="12.75" spans="1:26">
      <c r="A488" s="23"/>
      <c r="B488" s="16"/>
      <c r="C488" s="23"/>
      <c r="D488" s="24"/>
      <c r="E488" s="16"/>
      <c r="F488" s="24"/>
      <c r="G488" s="24"/>
      <c r="H488" s="16"/>
      <c r="I488" s="16"/>
      <c r="J488" s="16"/>
      <c r="K488" s="16"/>
      <c r="L488" s="16"/>
      <c r="M488" s="16"/>
      <c r="N488" s="16"/>
      <c r="O488" s="16"/>
      <c r="P488" s="16"/>
      <c r="Q488" s="16"/>
      <c r="R488" s="16"/>
      <c r="S488" s="16"/>
      <c r="T488" s="16"/>
      <c r="U488" s="16"/>
      <c r="V488" s="16"/>
      <c r="W488" s="16"/>
      <c r="X488" s="16"/>
      <c r="Y488" s="16"/>
      <c r="Z488" s="16"/>
    </row>
    <row r="489" ht="12.75" spans="1:26">
      <c r="A489" s="23"/>
      <c r="B489" s="16"/>
      <c r="C489" s="23"/>
      <c r="D489" s="24"/>
      <c r="E489" s="16"/>
      <c r="F489" s="24"/>
      <c r="G489" s="24"/>
      <c r="H489" s="16"/>
      <c r="I489" s="16"/>
      <c r="J489" s="16"/>
      <c r="K489" s="16"/>
      <c r="L489" s="16"/>
      <c r="M489" s="16"/>
      <c r="N489" s="16"/>
      <c r="O489" s="16"/>
      <c r="P489" s="16"/>
      <c r="Q489" s="16"/>
      <c r="R489" s="16"/>
      <c r="S489" s="16"/>
      <c r="T489" s="16"/>
      <c r="U489" s="16"/>
      <c r="V489" s="16"/>
      <c r="W489" s="16"/>
      <c r="X489" s="16"/>
      <c r="Y489" s="16"/>
      <c r="Z489" s="16"/>
    </row>
    <row r="490" ht="12.75" spans="1:26">
      <c r="A490" s="23"/>
      <c r="B490" s="16"/>
      <c r="C490" s="23"/>
      <c r="D490" s="24"/>
      <c r="E490" s="16"/>
      <c r="F490" s="24"/>
      <c r="G490" s="24"/>
      <c r="H490" s="16"/>
      <c r="I490" s="16"/>
      <c r="J490" s="16"/>
      <c r="K490" s="16"/>
      <c r="L490" s="16"/>
      <c r="M490" s="16"/>
      <c r="N490" s="16"/>
      <c r="O490" s="16"/>
      <c r="P490" s="16"/>
      <c r="Q490" s="16"/>
      <c r="R490" s="16"/>
      <c r="S490" s="16"/>
      <c r="T490" s="16"/>
      <c r="U490" s="16"/>
      <c r="V490" s="16"/>
      <c r="W490" s="16"/>
      <c r="X490" s="16"/>
      <c r="Y490" s="16"/>
      <c r="Z490" s="16"/>
    </row>
    <row r="491" ht="12.75" spans="1:26">
      <c r="A491" s="23"/>
      <c r="B491" s="16"/>
      <c r="C491" s="23"/>
      <c r="D491" s="24"/>
      <c r="E491" s="16"/>
      <c r="F491" s="24"/>
      <c r="G491" s="24"/>
      <c r="H491" s="16"/>
      <c r="I491" s="16"/>
      <c r="J491" s="16"/>
      <c r="K491" s="16"/>
      <c r="L491" s="16"/>
      <c r="M491" s="16"/>
      <c r="N491" s="16"/>
      <c r="O491" s="16"/>
      <c r="P491" s="16"/>
      <c r="Q491" s="16"/>
      <c r="R491" s="16"/>
      <c r="S491" s="16"/>
      <c r="T491" s="16"/>
      <c r="U491" s="16"/>
      <c r="V491" s="16"/>
      <c r="W491" s="16"/>
      <c r="X491" s="16"/>
      <c r="Y491" s="16"/>
      <c r="Z491" s="16"/>
    </row>
    <row r="492" ht="12.75" spans="1:26">
      <c r="A492" s="23"/>
      <c r="B492" s="16"/>
      <c r="C492" s="23"/>
      <c r="D492" s="24"/>
      <c r="E492" s="16"/>
      <c r="F492" s="24"/>
      <c r="G492" s="24"/>
      <c r="H492" s="16"/>
      <c r="I492" s="16"/>
      <c r="J492" s="16"/>
      <c r="K492" s="16"/>
      <c r="L492" s="16"/>
      <c r="M492" s="16"/>
      <c r="N492" s="16"/>
      <c r="O492" s="16"/>
      <c r="P492" s="16"/>
      <c r="Q492" s="16"/>
      <c r="R492" s="16"/>
      <c r="S492" s="16"/>
      <c r="T492" s="16"/>
      <c r="U492" s="16"/>
      <c r="V492" s="16"/>
      <c r="W492" s="16"/>
      <c r="X492" s="16"/>
      <c r="Y492" s="16"/>
      <c r="Z492" s="16"/>
    </row>
    <row r="493" ht="12.75" spans="1:26">
      <c r="A493" s="23"/>
      <c r="B493" s="16"/>
      <c r="C493" s="23"/>
      <c r="D493" s="24"/>
      <c r="E493" s="16"/>
      <c r="F493" s="24"/>
      <c r="G493" s="24"/>
      <c r="H493" s="16"/>
      <c r="I493" s="16"/>
      <c r="J493" s="16"/>
      <c r="K493" s="16"/>
      <c r="L493" s="16"/>
      <c r="M493" s="16"/>
      <c r="N493" s="16"/>
      <c r="O493" s="16"/>
      <c r="P493" s="16"/>
      <c r="Q493" s="16"/>
      <c r="R493" s="16"/>
      <c r="S493" s="16"/>
      <c r="T493" s="16"/>
      <c r="U493" s="16"/>
      <c r="V493" s="16"/>
      <c r="W493" s="16"/>
      <c r="X493" s="16"/>
      <c r="Y493" s="16"/>
      <c r="Z493" s="16"/>
    </row>
    <row r="494" ht="12.75" spans="1:26">
      <c r="A494" s="23"/>
      <c r="B494" s="16"/>
      <c r="C494" s="23"/>
      <c r="D494" s="24"/>
      <c r="E494" s="16"/>
      <c r="F494" s="24"/>
      <c r="G494" s="24"/>
      <c r="H494" s="16"/>
      <c r="I494" s="16"/>
      <c r="J494" s="16"/>
      <c r="K494" s="16"/>
      <c r="L494" s="16"/>
      <c r="M494" s="16"/>
      <c r="N494" s="16"/>
      <c r="O494" s="16"/>
      <c r="P494" s="16"/>
      <c r="Q494" s="16"/>
      <c r="R494" s="16"/>
      <c r="S494" s="16"/>
      <c r="T494" s="16"/>
      <c r="U494" s="16"/>
      <c r="V494" s="16"/>
      <c r="W494" s="16"/>
      <c r="X494" s="16"/>
      <c r="Y494" s="16"/>
      <c r="Z494" s="16"/>
    </row>
    <row r="495" ht="12.75" spans="1:26">
      <c r="A495" s="23"/>
      <c r="B495" s="16"/>
      <c r="C495" s="23"/>
      <c r="D495" s="24"/>
      <c r="E495" s="16"/>
      <c r="F495" s="24"/>
      <c r="G495" s="24"/>
      <c r="H495" s="16"/>
      <c r="I495" s="16"/>
      <c r="J495" s="16"/>
      <c r="K495" s="16"/>
      <c r="L495" s="16"/>
      <c r="M495" s="16"/>
      <c r="N495" s="16"/>
      <c r="O495" s="16"/>
      <c r="P495" s="16"/>
      <c r="Q495" s="16"/>
      <c r="R495" s="16"/>
      <c r="S495" s="16"/>
      <c r="T495" s="16"/>
      <c r="U495" s="16"/>
      <c r="V495" s="16"/>
      <c r="W495" s="16"/>
      <c r="X495" s="16"/>
      <c r="Y495" s="16"/>
      <c r="Z495" s="16"/>
    </row>
    <row r="496" ht="12.75" spans="1:26">
      <c r="A496" s="23"/>
      <c r="B496" s="16"/>
      <c r="C496" s="23"/>
      <c r="D496" s="24"/>
      <c r="E496" s="16"/>
      <c r="F496" s="24"/>
      <c r="G496" s="24"/>
      <c r="H496" s="16"/>
      <c r="I496" s="16"/>
      <c r="J496" s="16"/>
      <c r="K496" s="16"/>
      <c r="L496" s="16"/>
      <c r="M496" s="16"/>
      <c r="N496" s="16"/>
      <c r="O496" s="16"/>
      <c r="P496" s="16"/>
      <c r="Q496" s="16"/>
      <c r="R496" s="16"/>
      <c r="S496" s="16"/>
      <c r="T496" s="16"/>
      <c r="U496" s="16"/>
      <c r="V496" s="16"/>
      <c r="W496" s="16"/>
      <c r="X496" s="16"/>
      <c r="Y496" s="16"/>
      <c r="Z496" s="16"/>
    </row>
    <row r="497" ht="12.75" spans="1:26">
      <c r="A497" s="23"/>
      <c r="B497" s="16"/>
      <c r="C497" s="23"/>
      <c r="D497" s="24"/>
      <c r="E497" s="16"/>
      <c r="F497" s="24"/>
      <c r="G497" s="24"/>
      <c r="H497" s="16"/>
      <c r="I497" s="16"/>
      <c r="J497" s="16"/>
      <c r="K497" s="16"/>
      <c r="L497" s="16"/>
      <c r="M497" s="16"/>
      <c r="N497" s="16"/>
      <c r="O497" s="16"/>
      <c r="P497" s="16"/>
      <c r="Q497" s="16"/>
      <c r="R497" s="16"/>
      <c r="S497" s="16"/>
      <c r="T497" s="16"/>
      <c r="U497" s="16"/>
      <c r="V497" s="16"/>
      <c r="W497" s="16"/>
      <c r="X497" s="16"/>
      <c r="Y497" s="16"/>
      <c r="Z497" s="16"/>
    </row>
    <row r="498" ht="12.75" spans="1:26">
      <c r="A498" s="23"/>
      <c r="B498" s="16"/>
      <c r="C498" s="23"/>
      <c r="D498" s="24"/>
      <c r="E498" s="16"/>
      <c r="F498" s="24"/>
      <c r="G498" s="24"/>
      <c r="H498" s="16"/>
      <c r="I498" s="16"/>
      <c r="J498" s="16"/>
      <c r="K498" s="16"/>
      <c r="L498" s="16"/>
      <c r="M498" s="16"/>
      <c r="N498" s="16"/>
      <c r="O498" s="16"/>
      <c r="P498" s="16"/>
      <c r="Q498" s="16"/>
      <c r="R498" s="16"/>
      <c r="S498" s="16"/>
      <c r="T498" s="16"/>
      <c r="U498" s="16"/>
      <c r="V498" s="16"/>
      <c r="W498" s="16"/>
      <c r="X498" s="16"/>
      <c r="Y498" s="16"/>
      <c r="Z498" s="16"/>
    </row>
    <row r="499" ht="12.75" spans="1:26">
      <c r="A499" s="23"/>
      <c r="B499" s="16"/>
      <c r="C499" s="23"/>
      <c r="D499" s="24"/>
      <c r="E499" s="16"/>
      <c r="F499" s="24"/>
      <c r="G499" s="24"/>
      <c r="H499" s="16"/>
      <c r="I499" s="16"/>
      <c r="J499" s="16"/>
      <c r="K499" s="16"/>
      <c r="L499" s="16"/>
      <c r="M499" s="16"/>
      <c r="N499" s="16"/>
      <c r="O499" s="16"/>
      <c r="P499" s="16"/>
      <c r="Q499" s="16"/>
      <c r="R499" s="16"/>
      <c r="S499" s="16"/>
      <c r="T499" s="16"/>
      <c r="U499" s="16"/>
      <c r="V499" s="16"/>
      <c r="W499" s="16"/>
      <c r="X499" s="16"/>
      <c r="Y499" s="16"/>
      <c r="Z499" s="16"/>
    </row>
    <row r="500" ht="12.75" spans="1:26">
      <c r="A500" s="23"/>
      <c r="B500" s="16"/>
      <c r="C500" s="23"/>
      <c r="D500" s="24"/>
      <c r="E500" s="16"/>
      <c r="F500" s="24"/>
      <c r="G500" s="24"/>
      <c r="H500" s="16"/>
      <c r="I500" s="16"/>
      <c r="J500" s="16"/>
      <c r="K500" s="16"/>
      <c r="L500" s="16"/>
      <c r="M500" s="16"/>
      <c r="N500" s="16"/>
      <c r="O500" s="16"/>
      <c r="P500" s="16"/>
      <c r="Q500" s="16"/>
      <c r="R500" s="16"/>
      <c r="S500" s="16"/>
      <c r="T500" s="16"/>
      <c r="U500" s="16"/>
      <c r="V500" s="16"/>
      <c r="W500" s="16"/>
      <c r="X500" s="16"/>
      <c r="Y500" s="16"/>
      <c r="Z500" s="16"/>
    </row>
    <row r="501" ht="12.75" spans="1:26">
      <c r="A501" s="23"/>
      <c r="B501" s="16"/>
      <c r="C501" s="23"/>
      <c r="D501" s="24"/>
      <c r="E501" s="16"/>
      <c r="F501" s="24"/>
      <c r="G501" s="24"/>
      <c r="H501" s="16"/>
      <c r="I501" s="16"/>
      <c r="J501" s="16"/>
      <c r="K501" s="16"/>
      <c r="L501" s="16"/>
      <c r="M501" s="16"/>
      <c r="N501" s="16"/>
      <c r="O501" s="16"/>
      <c r="P501" s="16"/>
      <c r="Q501" s="16"/>
      <c r="R501" s="16"/>
      <c r="S501" s="16"/>
      <c r="T501" s="16"/>
      <c r="U501" s="16"/>
      <c r="V501" s="16"/>
      <c r="W501" s="16"/>
      <c r="X501" s="16"/>
      <c r="Y501" s="16"/>
      <c r="Z501" s="16"/>
    </row>
    <row r="502" ht="12.75" spans="1:26">
      <c r="A502" s="23"/>
      <c r="B502" s="16"/>
      <c r="C502" s="23"/>
      <c r="D502" s="24"/>
      <c r="E502" s="16"/>
      <c r="F502" s="24"/>
      <c r="G502" s="24"/>
      <c r="H502" s="16"/>
      <c r="I502" s="16"/>
      <c r="J502" s="16"/>
      <c r="K502" s="16"/>
      <c r="L502" s="16"/>
      <c r="M502" s="16"/>
      <c r="N502" s="16"/>
      <c r="O502" s="16"/>
      <c r="P502" s="16"/>
      <c r="Q502" s="16"/>
      <c r="R502" s="16"/>
      <c r="S502" s="16"/>
      <c r="T502" s="16"/>
      <c r="U502" s="16"/>
      <c r="V502" s="16"/>
      <c r="W502" s="16"/>
      <c r="X502" s="16"/>
      <c r="Y502" s="16"/>
      <c r="Z502" s="16"/>
    </row>
    <row r="503" ht="12.75" spans="1:26">
      <c r="A503" s="23"/>
      <c r="B503" s="16"/>
      <c r="C503" s="23"/>
      <c r="D503" s="24"/>
      <c r="E503" s="16"/>
      <c r="F503" s="24"/>
      <c r="G503" s="24"/>
      <c r="H503" s="16"/>
      <c r="I503" s="16"/>
      <c r="J503" s="16"/>
      <c r="K503" s="16"/>
      <c r="L503" s="16"/>
      <c r="M503" s="16"/>
      <c r="N503" s="16"/>
      <c r="O503" s="16"/>
      <c r="P503" s="16"/>
      <c r="Q503" s="16"/>
      <c r="R503" s="16"/>
      <c r="S503" s="16"/>
      <c r="T503" s="16"/>
      <c r="U503" s="16"/>
      <c r="V503" s="16"/>
      <c r="W503" s="16"/>
      <c r="X503" s="16"/>
      <c r="Y503" s="16"/>
      <c r="Z503" s="16"/>
    </row>
    <row r="504" ht="12.75" spans="1:26">
      <c r="A504" s="23"/>
      <c r="B504" s="16"/>
      <c r="C504" s="23"/>
      <c r="D504" s="24"/>
      <c r="E504" s="16"/>
      <c r="F504" s="24"/>
      <c r="G504" s="24"/>
      <c r="H504" s="16"/>
      <c r="I504" s="16"/>
      <c r="J504" s="16"/>
      <c r="K504" s="16"/>
      <c r="L504" s="16"/>
      <c r="M504" s="16"/>
      <c r="N504" s="16"/>
      <c r="O504" s="16"/>
      <c r="P504" s="16"/>
      <c r="Q504" s="16"/>
      <c r="R504" s="16"/>
      <c r="S504" s="16"/>
      <c r="T504" s="16"/>
      <c r="U504" s="16"/>
      <c r="V504" s="16"/>
      <c r="W504" s="16"/>
      <c r="X504" s="16"/>
      <c r="Y504" s="16"/>
      <c r="Z504" s="16"/>
    </row>
    <row r="505" ht="12.75" spans="1:26">
      <c r="A505" s="23"/>
      <c r="B505" s="16"/>
      <c r="C505" s="23"/>
      <c r="D505" s="24"/>
      <c r="E505" s="16"/>
      <c r="F505" s="24"/>
      <c r="G505" s="24"/>
      <c r="H505" s="16"/>
      <c r="I505" s="16"/>
      <c r="J505" s="16"/>
      <c r="K505" s="16"/>
      <c r="L505" s="16"/>
      <c r="M505" s="16"/>
      <c r="N505" s="16"/>
      <c r="O505" s="16"/>
      <c r="P505" s="16"/>
      <c r="Q505" s="16"/>
      <c r="R505" s="16"/>
      <c r="S505" s="16"/>
      <c r="T505" s="16"/>
      <c r="U505" s="16"/>
      <c r="V505" s="16"/>
      <c r="W505" s="16"/>
      <c r="X505" s="16"/>
      <c r="Y505" s="16"/>
      <c r="Z505" s="16"/>
    </row>
    <row r="506" ht="12.75" spans="1:26">
      <c r="A506" s="23"/>
      <c r="B506" s="16"/>
      <c r="C506" s="23"/>
      <c r="D506" s="24"/>
      <c r="E506" s="16"/>
      <c r="F506" s="24"/>
      <c r="G506" s="24"/>
      <c r="H506" s="16"/>
      <c r="I506" s="16"/>
      <c r="J506" s="16"/>
      <c r="K506" s="16"/>
      <c r="L506" s="16"/>
      <c r="M506" s="16"/>
      <c r="N506" s="16"/>
      <c r="O506" s="16"/>
      <c r="P506" s="16"/>
      <c r="Q506" s="16"/>
      <c r="R506" s="16"/>
      <c r="S506" s="16"/>
      <c r="T506" s="16"/>
      <c r="U506" s="16"/>
      <c r="V506" s="16"/>
      <c r="W506" s="16"/>
      <c r="X506" s="16"/>
      <c r="Y506" s="16"/>
      <c r="Z506" s="16"/>
    </row>
    <row r="507" ht="12.75" spans="1:26">
      <c r="A507" s="23"/>
      <c r="B507" s="16"/>
      <c r="C507" s="23"/>
      <c r="D507" s="24"/>
      <c r="E507" s="16"/>
      <c r="F507" s="24"/>
      <c r="G507" s="24"/>
      <c r="H507" s="16"/>
      <c r="I507" s="16"/>
      <c r="J507" s="16"/>
      <c r="K507" s="16"/>
      <c r="L507" s="16"/>
      <c r="M507" s="16"/>
      <c r="N507" s="16"/>
      <c r="O507" s="16"/>
      <c r="P507" s="16"/>
      <c r="Q507" s="16"/>
      <c r="R507" s="16"/>
      <c r="S507" s="16"/>
      <c r="T507" s="16"/>
      <c r="U507" s="16"/>
      <c r="V507" s="16"/>
      <c r="W507" s="16"/>
      <c r="X507" s="16"/>
      <c r="Y507" s="16"/>
      <c r="Z507" s="16"/>
    </row>
    <row r="508" ht="12.75" spans="1:26">
      <c r="A508" s="23"/>
      <c r="B508" s="16"/>
      <c r="C508" s="23"/>
      <c r="D508" s="24"/>
      <c r="E508" s="16"/>
      <c r="F508" s="24"/>
      <c r="G508" s="24"/>
      <c r="H508" s="16"/>
      <c r="I508" s="16"/>
      <c r="J508" s="16"/>
      <c r="K508" s="16"/>
      <c r="L508" s="16"/>
      <c r="M508" s="16"/>
      <c r="N508" s="16"/>
      <c r="O508" s="16"/>
      <c r="P508" s="16"/>
      <c r="Q508" s="16"/>
      <c r="R508" s="16"/>
      <c r="S508" s="16"/>
      <c r="T508" s="16"/>
      <c r="U508" s="16"/>
      <c r="V508" s="16"/>
      <c r="W508" s="16"/>
      <c r="X508" s="16"/>
      <c r="Y508" s="16"/>
      <c r="Z508" s="16"/>
    </row>
    <row r="509" ht="12.75" spans="1:26">
      <c r="A509" s="23"/>
      <c r="B509" s="16"/>
      <c r="C509" s="23"/>
      <c r="D509" s="24"/>
      <c r="E509" s="16"/>
      <c r="F509" s="24"/>
      <c r="G509" s="24"/>
      <c r="H509" s="16"/>
      <c r="I509" s="16"/>
      <c r="J509" s="16"/>
      <c r="K509" s="16"/>
      <c r="L509" s="16"/>
      <c r="M509" s="16"/>
      <c r="N509" s="16"/>
      <c r="O509" s="16"/>
      <c r="P509" s="16"/>
      <c r="Q509" s="16"/>
      <c r="R509" s="16"/>
      <c r="S509" s="16"/>
      <c r="T509" s="16"/>
      <c r="U509" s="16"/>
      <c r="V509" s="16"/>
      <c r="W509" s="16"/>
      <c r="X509" s="16"/>
      <c r="Y509" s="16"/>
      <c r="Z509" s="16"/>
    </row>
    <row r="510" ht="12.75" spans="1:26">
      <c r="A510" s="23"/>
      <c r="B510" s="16"/>
      <c r="C510" s="23"/>
      <c r="D510" s="24"/>
      <c r="E510" s="16"/>
      <c r="F510" s="24"/>
      <c r="G510" s="24"/>
      <c r="H510" s="16"/>
      <c r="I510" s="16"/>
      <c r="J510" s="16"/>
      <c r="K510" s="16"/>
      <c r="L510" s="16"/>
      <c r="M510" s="16"/>
      <c r="N510" s="16"/>
      <c r="O510" s="16"/>
      <c r="P510" s="16"/>
      <c r="Q510" s="16"/>
      <c r="R510" s="16"/>
      <c r="S510" s="16"/>
      <c r="T510" s="16"/>
      <c r="U510" s="16"/>
      <c r="V510" s="16"/>
      <c r="W510" s="16"/>
      <c r="X510" s="16"/>
      <c r="Y510" s="16"/>
      <c r="Z510" s="16"/>
    </row>
    <row r="511" ht="12.75" spans="1:26">
      <c r="A511" s="23"/>
      <c r="B511" s="16"/>
      <c r="C511" s="23"/>
      <c r="D511" s="24"/>
      <c r="E511" s="16"/>
      <c r="F511" s="24"/>
      <c r="G511" s="24"/>
      <c r="H511" s="16"/>
      <c r="I511" s="16"/>
      <c r="J511" s="16"/>
      <c r="K511" s="16"/>
      <c r="L511" s="16"/>
      <c r="M511" s="16"/>
      <c r="N511" s="16"/>
      <c r="O511" s="16"/>
      <c r="P511" s="16"/>
      <c r="Q511" s="16"/>
      <c r="R511" s="16"/>
      <c r="S511" s="16"/>
      <c r="T511" s="16"/>
      <c r="U511" s="16"/>
      <c r="V511" s="16"/>
      <c r="W511" s="16"/>
      <c r="X511" s="16"/>
      <c r="Y511" s="16"/>
      <c r="Z511" s="16"/>
    </row>
    <row r="512" ht="12.75" spans="1:26">
      <c r="A512" s="23"/>
      <c r="B512" s="16"/>
      <c r="C512" s="23"/>
      <c r="D512" s="24"/>
      <c r="E512" s="16"/>
      <c r="F512" s="24"/>
      <c r="G512" s="24"/>
      <c r="H512" s="16"/>
      <c r="I512" s="16"/>
      <c r="J512" s="16"/>
      <c r="K512" s="16"/>
      <c r="L512" s="16"/>
      <c r="M512" s="16"/>
      <c r="N512" s="16"/>
      <c r="O512" s="16"/>
      <c r="P512" s="16"/>
      <c r="Q512" s="16"/>
      <c r="R512" s="16"/>
      <c r="S512" s="16"/>
      <c r="T512" s="16"/>
      <c r="U512" s="16"/>
      <c r="V512" s="16"/>
      <c r="W512" s="16"/>
      <c r="X512" s="16"/>
      <c r="Y512" s="16"/>
      <c r="Z512" s="16"/>
    </row>
    <row r="513" ht="12.75" spans="1:26">
      <c r="A513" s="23"/>
      <c r="B513" s="16"/>
      <c r="C513" s="23"/>
      <c r="D513" s="24"/>
      <c r="E513" s="16"/>
      <c r="F513" s="24"/>
      <c r="G513" s="24"/>
      <c r="H513" s="16"/>
      <c r="I513" s="16"/>
      <c r="J513" s="16"/>
      <c r="K513" s="16"/>
      <c r="L513" s="16"/>
      <c r="M513" s="16"/>
      <c r="N513" s="16"/>
      <c r="O513" s="16"/>
      <c r="P513" s="16"/>
      <c r="Q513" s="16"/>
      <c r="R513" s="16"/>
      <c r="S513" s="16"/>
      <c r="T513" s="16"/>
      <c r="U513" s="16"/>
      <c r="V513" s="16"/>
      <c r="W513" s="16"/>
      <c r="X513" s="16"/>
      <c r="Y513" s="16"/>
      <c r="Z513" s="16"/>
    </row>
    <row r="514" ht="12.75" spans="1:26">
      <c r="A514" s="23"/>
      <c r="B514" s="16"/>
      <c r="C514" s="23"/>
      <c r="D514" s="24"/>
      <c r="E514" s="16"/>
      <c r="F514" s="24"/>
      <c r="G514" s="24"/>
      <c r="H514" s="16"/>
      <c r="I514" s="16"/>
      <c r="J514" s="16"/>
      <c r="K514" s="16"/>
      <c r="L514" s="16"/>
      <c r="M514" s="16"/>
      <c r="N514" s="16"/>
      <c r="O514" s="16"/>
      <c r="P514" s="16"/>
      <c r="Q514" s="16"/>
      <c r="R514" s="16"/>
      <c r="S514" s="16"/>
      <c r="T514" s="16"/>
      <c r="U514" s="16"/>
      <c r="V514" s="16"/>
      <c r="W514" s="16"/>
      <c r="X514" s="16"/>
      <c r="Y514" s="16"/>
      <c r="Z514" s="16"/>
    </row>
    <row r="515" ht="12.75" spans="1:26">
      <c r="A515" s="23"/>
      <c r="B515" s="16"/>
      <c r="C515" s="23"/>
      <c r="D515" s="24"/>
      <c r="E515" s="16"/>
      <c r="F515" s="24"/>
      <c r="G515" s="24"/>
      <c r="H515" s="16"/>
      <c r="I515" s="16"/>
      <c r="J515" s="16"/>
      <c r="K515" s="16"/>
      <c r="L515" s="16"/>
      <c r="M515" s="16"/>
      <c r="N515" s="16"/>
      <c r="O515" s="16"/>
      <c r="P515" s="16"/>
      <c r="Q515" s="16"/>
      <c r="R515" s="16"/>
      <c r="S515" s="16"/>
      <c r="T515" s="16"/>
      <c r="U515" s="16"/>
      <c r="V515" s="16"/>
      <c r="W515" s="16"/>
      <c r="X515" s="16"/>
      <c r="Y515" s="16"/>
      <c r="Z515" s="16"/>
    </row>
    <row r="516" ht="12.75" spans="1:26">
      <c r="A516" s="23"/>
      <c r="B516" s="16"/>
      <c r="C516" s="23"/>
      <c r="D516" s="24"/>
      <c r="E516" s="16"/>
      <c r="F516" s="24"/>
      <c r="G516" s="24"/>
      <c r="H516" s="16"/>
      <c r="I516" s="16"/>
      <c r="J516" s="16"/>
      <c r="K516" s="16"/>
      <c r="L516" s="16"/>
      <c r="M516" s="16"/>
      <c r="N516" s="16"/>
      <c r="O516" s="16"/>
      <c r="P516" s="16"/>
      <c r="Q516" s="16"/>
      <c r="R516" s="16"/>
      <c r="S516" s="16"/>
      <c r="T516" s="16"/>
      <c r="U516" s="16"/>
      <c r="V516" s="16"/>
      <c r="W516" s="16"/>
      <c r="X516" s="16"/>
      <c r="Y516" s="16"/>
      <c r="Z516" s="16"/>
    </row>
    <row r="517" ht="12.75" spans="1:26">
      <c r="A517" s="23"/>
      <c r="B517" s="16"/>
      <c r="C517" s="23"/>
      <c r="D517" s="24"/>
      <c r="E517" s="16"/>
      <c r="F517" s="24"/>
      <c r="G517" s="24"/>
      <c r="H517" s="16"/>
      <c r="I517" s="16"/>
      <c r="J517" s="16"/>
      <c r="K517" s="16"/>
      <c r="L517" s="16"/>
      <c r="M517" s="16"/>
      <c r="N517" s="16"/>
      <c r="O517" s="16"/>
      <c r="P517" s="16"/>
      <c r="Q517" s="16"/>
      <c r="R517" s="16"/>
      <c r="S517" s="16"/>
      <c r="T517" s="16"/>
      <c r="U517" s="16"/>
      <c r="V517" s="16"/>
      <c r="W517" s="16"/>
      <c r="X517" s="16"/>
      <c r="Y517" s="16"/>
      <c r="Z517" s="16"/>
    </row>
    <row r="518" ht="12.75" spans="1:26">
      <c r="A518" s="23"/>
      <c r="B518" s="16"/>
      <c r="C518" s="23"/>
      <c r="D518" s="24"/>
      <c r="E518" s="16"/>
      <c r="F518" s="24"/>
      <c r="G518" s="24"/>
      <c r="H518" s="16"/>
      <c r="I518" s="16"/>
      <c r="J518" s="16"/>
      <c r="K518" s="16"/>
      <c r="L518" s="16"/>
      <c r="M518" s="16"/>
      <c r="N518" s="16"/>
      <c r="O518" s="16"/>
      <c r="P518" s="16"/>
      <c r="Q518" s="16"/>
      <c r="R518" s="16"/>
      <c r="S518" s="16"/>
      <c r="T518" s="16"/>
      <c r="U518" s="16"/>
      <c r="V518" s="16"/>
      <c r="W518" s="16"/>
      <c r="X518" s="16"/>
      <c r="Y518" s="16"/>
      <c r="Z518" s="16"/>
    </row>
    <row r="519" ht="12.75" spans="1:26">
      <c r="A519" s="23"/>
      <c r="B519" s="16"/>
      <c r="C519" s="23"/>
      <c r="D519" s="24"/>
      <c r="E519" s="16"/>
      <c r="F519" s="24"/>
      <c r="G519" s="24"/>
      <c r="H519" s="16"/>
      <c r="I519" s="16"/>
      <c r="J519" s="16"/>
      <c r="K519" s="16"/>
      <c r="L519" s="16"/>
      <c r="M519" s="16"/>
      <c r="N519" s="16"/>
      <c r="O519" s="16"/>
      <c r="P519" s="16"/>
      <c r="Q519" s="16"/>
      <c r="R519" s="16"/>
      <c r="S519" s="16"/>
      <c r="T519" s="16"/>
      <c r="U519" s="16"/>
      <c r="V519" s="16"/>
      <c r="W519" s="16"/>
      <c r="X519" s="16"/>
      <c r="Y519" s="16"/>
      <c r="Z519" s="16"/>
    </row>
    <row r="520" ht="12.75" spans="1:26">
      <c r="A520" s="23"/>
      <c r="B520" s="16"/>
      <c r="C520" s="23"/>
      <c r="D520" s="24"/>
      <c r="E520" s="16"/>
      <c r="F520" s="24"/>
      <c r="G520" s="24"/>
      <c r="H520" s="16"/>
      <c r="I520" s="16"/>
      <c r="J520" s="16"/>
      <c r="K520" s="16"/>
      <c r="L520" s="16"/>
      <c r="M520" s="16"/>
      <c r="N520" s="16"/>
      <c r="O520" s="16"/>
      <c r="P520" s="16"/>
      <c r="Q520" s="16"/>
      <c r="R520" s="16"/>
      <c r="S520" s="16"/>
      <c r="T520" s="16"/>
      <c r="U520" s="16"/>
      <c r="V520" s="16"/>
      <c r="W520" s="16"/>
      <c r="X520" s="16"/>
      <c r="Y520" s="16"/>
      <c r="Z520" s="16"/>
    </row>
    <row r="521" ht="12.75" spans="1:26">
      <c r="A521" s="23"/>
      <c r="B521" s="16"/>
      <c r="C521" s="23"/>
      <c r="D521" s="24"/>
      <c r="E521" s="16"/>
      <c r="F521" s="24"/>
      <c r="G521" s="24"/>
      <c r="H521" s="16"/>
      <c r="I521" s="16"/>
      <c r="J521" s="16"/>
      <c r="K521" s="16"/>
      <c r="L521" s="16"/>
      <c r="M521" s="16"/>
      <c r="N521" s="16"/>
      <c r="O521" s="16"/>
      <c r="P521" s="16"/>
      <c r="Q521" s="16"/>
      <c r="R521" s="16"/>
      <c r="S521" s="16"/>
      <c r="T521" s="16"/>
      <c r="U521" s="16"/>
      <c r="V521" s="16"/>
      <c r="W521" s="16"/>
      <c r="X521" s="16"/>
      <c r="Y521" s="16"/>
      <c r="Z521" s="16"/>
    </row>
    <row r="522" ht="12.75" spans="1:26">
      <c r="A522" s="23"/>
      <c r="B522" s="16"/>
      <c r="C522" s="23"/>
      <c r="D522" s="24"/>
      <c r="E522" s="16"/>
      <c r="F522" s="24"/>
      <c r="G522" s="24"/>
      <c r="H522" s="16"/>
      <c r="I522" s="16"/>
      <c r="J522" s="16"/>
      <c r="K522" s="16"/>
      <c r="L522" s="16"/>
      <c r="M522" s="16"/>
      <c r="N522" s="16"/>
      <c r="O522" s="16"/>
      <c r="P522" s="16"/>
      <c r="Q522" s="16"/>
      <c r="R522" s="16"/>
      <c r="S522" s="16"/>
      <c r="T522" s="16"/>
      <c r="U522" s="16"/>
      <c r="V522" s="16"/>
      <c r="W522" s="16"/>
      <c r="X522" s="16"/>
      <c r="Y522" s="16"/>
      <c r="Z522" s="16"/>
    </row>
    <row r="523" ht="12.75" spans="1:26">
      <c r="A523" s="23"/>
      <c r="B523" s="16"/>
      <c r="C523" s="23"/>
      <c r="D523" s="24"/>
      <c r="E523" s="16"/>
      <c r="F523" s="24"/>
      <c r="G523" s="24"/>
      <c r="H523" s="16"/>
      <c r="I523" s="16"/>
      <c r="J523" s="16"/>
      <c r="K523" s="16"/>
      <c r="L523" s="16"/>
      <c r="M523" s="16"/>
      <c r="N523" s="16"/>
      <c r="O523" s="16"/>
      <c r="P523" s="16"/>
      <c r="Q523" s="16"/>
      <c r="R523" s="16"/>
      <c r="S523" s="16"/>
      <c r="T523" s="16"/>
      <c r="U523" s="16"/>
      <c r="V523" s="16"/>
      <c r="W523" s="16"/>
      <c r="X523" s="16"/>
      <c r="Y523" s="16"/>
      <c r="Z523" s="16"/>
    </row>
    <row r="524" ht="12.75" spans="1:26">
      <c r="A524" s="23"/>
      <c r="B524" s="16"/>
      <c r="C524" s="23"/>
      <c r="D524" s="24"/>
      <c r="E524" s="16"/>
      <c r="F524" s="24"/>
      <c r="G524" s="24"/>
      <c r="H524" s="16"/>
      <c r="I524" s="16"/>
      <c r="J524" s="16"/>
      <c r="K524" s="16"/>
      <c r="L524" s="16"/>
      <c r="M524" s="16"/>
      <c r="N524" s="16"/>
      <c r="O524" s="16"/>
      <c r="P524" s="16"/>
      <c r="Q524" s="16"/>
      <c r="R524" s="16"/>
      <c r="S524" s="16"/>
      <c r="T524" s="16"/>
      <c r="U524" s="16"/>
      <c r="V524" s="16"/>
      <c r="W524" s="16"/>
      <c r="X524" s="16"/>
      <c r="Y524" s="16"/>
      <c r="Z524" s="16"/>
    </row>
    <row r="525" ht="12.75" spans="1:26">
      <c r="A525" s="23"/>
      <c r="B525" s="16"/>
      <c r="C525" s="23"/>
      <c r="D525" s="24"/>
      <c r="E525" s="16"/>
      <c r="F525" s="24"/>
      <c r="G525" s="24"/>
      <c r="H525" s="16"/>
      <c r="I525" s="16"/>
      <c r="J525" s="16"/>
      <c r="K525" s="16"/>
      <c r="L525" s="16"/>
      <c r="M525" s="16"/>
      <c r="N525" s="16"/>
      <c r="O525" s="16"/>
      <c r="P525" s="16"/>
      <c r="Q525" s="16"/>
      <c r="R525" s="16"/>
      <c r="S525" s="16"/>
      <c r="T525" s="16"/>
      <c r="U525" s="16"/>
      <c r="V525" s="16"/>
      <c r="W525" s="16"/>
      <c r="X525" s="16"/>
      <c r="Y525" s="16"/>
      <c r="Z525" s="16"/>
    </row>
    <row r="526" ht="12.75" spans="1:26">
      <c r="A526" s="23"/>
      <c r="B526" s="16"/>
      <c r="C526" s="23"/>
      <c r="D526" s="24"/>
      <c r="E526" s="16"/>
      <c r="F526" s="24"/>
      <c r="G526" s="24"/>
      <c r="H526" s="16"/>
      <c r="I526" s="16"/>
      <c r="J526" s="16"/>
      <c r="K526" s="16"/>
      <c r="L526" s="16"/>
      <c r="M526" s="16"/>
      <c r="N526" s="16"/>
      <c r="O526" s="16"/>
      <c r="P526" s="16"/>
      <c r="Q526" s="16"/>
      <c r="R526" s="16"/>
      <c r="S526" s="16"/>
      <c r="T526" s="16"/>
      <c r="U526" s="16"/>
      <c r="V526" s="16"/>
      <c r="W526" s="16"/>
      <c r="X526" s="16"/>
      <c r="Y526" s="16"/>
      <c r="Z526" s="16"/>
    </row>
    <row r="527" ht="12.75" spans="1:26">
      <c r="A527" s="23"/>
      <c r="B527" s="16"/>
      <c r="C527" s="23"/>
      <c r="D527" s="24"/>
      <c r="E527" s="16"/>
      <c r="F527" s="24"/>
      <c r="G527" s="24"/>
      <c r="H527" s="16"/>
      <c r="I527" s="16"/>
      <c r="J527" s="16"/>
      <c r="K527" s="16"/>
      <c r="L527" s="16"/>
      <c r="M527" s="16"/>
      <c r="N527" s="16"/>
      <c r="O527" s="16"/>
      <c r="P527" s="16"/>
      <c r="Q527" s="16"/>
      <c r="R527" s="16"/>
      <c r="S527" s="16"/>
      <c r="T527" s="16"/>
      <c r="U527" s="16"/>
      <c r="V527" s="16"/>
      <c r="W527" s="16"/>
      <c r="X527" s="16"/>
      <c r="Y527" s="16"/>
      <c r="Z527" s="16"/>
    </row>
    <row r="528" ht="12.75" spans="1:26">
      <c r="A528" s="23"/>
      <c r="B528" s="16"/>
      <c r="C528" s="23"/>
      <c r="D528" s="24"/>
      <c r="E528" s="16"/>
      <c r="F528" s="24"/>
      <c r="G528" s="24"/>
      <c r="H528" s="16"/>
      <c r="I528" s="16"/>
      <c r="J528" s="16"/>
      <c r="K528" s="16"/>
      <c r="L528" s="16"/>
      <c r="M528" s="16"/>
      <c r="N528" s="16"/>
      <c r="O528" s="16"/>
      <c r="P528" s="16"/>
      <c r="Q528" s="16"/>
      <c r="R528" s="16"/>
      <c r="S528" s="16"/>
      <c r="T528" s="16"/>
      <c r="U528" s="16"/>
      <c r="V528" s="16"/>
      <c r="W528" s="16"/>
      <c r="X528" s="16"/>
      <c r="Y528" s="16"/>
      <c r="Z528" s="16"/>
    </row>
    <row r="529" ht="12.75" spans="1:26">
      <c r="A529" s="23"/>
      <c r="B529" s="16"/>
      <c r="C529" s="23"/>
      <c r="D529" s="24"/>
      <c r="E529" s="16"/>
      <c r="F529" s="24"/>
      <c r="G529" s="24"/>
      <c r="H529" s="16"/>
      <c r="I529" s="16"/>
      <c r="J529" s="16"/>
      <c r="K529" s="16"/>
      <c r="L529" s="16"/>
      <c r="M529" s="16"/>
      <c r="N529" s="16"/>
      <c r="O529" s="16"/>
      <c r="P529" s="16"/>
      <c r="Q529" s="16"/>
      <c r="R529" s="16"/>
      <c r="S529" s="16"/>
      <c r="T529" s="16"/>
      <c r="U529" s="16"/>
      <c r="V529" s="16"/>
      <c r="W529" s="16"/>
      <c r="X529" s="16"/>
      <c r="Y529" s="16"/>
      <c r="Z529" s="16"/>
    </row>
    <row r="530" ht="12.75" spans="1:26">
      <c r="A530" s="23"/>
      <c r="B530" s="16"/>
      <c r="C530" s="23"/>
      <c r="D530" s="24"/>
      <c r="E530" s="16"/>
      <c r="F530" s="24"/>
      <c r="G530" s="24"/>
      <c r="H530" s="16"/>
      <c r="I530" s="16"/>
      <c r="J530" s="16"/>
      <c r="K530" s="16"/>
      <c r="L530" s="16"/>
      <c r="M530" s="16"/>
      <c r="N530" s="16"/>
      <c r="O530" s="16"/>
      <c r="P530" s="16"/>
      <c r="Q530" s="16"/>
      <c r="R530" s="16"/>
      <c r="S530" s="16"/>
      <c r="T530" s="16"/>
      <c r="U530" s="16"/>
      <c r="V530" s="16"/>
      <c r="W530" s="16"/>
      <c r="X530" s="16"/>
      <c r="Y530" s="16"/>
      <c r="Z530" s="16"/>
    </row>
    <row r="531" ht="12.75" spans="1:26">
      <c r="A531" s="23"/>
      <c r="B531" s="16"/>
      <c r="C531" s="23"/>
      <c r="D531" s="24"/>
      <c r="E531" s="16"/>
      <c r="F531" s="24"/>
      <c r="G531" s="24"/>
      <c r="H531" s="16"/>
      <c r="I531" s="16"/>
      <c r="J531" s="16"/>
      <c r="K531" s="16"/>
      <c r="L531" s="16"/>
      <c r="M531" s="16"/>
      <c r="N531" s="16"/>
      <c r="O531" s="16"/>
      <c r="P531" s="16"/>
      <c r="Q531" s="16"/>
      <c r="R531" s="16"/>
      <c r="S531" s="16"/>
      <c r="T531" s="16"/>
      <c r="U531" s="16"/>
      <c r="V531" s="16"/>
      <c r="W531" s="16"/>
      <c r="X531" s="16"/>
      <c r="Y531" s="16"/>
      <c r="Z531" s="16"/>
    </row>
    <row r="532" ht="12.75" spans="1:26">
      <c r="A532" s="23"/>
      <c r="B532" s="16"/>
      <c r="C532" s="23"/>
      <c r="D532" s="24"/>
      <c r="E532" s="16"/>
      <c r="F532" s="24"/>
      <c r="G532" s="24"/>
      <c r="H532" s="16"/>
      <c r="I532" s="16"/>
      <c r="J532" s="16"/>
      <c r="K532" s="16"/>
      <c r="L532" s="16"/>
      <c r="M532" s="16"/>
      <c r="N532" s="16"/>
      <c r="O532" s="16"/>
      <c r="P532" s="16"/>
      <c r="Q532" s="16"/>
      <c r="R532" s="16"/>
      <c r="S532" s="16"/>
      <c r="T532" s="16"/>
      <c r="U532" s="16"/>
      <c r="V532" s="16"/>
      <c r="W532" s="16"/>
      <c r="X532" s="16"/>
      <c r="Y532" s="16"/>
      <c r="Z532" s="16"/>
    </row>
    <row r="533" ht="12.75" spans="1:26">
      <c r="A533" s="23"/>
      <c r="B533" s="16"/>
      <c r="C533" s="23"/>
      <c r="D533" s="24"/>
      <c r="E533" s="16"/>
      <c r="F533" s="24"/>
      <c r="G533" s="24"/>
      <c r="H533" s="16"/>
      <c r="I533" s="16"/>
      <c r="J533" s="16"/>
      <c r="K533" s="16"/>
      <c r="L533" s="16"/>
      <c r="M533" s="16"/>
      <c r="N533" s="16"/>
      <c r="O533" s="16"/>
      <c r="P533" s="16"/>
      <c r="Q533" s="16"/>
      <c r="R533" s="16"/>
      <c r="S533" s="16"/>
      <c r="T533" s="16"/>
      <c r="U533" s="16"/>
      <c r="V533" s="16"/>
      <c r="W533" s="16"/>
      <c r="X533" s="16"/>
      <c r="Y533" s="16"/>
      <c r="Z533" s="16"/>
    </row>
    <row r="534" ht="12.75" spans="1:26">
      <c r="A534" s="23"/>
      <c r="B534" s="16"/>
      <c r="C534" s="23"/>
      <c r="D534" s="24"/>
      <c r="E534" s="16"/>
      <c r="F534" s="24"/>
      <c r="G534" s="24"/>
      <c r="H534" s="16"/>
      <c r="I534" s="16"/>
      <c r="J534" s="16"/>
      <c r="K534" s="16"/>
      <c r="L534" s="16"/>
      <c r="M534" s="16"/>
      <c r="N534" s="16"/>
      <c r="O534" s="16"/>
      <c r="P534" s="16"/>
      <c r="Q534" s="16"/>
      <c r="R534" s="16"/>
      <c r="S534" s="16"/>
      <c r="T534" s="16"/>
      <c r="U534" s="16"/>
      <c r="V534" s="16"/>
      <c r="W534" s="16"/>
      <c r="X534" s="16"/>
      <c r="Y534" s="16"/>
      <c r="Z534" s="16"/>
    </row>
    <row r="535" ht="12.75" spans="1:26">
      <c r="A535" s="23"/>
      <c r="B535" s="16"/>
      <c r="C535" s="23"/>
      <c r="D535" s="24"/>
      <c r="E535" s="16"/>
      <c r="F535" s="24"/>
      <c r="G535" s="24"/>
      <c r="H535" s="16"/>
      <c r="I535" s="16"/>
      <c r="J535" s="16"/>
      <c r="K535" s="16"/>
      <c r="L535" s="16"/>
      <c r="M535" s="16"/>
      <c r="N535" s="16"/>
      <c r="O535" s="16"/>
      <c r="P535" s="16"/>
      <c r="Q535" s="16"/>
      <c r="R535" s="16"/>
      <c r="S535" s="16"/>
      <c r="T535" s="16"/>
      <c r="U535" s="16"/>
      <c r="V535" s="16"/>
      <c r="W535" s="16"/>
      <c r="X535" s="16"/>
      <c r="Y535" s="16"/>
      <c r="Z535" s="16"/>
    </row>
    <row r="536" ht="12.75" spans="1:26">
      <c r="A536" s="23"/>
      <c r="B536" s="16"/>
      <c r="C536" s="23"/>
      <c r="D536" s="24"/>
      <c r="E536" s="16"/>
      <c r="F536" s="24"/>
      <c r="G536" s="24"/>
      <c r="H536" s="16"/>
      <c r="I536" s="16"/>
      <c r="J536" s="16"/>
      <c r="K536" s="16"/>
      <c r="L536" s="16"/>
      <c r="M536" s="16"/>
      <c r="N536" s="16"/>
      <c r="O536" s="16"/>
      <c r="P536" s="16"/>
      <c r="Q536" s="16"/>
      <c r="R536" s="16"/>
      <c r="S536" s="16"/>
      <c r="T536" s="16"/>
      <c r="U536" s="16"/>
      <c r="V536" s="16"/>
      <c r="W536" s="16"/>
      <c r="X536" s="16"/>
      <c r="Y536" s="16"/>
      <c r="Z536" s="16"/>
    </row>
    <row r="537" ht="12.75" spans="1:26">
      <c r="A537" s="23"/>
      <c r="B537" s="16"/>
      <c r="C537" s="23"/>
      <c r="D537" s="24"/>
      <c r="E537" s="16"/>
      <c r="F537" s="24"/>
      <c r="G537" s="24"/>
      <c r="H537" s="16"/>
      <c r="I537" s="16"/>
      <c r="J537" s="16"/>
      <c r="K537" s="16"/>
      <c r="L537" s="16"/>
      <c r="M537" s="16"/>
      <c r="N537" s="16"/>
      <c r="O537" s="16"/>
      <c r="P537" s="16"/>
      <c r="Q537" s="16"/>
      <c r="R537" s="16"/>
      <c r="S537" s="16"/>
      <c r="T537" s="16"/>
      <c r="U537" s="16"/>
      <c r="V537" s="16"/>
      <c r="W537" s="16"/>
      <c r="X537" s="16"/>
      <c r="Y537" s="16"/>
      <c r="Z537" s="16"/>
    </row>
    <row r="538" ht="12.75" spans="1:26">
      <c r="A538" s="23"/>
      <c r="B538" s="16"/>
      <c r="C538" s="23"/>
      <c r="D538" s="24"/>
      <c r="E538" s="16"/>
      <c r="F538" s="24"/>
      <c r="G538" s="24"/>
      <c r="H538" s="16"/>
      <c r="I538" s="16"/>
      <c r="J538" s="16"/>
      <c r="K538" s="16"/>
      <c r="L538" s="16"/>
      <c r="M538" s="16"/>
      <c r="N538" s="16"/>
      <c r="O538" s="16"/>
      <c r="P538" s="16"/>
      <c r="Q538" s="16"/>
      <c r="R538" s="16"/>
      <c r="S538" s="16"/>
      <c r="T538" s="16"/>
      <c r="U538" s="16"/>
      <c r="V538" s="16"/>
      <c r="W538" s="16"/>
      <c r="X538" s="16"/>
      <c r="Y538" s="16"/>
      <c r="Z538" s="16"/>
    </row>
    <row r="539" ht="12.75" spans="1:26">
      <c r="A539" s="23"/>
      <c r="B539" s="16"/>
      <c r="C539" s="23"/>
      <c r="D539" s="24"/>
      <c r="E539" s="16"/>
      <c r="F539" s="24"/>
      <c r="G539" s="24"/>
      <c r="H539" s="16"/>
      <c r="I539" s="16"/>
      <c r="J539" s="16"/>
      <c r="K539" s="16"/>
      <c r="L539" s="16"/>
      <c r="M539" s="16"/>
      <c r="N539" s="16"/>
      <c r="O539" s="16"/>
      <c r="P539" s="16"/>
      <c r="Q539" s="16"/>
      <c r="R539" s="16"/>
      <c r="S539" s="16"/>
      <c r="T539" s="16"/>
      <c r="U539" s="16"/>
      <c r="V539" s="16"/>
      <c r="W539" s="16"/>
      <c r="X539" s="16"/>
      <c r="Y539" s="16"/>
      <c r="Z539" s="16"/>
    </row>
    <row r="540" ht="12.75" spans="1:26">
      <c r="A540" s="23"/>
      <c r="B540" s="16"/>
      <c r="C540" s="23"/>
      <c r="D540" s="24"/>
      <c r="E540" s="16"/>
      <c r="F540" s="24"/>
      <c r="G540" s="24"/>
      <c r="H540" s="16"/>
      <c r="I540" s="16"/>
      <c r="J540" s="16"/>
      <c r="K540" s="16"/>
      <c r="L540" s="16"/>
      <c r="M540" s="16"/>
      <c r="N540" s="16"/>
      <c r="O540" s="16"/>
      <c r="P540" s="16"/>
      <c r="Q540" s="16"/>
      <c r="R540" s="16"/>
      <c r="S540" s="16"/>
      <c r="T540" s="16"/>
      <c r="U540" s="16"/>
      <c r="V540" s="16"/>
      <c r="W540" s="16"/>
      <c r="X540" s="16"/>
      <c r="Y540" s="16"/>
      <c r="Z540" s="16"/>
    </row>
    <row r="541" ht="12.75" spans="1:26">
      <c r="A541" s="23"/>
      <c r="B541" s="16"/>
      <c r="C541" s="23"/>
      <c r="D541" s="24"/>
      <c r="E541" s="16"/>
      <c r="F541" s="24"/>
      <c r="G541" s="24"/>
      <c r="H541" s="16"/>
      <c r="I541" s="16"/>
      <c r="J541" s="16"/>
      <c r="K541" s="16"/>
      <c r="L541" s="16"/>
      <c r="M541" s="16"/>
      <c r="N541" s="16"/>
      <c r="O541" s="16"/>
      <c r="P541" s="16"/>
      <c r="Q541" s="16"/>
      <c r="R541" s="16"/>
      <c r="S541" s="16"/>
      <c r="T541" s="16"/>
      <c r="U541" s="16"/>
      <c r="V541" s="16"/>
      <c r="W541" s="16"/>
      <c r="X541" s="16"/>
      <c r="Y541" s="16"/>
      <c r="Z541" s="16"/>
    </row>
    <row r="542" ht="12.75" spans="1:26">
      <c r="A542" s="23"/>
      <c r="B542" s="16"/>
      <c r="C542" s="23"/>
      <c r="D542" s="24"/>
      <c r="E542" s="16"/>
      <c r="F542" s="24"/>
      <c r="G542" s="24"/>
      <c r="H542" s="16"/>
      <c r="I542" s="16"/>
      <c r="J542" s="16"/>
      <c r="K542" s="16"/>
      <c r="L542" s="16"/>
      <c r="M542" s="16"/>
      <c r="N542" s="16"/>
      <c r="O542" s="16"/>
      <c r="P542" s="16"/>
      <c r="Q542" s="16"/>
      <c r="R542" s="16"/>
      <c r="S542" s="16"/>
      <c r="T542" s="16"/>
      <c r="U542" s="16"/>
      <c r="V542" s="16"/>
      <c r="W542" s="16"/>
      <c r="X542" s="16"/>
      <c r="Y542" s="16"/>
      <c r="Z542" s="16"/>
    </row>
    <row r="543" ht="12.75" spans="1:26">
      <c r="A543" s="23"/>
      <c r="B543" s="16"/>
      <c r="C543" s="23"/>
      <c r="D543" s="24"/>
      <c r="E543" s="16"/>
      <c r="F543" s="24"/>
      <c r="G543" s="24"/>
      <c r="H543" s="16"/>
      <c r="I543" s="16"/>
      <c r="J543" s="16"/>
      <c r="K543" s="16"/>
      <c r="L543" s="16"/>
      <c r="M543" s="16"/>
      <c r="N543" s="16"/>
      <c r="O543" s="16"/>
      <c r="P543" s="16"/>
      <c r="Q543" s="16"/>
      <c r="R543" s="16"/>
      <c r="S543" s="16"/>
      <c r="T543" s="16"/>
      <c r="U543" s="16"/>
      <c r="V543" s="16"/>
      <c r="W543" s="16"/>
      <c r="X543" s="16"/>
      <c r="Y543" s="16"/>
      <c r="Z543" s="16"/>
    </row>
    <row r="544" ht="12.75" spans="1:26">
      <c r="A544" s="23"/>
      <c r="B544" s="16"/>
      <c r="C544" s="23"/>
      <c r="D544" s="24"/>
      <c r="E544" s="16"/>
      <c r="F544" s="24"/>
      <c r="G544" s="24"/>
      <c r="H544" s="16"/>
      <c r="I544" s="16"/>
      <c r="J544" s="16"/>
      <c r="K544" s="16"/>
      <c r="L544" s="16"/>
      <c r="M544" s="16"/>
      <c r="N544" s="16"/>
      <c r="O544" s="16"/>
      <c r="P544" s="16"/>
      <c r="Q544" s="16"/>
      <c r="R544" s="16"/>
      <c r="S544" s="16"/>
      <c r="T544" s="16"/>
      <c r="U544" s="16"/>
      <c r="V544" s="16"/>
      <c r="W544" s="16"/>
      <c r="X544" s="16"/>
      <c r="Y544" s="16"/>
      <c r="Z544" s="16"/>
    </row>
    <row r="545" ht="12.75" spans="1:26">
      <c r="A545" s="23"/>
      <c r="B545" s="16"/>
      <c r="C545" s="23"/>
      <c r="D545" s="24"/>
      <c r="E545" s="16"/>
      <c r="F545" s="24"/>
      <c r="G545" s="24"/>
      <c r="H545" s="16"/>
      <c r="I545" s="16"/>
      <c r="J545" s="16"/>
      <c r="K545" s="16"/>
      <c r="L545" s="16"/>
      <c r="M545" s="16"/>
      <c r="N545" s="16"/>
      <c r="O545" s="16"/>
      <c r="P545" s="16"/>
      <c r="Q545" s="16"/>
      <c r="R545" s="16"/>
      <c r="S545" s="16"/>
      <c r="T545" s="16"/>
      <c r="U545" s="16"/>
      <c r="V545" s="16"/>
      <c r="W545" s="16"/>
      <c r="X545" s="16"/>
      <c r="Y545" s="16"/>
      <c r="Z545" s="16"/>
    </row>
    <row r="546" ht="12.75" spans="1:26">
      <c r="A546" s="23"/>
      <c r="B546" s="16"/>
      <c r="C546" s="23"/>
      <c r="D546" s="24"/>
      <c r="E546" s="16"/>
      <c r="F546" s="24"/>
      <c r="G546" s="24"/>
      <c r="H546" s="16"/>
      <c r="I546" s="16"/>
      <c r="J546" s="16"/>
      <c r="K546" s="16"/>
      <c r="L546" s="16"/>
      <c r="M546" s="16"/>
      <c r="N546" s="16"/>
      <c r="O546" s="16"/>
      <c r="P546" s="16"/>
      <c r="Q546" s="16"/>
      <c r="R546" s="16"/>
      <c r="S546" s="16"/>
      <c r="T546" s="16"/>
      <c r="U546" s="16"/>
      <c r="V546" s="16"/>
      <c r="W546" s="16"/>
      <c r="X546" s="16"/>
      <c r="Y546" s="16"/>
      <c r="Z546" s="16"/>
    </row>
    <row r="547" ht="12.75" spans="1:26">
      <c r="A547" s="23"/>
      <c r="B547" s="16"/>
      <c r="C547" s="23"/>
      <c r="D547" s="24"/>
      <c r="E547" s="16"/>
      <c r="F547" s="24"/>
      <c r="G547" s="24"/>
      <c r="H547" s="16"/>
      <c r="I547" s="16"/>
      <c r="J547" s="16"/>
      <c r="K547" s="16"/>
      <c r="L547" s="16"/>
      <c r="M547" s="16"/>
      <c r="N547" s="16"/>
      <c r="O547" s="16"/>
      <c r="P547" s="16"/>
      <c r="Q547" s="16"/>
      <c r="R547" s="16"/>
      <c r="S547" s="16"/>
      <c r="T547" s="16"/>
      <c r="U547" s="16"/>
      <c r="V547" s="16"/>
      <c r="W547" s="16"/>
      <c r="X547" s="16"/>
      <c r="Y547" s="16"/>
      <c r="Z547" s="16"/>
    </row>
    <row r="548" ht="12.75" spans="1:26">
      <c r="A548" s="23"/>
      <c r="B548" s="16"/>
      <c r="C548" s="23"/>
      <c r="D548" s="24"/>
      <c r="E548" s="16"/>
      <c r="F548" s="24"/>
      <c r="G548" s="24"/>
      <c r="H548" s="16"/>
      <c r="I548" s="16"/>
      <c r="J548" s="16"/>
      <c r="K548" s="16"/>
      <c r="L548" s="16"/>
      <c r="M548" s="16"/>
      <c r="N548" s="16"/>
      <c r="O548" s="16"/>
      <c r="P548" s="16"/>
      <c r="Q548" s="16"/>
      <c r="R548" s="16"/>
      <c r="S548" s="16"/>
      <c r="T548" s="16"/>
      <c r="U548" s="16"/>
      <c r="V548" s="16"/>
      <c r="W548" s="16"/>
      <c r="X548" s="16"/>
      <c r="Y548" s="16"/>
      <c r="Z548" s="16"/>
    </row>
    <row r="549" ht="12.75" spans="1:26">
      <c r="A549" s="23"/>
      <c r="B549" s="16"/>
      <c r="C549" s="23"/>
      <c r="D549" s="24"/>
      <c r="E549" s="16"/>
      <c r="F549" s="24"/>
      <c r="G549" s="24"/>
      <c r="H549" s="16"/>
      <c r="I549" s="16"/>
      <c r="J549" s="16"/>
      <c r="K549" s="16"/>
      <c r="L549" s="16"/>
      <c r="M549" s="16"/>
      <c r="N549" s="16"/>
      <c r="O549" s="16"/>
      <c r="P549" s="16"/>
      <c r="Q549" s="16"/>
      <c r="R549" s="16"/>
      <c r="S549" s="16"/>
      <c r="T549" s="16"/>
      <c r="U549" s="16"/>
      <c r="V549" s="16"/>
      <c r="W549" s="16"/>
      <c r="X549" s="16"/>
      <c r="Y549" s="16"/>
      <c r="Z549" s="16"/>
    </row>
    <row r="550" ht="12.75" spans="1:26">
      <c r="A550" s="23"/>
      <c r="B550" s="16"/>
      <c r="C550" s="23"/>
      <c r="D550" s="24"/>
      <c r="E550" s="16"/>
      <c r="F550" s="24"/>
      <c r="G550" s="24"/>
      <c r="H550" s="16"/>
      <c r="I550" s="16"/>
      <c r="J550" s="16"/>
      <c r="K550" s="16"/>
      <c r="L550" s="16"/>
      <c r="M550" s="16"/>
      <c r="N550" s="16"/>
      <c r="O550" s="16"/>
      <c r="P550" s="16"/>
      <c r="Q550" s="16"/>
      <c r="R550" s="16"/>
      <c r="S550" s="16"/>
      <c r="T550" s="16"/>
      <c r="U550" s="16"/>
      <c r="V550" s="16"/>
      <c r="W550" s="16"/>
      <c r="X550" s="16"/>
      <c r="Y550" s="16"/>
      <c r="Z550" s="16"/>
    </row>
    <row r="551" ht="12.75" spans="1:26">
      <c r="A551" s="23"/>
      <c r="B551" s="16"/>
      <c r="C551" s="23"/>
      <c r="D551" s="24"/>
      <c r="E551" s="16"/>
      <c r="F551" s="24"/>
      <c r="G551" s="24"/>
      <c r="H551" s="16"/>
      <c r="I551" s="16"/>
      <c r="J551" s="16"/>
      <c r="K551" s="16"/>
      <c r="L551" s="16"/>
      <c r="M551" s="16"/>
      <c r="N551" s="16"/>
      <c r="O551" s="16"/>
      <c r="P551" s="16"/>
      <c r="Q551" s="16"/>
      <c r="R551" s="16"/>
      <c r="S551" s="16"/>
      <c r="T551" s="16"/>
      <c r="U551" s="16"/>
      <c r="V551" s="16"/>
      <c r="W551" s="16"/>
      <c r="X551" s="16"/>
      <c r="Y551" s="16"/>
      <c r="Z551" s="16"/>
    </row>
    <row r="552" ht="12.75" spans="1:26">
      <c r="A552" s="23"/>
      <c r="B552" s="16"/>
      <c r="C552" s="23"/>
      <c r="D552" s="24"/>
      <c r="E552" s="16"/>
      <c r="F552" s="24"/>
      <c r="G552" s="24"/>
      <c r="H552" s="16"/>
      <c r="I552" s="16"/>
      <c r="J552" s="16"/>
      <c r="K552" s="16"/>
      <c r="L552" s="16"/>
      <c r="M552" s="16"/>
      <c r="N552" s="16"/>
      <c r="O552" s="16"/>
      <c r="P552" s="16"/>
      <c r="Q552" s="16"/>
      <c r="R552" s="16"/>
      <c r="S552" s="16"/>
      <c r="T552" s="16"/>
      <c r="U552" s="16"/>
      <c r="V552" s="16"/>
      <c r="W552" s="16"/>
      <c r="X552" s="16"/>
      <c r="Y552" s="16"/>
      <c r="Z552" s="16"/>
    </row>
    <row r="553" ht="12.75" spans="1:26">
      <c r="A553" s="23"/>
      <c r="B553" s="16"/>
      <c r="C553" s="23"/>
      <c r="D553" s="24"/>
      <c r="E553" s="16"/>
      <c r="F553" s="24"/>
      <c r="G553" s="24"/>
      <c r="H553" s="16"/>
      <c r="I553" s="16"/>
      <c r="J553" s="16"/>
      <c r="K553" s="16"/>
      <c r="L553" s="16"/>
      <c r="M553" s="16"/>
      <c r="N553" s="16"/>
      <c r="O553" s="16"/>
      <c r="P553" s="16"/>
      <c r="Q553" s="16"/>
      <c r="R553" s="16"/>
      <c r="S553" s="16"/>
      <c r="T553" s="16"/>
      <c r="U553" s="16"/>
      <c r="V553" s="16"/>
      <c r="W553" s="16"/>
      <c r="X553" s="16"/>
      <c r="Y553" s="16"/>
      <c r="Z553" s="16"/>
    </row>
    <row r="554" ht="12.75" spans="1:26">
      <c r="A554" s="23"/>
      <c r="B554" s="16"/>
      <c r="C554" s="23"/>
      <c r="D554" s="24"/>
      <c r="E554" s="16"/>
      <c r="F554" s="24"/>
      <c r="G554" s="24"/>
      <c r="H554" s="16"/>
      <c r="I554" s="16"/>
      <c r="J554" s="16"/>
      <c r="K554" s="16"/>
      <c r="L554" s="16"/>
      <c r="M554" s="16"/>
      <c r="N554" s="16"/>
      <c r="O554" s="16"/>
      <c r="P554" s="16"/>
      <c r="Q554" s="16"/>
      <c r="R554" s="16"/>
      <c r="S554" s="16"/>
      <c r="T554" s="16"/>
      <c r="U554" s="16"/>
      <c r="V554" s="16"/>
      <c r="W554" s="16"/>
      <c r="X554" s="16"/>
      <c r="Y554" s="16"/>
      <c r="Z554" s="16"/>
    </row>
    <row r="555" ht="12.75" spans="1:26">
      <c r="A555" s="23"/>
      <c r="B555" s="16"/>
      <c r="C555" s="23"/>
      <c r="D555" s="24"/>
      <c r="E555" s="16"/>
      <c r="F555" s="24"/>
      <c r="G555" s="24"/>
      <c r="H555" s="16"/>
      <c r="I555" s="16"/>
      <c r="J555" s="16"/>
      <c r="K555" s="16"/>
      <c r="L555" s="16"/>
      <c r="M555" s="16"/>
      <c r="N555" s="16"/>
      <c r="O555" s="16"/>
      <c r="P555" s="16"/>
      <c r="Q555" s="16"/>
      <c r="R555" s="16"/>
      <c r="S555" s="16"/>
      <c r="T555" s="16"/>
      <c r="U555" s="16"/>
      <c r="V555" s="16"/>
      <c r="W555" s="16"/>
      <c r="X555" s="16"/>
      <c r="Y555" s="16"/>
      <c r="Z555" s="16"/>
    </row>
    <row r="556" ht="12.75" spans="1:26">
      <c r="A556" s="23"/>
      <c r="B556" s="16"/>
      <c r="C556" s="23"/>
      <c r="D556" s="24"/>
      <c r="E556" s="16"/>
      <c r="F556" s="24"/>
      <c r="G556" s="24"/>
      <c r="H556" s="16"/>
      <c r="I556" s="16"/>
      <c r="J556" s="16"/>
      <c r="K556" s="16"/>
      <c r="L556" s="16"/>
      <c r="M556" s="16"/>
      <c r="N556" s="16"/>
      <c r="O556" s="16"/>
      <c r="P556" s="16"/>
      <c r="Q556" s="16"/>
      <c r="R556" s="16"/>
      <c r="S556" s="16"/>
      <c r="T556" s="16"/>
      <c r="U556" s="16"/>
      <c r="V556" s="16"/>
      <c r="W556" s="16"/>
      <c r="X556" s="16"/>
      <c r="Y556" s="16"/>
      <c r="Z556" s="16"/>
    </row>
    <row r="557" ht="12.75" spans="1:26">
      <c r="A557" s="23"/>
      <c r="B557" s="16"/>
      <c r="C557" s="23"/>
      <c r="D557" s="24"/>
      <c r="E557" s="16"/>
      <c r="F557" s="24"/>
      <c r="G557" s="24"/>
      <c r="H557" s="16"/>
      <c r="I557" s="16"/>
      <c r="J557" s="16"/>
      <c r="K557" s="16"/>
      <c r="L557" s="16"/>
      <c r="M557" s="16"/>
      <c r="N557" s="16"/>
      <c r="O557" s="16"/>
      <c r="P557" s="16"/>
      <c r="Q557" s="16"/>
      <c r="R557" s="16"/>
      <c r="S557" s="16"/>
      <c r="T557" s="16"/>
      <c r="U557" s="16"/>
      <c r="V557" s="16"/>
      <c r="W557" s="16"/>
      <c r="X557" s="16"/>
      <c r="Y557" s="16"/>
      <c r="Z557" s="16"/>
    </row>
    <row r="558" ht="12.75" spans="1:26">
      <c r="A558" s="23"/>
      <c r="B558" s="16"/>
      <c r="C558" s="23"/>
      <c r="D558" s="24"/>
      <c r="E558" s="16"/>
      <c r="F558" s="24"/>
      <c r="G558" s="24"/>
      <c r="H558" s="16"/>
      <c r="I558" s="16"/>
      <c r="J558" s="16"/>
      <c r="K558" s="16"/>
      <c r="L558" s="16"/>
      <c r="M558" s="16"/>
      <c r="N558" s="16"/>
      <c r="O558" s="16"/>
      <c r="P558" s="16"/>
      <c r="Q558" s="16"/>
      <c r="R558" s="16"/>
      <c r="S558" s="16"/>
      <c r="T558" s="16"/>
      <c r="U558" s="16"/>
      <c r="V558" s="16"/>
      <c r="W558" s="16"/>
      <c r="X558" s="16"/>
      <c r="Y558" s="16"/>
      <c r="Z558" s="16"/>
    </row>
    <row r="559" ht="12.75" spans="1:26">
      <c r="A559" s="23"/>
      <c r="B559" s="16"/>
      <c r="C559" s="23"/>
      <c r="D559" s="24"/>
      <c r="E559" s="16"/>
      <c r="F559" s="24"/>
      <c r="G559" s="24"/>
      <c r="H559" s="16"/>
      <c r="I559" s="16"/>
      <c r="J559" s="16"/>
      <c r="K559" s="16"/>
      <c r="L559" s="16"/>
      <c r="M559" s="16"/>
      <c r="N559" s="16"/>
      <c r="O559" s="16"/>
      <c r="P559" s="16"/>
      <c r="Q559" s="16"/>
      <c r="R559" s="16"/>
      <c r="S559" s="16"/>
      <c r="T559" s="16"/>
      <c r="U559" s="16"/>
      <c r="V559" s="16"/>
      <c r="W559" s="16"/>
      <c r="X559" s="16"/>
      <c r="Y559" s="16"/>
      <c r="Z559" s="16"/>
    </row>
    <row r="560" ht="12.75" spans="1:26">
      <c r="A560" s="23"/>
      <c r="B560" s="16"/>
      <c r="C560" s="23"/>
      <c r="D560" s="24"/>
      <c r="E560" s="16"/>
      <c r="F560" s="24"/>
      <c r="G560" s="24"/>
      <c r="H560" s="16"/>
      <c r="I560" s="16"/>
      <c r="J560" s="16"/>
      <c r="K560" s="16"/>
      <c r="L560" s="16"/>
      <c r="M560" s="16"/>
      <c r="N560" s="16"/>
      <c r="O560" s="16"/>
      <c r="P560" s="16"/>
      <c r="Q560" s="16"/>
      <c r="R560" s="16"/>
      <c r="S560" s="16"/>
      <c r="T560" s="16"/>
      <c r="U560" s="16"/>
      <c r="V560" s="16"/>
      <c r="W560" s="16"/>
      <c r="X560" s="16"/>
      <c r="Y560" s="16"/>
      <c r="Z560" s="16"/>
    </row>
    <row r="561" ht="12.75" spans="1:26">
      <c r="A561" s="23"/>
      <c r="B561" s="16"/>
      <c r="C561" s="23"/>
      <c r="D561" s="24"/>
      <c r="E561" s="16"/>
      <c r="F561" s="24"/>
      <c r="G561" s="24"/>
      <c r="H561" s="16"/>
      <c r="I561" s="16"/>
      <c r="J561" s="16"/>
      <c r="K561" s="16"/>
      <c r="L561" s="16"/>
      <c r="M561" s="16"/>
      <c r="N561" s="16"/>
      <c r="O561" s="16"/>
      <c r="P561" s="16"/>
      <c r="Q561" s="16"/>
      <c r="R561" s="16"/>
      <c r="S561" s="16"/>
      <c r="T561" s="16"/>
      <c r="U561" s="16"/>
      <c r="V561" s="16"/>
      <c r="W561" s="16"/>
      <c r="X561" s="16"/>
      <c r="Y561" s="16"/>
      <c r="Z561" s="16"/>
    </row>
    <row r="562" ht="12.75" spans="1:26">
      <c r="A562" s="23"/>
      <c r="B562" s="16"/>
      <c r="C562" s="23"/>
      <c r="D562" s="24"/>
      <c r="E562" s="16"/>
      <c r="F562" s="24"/>
      <c r="G562" s="24"/>
      <c r="H562" s="16"/>
      <c r="I562" s="16"/>
      <c r="J562" s="16"/>
      <c r="K562" s="16"/>
      <c r="L562" s="16"/>
      <c r="M562" s="16"/>
      <c r="N562" s="16"/>
      <c r="O562" s="16"/>
      <c r="P562" s="16"/>
      <c r="Q562" s="16"/>
      <c r="R562" s="16"/>
      <c r="S562" s="16"/>
      <c r="T562" s="16"/>
      <c r="U562" s="16"/>
      <c r="V562" s="16"/>
      <c r="W562" s="16"/>
      <c r="X562" s="16"/>
      <c r="Y562" s="16"/>
      <c r="Z562" s="16"/>
    </row>
    <row r="563" ht="12.75" spans="1:26">
      <c r="A563" s="23"/>
      <c r="B563" s="16"/>
      <c r="C563" s="23"/>
      <c r="D563" s="24"/>
      <c r="E563" s="16"/>
      <c r="F563" s="24"/>
      <c r="G563" s="24"/>
      <c r="H563" s="16"/>
      <c r="I563" s="16"/>
      <c r="J563" s="16"/>
      <c r="K563" s="16"/>
      <c r="L563" s="16"/>
      <c r="M563" s="16"/>
      <c r="N563" s="16"/>
      <c r="O563" s="16"/>
      <c r="P563" s="16"/>
      <c r="Q563" s="16"/>
      <c r="R563" s="16"/>
      <c r="S563" s="16"/>
      <c r="T563" s="16"/>
      <c r="U563" s="16"/>
      <c r="V563" s="16"/>
      <c r="W563" s="16"/>
      <c r="X563" s="16"/>
      <c r="Y563" s="16"/>
      <c r="Z563" s="16"/>
    </row>
    <row r="564" ht="12.75" spans="1:26">
      <c r="A564" s="23"/>
      <c r="B564" s="16"/>
      <c r="C564" s="23"/>
      <c r="D564" s="24"/>
      <c r="E564" s="16"/>
      <c r="F564" s="24"/>
      <c r="G564" s="24"/>
      <c r="H564" s="16"/>
      <c r="I564" s="16"/>
      <c r="J564" s="16"/>
      <c r="K564" s="16"/>
      <c r="L564" s="16"/>
      <c r="M564" s="16"/>
      <c r="N564" s="16"/>
      <c r="O564" s="16"/>
      <c r="P564" s="16"/>
      <c r="Q564" s="16"/>
      <c r="R564" s="16"/>
      <c r="S564" s="16"/>
      <c r="T564" s="16"/>
      <c r="U564" s="16"/>
      <c r="V564" s="16"/>
      <c r="W564" s="16"/>
      <c r="X564" s="16"/>
      <c r="Y564" s="16"/>
      <c r="Z564" s="16"/>
    </row>
    <row r="565" ht="12.75" spans="1:26">
      <c r="A565" s="23"/>
      <c r="B565" s="16"/>
      <c r="C565" s="23"/>
      <c r="D565" s="24"/>
      <c r="E565" s="16"/>
      <c r="F565" s="24"/>
      <c r="G565" s="24"/>
      <c r="H565" s="16"/>
      <c r="I565" s="16"/>
      <c r="J565" s="16"/>
      <c r="K565" s="16"/>
      <c r="L565" s="16"/>
      <c r="M565" s="16"/>
      <c r="N565" s="16"/>
      <c r="O565" s="16"/>
      <c r="P565" s="16"/>
      <c r="Q565" s="16"/>
      <c r="R565" s="16"/>
      <c r="S565" s="16"/>
      <c r="T565" s="16"/>
      <c r="U565" s="16"/>
      <c r="V565" s="16"/>
      <c r="W565" s="16"/>
      <c r="X565" s="16"/>
      <c r="Y565" s="16"/>
      <c r="Z565" s="16"/>
    </row>
    <row r="566" ht="12.75" spans="1:26">
      <c r="A566" s="23"/>
      <c r="B566" s="16"/>
      <c r="C566" s="23"/>
      <c r="D566" s="24"/>
      <c r="E566" s="16"/>
      <c r="F566" s="24"/>
      <c r="G566" s="24"/>
      <c r="H566" s="16"/>
      <c r="I566" s="16"/>
      <c r="J566" s="16"/>
      <c r="K566" s="16"/>
      <c r="L566" s="16"/>
      <c r="M566" s="16"/>
      <c r="N566" s="16"/>
      <c r="O566" s="16"/>
      <c r="P566" s="16"/>
      <c r="Q566" s="16"/>
      <c r="R566" s="16"/>
      <c r="S566" s="16"/>
      <c r="T566" s="16"/>
      <c r="U566" s="16"/>
      <c r="V566" s="16"/>
      <c r="W566" s="16"/>
      <c r="X566" s="16"/>
      <c r="Y566" s="16"/>
      <c r="Z566" s="16"/>
    </row>
    <row r="567" ht="12.75" spans="1:26">
      <c r="A567" s="23"/>
      <c r="B567" s="16"/>
      <c r="C567" s="23"/>
      <c r="D567" s="24"/>
      <c r="E567" s="16"/>
      <c r="F567" s="24"/>
      <c r="G567" s="24"/>
      <c r="H567" s="16"/>
      <c r="I567" s="16"/>
      <c r="J567" s="16"/>
      <c r="K567" s="16"/>
      <c r="L567" s="16"/>
      <c r="M567" s="16"/>
      <c r="N567" s="16"/>
      <c r="O567" s="16"/>
      <c r="P567" s="16"/>
      <c r="Q567" s="16"/>
      <c r="R567" s="16"/>
      <c r="S567" s="16"/>
      <c r="T567" s="16"/>
      <c r="U567" s="16"/>
      <c r="V567" s="16"/>
      <c r="W567" s="16"/>
      <c r="X567" s="16"/>
      <c r="Y567" s="16"/>
      <c r="Z567" s="16"/>
    </row>
    <row r="568" ht="12.75" spans="1:26">
      <c r="A568" s="23"/>
      <c r="B568" s="16"/>
      <c r="C568" s="23"/>
      <c r="D568" s="24"/>
      <c r="E568" s="16"/>
      <c r="F568" s="24"/>
      <c r="G568" s="24"/>
      <c r="H568" s="16"/>
      <c r="I568" s="16"/>
      <c r="J568" s="16"/>
      <c r="K568" s="16"/>
      <c r="L568" s="16"/>
      <c r="M568" s="16"/>
      <c r="N568" s="16"/>
      <c r="O568" s="16"/>
      <c r="P568" s="16"/>
      <c r="Q568" s="16"/>
      <c r="R568" s="16"/>
      <c r="S568" s="16"/>
      <c r="T568" s="16"/>
      <c r="U568" s="16"/>
      <c r="V568" s="16"/>
      <c r="W568" s="16"/>
      <c r="X568" s="16"/>
      <c r="Y568" s="16"/>
      <c r="Z568" s="16"/>
    </row>
    <row r="569" ht="12.75" spans="1:26">
      <c r="A569" s="23"/>
      <c r="B569" s="16"/>
      <c r="C569" s="23"/>
      <c r="D569" s="24"/>
      <c r="E569" s="16"/>
      <c r="F569" s="24"/>
      <c r="G569" s="24"/>
      <c r="H569" s="16"/>
      <c r="I569" s="16"/>
      <c r="J569" s="16"/>
      <c r="K569" s="16"/>
      <c r="L569" s="16"/>
      <c r="M569" s="16"/>
      <c r="N569" s="16"/>
      <c r="O569" s="16"/>
      <c r="P569" s="16"/>
      <c r="Q569" s="16"/>
      <c r="R569" s="16"/>
      <c r="S569" s="16"/>
      <c r="T569" s="16"/>
      <c r="U569" s="16"/>
      <c r="V569" s="16"/>
      <c r="W569" s="16"/>
      <c r="X569" s="16"/>
      <c r="Y569" s="16"/>
      <c r="Z569" s="16"/>
    </row>
    <row r="570" ht="12.75" spans="1:26">
      <c r="A570" s="23"/>
      <c r="B570" s="16"/>
      <c r="C570" s="23"/>
      <c r="D570" s="24"/>
      <c r="E570" s="16"/>
      <c r="F570" s="24"/>
      <c r="G570" s="24"/>
      <c r="H570" s="16"/>
      <c r="I570" s="16"/>
      <c r="J570" s="16"/>
      <c r="K570" s="16"/>
      <c r="L570" s="16"/>
      <c r="M570" s="16"/>
      <c r="N570" s="16"/>
      <c r="O570" s="16"/>
      <c r="P570" s="16"/>
      <c r="Q570" s="16"/>
      <c r="R570" s="16"/>
      <c r="S570" s="16"/>
      <c r="T570" s="16"/>
      <c r="U570" s="16"/>
      <c r="V570" s="16"/>
      <c r="W570" s="16"/>
      <c r="X570" s="16"/>
      <c r="Y570" s="16"/>
      <c r="Z570" s="16"/>
    </row>
    <row r="571" ht="12.75" spans="1:26">
      <c r="A571" s="23"/>
      <c r="B571" s="16"/>
      <c r="C571" s="23"/>
      <c r="D571" s="24"/>
      <c r="E571" s="16"/>
      <c r="F571" s="24"/>
      <c r="G571" s="24"/>
      <c r="H571" s="16"/>
      <c r="I571" s="16"/>
      <c r="J571" s="16"/>
      <c r="K571" s="16"/>
      <c r="L571" s="16"/>
      <c r="M571" s="16"/>
      <c r="N571" s="16"/>
      <c r="O571" s="16"/>
      <c r="P571" s="16"/>
      <c r="Q571" s="16"/>
      <c r="R571" s="16"/>
      <c r="S571" s="16"/>
      <c r="T571" s="16"/>
      <c r="U571" s="16"/>
      <c r="V571" s="16"/>
      <c r="W571" s="16"/>
      <c r="X571" s="16"/>
      <c r="Y571" s="16"/>
      <c r="Z571" s="16"/>
    </row>
    <row r="572" ht="12.75" spans="1:26">
      <c r="A572" s="23"/>
      <c r="B572" s="16"/>
      <c r="C572" s="23"/>
      <c r="D572" s="24"/>
      <c r="E572" s="16"/>
      <c r="F572" s="24"/>
      <c r="G572" s="24"/>
      <c r="H572" s="16"/>
      <c r="I572" s="16"/>
      <c r="J572" s="16"/>
      <c r="K572" s="16"/>
      <c r="L572" s="16"/>
      <c r="M572" s="16"/>
      <c r="N572" s="16"/>
      <c r="O572" s="16"/>
      <c r="P572" s="16"/>
      <c r="Q572" s="16"/>
      <c r="R572" s="16"/>
      <c r="S572" s="16"/>
      <c r="T572" s="16"/>
      <c r="U572" s="16"/>
      <c r="V572" s="16"/>
      <c r="W572" s="16"/>
      <c r="X572" s="16"/>
      <c r="Y572" s="16"/>
      <c r="Z572" s="16"/>
    </row>
    <row r="573" ht="12.75" spans="1:26">
      <c r="A573" s="23"/>
      <c r="B573" s="16"/>
      <c r="C573" s="23"/>
      <c r="D573" s="24"/>
      <c r="E573" s="16"/>
      <c r="F573" s="24"/>
      <c r="G573" s="24"/>
      <c r="H573" s="16"/>
      <c r="I573" s="16"/>
      <c r="J573" s="16"/>
      <c r="K573" s="16"/>
      <c r="L573" s="16"/>
      <c r="M573" s="16"/>
      <c r="N573" s="16"/>
      <c r="O573" s="16"/>
      <c r="P573" s="16"/>
      <c r="Q573" s="16"/>
      <c r="R573" s="16"/>
      <c r="S573" s="16"/>
      <c r="T573" s="16"/>
      <c r="U573" s="16"/>
      <c r="V573" s="16"/>
      <c r="W573" s="16"/>
      <c r="X573" s="16"/>
      <c r="Y573" s="16"/>
      <c r="Z573" s="16"/>
    </row>
    <row r="574" ht="12.75" spans="1:26">
      <c r="A574" s="23"/>
      <c r="B574" s="16"/>
      <c r="C574" s="23"/>
      <c r="D574" s="24"/>
      <c r="E574" s="16"/>
      <c r="F574" s="24"/>
      <c r="G574" s="24"/>
      <c r="H574" s="16"/>
      <c r="I574" s="16"/>
      <c r="J574" s="16"/>
      <c r="K574" s="16"/>
      <c r="L574" s="16"/>
      <c r="M574" s="16"/>
      <c r="N574" s="16"/>
      <c r="O574" s="16"/>
      <c r="P574" s="16"/>
      <c r="Q574" s="16"/>
      <c r="R574" s="16"/>
      <c r="S574" s="16"/>
      <c r="T574" s="16"/>
      <c r="U574" s="16"/>
      <c r="V574" s="16"/>
      <c r="W574" s="16"/>
      <c r="X574" s="16"/>
      <c r="Y574" s="16"/>
      <c r="Z574" s="16"/>
    </row>
    <row r="575" ht="12.75" spans="1:26">
      <c r="A575" s="23"/>
      <c r="B575" s="16"/>
      <c r="C575" s="23"/>
      <c r="D575" s="24"/>
      <c r="E575" s="16"/>
      <c r="F575" s="24"/>
      <c r="G575" s="24"/>
      <c r="H575" s="16"/>
      <c r="I575" s="16"/>
      <c r="J575" s="16"/>
      <c r="K575" s="16"/>
      <c r="L575" s="16"/>
      <c r="M575" s="16"/>
      <c r="N575" s="16"/>
      <c r="O575" s="16"/>
      <c r="P575" s="16"/>
      <c r="Q575" s="16"/>
      <c r="R575" s="16"/>
      <c r="S575" s="16"/>
      <c r="T575" s="16"/>
      <c r="U575" s="16"/>
      <c r="V575" s="16"/>
      <c r="W575" s="16"/>
      <c r="X575" s="16"/>
      <c r="Y575" s="16"/>
      <c r="Z575" s="16"/>
    </row>
    <row r="576" ht="12.75" spans="1:26">
      <c r="A576" s="23"/>
      <c r="B576" s="16"/>
      <c r="C576" s="23"/>
      <c r="D576" s="24"/>
      <c r="E576" s="16"/>
      <c r="F576" s="24"/>
      <c r="G576" s="24"/>
      <c r="H576" s="16"/>
      <c r="I576" s="16"/>
      <c r="J576" s="16"/>
      <c r="K576" s="16"/>
      <c r="L576" s="16"/>
      <c r="M576" s="16"/>
      <c r="N576" s="16"/>
      <c r="O576" s="16"/>
      <c r="P576" s="16"/>
      <c r="Q576" s="16"/>
      <c r="R576" s="16"/>
      <c r="S576" s="16"/>
      <c r="T576" s="16"/>
      <c r="U576" s="16"/>
      <c r="V576" s="16"/>
      <c r="W576" s="16"/>
      <c r="X576" s="16"/>
      <c r="Y576" s="16"/>
      <c r="Z576" s="16"/>
    </row>
    <row r="577" ht="12.75" spans="1:26">
      <c r="A577" s="23"/>
      <c r="B577" s="16"/>
      <c r="C577" s="23"/>
      <c r="D577" s="24"/>
      <c r="E577" s="16"/>
      <c r="F577" s="24"/>
      <c r="G577" s="24"/>
      <c r="H577" s="16"/>
      <c r="I577" s="16"/>
      <c r="J577" s="16"/>
      <c r="K577" s="16"/>
      <c r="L577" s="16"/>
      <c r="M577" s="16"/>
      <c r="N577" s="16"/>
      <c r="O577" s="16"/>
      <c r="P577" s="16"/>
      <c r="Q577" s="16"/>
      <c r="R577" s="16"/>
      <c r="S577" s="16"/>
      <c r="T577" s="16"/>
      <c r="U577" s="16"/>
      <c r="V577" s="16"/>
      <c r="W577" s="16"/>
      <c r="X577" s="16"/>
      <c r="Y577" s="16"/>
      <c r="Z577" s="16"/>
    </row>
    <row r="578" ht="12.75" spans="1:26">
      <c r="A578" s="23"/>
      <c r="B578" s="16"/>
      <c r="C578" s="23"/>
      <c r="D578" s="24"/>
      <c r="E578" s="16"/>
      <c r="F578" s="24"/>
      <c r="G578" s="24"/>
      <c r="H578" s="16"/>
      <c r="I578" s="16"/>
      <c r="J578" s="16"/>
      <c r="K578" s="16"/>
      <c r="L578" s="16"/>
      <c r="M578" s="16"/>
      <c r="N578" s="16"/>
      <c r="O578" s="16"/>
      <c r="P578" s="16"/>
      <c r="Q578" s="16"/>
      <c r="R578" s="16"/>
      <c r="S578" s="16"/>
      <c r="T578" s="16"/>
      <c r="U578" s="16"/>
      <c r="V578" s="16"/>
      <c r="W578" s="16"/>
      <c r="X578" s="16"/>
      <c r="Y578" s="16"/>
      <c r="Z578" s="16"/>
    </row>
    <row r="579" ht="12.75" spans="1:26">
      <c r="A579" s="23"/>
      <c r="B579" s="16"/>
      <c r="C579" s="23"/>
      <c r="D579" s="24"/>
      <c r="E579" s="16"/>
      <c r="F579" s="24"/>
      <c r="G579" s="24"/>
      <c r="H579" s="16"/>
      <c r="I579" s="16"/>
      <c r="J579" s="16"/>
      <c r="K579" s="16"/>
      <c r="L579" s="16"/>
      <c r="M579" s="16"/>
      <c r="N579" s="16"/>
      <c r="O579" s="16"/>
      <c r="P579" s="16"/>
      <c r="Q579" s="16"/>
      <c r="R579" s="16"/>
      <c r="S579" s="16"/>
      <c r="T579" s="16"/>
      <c r="U579" s="16"/>
      <c r="V579" s="16"/>
      <c r="W579" s="16"/>
      <c r="X579" s="16"/>
      <c r="Y579" s="16"/>
      <c r="Z579" s="16"/>
    </row>
    <row r="580" ht="12.75" spans="1:26">
      <c r="A580" s="23"/>
      <c r="B580" s="16"/>
      <c r="C580" s="23"/>
      <c r="D580" s="24"/>
      <c r="E580" s="16"/>
      <c r="F580" s="24"/>
      <c r="G580" s="24"/>
      <c r="H580" s="16"/>
      <c r="I580" s="16"/>
      <c r="J580" s="16"/>
      <c r="K580" s="16"/>
      <c r="L580" s="16"/>
      <c r="M580" s="16"/>
      <c r="N580" s="16"/>
      <c r="O580" s="16"/>
      <c r="P580" s="16"/>
      <c r="Q580" s="16"/>
      <c r="R580" s="16"/>
      <c r="S580" s="16"/>
      <c r="T580" s="16"/>
      <c r="U580" s="16"/>
      <c r="V580" s="16"/>
      <c r="W580" s="16"/>
      <c r="X580" s="16"/>
      <c r="Y580" s="16"/>
      <c r="Z580" s="16"/>
    </row>
    <row r="581" ht="12.75" spans="1:26">
      <c r="A581" s="23"/>
      <c r="B581" s="16"/>
      <c r="C581" s="23"/>
      <c r="D581" s="24"/>
      <c r="E581" s="16"/>
      <c r="F581" s="24"/>
      <c r="G581" s="24"/>
      <c r="H581" s="16"/>
      <c r="I581" s="16"/>
      <c r="J581" s="16"/>
      <c r="K581" s="16"/>
      <c r="L581" s="16"/>
      <c r="M581" s="16"/>
      <c r="N581" s="16"/>
      <c r="O581" s="16"/>
      <c r="P581" s="16"/>
      <c r="Q581" s="16"/>
      <c r="R581" s="16"/>
      <c r="S581" s="16"/>
      <c r="T581" s="16"/>
      <c r="U581" s="16"/>
      <c r="V581" s="16"/>
      <c r="W581" s="16"/>
      <c r="X581" s="16"/>
      <c r="Y581" s="16"/>
      <c r="Z581" s="16"/>
    </row>
    <row r="582" ht="12.75" spans="1:26">
      <c r="A582" s="23"/>
      <c r="B582" s="16"/>
      <c r="C582" s="23"/>
      <c r="D582" s="24"/>
      <c r="E582" s="16"/>
      <c r="F582" s="24"/>
      <c r="G582" s="24"/>
      <c r="H582" s="16"/>
      <c r="I582" s="16"/>
      <c r="J582" s="16"/>
      <c r="K582" s="16"/>
      <c r="L582" s="16"/>
      <c r="M582" s="16"/>
      <c r="N582" s="16"/>
      <c r="O582" s="16"/>
      <c r="P582" s="16"/>
      <c r="Q582" s="16"/>
      <c r="R582" s="16"/>
      <c r="S582" s="16"/>
      <c r="T582" s="16"/>
      <c r="U582" s="16"/>
      <c r="V582" s="16"/>
      <c r="W582" s="16"/>
      <c r="X582" s="16"/>
      <c r="Y582" s="16"/>
      <c r="Z582" s="16"/>
    </row>
    <row r="583" ht="12.75" spans="1:26">
      <c r="A583" s="23"/>
      <c r="B583" s="16"/>
      <c r="C583" s="23"/>
      <c r="D583" s="24"/>
      <c r="E583" s="16"/>
      <c r="F583" s="24"/>
      <c r="G583" s="24"/>
      <c r="H583" s="16"/>
      <c r="I583" s="16"/>
      <c r="J583" s="16"/>
      <c r="K583" s="16"/>
      <c r="L583" s="16"/>
      <c r="M583" s="16"/>
      <c r="N583" s="16"/>
      <c r="O583" s="16"/>
      <c r="P583" s="16"/>
      <c r="Q583" s="16"/>
      <c r="R583" s="16"/>
      <c r="S583" s="16"/>
      <c r="T583" s="16"/>
      <c r="U583" s="16"/>
      <c r="V583" s="16"/>
      <c r="W583" s="16"/>
      <c r="X583" s="16"/>
      <c r="Y583" s="16"/>
      <c r="Z583" s="16"/>
    </row>
    <row r="584" ht="12.75" spans="1:26">
      <c r="A584" s="23"/>
      <c r="B584" s="16"/>
      <c r="C584" s="23"/>
      <c r="D584" s="24"/>
      <c r="E584" s="16"/>
      <c r="F584" s="24"/>
      <c r="G584" s="24"/>
      <c r="H584" s="16"/>
      <c r="I584" s="16"/>
      <c r="J584" s="16"/>
      <c r="K584" s="16"/>
      <c r="L584" s="16"/>
      <c r="M584" s="16"/>
      <c r="N584" s="16"/>
      <c r="O584" s="16"/>
      <c r="P584" s="16"/>
      <c r="Q584" s="16"/>
      <c r="R584" s="16"/>
      <c r="S584" s="16"/>
      <c r="T584" s="16"/>
      <c r="U584" s="16"/>
      <c r="V584" s="16"/>
      <c r="W584" s="16"/>
      <c r="X584" s="16"/>
      <c r="Y584" s="16"/>
      <c r="Z584" s="16"/>
    </row>
    <row r="585" ht="12.75" spans="1:26">
      <c r="A585" s="23"/>
      <c r="B585" s="16"/>
      <c r="C585" s="23"/>
      <c r="D585" s="24"/>
      <c r="E585" s="16"/>
      <c r="F585" s="24"/>
      <c r="G585" s="24"/>
      <c r="H585" s="16"/>
      <c r="I585" s="16"/>
      <c r="J585" s="16"/>
      <c r="K585" s="16"/>
      <c r="L585" s="16"/>
      <c r="M585" s="16"/>
      <c r="N585" s="16"/>
      <c r="O585" s="16"/>
      <c r="P585" s="16"/>
      <c r="Q585" s="16"/>
      <c r="R585" s="16"/>
      <c r="S585" s="16"/>
      <c r="T585" s="16"/>
      <c r="U585" s="16"/>
      <c r="V585" s="16"/>
      <c r="W585" s="16"/>
      <c r="X585" s="16"/>
      <c r="Y585" s="16"/>
      <c r="Z585" s="16"/>
    </row>
    <row r="586" ht="12.75" spans="1:26">
      <c r="A586" s="23"/>
      <c r="B586" s="16"/>
      <c r="C586" s="23"/>
      <c r="D586" s="24"/>
      <c r="E586" s="16"/>
      <c r="F586" s="24"/>
      <c r="G586" s="24"/>
      <c r="H586" s="16"/>
      <c r="I586" s="16"/>
      <c r="J586" s="16"/>
      <c r="K586" s="16"/>
      <c r="L586" s="16"/>
      <c r="M586" s="16"/>
      <c r="N586" s="16"/>
      <c r="O586" s="16"/>
      <c r="P586" s="16"/>
      <c r="Q586" s="16"/>
      <c r="R586" s="16"/>
      <c r="S586" s="16"/>
      <c r="T586" s="16"/>
      <c r="U586" s="16"/>
      <c r="V586" s="16"/>
      <c r="W586" s="16"/>
      <c r="X586" s="16"/>
      <c r="Y586" s="16"/>
      <c r="Z586" s="16"/>
    </row>
    <row r="587" ht="12.75" spans="1:26">
      <c r="A587" s="23"/>
      <c r="B587" s="16"/>
      <c r="C587" s="23"/>
      <c r="D587" s="24"/>
      <c r="E587" s="16"/>
      <c r="F587" s="24"/>
      <c r="G587" s="24"/>
      <c r="H587" s="16"/>
      <c r="I587" s="16"/>
      <c r="J587" s="16"/>
      <c r="K587" s="16"/>
      <c r="L587" s="16"/>
      <c r="M587" s="16"/>
      <c r="N587" s="16"/>
      <c r="O587" s="16"/>
      <c r="P587" s="16"/>
      <c r="Q587" s="16"/>
      <c r="R587" s="16"/>
      <c r="S587" s="16"/>
      <c r="T587" s="16"/>
      <c r="U587" s="16"/>
      <c r="V587" s="16"/>
      <c r="W587" s="16"/>
      <c r="X587" s="16"/>
      <c r="Y587" s="16"/>
      <c r="Z587" s="16"/>
    </row>
    <row r="588" ht="12.75" spans="1:26">
      <c r="A588" s="23"/>
      <c r="B588" s="16"/>
      <c r="C588" s="23"/>
      <c r="D588" s="24"/>
      <c r="E588" s="16"/>
      <c r="F588" s="24"/>
      <c r="G588" s="24"/>
      <c r="H588" s="16"/>
      <c r="I588" s="16"/>
      <c r="J588" s="16"/>
      <c r="K588" s="16"/>
      <c r="L588" s="16"/>
      <c r="M588" s="16"/>
      <c r="N588" s="16"/>
      <c r="O588" s="16"/>
      <c r="P588" s="16"/>
      <c r="Q588" s="16"/>
      <c r="R588" s="16"/>
      <c r="S588" s="16"/>
      <c r="T588" s="16"/>
      <c r="U588" s="16"/>
      <c r="V588" s="16"/>
      <c r="W588" s="16"/>
      <c r="X588" s="16"/>
      <c r="Y588" s="16"/>
      <c r="Z588" s="16"/>
    </row>
    <row r="589" ht="12.75" spans="1:26">
      <c r="A589" s="23"/>
      <c r="B589" s="16"/>
      <c r="C589" s="23"/>
      <c r="D589" s="24"/>
      <c r="E589" s="16"/>
      <c r="F589" s="24"/>
      <c r="G589" s="24"/>
      <c r="H589" s="16"/>
      <c r="I589" s="16"/>
      <c r="J589" s="16"/>
      <c r="K589" s="16"/>
      <c r="L589" s="16"/>
      <c r="M589" s="16"/>
      <c r="N589" s="16"/>
      <c r="O589" s="16"/>
      <c r="P589" s="16"/>
      <c r="Q589" s="16"/>
      <c r="R589" s="16"/>
      <c r="S589" s="16"/>
      <c r="T589" s="16"/>
      <c r="U589" s="16"/>
      <c r="V589" s="16"/>
      <c r="W589" s="16"/>
      <c r="X589" s="16"/>
      <c r="Y589" s="16"/>
      <c r="Z589" s="16"/>
    </row>
    <row r="590" ht="12.75" spans="1:26">
      <c r="A590" s="23"/>
      <c r="B590" s="16"/>
      <c r="C590" s="23"/>
      <c r="D590" s="24"/>
      <c r="E590" s="16"/>
      <c r="F590" s="24"/>
      <c r="G590" s="24"/>
      <c r="H590" s="16"/>
      <c r="I590" s="16"/>
      <c r="J590" s="16"/>
      <c r="K590" s="16"/>
      <c r="L590" s="16"/>
      <c r="M590" s="16"/>
      <c r="N590" s="16"/>
      <c r="O590" s="16"/>
      <c r="P590" s="16"/>
      <c r="Q590" s="16"/>
      <c r="R590" s="16"/>
      <c r="S590" s="16"/>
      <c r="T590" s="16"/>
      <c r="U590" s="16"/>
      <c r="V590" s="16"/>
      <c r="W590" s="16"/>
      <c r="X590" s="16"/>
      <c r="Y590" s="16"/>
      <c r="Z590" s="16"/>
    </row>
    <row r="591" ht="12.75" spans="1:26">
      <c r="A591" s="23"/>
      <c r="B591" s="16"/>
      <c r="C591" s="23"/>
      <c r="D591" s="24"/>
      <c r="E591" s="16"/>
      <c r="F591" s="24"/>
      <c r="G591" s="24"/>
      <c r="H591" s="16"/>
      <c r="I591" s="16"/>
      <c r="J591" s="16"/>
      <c r="K591" s="16"/>
      <c r="L591" s="16"/>
      <c r="M591" s="16"/>
      <c r="N591" s="16"/>
      <c r="O591" s="16"/>
      <c r="P591" s="16"/>
      <c r="Q591" s="16"/>
      <c r="R591" s="16"/>
      <c r="S591" s="16"/>
      <c r="T591" s="16"/>
      <c r="U591" s="16"/>
      <c r="V591" s="16"/>
      <c r="W591" s="16"/>
      <c r="X591" s="16"/>
      <c r="Y591" s="16"/>
      <c r="Z591" s="16"/>
    </row>
    <row r="592" ht="12.75" spans="1:26">
      <c r="A592" s="23"/>
      <c r="B592" s="16"/>
      <c r="C592" s="23"/>
      <c r="D592" s="24"/>
      <c r="E592" s="16"/>
      <c r="F592" s="24"/>
      <c r="G592" s="24"/>
      <c r="H592" s="16"/>
      <c r="I592" s="16"/>
      <c r="J592" s="16"/>
      <c r="K592" s="16"/>
      <c r="L592" s="16"/>
      <c r="M592" s="16"/>
      <c r="N592" s="16"/>
      <c r="O592" s="16"/>
      <c r="P592" s="16"/>
      <c r="Q592" s="16"/>
      <c r="R592" s="16"/>
      <c r="S592" s="16"/>
      <c r="T592" s="16"/>
      <c r="U592" s="16"/>
      <c r="V592" s="16"/>
      <c r="W592" s="16"/>
      <c r="X592" s="16"/>
      <c r="Y592" s="16"/>
      <c r="Z592" s="16"/>
    </row>
    <row r="593" ht="12.75" spans="1:26">
      <c r="A593" s="23"/>
      <c r="B593" s="16"/>
      <c r="C593" s="23"/>
      <c r="D593" s="24"/>
      <c r="E593" s="16"/>
      <c r="F593" s="24"/>
      <c r="G593" s="24"/>
      <c r="H593" s="16"/>
      <c r="I593" s="16"/>
      <c r="J593" s="16"/>
      <c r="K593" s="16"/>
      <c r="L593" s="16"/>
      <c r="M593" s="16"/>
      <c r="N593" s="16"/>
      <c r="O593" s="16"/>
      <c r="P593" s="16"/>
      <c r="Q593" s="16"/>
      <c r="R593" s="16"/>
      <c r="S593" s="16"/>
      <c r="T593" s="16"/>
      <c r="U593" s="16"/>
      <c r="V593" s="16"/>
      <c r="W593" s="16"/>
      <c r="X593" s="16"/>
      <c r="Y593" s="16"/>
      <c r="Z593" s="16"/>
    </row>
    <row r="594" ht="12.75" spans="1:26">
      <c r="A594" s="23"/>
      <c r="B594" s="16"/>
      <c r="C594" s="23"/>
      <c r="D594" s="24"/>
      <c r="E594" s="16"/>
      <c r="F594" s="24"/>
      <c r="G594" s="24"/>
      <c r="H594" s="16"/>
      <c r="I594" s="16"/>
      <c r="J594" s="16"/>
      <c r="K594" s="16"/>
      <c r="L594" s="16"/>
      <c r="M594" s="16"/>
      <c r="N594" s="16"/>
      <c r="O594" s="16"/>
      <c r="P594" s="16"/>
      <c r="Q594" s="16"/>
      <c r="R594" s="16"/>
      <c r="S594" s="16"/>
      <c r="T594" s="16"/>
      <c r="U594" s="16"/>
      <c r="V594" s="16"/>
      <c r="W594" s="16"/>
      <c r="X594" s="16"/>
      <c r="Y594" s="16"/>
      <c r="Z594" s="16"/>
    </row>
    <row r="595" ht="12.75" spans="1:26">
      <c r="A595" s="23"/>
      <c r="B595" s="16"/>
      <c r="C595" s="23"/>
      <c r="D595" s="24"/>
      <c r="E595" s="16"/>
      <c r="F595" s="24"/>
      <c r="G595" s="24"/>
      <c r="H595" s="16"/>
      <c r="I595" s="16"/>
      <c r="J595" s="16"/>
      <c r="K595" s="16"/>
      <c r="L595" s="16"/>
      <c r="M595" s="16"/>
      <c r="N595" s="16"/>
      <c r="O595" s="16"/>
      <c r="P595" s="16"/>
      <c r="Q595" s="16"/>
      <c r="R595" s="16"/>
      <c r="S595" s="16"/>
      <c r="T595" s="16"/>
      <c r="U595" s="16"/>
      <c r="V595" s="16"/>
      <c r="W595" s="16"/>
      <c r="X595" s="16"/>
      <c r="Y595" s="16"/>
      <c r="Z595" s="16"/>
    </row>
    <row r="596" ht="12.75" spans="1:26">
      <c r="A596" s="23"/>
      <c r="B596" s="16"/>
      <c r="C596" s="23"/>
      <c r="D596" s="24"/>
      <c r="E596" s="16"/>
      <c r="F596" s="24"/>
      <c r="G596" s="24"/>
      <c r="H596" s="16"/>
      <c r="I596" s="16"/>
      <c r="J596" s="16"/>
      <c r="K596" s="16"/>
      <c r="L596" s="16"/>
      <c r="M596" s="16"/>
      <c r="N596" s="16"/>
      <c r="O596" s="16"/>
      <c r="P596" s="16"/>
      <c r="Q596" s="16"/>
      <c r="R596" s="16"/>
      <c r="S596" s="16"/>
      <c r="T596" s="16"/>
      <c r="U596" s="16"/>
      <c r="V596" s="16"/>
      <c r="W596" s="16"/>
      <c r="X596" s="16"/>
      <c r="Y596" s="16"/>
      <c r="Z596" s="16"/>
    </row>
    <row r="597" ht="12.75" spans="1:26">
      <c r="A597" s="23"/>
      <c r="B597" s="16"/>
      <c r="C597" s="23"/>
      <c r="D597" s="24"/>
      <c r="E597" s="16"/>
      <c r="F597" s="24"/>
      <c r="G597" s="24"/>
      <c r="H597" s="16"/>
      <c r="I597" s="16"/>
      <c r="J597" s="16"/>
      <c r="K597" s="16"/>
      <c r="L597" s="16"/>
      <c r="M597" s="16"/>
      <c r="N597" s="16"/>
      <c r="O597" s="16"/>
      <c r="P597" s="16"/>
      <c r="Q597" s="16"/>
      <c r="R597" s="16"/>
      <c r="S597" s="16"/>
      <c r="T597" s="16"/>
      <c r="U597" s="16"/>
      <c r="V597" s="16"/>
      <c r="W597" s="16"/>
      <c r="X597" s="16"/>
      <c r="Y597" s="16"/>
      <c r="Z597" s="16"/>
    </row>
    <row r="598" ht="12.75" spans="1:26">
      <c r="A598" s="23"/>
      <c r="B598" s="16"/>
      <c r="C598" s="23"/>
      <c r="D598" s="24"/>
      <c r="E598" s="16"/>
      <c r="F598" s="24"/>
      <c r="G598" s="24"/>
      <c r="H598" s="16"/>
      <c r="I598" s="16"/>
      <c r="J598" s="16"/>
      <c r="K598" s="16"/>
      <c r="L598" s="16"/>
      <c r="M598" s="16"/>
      <c r="N598" s="16"/>
      <c r="O598" s="16"/>
      <c r="P598" s="16"/>
      <c r="Q598" s="16"/>
      <c r="R598" s="16"/>
      <c r="S598" s="16"/>
      <c r="T598" s="16"/>
      <c r="U598" s="16"/>
      <c r="V598" s="16"/>
      <c r="W598" s="16"/>
      <c r="X598" s="16"/>
      <c r="Y598" s="16"/>
      <c r="Z598" s="16"/>
    </row>
    <row r="599" ht="12.75" spans="1:26">
      <c r="A599" s="23"/>
      <c r="B599" s="16"/>
      <c r="C599" s="23"/>
      <c r="D599" s="24"/>
      <c r="E599" s="16"/>
      <c r="F599" s="24"/>
      <c r="G599" s="24"/>
      <c r="H599" s="16"/>
      <c r="I599" s="16"/>
      <c r="J599" s="16"/>
      <c r="K599" s="16"/>
      <c r="L599" s="16"/>
      <c r="M599" s="16"/>
      <c r="N599" s="16"/>
      <c r="O599" s="16"/>
      <c r="P599" s="16"/>
      <c r="Q599" s="16"/>
      <c r="R599" s="16"/>
      <c r="S599" s="16"/>
      <c r="T599" s="16"/>
      <c r="U599" s="16"/>
      <c r="V599" s="16"/>
      <c r="W599" s="16"/>
      <c r="X599" s="16"/>
      <c r="Y599" s="16"/>
      <c r="Z599" s="16"/>
    </row>
    <row r="600" ht="12.75" spans="1:26">
      <c r="A600" s="23"/>
      <c r="B600" s="16"/>
      <c r="C600" s="23"/>
      <c r="D600" s="24"/>
      <c r="E600" s="16"/>
      <c r="F600" s="24"/>
      <c r="G600" s="24"/>
      <c r="H600" s="16"/>
      <c r="I600" s="16"/>
      <c r="J600" s="16"/>
      <c r="K600" s="16"/>
      <c r="L600" s="16"/>
      <c r="M600" s="16"/>
      <c r="N600" s="16"/>
      <c r="O600" s="16"/>
      <c r="P600" s="16"/>
      <c r="Q600" s="16"/>
      <c r="R600" s="16"/>
      <c r="S600" s="16"/>
      <c r="T600" s="16"/>
      <c r="U600" s="16"/>
      <c r="V600" s="16"/>
      <c r="W600" s="16"/>
      <c r="X600" s="16"/>
      <c r="Y600" s="16"/>
      <c r="Z600" s="16"/>
    </row>
    <row r="601" ht="12.75" spans="1:26">
      <c r="A601" s="23"/>
      <c r="B601" s="16"/>
      <c r="C601" s="23"/>
      <c r="D601" s="24"/>
      <c r="E601" s="16"/>
      <c r="F601" s="24"/>
      <c r="G601" s="24"/>
      <c r="H601" s="16"/>
      <c r="I601" s="16"/>
      <c r="J601" s="16"/>
      <c r="K601" s="16"/>
      <c r="L601" s="16"/>
      <c r="M601" s="16"/>
      <c r="N601" s="16"/>
      <c r="O601" s="16"/>
      <c r="P601" s="16"/>
      <c r="Q601" s="16"/>
      <c r="R601" s="16"/>
      <c r="S601" s="16"/>
      <c r="T601" s="16"/>
      <c r="U601" s="16"/>
      <c r="V601" s="16"/>
      <c r="W601" s="16"/>
      <c r="X601" s="16"/>
      <c r="Y601" s="16"/>
      <c r="Z601" s="16"/>
    </row>
    <row r="602" ht="12.75" spans="1:26">
      <c r="A602" s="23"/>
      <c r="B602" s="16"/>
      <c r="C602" s="23"/>
      <c r="D602" s="24"/>
      <c r="E602" s="16"/>
      <c r="F602" s="24"/>
      <c r="G602" s="24"/>
      <c r="H602" s="16"/>
      <c r="I602" s="16"/>
      <c r="J602" s="16"/>
      <c r="K602" s="16"/>
      <c r="L602" s="16"/>
      <c r="M602" s="16"/>
      <c r="N602" s="16"/>
      <c r="O602" s="16"/>
      <c r="P602" s="16"/>
      <c r="Q602" s="16"/>
      <c r="R602" s="16"/>
      <c r="S602" s="16"/>
      <c r="T602" s="16"/>
      <c r="U602" s="16"/>
      <c r="V602" s="16"/>
      <c r="W602" s="16"/>
      <c r="X602" s="16"/>
      <c r="Y602" s="16"/>
      <c r="Z602" s="16"/>
    </row>
    <row r="603" ht="12.75" spans="1:26">
      <c r="A603" s="23"/>
      <c r="B603" s="16"/>
      <c r="C603" s="23"/>
      <c r="D603" s="24"/>
      <c r="E603" s="16"/>
      <c r="F603" s="24"/>
      <c r="G603" s="24"/>
      <c r="H603" s="16"/>
      <c r="I603" s="16"/>
      <c r="J603" s="16"/>
      <c r="K603" s="16"/>
      <c r="L603" s="16"/>
      <c r="M603" s="16"/>
      <c r="N603" s="16"/>
      <c r="O603" s="16"/>
      <c r="P603" s="16"/>
      <c r="Q603" s="16"/>
      <c r="R603" s="16"/>
      <c r="S603" s="16"/>
      <c r="T603" s="16"/>
      <c r="U603" s="16"/>
      <c r="V603" s="16"/>
      <c r="W603" s="16"/>
      <c r="X603" s="16"/>
      <c r="Y603" s="16"/>
      <c r="Z603" s="16"/>
    </row>
    <row r="604" ht="12.75" spans="1:26">
      <c r="A604" s="23"/>
      <c r="B604" s="16"/>
      <c r="C604" s="23"/>
      <c r="D604" s="24"/>
      <c r="E604" s="16"/>
      <c r="F604" s="24"/>
      <c r="G604" s="24"/>
      <c r="H604" s="16"/>
      <c r="I604" s="16"/>
      <c r="J604" s="16"/>
      <c r="K604" s="16"/>
      <c r="L604" s="16"/>
      <c r="M604" s="16"/>
      <c r="N604" s="16"/>
      <c r="O604" s="16"/>
      <c r="P604" s="16"/>
      <c r="Q604" s="16"/>
      <c r="R604" s="16"/>
      <c r="S604" s="16"/>
      <c r="T604" s="16"/>
      <c r="U604" s="16"/>
      <c r="V604" s="16"/>
      <c r="W604" s="16"/>
      <c r="X604" s="16"/>
      <c r="Y604" s="16"/>
      <c r="Z604" s="16"/>
    </row>
    <row r="605" ht="12.75" spans="1:26">
      <c r="A605" s="23"/>
      <c r="B605" s="16"/>
      <c r="C605" s="23"/>
      <c r="D605" s="24"/>
      <c r="E605" s="16"/>
      <c r="F605" s="24"/>
      <c r="G605" s="24"/>
      <c r="H605" s="16"/>
      <c r="I605" s="16"/>
      <c r="J605" s="16"/>
      <c r="K605" s="16"/>
      <c r="L605" s="16"/>
      <c r="M605" s="16"/>
      <c r="N605" s="16"/>
      <c r="O605" s="16"/>
      <c r="P605" s="16"/>
      <c r="Q605" s="16"/>
      <c r="R605" s="16"/>
      <c r="S605" s="16"/>
      <c r="T605" s="16"/>
      <c r="U605" s="16"/>
      <c r="V605" s="16"/>
      <c r="W605" s="16"/>
      <c r="X605" s="16"/>
      <c r="Y605" s="16"/>
      <c r="Z605" s="16"/>
    </row>
    <row r="606" ht="12.75" spans="1:26">
      <c r="A606" s="23"/>
      <c r="B606" s="16"/>
      <c r="C606" s="23"/>
      <c r="D606" s="24"/>
      <c r="E606" s="16"/>
      <c r="F606" s="24"/>
      <c r="G606" s="24"/>
      <c r="H606" s="16"/>
      <c r="I606" s="16"/>
      <c r="J606" s="16"/>
      <c r="K606" s="16"/>
      <c r="L606" s="16"/>
      <c r="M606" s="16"/>
      <c r="N606" s="16"/>
      <c r="O606" s="16"/>
      <c r="P606" s="16"/>
      <c r="Q606" s="16"/>
      <c r="R606" s="16"/>
      <c r="S606" s="16"/>
      <c r="T606" s="16"/>
      <c r="U606" s="16"/>
      <c r="V606" s="16"/>
      <c r="W606" s="16"/>
      <c r="X606" s="16"/>
      <c r="Y606" s="16"/>
      <c r="Z606" s="16"/>
    </row>
    <row r="607" ht="12.75" spans="1:26">
      <c r="A607" s="23"/>
      <c r="B607" s="16"/>
      <c r="C607" s="23"/>
      <c r="D607" s="24"/>
      <c r="E607" s="16"/>
      <c r="F607" s="24"/>
      <c r="G607" s="24"/>
      <c r="H607" s="16"/>
      <c r="I607" s="16"/>
      <c r="J607" s="16"/>
      <c r="K607" s="16"/>
      <c r="L607" s="16"/>
      <c r="M607" s="16"/>
      <c r="N607" s="16"/>
      <c r="O607" s="16"/>
      <c r="P607" s="16"/>
      <c r="Q607" s="16"/>
      <c r="R607" s="16"/>
      <c r="S607" s="16"/>
      <c r="T607" s="16"/>
      <c r="U607" s="16"/>
      <c r="V607" s="16"/>
      <c r="W607" s="16"/>
      <c r="X607" s="16"/>
      <c r="Y607" s="16"/>
      <c r="Z607" s="16"/>
    </row>
    <row r="608" ht="12.75" spans="1:26">
      <c r="A608" s="23"/>
      <c r="B608" s="16"/>
      <c r="C608" s="23"/>
      <c r="D608" s="24"/>
      <c r="E608" s="16"/>
      <c r="F608" s="24"/>
      <c r="G608" s="24"/>
      <c r="H608" s="16"/>
      <c r="I608" s="16"/>
      <c r="J608" s="16"/>
      <c r="K608" s="16"/>
      <c r="L608" s="16"/>
      <c r="M608" s="16"/>
      <c r="N608" s="16"/>
      <c r="O608" s="16"/>
      <c r="P608" s="16"/>
      <c r="Q608" s="16"/>
      <c r="R608" s="16"/>
      <c r="S608" s="16"/>
      <c r="T608" s="16"/>
      <c r="U608" s="16"/>
      <c r="V608" s="16"/>
      <c r="W608" s="16"/>
      <c r="X608" s="16"/>
      <c r="Y608" s="16"/>
      <c r="Z608" s="16"/>
    </row>
    <row r="609" ht="12.75" spans="1:26">
      <c r="A609" s="23"/>
      <c r="B609" s="16"/>
      <c r="C609" s="23"/>
      <c r="D609" s="24"/>
      <c r="E609" s="16"/>
      <c r="F609" s="24"/>
      <c r="G609" s="24"/>
      <c r="H609" s="16"/>
      <c r="I609" s="16"/>
      <c r="J609" s="16"/>
      <c r="K609" s="16"/>
      <c r="L609" s="16"/>
      <c r="M609" s="16"/>
      <c r="N609" s="16"/>
      <c r="O609" s="16"/>
      <c r="P609" s="16"/>
      <c r="Q609" s="16"/>
      <c r="R609" s="16"/>
      <c r="S609" s="16"/>
      <c r="T609" s="16"/>
      <c r="U609" s="16"/>
      <c r="V609" s="16"/>
      <c r="W609" s="16"/>
      <c r="X609" s="16"/>
      <c r="Y609" s="16"/>
      <c r="Z609" s="16"/>
    </row>
    <row r="610" ht="12.75" spans="1:26">
      <c r="A610" s="23"/>
      <c r="B610" s="16"/>
      <c r="C610" s="23"/>
      <c r="D610" s="24"/>
      <c r="E610" s="16"/>
      <c r="F610" s="24"/>
      <c r="G610" s="24"/>
      <c r="H610" s="16"/>
      <c r="I610" s="16"/>
      <c r="J610" s="16"/>
      <c r="K610" s="16"/>
      <c r="L610" s="16"/>
      <c r="M610" s="16"/>
      <c r="N610" s="16"/>
      <c r="O610" s="16"/>
      <c r="P610" s="16"/>
      <c r="Q610" s="16"/>
      <c r="R610" s="16"/>
      <c r="S610" s="16"/>
      <c r="T610" s="16"/>
      <c r="U610" s="16"/>
      <c r="V610" s="16"/>
      <c r="W610" s="16"/>
      <c r="X610" s="16"/>
      <c r="Y610" s="16"/>
      <c r="Z610" s="16"/>
    </row>
    <row r="611" ht="12.75" spans="1:26">
      <c r="A611" s="23"/>
      <c r="B611" s="16"/>
      <c r="C611" s="23"/>
      <c r="D611" s="24"/>
      <c r="E611" s="16"/>
      <c r="F611" s="24"/>
      <c r="G611" s="24"/>
      <c r="H611" s="16"/>
      <c r="I611" s="16"/>
      <c r="J611" s="16"/>
      <c r="K611" s="16"/>
      <c r="L611" s="16"/>
      <c r="M611" s="16"/>
      <c r="N611" s="16"/>
      <c r="O611" s="16"/>
      <c r="P611" s="16"/>
      <c r="Q611" s="16"/>
      <c r="R611" s="16"/>
      <c r="S611" s="16"/>
      <c r="T611" s="16"/>
      <c r="U611" s="16"/>
      <c r="V611" s="16"/>
      <c r="W611" s="16"/>
      <c r="X611" s="16"/>
      <c r="Y611" s="16"/>
      <c r="Z611" s="16"/>
    </row>
    <row r="612" ht="12.75" spans="1:26">
      <c r="A612" s="23"/>
      <c r="B612" s="16"/>
      <c r="C612" s="23"/>
      <c r="D612" s="24"/>
      <c r="E612" s="16"/>
      <c r="F612" s="24"/>
      <c r="G612" s="24"/>
      <c r="H612" s="16"/>
      <c r="I612" s="16"/>
      <c r="J612" s="16"/>
      <c r="K612" s="16"/>
      <c r="L612" s="16"/>
      <c r="M612" s="16"/>
      <c r="N612" s="16"/>
      <c r="O612" s="16"/>
      <c r="P612" s="16"/>
      <c r="Q612" s="16"/>
      <c r="R612" s="16"/>
      <c r="S612" s="16"/>
      <c r="T612" s="16"/>
      <c r="U612" s="16"/>
      <c r="V612" s="16"/>
      <c r="W612" s="16"/>
      <c r="X612" s="16"/>
      <c r="Y612" s="16"/>
      <c r="Z612" s="16"/>
    </row>
    <row r="613" ht="12.75" spans="1:26">
      <c r="A613" s="23"/>
      <c r="B613" s="16"/>
      <c r="C613" s="23"/>
      <c r="D613" s="24"/>
      <c r="E613" s="16"/>
      <c r="F613" s="24"/>
      <c r="G613" s="24"/>
      <c r="H613" s="16"/>
      <c r="I613" s="16"/>
      <c r="J613" s="16"/>
      <c r="K613" s="16"/>
      <c r="L613" s="16"/>
      <c r="M613" s="16"/>
      <c r="N613" s="16"/>
      <c r="O613" s="16"/>
      <c r="P613" s="16"/>
      <c r="Q613" s="16"/>
      <c r="R613" s="16"/>
      <c r="S613" s="16"/>
      <c r="T613" s="16"/>
      <c r="U613" s="16"/>
      <c r="V613" s="16"/>
      <c r="W613" s="16"/>
      <c r="X613" s="16"/>
      <c r="Y613" s="16"/>
      <c r="Z613" s="16"/>
    </row>
    <row r="614" ht="12.75" spans="1:26">
      <c r="A614" s="23"/>
      <c r="B614" s="16"/>
      <c r="C614" s="23"/>
      <c r="D614" s="24"/>
      <c r="E614" s="16"/>
      <c r="F614" s="24"/>
      <c r="G614" s="24"/>
      <c r="H614" s="16"/>
      <c r="I614" s="16"/>
      <c r="J614" s="16"/>
      <c r="K614" s="16"/>
      <c r="L614" s="16"/>
      <c r="M614" s="16"/>
      <c r="N614" s="16"/>
      <c r="O614" s="16"/>
      <c r="P614" s="16"/>
      <c r="Q614" s="16"/>
      <c r="R614" s="16"/>
      <c r="S614" s="16"/>
      <c r="T614" s="16"/>
      <c r="U614" s="16"/>
      <c r="V614" s="16"/>
      <c r="W614" s="16"/>
      <c r="X614" s="16"/>
      <c r="Y614" s="16"/>
      <c r="Z614" s="16"/>
    </row>
    <row r="615" ht="12.75" spans="1:26">
      <c r="A615" s="23"/>
      <c r="B615" s="16"/>
      <c r="C615" s="23"/>
      <c r="D615" s="24"/>
      <c r="E615" s="16"/>
      <c r="F615" s="24"/>
      <c r="G615" s="24"/>
      <c r="H615" s="16"/>
      <c r="I615" s="16"/>
      <c r="J615" s="16"/>
      <c r="K615" s="16"/>
      <c r="L615" s="16"/>
      <c r="M615" s="16"/>
      <c r="N615" s="16"/>
      <c r="O615" s="16"/>
      <c r="P615" s="16"/>
      <c r="Q615" s="16"/>
      <c r="R615" s="16"/>
      <c r="S615" s="16"/>
      <c r="T615" s="16"/>
      <c r="U615" s="16"/>
      <c r="V615" s="16"/>
      <c r="W615" s="16"/>
      <c r="X615" s="16"/>
      <c r="Y615" s="16"/>
      <c r="Z615" s="16"/>
    </row>
    <row r="616" ht="12.75" spans="1:26">
      <c r="A616" s="23"/>
      <c r="B616" s="16"/>
      <c r="C616" s="23"/>
      <c r="D616" s="24"/>
      <c r="E616" s="16"/>
      <c r="F616" s="24"/>
      <c r="G616" s="24"/>
      <c r="H616" s="16"/>
      <c r="I616" s="16"/>
      <c r="J616" s="16"/>
      <c r="K616" s="16"/>
      <c r="L616" s="16"/>
      <c r="M616" s="16"/>
      <c r="N616" s="16"/>
      <c r="O616" s="16"/>
      <c r="P616" s="16"/>
      <c r="Q616" s="16"/>
      <c r="R616" s="16"/>
      <c r="S616" s="16"/>
      <c r="T616" s="16"/>
      <c r="U616" s="16"/>
      <c r="V616" s="16"/>
      <c r="W616" s="16"/>
      <c r="X616" s="16"/>
      <c r="Y616" s="16"/>
      <c r="Z616" s="16"/>
    </row>
    <row r="617" ht="12.75" spans="1:26">
      <c r="A617" s="23"/>
      <c r="B617" s="16"/>
      <c r="C617" s="23"/>
      <c r="D617" s="24"/>
      <c r="E617" s="16"/>
      <c r="F617" s="24"/>
      <c r="G617" s="24"/>
      <c r="H617" s="16"/>
      <c r="I617" s="16"/>
      <c r="J617" s="16"/>
      <c r="K617" s="16"/>
      <c r="L617" s="16"/>
      <c r="M617" s="16"/>
      <c r="N617" s="16"/>
      <c r="O617" s="16"/>
      <c r="P617" s="16"/>
      <c r="Q617" s="16"/>
      <c r="R617" s="16"/>
      <c r="S617" s="16"/>
      <c r="T617" s="16"/>
      <c r="U617" s="16"/>
      <c r="V617" s="16"/>
      <c r="W617" s="16"/>
      <c r="X617" s="16"/>
      <c r="Y617" s="16"/>
      <c r="Z617" s="16"/>
    </row>
    <row r="618" ht="12.75" spans="1:26">
      <c r="A618" s="23"/>
      <c r="B618" s="16"/>
      <c r="C618" s="23"/>
      <c r="D618" s="24"/>
      <c r="E618" s="16"/>
      <c r="F618" s="24"/>
      <c r="G618" s="24"/>
      <c r="H618" s="16"/>
      <c r="I618" s="16"/>
      <c r="J618" s="16"/>
      <c r="K618" s="16"/>
      <c r="L618" s="16"/>
      <c r="M618" s="16"/>
      <c r="N618" s="16"/>
      <c r="O618" s="16"/>
      <c r="P618" s="16"/>
      <c r="Q618" s="16"/>
      <c r="R618" s="16"/>
      <c r="S618" s="16"/>
      <c r="T618" s="16"/>
      <c r="U618" s="16"/>
      <c r="V618" s="16"/>
      <c r="W618" s="16"/>
      <c r="X618" s="16"/>
      <c r="Y618" s="16"/>
      <c r="Z618" s="16"/>
    </row>
    <row r="619" ht="12.75" spans="1:26">
      <c r="A619" s="23"/>
      <c r="B619" s="16"/>
      <c r="C619" s="23"/>
      <c r="D619" s="24"/>
      <c r="E619" s="16"/>
      <c r="F619" s="24"/>
      <c r="G619" s="24"/>
      <c r="H619" s="16"/>
      <c r="I619" s="16"/>
      <c r="J619" s="16"/>
      <c r="K619" s="16"/>
      <c r="L619" s="16"/>
      <c r="M619" s="16"/>
      <c r="N619" s="16"/>
      <c r="O619" s="16"/>
      <c r="P619" s="16"/>
      <c r="Q619" s="16"/>
      <c r="R619" s="16"/>
      <c r="S619" s="16"/>
      <c r="T619" s="16"/>
      <c r="U619" s="16"/>
      <c r="V619" s="16"/>
      <c r="W619" s="16"/>
      <c r="X619" s="16"/>
      <c r="Y619" s="16"/>
      <c r="Z619" s="16"/>
    </row>
    <row r="620" ht="12.75" spans="1:26">
      <c r="A620" s="23"/>
      <c r="B620" s="16"/>
      <c r="C620" s="23"/>
      <c r="D620" s="24"/>
      <c r="E620" s="16"/>
      <c r="F620" s="24"/>
      <c r="G620" s="24"/>
      <c r="H620" s="16"/>
      <c r="I620" s="16"/>
      <c r="J620" s="16"/>
      <c r="K620" s="16"/>
      <c r="L620" s="16"/>
      <c r="M620" s="16"/>
      <c r="N620" s="16"/>
      <c r="O620" s="16"/>
      <c r="P620" s="16"/>
      <c r="Q620" s="16"/>
      <c r="R620" s="16"/>
      <c r="S620" s="16"/>
      <c r="T620" s="16"/>
      <c r="U620" s="16"/>
      <c r="V620" s="16"/>
      <c r="W620" s="16"/>
      <c r="X620" s="16"/>
      <c r="Y620" s="16"/>
      <c r="Z620" s="16"/>
    </row>
    <row r="621" ht="12.75" spans="1:26">
      <c r="A621" s="23"/>
      <c r="B621" s="16"/>
      <c r="C621" s="23"/>
      <c r="D621" s="24"/>
      <c r="E621" s="16"/>
      <c r="F621" s="24"/>
      <c r="G621" s="24"/>
      <c r="H621" s="16"/>
      <c r="I621" s="16"/>
      <c r="J621" s="16"/>
      <c r="K621" s="16"/>
      <c r="L621" s="16"/>
      <c r="M621" s="16"/>
      <c r="N621" s="16"/>
      <c r="O621" s="16"/>
      <c r="P621" s="16"/>
      <c r="Q621" s="16"/>
      <c r="R621" s="16"/>
      <c r="S621" s="16"/>
      <c r="T621" s="16"/>
      <c r="U621" s="16"/>
      <c r="V621" s="16"/>
      <c r="W621" s="16"/>
      <c r="X621" s="16"/>
      <c r="Y621" s="16"/>
      <c r="Z621" s="16"/>
    </row>
    <row r="622" ht="12.75" spans="1:26">
      <c r="A622" s="23"/>
      <c r="B622" s="16"/>
      <c r="C622" s="23"/>
      <c r="D622" s="24"/>
      <c r="E622" s="16"/>
      <c r="F622" s="24"/>
      <c r="G622" s="24"/>
      <c r="H622" s="16"/>
      <c r="I622" s="16"/>
      <c r="J622" s="16"/>
      <c r="K622" s="16"/>
      <c r="L622" s="16"/>
      <c r="M622" s="16"/>
      <c r="N622" s="16"/>
      <c r="O622" s="16"/>
      <c r="P622" s="16"/>
      <c r="Q622" s="16"/>
      <c r="R622" s="16"/>
      <c r="S622" s="16"/>
      <c r="T622" s="16"/>
      <c r="U622" s="16"/>
      <c r="V622" s="16"/>
      <c r="W622" s="16"/>
      <c r="X622" s="16"/>
      <c r="Y622" s="16"/>
      <c r="Z622" s="16"/>
    </row>
    <row r="623" ht="12.75" spans="1:26">
      <c r="A623" s="23"/>
      <c r="B623" s="16"/>
      <c r="C623" s="23"/>
      <c r="D623" s="24"/>
      <c r="E623" s="16"/>
      <c r="F623" s="24"/>
      <c r="G623" s="24"/>
      <c r="H623" s="16"/>
      <c r="I623" s="16"/>
      <c r="J623" s="16"/>
      <c r="K623" s="16"/>
      <c r="L623" s="16"/>
      <c r="M623" s="16"/>
      <c r="N623" s="16"/>
      <c r="O623" s="16"/>
      <c r="P623" s="16"/>
      <c r="Q623" s="16"/>
      <c r="R623" s="16"/>
      <c r="S623" s="16"/>
      <c r="T623" s="16"/>
      <c r="U623" s="16"/>
      <c r="V623" s="16"/>
      <c r="W623" s="16"/>
      <c r="X623" s="16"/>
      <c r="Y623" s="16"/>
      <c r="Z623" s="16"/>
    </row>
    <row r="624" ht="12.75" spans="1:26">
      <c r="A624" s="23"/>
      <c r="B624" s="16"/>
      <c r="C624" s="23"/>
      <c r="D624" s="24"/>
      <c r="E624" s="16"/>
      <c r="F624" s="24"/>
      <c r="G624" s="24"/>
      <c r="H624" s="16"/>
      <c r="I624" s="16"/>
      <c r="J624" s="16"/>
      <c r="K624" s="16"/>
      <c r="L624" s="16"/>
      <c r="M624" s="16"/>
      <c r="N624" s="16"/>
      <c r="O624" s="16"/>
      <c r="P624" s="16"/>
      <c r="Q624" s="16"/>
      <c r="R624" s="16"/>
      <c r="S624" s="16"/>
      <c r="T624" s="16"/>
      <c r="U624" s="16"/>
      <c r="V624" s="16"/>
      <c r="W624" s="16"/>
      <c r="X624" s="16"/>
      <c r="Y624" s="16"/>
      <c r="Z624" s="16"/>
    </row>
    <row r="625" ht="12.75" spans="1:26">
      <c r="A625" s="23"/>
      <c r="B625" s="16"/>
      <c r="C625" s="23"/>
      <c r="D625" s="24"/>
      <c r="E625" s="16"/>
      <c r="F625" s="24"/>
      <c r="G625" s="24"/>
      <c r="H625" s="16"/>
      <c r="I625" s="16"/>
      <c r="J625" s="16"/>
      <c r="K625" s="16"/>
      <c r="L625" s="16"/>
      <c r="M625" s="16"/>
      <c r="N625" s="16"/>
      <c r="O625" s="16"/>
      <c r="P625" s="16"/>
      <c r="Q625" s="16"/>
      <c r="R625" s="16"/>
      <c r="S625" s="16"/>
      <c r="T625" s="16"/>
      <c r="U625" s="16"/>
      <c r="V625" s="16"/>
      <c r="W625" s="16"/>
      <c r="X625" s="16"/>
      <c r="Y625" s="16"/>
      <c r="Z625" s="16"/>
    </row>
    <row r="626" ht="12.75" spans="1:26">
      <c r="A626" s="23"/>
      <c r="B626" s="16"/>
      <c r="C626" s="23"/>
      <c r="D626" s="24"/>
      <c r="E626" s="16"/>
      <c r="F626" s="24"/>
      <c r="G626" s="24"/>
      <c r="H626" s="16"/>
      <c r="I626" s="16"/>
      <c r="J626" s="16"/>
      <c r="K626" s="16"/>
      <c r="L626" s="16"/>
      <c r="M626" s="16"/>
      <c r="N626" s="16"/>
      <c r="O626" s="16"/>
      <c r="P626" s="16"/>
      <c r="Q626" s="16"/>
      <c r="R626" s="16"/>
      <c r="S626" s="16"/>
      <c r="T626" s="16"/>
      <c r="U626" s="16"/>
      <c r="V626" s="16"/>
      <c r="W626" s="16"/>
      <c r="X626" s="16"/>
      <c r="Y626" s="16"/>
      <c r="Z626" s="16"/>
    </row>
    <row r="627" ht="12.75" spans="1:26">
      <c r="A627" s="23"/>
      <c r="B627" s="16"/>
      <c r="C627" s="23"/>
      <c r="D627" s="24"/>
      <c r="E627" s="16"/>
      <c r="F627" s="24"/>
      <c r="G627" s="24"/>
      <c r="H627" s="16"/>
      <c r="I627" s="16"/>
      <c r="J627" s="16"/>
      <c r="K627" s="16"/>
      <c r="L627" s="16"/>
      <c r="M627" s="16"/>
      <c r="N627" s="16"/>
      <c r="O627" s="16"/>
      <c r="P627" s="16"/>
      <c r="Q627" s="16"/>
      <c r="R627" s="16"/>
      <c r="S627" s="16"/>
      <c r="T627" s="16"/>
      <c r="U627" s="16"/>
      <c r="V627" s="16"/>
      <c r="W627" s="16"/>
      <c r="X627" s="16"/>
      <c r="Y627" s="16"/>
      <c r="Z627" s="16"/>
    </row>
    <row r="628" ht="12.75" spans="1:26">
      <c r="A628" s="23"/>
      <c r="B628" s="16"/>
      <c r="C628" s="23"/>
      <c r="D628" s="24"/>
      <c r="E628" s="16"/>
      <c r="F628" s="24"/>
      <c r="G628" s="24"/>
      <c r="H628" s="16"/>
      <c r="I628" s="16"/>
      <c r="J628" s="16"/>
      <c r="K628" s="16"/>
      <c r="L628" s="16"/>
      <c r="M628" s="16"/>
      <c r="N628" s="16"/>
      <c r="O628" s="16"/>
      <c r="P628" s="16"/>
      <c r="Q628" s="16"/>
      <c r="R628" s="16"/>
      <c r="S628" s="16"/>
      <c r="T628" s="16"/>
      <c r="U628" s="16"/>
      <c r="V628" s="16"/>
      <c r="W628" s="16"/>
      <c r="X628" s="16"/>
      <c r="Y628" s="16"/>
      <c r="Z628" s="16"/>
    </row>
    <row r="629" ht="12.75" spans="1:26">
      <c r="A629" s="23"/>
      <c r="B629" s="16"/>
      <c r="C629" s="23"/>
      <c r="D629" s="24"/>
      <c r="E629" s="16"/>
      <c r="F629" s="24"/>
      <c r="G629" s="24"/>
      <c r="H629" s="16"/>
      <c r="I629" s="16"/>
      <c r="J629" s="16"/>
      <c r="K629" s="16"/>
      <c r="L629" s="16"/>
      <c r="M629" s="16"/>
      <c r="N629" s="16"/>
      <c r="O629" s="16"/>
      <c r="P629" s="16"/>
      <c r="Q629" s="16"/>
      <c r="R629" s="16"/>
      <c r="S629" s="16"/>
      <c r="T629" s="16"/>
      <c r="U629" s="16"/>
      <c r="V629" s="16"/>
      <c r="W629" s="16"/>
      <c r="X629" s="16"/>
      <c r="Y629" s="16"/>
      <c r="Z629" s="16"/>
    </row>
    <row r="630" ht="12.75" spans="1:26">
      <c r="A630" s="23"/>
      <c r="B630" s="16"/>
      <c r="C630" s="23"/>
      <c r="D630" s="24"/>
      <c r="E630" s="16"/>
      <c r="F630" s="24"/>
      <c r="G630" s="24"/>
      <c r="H630" s="16"/>
      <c r="I630" s="16"/>
      <c r="J630" s="16"/>
      <c r="K630" s="16"/>
      <c r="L630" s="16"/>
      <c r="M630" s="16"/>
      <c r="N630" s="16"/>
      <c r="O630" s="16"/>
      <c r="P630" s="16"/>
      <c r="Q630" s="16"/>
      <c r="R630" s="16"/>
      <c r="S630" s="16"/>
      <c r="T630" s="16"/>
      <c r="U630" s="16"/>
      <c r="V630" s="16"/>
      <c r="W630" s="16"/>
      <c r="X630" s="16"/>
      <c r="Y630" s="16"/>
      <c r="Z630" s="16"/>
    </row>
    <row r="631" ht="12.75" spans="1:26">
      <c r="A631" s="23"/>
      <c r="B631" s="16"/>
      <c r="C631" s="23"/>
      <c r="D631" s="24"/>
      <c r="E631" s="16"/>
      <c r="F631" s="24"/>
      <c r="G631" s="24"/>
      <c r="H631" s="16"/>
      <c r="I631" s="16"/>
      <c r="J631" s="16"/>
      <c r="K631" s="16"/>
      <c r="L631" s="16"/>
      <c r="M631" s="16"/>
      <c r="N631" s="16"/>
      <c r="O631" s="16"/>
      <c r="P631" s="16"/>
      <c r="Q631" s="16"/>
      <c r="R631" s="16"/>
      <c r="S631" s="16"/>
      <c r="T631" s="16"/>
      <c r="U631" s="16"/>
      <c r="V631" s="16"/>
      <c r="W631" s="16"/>
      <c r="X631" s="16"/>
      <c r="Y631" s="16"/>
      <c r="Z631" s="16"/>
    </row>
    <row r="632" ht="12.75" spans="1:26">
      <c r="A632" s="23"/>
      <c r="B632" s="16"/>
      <c r="C632" s="23"/>
      <c r="D632" s="24"/>
      <c r="E632" s="16"/>
      <c r="F632" s="24"/>
      <c r="G632" s="24"/>
      <c r="H632" s="16"/>
      <c r="I632" s="16"/>
      <c r="J632" s="16"/>
      <c r="K632" s="16"/>
      <c r="L632" s="16"/>
      <c r="M632" s="16"/>
      <c r="N632" s="16"/>
      <c r="O632" s="16"/>
      <c r="P632" s="16"/>
      <c r="Q632" s="16"/>
      <c r="R632" s="16"/>
      <c r="S632" s="16"/>
      <c r="T632" s="16"/>
      <c r="U632" s="16"/>
      <c r="V632" s="16"/>
      <c r="W632" s="16"/>
      <c r="X632" s="16"/>
      <c r="Y632" s="16"/>
      <c r="Z632" s="16"/>
    </row>
    <row r="633" ht="12.75" spans="1:26">
      <c r="A633" s="23"/>
      <c r="B633" s="16"/>
      <c r="C633" s="23"/>
      <c r="D633" s="24"/>
      <c r="E633" s="16"/>
      <c r="F633" s="24"/>
      <c r="G633" s="24"/>
      <c r="H633" s="16"/>
      <c r="I633" s="16"/>
      <c r="J633" s="16"/>
      <c r="K633" s="16"/>
      <c r="L633" s="16"/>
      <c r="M633" s="16"/>
      <c r="N633" s="16"/>
      <c r="O633" s="16"/>
      <c r="P633" s="16"/>
      <c r="Q633" s="16"/>
      <c r="R633" s="16"/>
      <c r="S633" s="16"/>
      <c r="T633" s="16"/>
      <c r="U633" s="16"/>
      <c r="V633" s="16"/>
      <c r="W633" s="16"/>
      <c r="X633" s="16"/>
      <c r="Y633" s="16"/>
      <c r="Z633" s="16"/>
    </row>
    <row r="634" ht="12.75" spans="1:26">
      <c r="A634" s="23"/>
      <c r="B634" s="16"/>
      <c r="C634" s="23"/>
      <c r="D634" s="24"/>
      <c r="E634" s="16"/>
      <c r="F634" s="24"/>
      <c r="G634" s="24"/>
      <c r="H634" s="16"/>
      <c r="I634" s="16"/>
      <c r="J634" s="16"/>
      <c r="K634" s="16"/>
      <c r="L634" s="16"/>
      <c r="M634" s="16"/>
      <c r="N634" s="16"/>
      <c r="O634" s="16"/>
      <c r="P634" s="16"/>
      <c r="Q634" s="16"/>
      <c r="R634" s="16"/>
      <c r="S634" s="16"/>
      <c r="T634" s="16"/>
      <c r="U634" s="16"/>
      <c r="V634" s="16"/>
      <c r="W634" s="16"/>
      <c r="X634" s="16"/>
      <c r="Y634" s="16"/>
      <c r="Z634" s="16"/>
    </row>
    <row r="635" ht="12.75" spans="1:26">
      <c r="A635" s="23"/>
      <c r="B635" s="16"/>
      <c r="C635" s="23"/>
      <c r="D635" s="24"/>
      <c r="E635" s="16"/>
      <c r="F635" s="24"/>
      <c r="G635" s="24"/>
      <c r="H635" s="16"/>
      <c r="I635" s="16"/>
      <c r="J635" s="16"/>
      <c r="K635" s="16"/>
      <c r="L635" s="16"/>
      <c r="M635" s="16"/>
      <c r="N635" s="16"/>
      <c r="O635" s="16"/>
      <c r="P635" s="16"/>
      <c r="Q635" s="16"/>
      <c r="R635" s="16"/>
      <c r="S635" s="16"/>
      <c r="T635" s="16"/>
      <c r="U635" s="16"/>
      <c r="V635" s="16"/>
      <c r="W635" s="16"/>
      <c r="X635" s="16"/>
      <c r="Y635" s="16"/>
      <c r="Z635" s="16"/>
    </row>
    <row r="636" ht="12.75" spans="1:26">
      <c r="A636" s="23"/>
      <c r="B636" s="16"/>
      <c r="C636" s="23"/>
      <c r="D636" s="24"/>
      <c r="E636" s="16"/>
      <c r="F636" s="24"/>
      <c r="G636" s="24"/>
      <c r="H636" s="16"/>
      <c r="I636" s="16"/>
      <c r="J636" s="16"/>
      <c r="K636" s="16"/>
      <c r="L636" s="16"/>
      <c r="M636" s="16"/>
      <c r="N636" s="16"/>
      <c r="O636" s="16"/>
      <c r="P636" s="16"/>
      <c r="Q636" s="16"/>
      <c r="R636" s="16"/>
      <c r="S636" s="16"/>
      <c r="T636" s="16"/>
      <c r="U636" s="16"/>
      <c r="V636" s="16"/>
      <c r="W636" s="16"/>
      <c r="X636" s="16"/>
      <c r="Y636" s="16"/>
      <c r="Z636" s="16"/>
    </row>
    <row r="637" ht="12.75" spans="1:26">
      <c r="A637" s="23"/>
      <c r="B637" s="16"/>
      <c r="C637" s="23"/>
      <c r="D637" s="24"/>
      <c r="E637" s="16"/>
      <c r="F637" s="24"/>
      <c r="G637" s="24"/>
      <c r="H637" s="16"/>
      <c r="I637" s="16"/>
      <c r="J637" s="16"/>
      <c r="K637" s="16"/>
      <c r="L637" s="16"/>
      <c r="M637" s="16"/>
      <c r="N637" s="16"/>
      <c r="O637" s="16"/>
      <c r="P637" s="16"/>
      <c r="Q637" s="16"/>
      <c r="R637" s="16"/>
      <c r="S637" s="16"/>
      <c r="T637" s="16"/>
      <c r="U637" s="16"/>
      <c r="V637" s="16"/>
      <c r="W637" s="16"/>
      <c r="X637" s="16"/>
      <c r="Y637" s="16"/>
      <c r="Z637" s="16"/>
    </row>
    <row r="638" ht="12.75" spans="1:26">
      <c r="A638" s="23"/>
      <c r="B638" s="16"/>
      <c r="C638" s="23"/>
      <c r="D638" s="24"/>
      <c r="E638" s="16"/>
      <c r="F638" s="24"/>
      <c r="G638" s="24"/>
      <c r="H638" s="16"/>
      <c r="I638" s="16"/>
      <c r="J638" s="16"/>
      <c r="K638" s="16"/>
      <c r="L638" s="16"/>
      <c r="M638" s="16"/>
      <c r="N638" s="16"/>
      <c r="O638" s="16"/>
      <c r="P638" s="16"/>
      <c r="Q638" s="16"/>
      <c r="R638" s="16"/>
      <c r="S638" s="16"/>
      <c r="T638" s="16"/>
      <c r="U638" s="16"/>
      <c r="V638" s="16"/>
      <c r="W638" s="16"/>
      <c r="X638" s="16"/>
      <c r="Y638" s="16"/>
      <c r="Z638" s="16"/>
    </row>
    <row r="639" ht="12.75" spans="1:26">
      <c r="A639" s="23"/>
      <c r="B639" s="16"/>
      <c r="C639" s="23"/>
      <c r="D639" s="24"/>
      <c r="E639" s="16"/>
      <c r="F639" s="24"/>
      <c r="G639" s="24"/>
      <c r="H639" s="16"/>
      <c r="I639" s="16"/>
      <c r="J639" s="16"/>
      <c r="K639" s="16"/>
      <c r="L639" s="16"/>
      <c r="M639" s="16"/>
      <c r="N639" s="16"/>
      <c r="O639" s="16"/>
      <c r="P639" s="16"/>
      <c r="Q639" s="16"/>
      <c r="R639" s="16"/>
      <c r="S639" s="16"/>
      <c r="T639" s="16"/>
      <c r="U639" s="16"/>
      <c r="V639" s="16"/>
      <c r="W639" s="16"/>
      <c r="X639" s="16"/>
      <c r="Y639" s="16"/>
      <c r="Z639" s="16"/>
    </row>
    <row r="640" ht="12.75" spans="1:26">
      <c r="A640" s="23"/>
      <c r="B640" s="16"/>
      <c r="C640" s="23"/>
      <c r="D640" s="24"/>
      <c r="E640" s="16"/>
      <c r="F640" s="24"/>
      <c r="G640" s="24"/>
      <c r="H640" s="16"/>
      <c r="I640" s="16"/>
      <c r="J640" s="16"/>
      <c r="K640" s="16"/>
      <c r="L640" s="16"/>
      <c r="M640" s="16"/>
      <c r="N640" s="16"/>
      <c r="O640" s="16"/>
      <c r="P640" s="16"/>
      <c r="Q640" s="16"/>
      <c r="R640" s="16"/>
      <c r="S640" s="16"/>
      <c r="T640" s="16"/>
      <c r="U640" s="16"/>
      <c r="V640" s="16"/>
      <c r="W640" s="16"/>
      <c r="X640" s="16"/>
      <c r="Y640" s="16"/>
      <c r="Z640" s="16"/>
    </row>
    <row r="641" ht="12.75" spans="1:26">
      <c r="A641" s="23"/>
      <c r="B641" s="16"/>
      <c r="C641" s="23"/>
      <c r="D641" s="24"/>
      <c r="E641" s="16"/>
      <c r="F641" s="24"/>
      <c r="G641" s="24"/>
      <c r="H641" s="16"/>
      <c r="I641" s="16"/>
      <c r="J641" s="16"/>
      <c r="K641" s="16"/>
      <c r="L641" s="16"/>
      <c r="M641" s="16"/>
      <c r="N641" s="16"/>
      <c r="O641" s="16"/>
      <c r="P641" s="16"/>
      <c r="Q641" s="16"/>
      <c r="R641" s="16"/>
      <c r="S641" s="16"/>
      <c r="T641" s="16"/>
      <c r="U641" s="16"/>
      <c r="V641" s="16"/>
      <c r="W641" s="16"/>
      <c r="X641" s="16"/>
      <c r="Y641" s="16"/>
      <c r="Z641" s="16"/>
    </row>
    <row r="642" ht="12.75" spans="1:26">
      <c r="A642" s="23"/>
      <c r="B642" s="16"/>
      <c r="C642" s="23"/>
      <c r="D642" s="24"/>
      <c r="E642" s="16"/>
      <c r="F642" s="24"/>
      <c r="G642" s="24"/>
      <c r="H642" s="16"/>
      <c r="I642" s="16"/>
      <c r="J642" s="16"/>
      <c r="K642" s="16"/>
      <c r="L642" s="16"/>
      <c r="M642" s="16"/>
      <c r="N642" s="16"/>
      <c r="O642" s="16"/>
      <c r="P642" s="16"/>
      <c r="Q642" s="16"/>
      <c r="R642" s="16"/>
      <c r="S642" s="16"/>
      <c r="T642" s="16"/>
      <c r="U642" s="16"/>
      <c r="V642" s="16"/>
      <c r="W642" s="16"/>
      <c r="X642" s="16"/>
      <c r="Y642" s="16"/>
      <c r="Z642" s="16"/>
    </row>
    <row r="643" ht="12.75" spans="1:26">
      <c r="A643" s="23"/>
      <c r="B643" s="16"/>
      <c r="C643" s="23"/>
      <c r="D643" s="24"/>
      <c r="E643" s="16"/>
      <c r="F643" s="24"/>
      <c r="G643" s="24"/>
      <c r="H643" s="16"/>
      <c r="I643" s="16"/>
      <c r="J643" s="16"/>
      <c r="K643" s="16"/>
      <c r="L643" s="16"/>
      <c r="M643" s="16"/>
      <c r="N643" s="16"/>
      <c r="O643" s="16"/>
      <c r="P643" s="16"/>
      <c r="Q643" s="16"/>
      <c r="R643" s="16"/>
      <c r="S643" s="16"/>
      <c r="T643" s="16"/>
      <c r="U643" s="16"/>
      <c r="V643" s="16"/>
      <c r="W643" s="16"/>
      <c r="X643" s="16"/>
      <c r="Y643" s="16"/>
      <c r="Z643" s="16"/>
    </row>
    <row r="644" ht="12.75" spans="1:26">
      <c r="A644" s="23"/>
      <c r="B644" s="16"/>
      <c r="C644" s="23"/>
      <c r="D644" s="24"/>
      <c r="E644" s="16"/>
      <c r="F644" s="24"/>
      <c r="G644" s="24"/>
      <c r="H644" s="16"/>
      <c r="I644" s="16"/>
      <c r="J644" s="16"/>
      <c r="K644" s="16"/>
      <c r="L644" s="16"/>
      <c r="M644" s="16"/>
      <c r="N644" s="16"/>
      <c r="O644" s="16"/>
      <c r="P644" s="16"/>
      <c r="Q644" s="16"/>
      <c r="R644" s="16"/>
      <c r="S644" s="16"/>
      <c r="T644" s="16"/>
      <c r="U644" s="16"/>
      <c r="V644" s="16"/>
      <c r="W644" s="16"/>
      <c r="X644" s="16"/>
      <c r="Y644" s="16"/>
      <c r="Z644" s="16"/>
    </row>
    <row r="645" ht="12.75" spans="1:26">
      <c r="A645" s="23"/>
      <c r="B645" s="16"/>
      <c r="C645" s="23"/>
      <c r="D645" s="24"/>
      <c r="E645" s="16"/>
      <c r="F645" s="24"/>
      <c r="G645" s="24"/>
      <c r="H645" s="16"/>
      <c r="I645" s="16"/>
      <c r="J645" s="16"/>
      <c r="K645" s="16"/>
      <c r="L645" s="16"/>
      <c r="M645" s="16"/>
      <c r="N645" s="16"/>
      <c r="O645" s="16"/>
      <c r="P645" s="16"/>
      <c r="Q645" s="16"/>
      <c r="R645" s="16"/>
      <c r="S645" s="16"/>
      <c r="T645" s="16"/>
      <c r="U645" s="16"/>
      <c r="V645" s="16"/>
      <c r="W645" s="16"/>
      <c r="X645" s="16"/>
      <c r="Y645" s="16"/>
      <c r="Z645" s="16"/>
    </row>
    <row r="646" ht="12.75" spans="1:26">
      <c r="A646" s="23"/>
      <c r="B646" s="16"/>
      <c r="C646" s="23"/>
      <c r="D646" s="24"/>
      <c r="E646" s="16"/>
      <c r="F646" s="24"/>
      <c r="G646" s="24"/>
      <c r="H646" s="16"/>
      <c r="I646" s="16"/>
      <c r="J646" s="16"/>
      <c r="K646" s="16"/>
      <c r="L646" s="16"/>
      <c r="M646" s="16"/>
      <c r="N646" s="16"/>
      <c r="O646" s="16"/>
      <c r="P646" s="16"/>
      <c r="Q646" s="16"/>
      <c r="R646" s="16"/>
      <c r="S646" s="16"/>
      <c r="T646" s="16"/>
      <c r="U646" s="16"/>
      <c r="V646" s="16"/>
      <c r="W646" s="16"/>
      <c r="X646" s="16"/>
      <c r="Y646" s="16"/>
      <c r="Z646" s="16"/>
    </row>
    <row r="647" ht="12.75" spans="1:26">
      <c r="A647" s="23"/>
      <c r="B647" s="16"/>
      <c r="C647" s="23"/>
      <c r="D647" s="24"/>
      <c r="E647" s="16"/>
      <c r="F647" s="24"/>
      <c r="G647" s="24"/>
      <c r="H647" s="16"/>
      <c r="I647" s="16"/>
      <c r="J647" s="16"/>
      <c r="K647" s="16"/>
      <c r="L647" s="16"/>
      <c r="M647" s="16"/>
      <c r="N647" s="16"/>
      <c r="O647" s="16"/>
      <c r="P647" s="16"/>
      <c r="Q647" s="16"/>
      <c r="R647" s="16"/>
      <c r="S647" s="16"/>
      <c r="T647" s="16"/>
      <c r="U647" s="16"/>
      <c r="V647" s="16"/>
      <c r="W647" s="16"/>
      <c r="X647" s="16"/>
      <c r="Y647" s="16"/>
      <c r="Z647" s="16"/>
    </row>
    <row r="648" ht="12.75" spans="1:26">
      <c r="A648" s="23"/>
      <c r="B648" s="16"/>
      <c r="C648" s="23"/>
      <c r="D648" s="24"/>
      <c r="E648" s="16"/>
      <c r="F648" s="24"/>
      <c r="G648" s="24"/>
      <c r="H648" s="16"/>
      <c r="I648" s="16"/>
      <c r="J648" s="16"/>
      <c r="K648" s="16"/>
      <c r="L648" s="16"/>
      <c r="M648" s="16"/>
      <c r="N648" s="16"/>
      <c r="O648" s="16"/>
      <c r="P648" s="16"/>
      <c r="Q648" s="16"/>
      <c r="R648" s="16"/>
      <c r="S648" s="16"/>
      <c r="T648" s="16"/>
      <c r="U648" s="16"/>
      <c r="V648" s="16"/>
      <c r="W648" s="16"/>
      <c r="X648" s="16"/>
      <c r="Y648" s="16"/>
      <c r="Z648" s="16"/>
    </row>
    <row r="649" ht="12.75" spans="1:26">
      <c r="A649" s="23"/>
      <c r="B649" s="16"/>
      <c r="C649" s="23"/>
      <c r="D649" s="24"/>
      <c r="E649" s="16"/>
      <c r="F649" s="24"/>
      <c r="G649" s="24"/>
      <c r="H649" s="16"/>
      <c r="I649" s="16"/>
      <c r="J649" s="16"/>
      <c r="K649" s="16"/>
      <c r="L649" s="16"/>
      <c r="M649" s="16"/>
      <c r="N649" s="16"/>
      <c r="O649" s="16"/>
      <c r="P649" s="16"/>
      <c r="Q649" s="16"/>
      <c r="R649" s="16"/>
      <c r="S649" s="16"/>
      <c r="T649" s="16"/>
      <c r="U649" s="16"/>
      <c r="V649" s="16"/>
      <c r="W649" s="16"/>
      <c r="X649" s="16"/>
      <c r="Y649" s="16"/>
      <c r="Z649" s="16"/>
    </row>
    <row r="650" ht="12.75" spans="1:26">
      <c r="A650" s="23"/>
      <c r="B650" s="16"/>
      <c r="C650" s="23"/>
      <c r="D650" s="24"/>
      <c r="E650" s="16"/>
      <c r="F650" s="24"/>
      <c r="G650" s="24"/>
      <c r="H650" s="16"/>
      <c r="I650" s="16"/>
      <c r="J650" s="16"/>
      <c r="K650" s="16"/>
      <c r="L650" s="16"/>
      <c r="M650" s="16"/>
      <c r="N650" s="16"/>
      <c r="O650" s="16"/>
      <c r="P650" s="16"/>
      <c r="Q650" s="16"/>
      <c r="R650" s="16"/>
      <c r="S650" s="16"/>
      <c r="T650" s="16"/>
      <c r="U650" s="16"/>
      <c r="V650" s="16"/>
      <c r="W650" s="16"/>
      <c r="X650" s="16"/>
      <c r="Y650" s="16"/>
      <c r="Z650" s="16"/>
    </row>
    <row r="651" ht="12.75" spans="1:26">
      <c r="A651" s="23"/>
      <c r="B651" s="16"/>
      <c r="C651" s="23"/>
      <c r="D651" s="24"/>
      <c r="E651" s="16"/>
      <c r="F651" s="24"/>
      <c r="G651" s="24"/>
      <c r="H651" s="16"/>
      <c r="I651" s="16"/>
      <c r="J651" s="16"/>
      <c r="K651" s="16"/>
      <c r="L651" s="16"/>
      <c r="M651" s="16"/>
      <c r="N651" s="16"/>
      <c r="O651" s="16"/>
      <c r="P651" s="16"/>
      <c r="Q651" s="16"/>
      <c r="R651" s="16"/>
      <c r="S651" s="16"/>
      <c r="T651" s="16"/>
      <c r="U651" s="16"/>
      <c r="V651" s="16"/>
      <c r="W651" s="16"/>
      <c r="X651" s="16"/>
      <c r="Y651" s="16"/>
      <c r="Z651" s="16"/>
    </row>
    <row r="652" ht="12.75" spans="1:26">
      <c r="A652" s="23"/>
      <c r="B652" s="16"/>
      <c r="C652" s="23"/>
      <c r="D652" s="24"/>
      <c r="E652" s="16"/>
      <c r="F652" s="24"/>
      <c r="G652" s="24"/>
      <c r="H652" s="16"/>
      <c r="I652" s="16"/>
      <c r="J652" s="16"/>
      <c r="K652" s="16"/>
      <c r="L652" s="16"/>
      <c r="M652" s="16"/>
      <c r="N652" s="16"/>
      <c r="O652" s="16"/>
      <c r="P652" s="16"/>
      <c r="Q652" s="16"/>
      <c r="R652" s="16"/>
      <c r="S652" s="16"/>
      <c r="T652" s="16"/>
      <c r="U652" s="16"/>
      <c r="V652" s="16"/>
      <c r="W652" s="16"/>
      <c r="X652" s="16"/>
      <c r="Y652" s="16"/>
      <c r="Z652" s="16"/>
    </row>
    <row r="653" ht="12.75" spans="1:26">
      <c r="A653" s="23"/>
      <c r="B653" s="16"/>
      <c r="C653" s="23"/>
      <c r="D653" s="24"/>
      <c r="E653" s="16"/>
      <c r="F653" s="24"/>
      <c r="G653" s="24"/>
      <c r="H653" s="16"/>
      <c r="I653" s="16"/>
      <c r="J653" s="16"/>
      <c r="K653" s="16"/>
      <c r="L653" s="16"/>
      <c r="M653" s="16"/>
      <c r="N653" s="16"/>
      <c r="O653" s="16"/>
      <c r="P653" s="16"/>
      <c r="Q653" s="16"/>
      <c r="R653" s="16"/>
      <c r="S653" s="16"/>
      <c r="T653" s="16"/>
      <c r="U653" s="16"/>
      <c r="V653" s="16"/>
      <c r="W653" s="16"/>
      <c r="X653" s="16"/>
      <c r="Y653" s="16"/>
      <c r="Z653" s="16"/>
    </row>
    <row r="654" ht="12.75" spans="1:26">
      <c r="A654" s="23"/>
      <c r="B654" s="16"/>
      <c r="C654" s="23"/>
      <c r="D654" s="24"/>
      <c r="E654" s="16"/>
      <c r="F654" s="24"/>
      <c r="G654" s="24"/>
      <c r="H654" s="16"/>
      <c r="I654" s="16"/>
      <c r="J654" s="16"/>
      <c r="K654" s="16"/>
      <c r="L654" s="16"/>
      <c r="M654" s="16"/>
      <c r="N654" s="16"/>
      <c r="O654" s="16"/>
      <c r="P654" s="16"/>
      <c r="Q654" s="16"/>
      <c r="R654" s="16"/>
      <c r="S654" s="16"/>
      <c r="T654" s="16"/>
      <c r="U654" s="16"/>
      <c r="V654" s="16"/>
      <c r="W654" s="16"/>
      <c r="X654" s="16"/>
      <c r="Y654" s="16"/>
      <c r="Z654" s="16"/>
    </row>
    <row r="655" ht="12.75" spans="1:26">
      <c r="A655" s="23"/>
      <c r="B655" s="16"/>
      <c r="C655" s="23"/>
      <c r="D655" s="24"/>
      <c r="E655" s="16"/>
      <c r="F655" s="24"/>
      <c r="G655" s="24"/>
      <c r="H655" s="16"/>
      <c r="I655" s="16"/>
      <c r="J655" s="16"/>
      <c r="K655" s="16"/>
      <c r="L655" s="16"/>
      <c r="M655" s="16"/>
      <c r="N655" s="16"/>
      <c r="O655" s="16"/>
      <c r="P655" s="16"/>
      <c r="Q655" s="16"/>
      <c r="R655" s="16"/>
      <c r="S655" s="16"/>
      <c r="T655" s="16"/>
      <c r="U655" s="16"/>
      <c r="V655" s="16"/>
      <c r="W655" s="16"/>
      <c r="X655" s="16"/>
      <c r="Y655" s="16"/>
      <c r="Z655" s="16"/>
    </row>
    <row r="656" ht="12.75" spans="1:26">
      <c r="A656" s="23"/>
      <c r="B656" s="16"/>
      <c r="C656" s="23"/>
      <c r="D656" s="24"/>
      <c r="E656" s="16"/>
      <c r="F656" s="24"/>
      <c r="G656" s="24"/>
      <c r="H656" s="16"/>
      <c r="I656" s="16"/>
      <c r="J656" s="16"/>
      <c r="K656" s="16"/>
      <c r="L656" s="16"/>
      <c r="M656" s="16"/>
      <c r="N656" s="16"/>
      <c r="O656" s="16"/>
      <c r="P656" s="16"/>
      <c r="Q656" s="16"/>
      <c r="R656" s="16"/>
      <c r="S656" s="16"/>
      <c r="T656" s="16"/>
      <c r="U656" s="16"/>
      <c r="V656" s="16"/>
      <c r="W656" s="16"/>
      <c r="X656" s="16"/>
      <c r="Y656" s="16"/>
      <c r="Z656" s="16"/>
    </row>
    <row r="657" ht="12.75" spans="1:26">
      <c r="A657" s="23"/>
      <c r="B657" s="16"/>
      <c r="C657" s="23"/>
      <c r="D657" s="24"/>
      <c r="E657" s="16"/>
      <c r="F657" s="24"/>
      <c r="G657" s="24"/>
      <c r="H657" s="16"/>
      <c r="I657" s="16"/>
      <c r="J657" s="16"/>
      <c r="K657" s="16"/>
      <c r="L657" s="16"/>
      <c r="M657" s="16"/>
      <c r="N657" s="16"/>
      <c r="O657" s="16"/>
      <c r="P657" s="16"/>
      <c r="Q657" s="16"/>
      <c r="R657" s="16"/>
      <c r="S657" s="16"/>
      <c r="T657" s="16"/>
      <c r="U657" s="16"/>
      <c r="V657" s="16"/>
      <c r="W657" s="16"/>
      <c r="X657" s="16"/>
      <c r="Y657" s="16"/>
      <c r="Z657" s="16"/>
    </row>
    <row r="658" ht="12.75" spans="1:26">
      <c r="A658" s="23"/>
      <c r="B658" s="16"/>
      <c r="C658" s="23"/>
      <c r="D658" s="24"/>
      <c r="E658" s="16"/>
      <c r="F658" s="24"/>
      <c r="G658" s="24"/>
      <c r="H658" s="16"/>
      <c r="I658" s="16"/>
      <c r="J658" s="16"/>
      <c r="K658" s="16"/>
      <c r="L658" s="16"/>
      <c r="M658" s="16"/>
      <c r="N658" s="16"/>
      <c r="O658" s="16"/>
      <c r="P658" s="16"/>
      <c r="Q658" s="16"/>
      <c r="R658" s="16"/>
      <c r="S658" s="16"/>
      <c r="T658" s="16"/>
      <c r="U658" s="16"/>
      <c r="V658" s="16"/>
      <c r="W658" s="16"/>
      <c r="X658" s="16"/>
      <c r="Y658" s="16"/>
      <c r="Z658" s="16"/>
    </row>
    <row r="659" ht="12.75" spans="1:26">
      <c r="A659" s="23"/>
      <c r="B659" s="16"/>
      <c r="C659" s="23"/>
      <c r="D659" s="24"/>
      <c r="E659" s="16"/>
      <c r="F659" s="24"/>
      <c r="G659" s="24"/>
      <c r="H659" s="16"/>
      <c r="I659" s="16"/>
      <c r="J659" s="16"/>
      <c r="K659" s="16"/>
      <c r="L659" s="16"/>
      <c r="M659" s="16"/>
      <c r="N659" s="16"/>
      <c r="O659" s="16"/>
      <c r="P659" s="16"/>
      <c r="Q659" s="16"/>
      <c r="R659" s="16"/>
      <c r="S659" s="16"/>
      <c r="T659" s="16"/>
      <c r="U659" s="16"/>
      <c r="V659" s="16"/>
      <c r="W659" s="16"/>
      <c r="X659" s="16"/>
      <c r="Y659" s="16"/>
      <c r="Z659" s="16"/>
    </row>
    <row r="660" ht="12.75" spans="1:26">
      <c r="A660" s="23"/>
      <c r="B660" s="16"/>
      <c r="C660" s="23"/>
      <c r="D660" s="24"/>
      <c r="E660" s="16"/>
      <c r="F660" s="24"/>
      <c r="G660" s="24"/>
      <c r="H660" s="16"/>
      <c r="I660" s="16"/>
      <c r="J660" s="16"/>
      <c r="K660" s="16"/>
      <c r="L660" s="16"/>
      <c r="M660" s="16"/>
      <c r="N660" s="16"/>
      <c r="O660" s="16"/>
      <c r="P660" s="16"/>
      <c r="Q660" s="16"/>
      <c r="R660" s="16"/>
      <c r="S660" s="16"/>
      <c r="T660" s="16"/>
      <c r="U660" s="16"/>
      <c r="V660" s="16"/>
      <c r="W660" s="16"/>
      <c r="X660" s="16"/>
      <c r="Y660" s="16"/>
      <c r="Z660" s="16"/>
    </row>
    <row r="661" ht="12.75" spans="1:26">
      <c r="A661" s="23"/>
      <c r="B661" s="16"/>
      <c r="C661" s="23"/>
      <c r="D661" s="24"/>
      <c r="E661" s="16"/>
      <c r="F661" s="24"/>
      <c r="G661" s="24"/>
      <c r="H661" s="16"/>
      <c r="I661" s="16"/>
      <c r="J661" s="16"/>
      <c r="K661" s="16"/>
      <c r="L661" s="16"/>
      <c r="M661" s="16"/>
      <c r="N661" s="16"/>
      <c r="O661" s="16"/>
      <c r="P661" s="16"/>
      <c r="Q661" s="16"/>
      <c r="R661" s="16"/>
      <c r="S661" s="16"/>
      <c r="T661" s="16"/>
      <c r="U661" s="16"/>
      <c r="V661" s="16"/>
      <c r="W661" s="16"/>
      <c r="X661" s="16"/>
      <c r="Y661" s="16"/>
      <c r="Z661" s="16"/>
    </row>
    <row r="662" ht="12.75" spans="1:26">
      <c r="A662" s="23"/>
      <c r="B662" s="16"/>
      <c r="C662" s="23"/>
      <c r="D662" s="24"/>
      <c r="E662" s="16"/>
      <c r="F662" s="24"/>
      <c r="G662" s="24"/>
      <c r="H662" s="16"/>
      <c r="I662" s="16"/>
      <c r="J662" s="16"/>
      <c r="K662" s="16"/>
      <c r="L662" s="16"/>
      <c r="M662" s="16"/>
      <c r="N662" s="16"/>
      <c r="O662" s="16"/>
      <c r="P662" s="16"/>
      <c r="Q662" s="16"/>
      <c r="R662" s="16"/>
      <c r="S662" s="16"/>
      <c r="T662" s="16"/>
      <c r="U662" s="16"/>
      <c r="V662" s="16"/>
      <c r="W662" s="16"/>
      <c r="X662" s="16"/>
      <c r="Y662" s="16"/>
      <c r="Z662" s="16"/>
    </row>
    <row r="663" ht="12.75" spans="1:26">
      <c r="A663" s="23"/>
      <c r="B663" s="16"/>
      <c r="C663" s="23"/>
      <c r="D663" s="24"/>
      <c r="E663" s="16"/>
      <c r="F663" s="24"/>
      <c r="G663" s="24"/>
      <c r="H663" s="16"/>
      <c r="I663" s="16"/>
      <c r="J663" s="16"/>
      <c r="K663" s="16"/>
      <c r="L663" s="16"/>
      <c r="M663" s="16"/>
      <c r="N663" s="16"/>
      <c r="O663" s="16"/>
      <c r="P663" s="16"/>
      <c r="Q663" s="16"/>
      <c r="R663" s="16"/>
      <c r="S663" s="16"/>
      <c r="T663" s="16"/>
      <c r="U663" s="16"/>
      <c r="V663" s="16"/>
      <c r="W663" s="16"/>
      <c r="X663" s="16"/>
      <c r="Y663" s="16"/>
      <c r="Z663" s="16"/>
    </row>
    <row r="664" ht="12.75" spans="1:26">
      <c r="A664" s="23"/>
      <c r="B664" s="16"/>
      <c r="C664" s="23"/>
      <c r="D664" s="24"/>
      <c r="E664" s="16"/>
      <c r="F664" s="24"/>
      <c r="G664" s="24"/>
      <c r="H664" s="16"/>
      <c r="I664" s="16"/>
      <c r="J664" s="16"/>
      <c r="K664" s="16"/>
      <c r="L664" s="16"/>
      <c r="M664" s="16"/>
      <c r="N664" s="16"/>
      <c r="O664" s="16"/>
      <c r="P664" s="16"/>
      <c r="Q664" s="16"/>
      <c r="R664" s="16"/>
      <c r="S664" s="16"/>
      <c r="T664" s="16"/>
      <c r="U664" s="16"/>
      <c r="V664" s="16"/>
      <c r="W664" s="16"/>
      <c r="X664" s="16"/>
      <c r="Y664" s="16"/>
      <c r="Z664" s="16"/>
    </row>
    <row r="665" ht="12.75" spans="1:26">
      <c r="A665" s="23"/>
      <c r="B665" s="16"/>
      <c r="C665" s="23"/>
      <c r="D665" s="24"/>
      <c r="E665" s="16"/>
      <c r="F665" s="24"/>
      <c r="G665" s="24"/>
      <c r="H665" s="16"/>
      <c r="I665" s="16"/>
      <c r="J665" s="16"/>
      <c r="K665" s="16"/>
      <c r="L665" s="16"/>
      <c r="M665" s="16"/>
      <c r="N665" s="16"/>
      <c r="O665" s="16"/>
      <c r="P665" s="16"/>
      <c r="Q665" s="16"/>
      <c r="R665" s="16"/>
      <c r="S665" s="16"/>
      <c r="T665" s="16"/>
      <c r="U665" s="16"/>
      <c r="V665" s="16"/>
      <c r="W665" s="16"/>
      <c r="X665" s="16"/>
      <c r="Y665" s="16"/>
      <c r="Z665" s="16"/>
    </row>
    <row r="666" ht="12.75" spans="1:26">
      <c r="A666" s="23"/>
      <c r="B666" s="16"/>
      <c r="C666" s="23"/>
      <c r="D666" s="24"/>
      <c r="E666" s="16"/>
      <c r="F666" s="24"/>
      <c r="G666" s="24"/>
      <c r="H666" s="16"/>
      <c r="I666" s="16"/>
      <c r="J666" s="16"/>
      <c r="K666" s="16"/>
      <c r="L666" s="16"/>
      <c r="M666" s="16"/>
      <c r="N666" s="16"/>
      <c r="O666" s="16"/>
      <c r="P666" s="16"/>
      <c r="Q666" s="16"/>
      <c r="R666" s="16"/>
      <c r="S666" s="16"/>
      <c r="T666" s="16"/>
      <c r="U666" s="16"/>
      <c r="V666" s="16"/>
      <c r="W666" s="16"/>
      <c r="X666" s="16"/>
      <c r="Y666" s="16"/>
      <c r="Z666" s="16"/>
    </row>
    <row r="667" ht="12.75" spans="1:26">
      <c r="A667" s="23"/>
      <c r="B667" s="16"/>
      <c r="C667" s="23"/>
      <c r="D667" s="24"/>
      <c r="E667" s="16"/>
      <c r="F667" s="24"/>
      <c r="G667" s="24"/>
      <c r="H667" s="16"/>
      <c r="I667" s="16"/>
      <c r="J667" s="16"/>
      <c r="K667" s="16"/>
      <c r="L667" s="16"/>
      <c r="M667" s="16"/>
      <c r="N667" s="16"/>
      <c r="O667" s="16"/>
      <c r="P667" s="16"/>
      <c r="Q667" s="16"/>
      <c r="R667" s="16"/>
      <c r="S667" s="16"/>
      <c r="T667" s="16"/>
      <c r="U667" s="16"/>
      <c r="V667" s="16"/>
      <c r="W667" s="16"/>
      <c r="X667" s="16"/>
      <c r="Y667" s="16"/>
      <c r="Z667" s="16"/>
    </row>
    <row r="668" ht="12.75" spans="1:26">
      <c r="A668" s="23"/>
      <c r="B668" s="16"/>
      <c r="C668" s="23"/>
      <c r="D668" s="24"/>
      <c r="E668" s="16"/>
      <c r="F668" s="24"/>
      <c r="G668" s="24"/>
      <c r="H668" s="16"/>
      <c r="I668" s="16"/>
      <c r="J668" s="16"/>
      <c r="K668" s="16"/>
      <c r="L668" s="16"/>
      <c r="M668" s="16"/>
      <c r="N668" s="16"/>
      <c r="O668" s="16"/>
      <c r="P668" s="16"/>
      <c r="Q668" s="16"/>
      <c r="R668" s="16"/>
      <c r="S668" s="16"/>
      <c r="T668" s="16"/>
      <c r="U668" s="16"/>
      <c r="V668" s="16"/>
      <c r="W668" s="16"/>
      <c r="X668" s="16"/>
      <c r="Y668" s="16"/>
      <c r="Z668" s="16"/>
    </row>
    <row r="669" ht="12.75" spans="1:26">
      <c r="A669" s="23"/>
      <c r="B669" s="16"/>
      <c r="C669" s="23"/>
      <c r="D669" s="24"/>
      <c r="E669" s="16"/>
      <c r="F669" s="24"/>
      <c r="G669" s="24"/>
      <c r="H669" s="16"/>
      <c r="I669" s="16"/>
      <c r="J669" s="16"/>
      <c r="K669" s="16"/>
      <c r="L669" s="16"/>
      <c r="M669" s="16"/>
      <c r="N669" s="16"/>
      <c r="O669" s="16"/>
      <c r="P669" s="16"/>
      <c r="Q669" s="16"/>
      <c r="R669" s="16"/>
      <c r="S669" s="16"/>
      <c r="T669" s="16"/>
      <c r="U669" s="16"/>
      <c r="V669" s="16"/>
      <c r="W669" s="16"/>
      <c r="X669" s="16"/>
      <c r="Y669" s="16"/>
      <c r="Z669" s="16"/>
    </row>
    <row r="670" ht="12.75" spans="1:26">
      <c r="A670" s="23"/>
      <c r="B670" s="16"/>
      <c r="C670" s="23"/>
      <c r="D670" s="24"/>
      <c r="E670" s="16"/>
      <c r="F670" s="24"/>
      <c r="G670" s="24"/>
      <c r="H670" s="16"/>
      <c r="I670" s="16"/>
      <c r="J670" s="16"/>
      <c r="K670" s="16"/>
      <c r="L670" s="16"/>
      <c r="M670" s="16"/>
      <c r="N670" s="16"/>
      <c r="O670" s="16"/>
      <c r="P670" s="16"/>
      <c r="Q670" s="16"/>
      <c r="R670" s="16"/>
      <c r="S670" s="16"/>
      <c r="T670" s="16"/>
      <c r="U670" s="16"/>
      <c r="V670" s="16"/>
      <c r="W670" s="16"/>
      <c r="X670" s="16"/>
      <c r="Y670" s="16"/>
      <c r="Z670" s="16"/>
    </row>
    <row r="671" ht="12.75" spans="1:26">
      <c r="A671" s="23"/>
      <c r="B671" s="16"/>
      <c r="C671" s="23"/>
      <c r="D671" s="24"/>
      <c r="E671" s="16"/>
      <c r="F671" s="24"/>
      <c r="G671" s="24"/>
      <c r="H671" s="16"/>
      <c r="I671" s="16"/>
      <c r="J671" s="16"/>
      <c r="K671" s="16"/>
      <c r="L671" s="16"/>
      <c r="M671" s="16"/>
      <c r="N671" s="16"/>
      <c r="O671" s="16"/>
      <c r="P671" s="16"/>
      <c r="Q671" s="16"/>
      <c r="R671" s="16"/>
      <c r="S671" s="16"/>
      <c r="T671" s="16"/>
      <c r="U671" s="16"/>
      <c r="V671" s="16"/>
      <c r="W671" s="16"/>
      <c r="X671" s="16"/>
      <c r="Y671" s="16"/>
      <c r="Z671" s="16"/>
    </row>
    <row r="672" ht="12.75" spans="1:26">
      <c r="A672" s="23"/>
      <c r="B672" s="16"/>
      <c r="C672" s="23"/>
      <c r="D672" s="24"/>
      <c r="E672" s="16"/>
      <c r="F672" s="24"/>
      <c r="G672" s="24"/>
      <c r="H672" s="16"/>
      <c r="I672" s="16"/>
      <c r="J672" s="16"/>
      <c r="K672" s="16"/>
      <c r="L672" s="16"/>
      <c r="M672" s="16"/>
      <c r="N672" s="16"/>
      <c r="O672" s="16"/>
      <c r="P672" s="16"/>
      <c r="Q672" s="16"/>
      <c r="R672" s="16"/>
      <c r="S672" s="16"/>
      <c r="T672" s="16"/>
      <c r="U672" s="16"/>
      <c r="V672" s="16"/>
      <c r="W672" s="16"/>
      <c r="X672" s="16"/>
      <c r="Y672" s="16"/>
      <c r="Z672" s="16"/>
    </row>
    <row r="673" ht="12.75" spans="1:26">
      <c r="A673" s="23"/>
      <c r="B673" s="16"/>
      <c r="C673" s="23"/>
      <c r="D673" s="24"/>
      <c r="E673" s="16"/>
      <c r="F673" s="24"/>
      <c r="G673" s="24"/>
      <c r="H673" s="16"/>
      <c r="I673" s="16"/>
      <c r="J673" s="16"/>
      <c r="K673" s="16"/>
      <c r="L673" s="16"/>
      <c r="M673" s="16"/>
      <c r="N673" s="16"/>
      <c r="O673" s="16"/>
      <c r="P673" s="16"/>
      <c r="Q673" s="16"/>
      <c r="R673" s="16"/>
      <c r="S673" s="16"/>
      <c r="T673" s="16"/>
      <c r="U673" s="16"/>
      <c r="V673" s="16"/>
      <c r="W673" s="16"/>
      <c r="X673" s="16"/>
      <c r="Y673" s="16"/>
      <c r="Z673" s="16"/>
    </row>
    <row r="674" ht="12.75" spans="1:26">
      <c r="A674" s="23"/>
      <c r="B674" s="16"/>
      <c r="C674" s="23"/>
      <c r="D674" s="24"/>
      <c r="E674" s="16"/>
      <c r="F674" s="24"/>
      <c r="G674" s="24"/>
      <c r="H674" s="16"/>
      <c r="I674" s="16"/>
      <c r="J674" s="16"/>
      <c r="K674" s="16"/>
      <c r="L674" s="16"/>
      <c r="M674" s="16"/>
      <c r="N674" s="16"/>
      <c r="O674" s="16"/>
      <c r="P674" s="16"/>
      <c r="Q674" s="16"/>
      <c r="R674" s="16"/>
      <c r="S674" s="16"/>
      <c r="T674" s="16"/>
      <c r="U674" s="16"/>
      <c r="V674" s="16"/>
      <c r="W674" s="16"/>
      <c r="X674" s="16"/>
      <c r="Y674" s="16"/>
      <c r="Z674" s="16"/>
    </row>
    <row r="675" ht="12.75" spans="1:26">
      <c r="A675" s="23"/>
      <c r="B675" s="16"/>
      <c r="C675" s="23"/>
      <c r="D675" s="24"/>
      <c r="E675" s="16"/>
      <c r="F675" s="24"/>
      <c r="G675" s="24"/>
      <c r="H675" s="16"/>
      <c r="I675" s="16"/>
      <c r="J675" s="16"/>
      <c r="K675" s="16"/>
      <c r="L675" s="16"/>
      <c r="M675" s="16"/>
      <c r="N675" s="16"/>
      <c r="O675" s="16"/>
      <c r="P675" s="16"/>
      <c r="Q675" s="16"/>
      <c r="R675" s="16"/>
      <c r="S675" s="16"/>
      <c r="T675" s="16"/>
      <c r="U675" s="16"/>
      <c r="V675" s="16"/>
      <c r="W675" s="16"/>
      <c r="X675" s="16"/>
      <c r="Y675" s="16"/>
      <c r="Z675" s="16"/>
    </row>
    <row r="676" ht="12.75" spans="1:26">
      <c r="A676" s="23"/>
      <c r="B676" s="16"/>
      <c r="C676" s="23"/>
      <c r="D676" s="24"/>
      <c r="E676" s="16"/>
      <c r="F676" s="24"/>
      <c r="G676" s="24"/>
      <c r="H676" s="16"/>
      <c r="I676" s="16"/>
      <c r="J676" s="16"/>
      <c r="K676" s="16"/>
      <c r="L676" s="16"/>
      <c r="M676" s="16"/>
      <c r="N676" s="16"/>
      <c r="O676" s="16"/>
      <c r="P676" s="16"/>
      <c r="Q676" s="16"/>
      <c r="R676" s="16"/>
      <c r="S676" s="16"/>
      <c r="T676" s="16"/>
      <c r="U676" s="16"/>
      <c r="V676" s="16"/>
      <c r="W676" s="16"/>
      <c r="X676" s="16"/>
      <c r="Y676" s="16"/>
      <c r="Z676" s="16"/>
    </row>
    <row r="677" ht="12.75" spans="1:26">
      <c r="A677" s="23"/>
      <c r="B677" s="16"/>
      <c r="C677" s="23"/>
      <c r="D677" s="24"/>
      <c r="E677" s="16"/>
      <c r="F677" s="24"/>
      <c r="G677" s="24"/>
      <c r="H677" s="16"/>
      <c r="I677" s="16"/>
      <c r="J677" s="16"/>
      <c r="K677" s="16"/>
      <c r="L677" s="16"/>
      <c r="M677" s="16"/>
      <c r="N677" s="16"/>
      <c r="O677" s="16"/>
      <c r="P677" s="16"/>
      <c r="Q677" s="16"/>
      <c r="R677" s="16"/>
      <c r="S677" s="16"/>
      <c r="T677" s="16"/>
      <c r="U677" s="16"/>
      <c r="V677" s="16"/>
      <c r="W677" s="16"/>
      <c r="X677" s="16"/>
      <c r="Y677" s="16"/>
      <c r="Z677" s="16"/>
    </row>
    <row r="678" ht="12.75" spans="1:26">
      <c r="A678" s="23"/>
      <c r="B678" s="16"/>
      <c r="C678" s="23"/>
      <c r="D678" s="24"/>
      <c r="E678" s="16"/>
      <c r="F678" s="24"/>
      <c r="G678" s="24"/>
      <c r="H678" s="16"/>
      <c r="I678" s="16"/>
      <c r="J678" s="16"/>
      <c r="K678" s="16"/>
      <c r="L678" s="16"/>
      <c r="M678" s="16"/>
      <c r="N678" s="16"/>
      <c r="O678" s="16"/>
      <c r="P678" s="16"/>
      <c r="Q678" s="16"/>
      <c r="R678" s="16"/>
      <c r="S678" s="16"/>
      <c r="T678" s="16"/>
      <c r="U678" s="16"/>
      <c r="V678" s="16"/>
      <c r="W678" s="16"/>
      <c r="X678" s="16"/>
      <c r="Y678" s="16"/>
      <c r="Z678" s="16"/>
    </row>
    <row r="679" ht="12.75" spans="1:26">
      <c r="A679" s="23"/>
      <c r="B679" s="16"/>
      <c r="C679" s="23"/>
      <c r="D679" s="24"/>
      <c r="E679" s="16"/>
      <c r="F679" s="24"/>
      <c r="G679" s="24"/>
      <c r="H679" s="16"/>
      <c r="I679" s="16"/>
      <c r="J679" s="16"/>
      <c r="K679" s="16"/>
      <c r="L679" s="16"/>
      <c r="M679" s="16"/>
      <c r="N679" s="16"/>
      <c r="O679" s="16"/>
      <c r="P679" s="16"/>
      <c r="Q679" s="16"/>
      <c r="R679" s="16"/>
      <c r="S679" s="16"/>
      <c r="T679" s="16"/>
      <c r="U679" s="16"/>
      <c r="V679" s="16"/>
      <c r="W679" s="16"/>
      <c r="X679" s="16"/>
      <c r="Y679" s="16"/>
      <c r="Z679" s="16"/>
    </row>
    <row r="680" ht="12.75" spans="1:26">
      <c r="A680" s="23"/>
      <c r="B680" s="16"/>
      <c r="C680" s="23"/>
      <c r="D680" s="24"/>
      <c r="E680" s="16"/>
      <c r="F680" s="24"/>
      <c r="G680" s="24"/>
      <c r="H680" s="16"/>
      <c r="I680" s="16"/>
      <c r="J680" s="16"/>
      <c r="K680" s="16"/>
      <c r="L680" s="16"/>
      <c r="M680" s="16"/>
      <c r="N680" s="16"/>
      <c r="O680" s="16"/>
      <c r="P680" s="16"/>
      <c r="Q680" s="16"/>
      <c r="R680" s="16"/>
      <c r="S680" s="16"/>
      <c r="T680" s="16"/>
      <c r="U680" s="16"/>
      <c r="V680" s="16"/>
      <c r="W680" s="16"/>
      <c r="X680" s="16"/>
      <c r="Y680" s="16"/>
      <c r="Z680" s="16"/>
    </row>
    <row r="681" ht="12.75" spans="1:26">
      <c r="A681" s="23"/>
      <c r="B681" s="16"/>
      <c r="C681" s="23"/>
      <c r="D681" s="24"/>
      <c r="E681" s="16"/>
      <c r="F681" s="24"/>
      <c r="G681" s="24"/>
      <c r="H681" s="16"/>
      <c r="I681" s="16"/>
      <c r="J681" s="16"/>
      <c r="K681" s="16"/>
      <c r="L681" s="16"/>
      <c r="M681" s="16"/>
      <c r="N681" s="16"/>
      <c r="O681" s="16"/>
      <c r="P681" s="16"/>
      <c r="Q681" s="16"/>
      <c r="R681" s="16"/>
      <c r="S681" s="16"/>
      <c r="T681" s="16"/>
      <c r="U681" s="16"/>
      <c r="V681" s="16"/>
      <c r="W681" s="16"/>
      <c r="X681" s="16"/>
      <c r="Y681" s="16"/>
      <c r="Z681" s="16"/>
    </row>
    <row r="682" ht="12.75" spans="1:26">
      <c r="A682" s="23"/>
      <c r="B682" s="16"/>
      <c r="C682" s="23"/>
      <c r="D682" s="24"/>
      <c r="E682" s="16"/>
      <c r="F682" s="24"/>
      <c r="G682" s="24"/>
      <c r="H682" s="16"/>
      <c r="I682" s="16"/>
      <c r="J682" s="16"/>
      <c r="K682" s="16"/>
      <c r="L682" s="16"/>
      <c r="M682" s="16"/>
      <c r="N682" s="16"/>
      <c r="O682" s="16"/>
      <c r="P682" s="16"/>
      <c r="Q682" s="16"/>
      <c r="R682" s="16"/>
      <c r="S682" s="16"/>
      <c r="T682" s="16"/>
      <c r="U682" s="16"/>
      <c r="V682" s="16"/>
      <c r="W682" s="16"/>
      <c r="X682" s="16"/>
      <c r="Y682" s="16"/>
      <c r="Z682" s="16"/>
    </row>
    <row r="683" ht="12.75" spans="1:26">
      <c r="A683" s="23"/>
      <c r="B683" s="16"/>
      <c r="C683" s="23"/>
      <c r="D683" s="24"/>
      <c r="E683" s="16"/>
      <c r="F683" s="24"/>
      <c r="G683" s="24"/>
      <c r="H683" s="16"/>
      <c r="I683" s="16"/>
      <c r="J683" s="16"/>
      <c r="K683" s="16"/>
      <c r="L683" s="16"/>
      <c r="M683" s="16"/>
      <c r="N683" s="16"/>
      <c r="O683" s="16"/>
      <c r="P683" s="16"/>
      <c r="Q683" s="16"/>
      <c r="R683" s="16"/>
      <c r="S683" s="16"/>
      <c r="T683" s="16"/>
      <c r="U683" s="16"/>
      <c r="V683" s="16"/>
      <c r="W683" s="16"/>
      <c r="X683" s="16"/>
      <c r="Y683" s="16"/>
      <c r="Z683" s="16"/>
    </row>
    <row r="684" ht="12.75" spans="1:26">
      <c r="A684" s="23"/>
      <c r="B684" s="16"/>
      <c r="C684" s="23"/>
      <c r="D684" s="24"/>
      <c r="E684" s="16"/>
      <c r="F684" s="24"/>
      <c r="G684" s="24"/>
      <c r="H684" s="16"/>
      <c r="I684" s="16"/>
      <c r="J684" s="16"/>
      <c r="K684" s="16"/>
      <c r="L684" s="16"/>
      <c r="M684" s="16"/>
      <c r="N684" s="16"/>
      <c r="O684" s="16"/>
      <c r="P684" s="16"/>
      <c r="Q684" s="16"/>
      <c r="R684" s="16"/>
      <c r="S684" s="16"/>
      <c r="T684" s="16"/>
      <c r="U684" s="16"/>
      <c r="V684" s="16"/>
      <c r="W684" s="16"/>
      <c r="X684" s="16"/>
      <c r="Y684" s="16"/>
      <c r="Z684" s="16"/>
    </row>
    <row r="685" ht="12.75" spans="1:26">
      <c r="A685" s="23"/>
      <c r="B685" s="16"/>
      <c r="C685" s="23"/>
      <c r="D685" s="24"/>
      <c r="E685" s="16"/>
      <c r="F685" s="24"/>
      <c r="G685" s="24"/>
      <c r="H685" s="16"/>
      <c r="I685" s="16"/>
      <c r="J685" s="16"/>
      <c r="K685" s="16"/>
      <c r="L685" s="16"/>
      <c r="M685" s="16"/>
      <c r="N685" s="16"/>
      <c r="O685" s="16"/>
      <c r="P685" s="16"/>
      <c r="Q685" s="16"/>
      <c r="R685" s="16"/>
      <c r="S685" s="16"/>
      <c r="T685" s="16"/>
      <c r="U685" s="16"/>
      <c r="V685" s="16"/>
      <c r="W685" s="16"/>
      <c r="X685" s="16"/>
      <c r="Y685" s="16"/>
      <c r="Z685" s="16"/>
    </row>
    <row r="686" ht="12.75" spans="1:26">
      <c r="A686" s="23"/>
      <c r="B686" s="16"/>
      <c r="C686" s="23"/>
      <c r="D686" s="24"/>
      <c r="E686" s="16"/>
      <c r="F686" s="24"/>
      <c r="G686" s="24"/>
      <c r="H686" s="16"/>
      <c r="I686" s="16"/>
      <c r="J686" s="16"/>
      <c r="K686" s="16"/>
      <c r="L686" s="16"/>
      <c r="M686" s="16"/>
      <c r="N686" s="16"/>
      <c r="O686" s="16"/>
      <c r="P686" s="16"/>
      <c r="Q686" s="16"/>
      <c r="R686" s="16"/>
      <c r="S686" s="16"/>
      <c r="T686" s="16"/>
      <c r="U686" s="16"/>
      <c r="V686" s="16"/>
      <c r="W686" s="16"/>
      <c r="X686" s="16"/>
      <c r="Y686" s="16"/>
      <c r="Z686" s="16"/>
    </row>
    <row r="687" ht="12.75" spans="1:26">
      <c r="A687" s="23"/>
      <c r="B687" s="16"/>
      <c r="C687" s="23"/>
      <c r="D687" s="24"/>
      <c r="E687" s="16"/>
      <c r="F687" s="24"/>
      <c r="G687" s="24"/>
      <c r="H687" s="16"/>
      <c r="I687" s="16"/>
      <c r="J687" s="16"/>
      <c r="K687" s="16"/>
      <c r="L687" s="16"/>
      <c r="M687" s="16"/>
      <c r="N687" s="16"/>
      <c r="O687" s="16"/>
      <c r="P687" s="16"/>
      <c r="Q687" s="16"/>
      <c r="R687" s="16"/>
      <c r="S687" s="16"/>
      <c r="T687" s="16"/>
      <c r="U687" s="16"/>
      <c r="V687" s="16"/>
      <c r="W687" s="16"/>
      <c r="X687" s="16"/>
      <c r="Y687" s="16"/>
      <c r="Z687" s="16"/>
    </row>
    <row r="688" ht="12.75" spans="1:26">
      <c r="A688" s="23"/>
      <c r="B688" s="16"/>
      <c r="C688" s="23"/>
      <c r="D688" s="24"/>
      <c r="E688" s="16"/>
      <c r="F688" s="24"/>
      <c r="G688" s="24"/>
      <c r="H688" s="16"/>
      <c r="I688" s="16"/>
      <c r="J688" s="16"/>
      <c r="K688" s="16"/>
      <c r="L688" s="16"/>
      <c r="M688" s="16"/>
      <c r="N688" s="16"/>
      <c r="O688" s="16"/>
      <c r="P688" s="16"/>
      <c r="Q688" s="16"/>
      <c r="R688" s="16"/>
      <c r="S688" s="16"/>
      <c r="T688" s="16"/>
      <c r="U688" s="16"/>
      <c r="V688" s="16"/>
      <c r="W688" s="16"/>
      <c r="X688" s="16"/>
      <c r="Y688" s="16"/>
      <c r="Z688" s="16"/>
    </row>
    <row r="689" ht="12.75" spans="1:26">
      <c r="A689" s="23"/>
      <c r="B689" s="16"/>
      <c r="C689" s="23"/>
      <c r="D689" s="24"/>
      <c r="E689" s="16"/>
      <c r="F689" s="24"/>
      <c r="G689" s="24"/>
      <c r="H689" s="16"/>
      <c r="I689" s="16"/>
      <c r="J689" s="16"/>
      <c r="K689" s="16"/>
      <c r="L689" s="16"/>
      <c r="M689" s="16"/>
      <c r="N689" s="16"/>
      <c r="O689" s="16"/>
      <c r="P689" s="16"/>
      <c r="Q689" s="16"/>
      <c r="R689" s="16"/>
      <c r="S689" s="16"/>
      <c r="T689" s="16"/>
      <c r="U689" s="16"/>
      <c r="V689" s="16"/>
      <c r="W689" s="16"/>
      <c r="X689" s="16"/>
      <c r="Y689" s="16"/>
      <c r="Z689" s="16"/>
    </row>
    <row r="690" ht="12.75" spans="1:26">
      <c r="A690" s="23"/>
      <c r="B690" s="16"/>
      <c r="C690" s="23"/>
      <c r="D690" s="24"/>
      <c r="E690" s="16"/>
      <c r="F690" s="24"/>
      <c r="G690" s="24"/>
      <c r="H690" s="16"/>
      <c r="I690" s="16"/>
      <c r="J690" s="16"/>
      <c r="K690" s="16"/>
      <c r="L690" s="16"/>
      <c r="M690" s="16"/>
      <c r="N690" s="16"/>
      <c r="O690" s="16"/>
      <c r="P690" s="16"/>
      <c r="Q690" s="16"/>
      <c r="R690" s="16"/>
      <c r="S690" s="16"/>
      <c r="T690" s="16"/>
      <c r="U690" s="16"/>
      <c r="V690" s="16"/>
      <c r="W690" s="16"/>
      <c r="X690" s="16"/>
      <c r="Y690" s="16"/>
      <c r="Z690" s="16"/>
    </row>
    <row r="691" ht="12.75" spans="1:26">
      <c r="A691" s="23"/>
      <c r="B691" s="16"/>
      <c r="C691" s="23"/>
      <c r="D691" s="24"/>
      <c r="E691" s="16"/>
      <c r="F691" s="24"/>
      <c r="G691" s="24"/>
      <c r="H691" s="16"/>
      <c r="I691" s="16"/>
      <c r="J691" s="16"/>
      <c r="K691" s="16"/>
      <c r="L691" s="16"/>
      <c r="M691" s="16"/>
      <c r="N691" s="16"/>
      <c r="O691" s="16"/>
      <c r="P691" s="16"/>
      <c r="Q691" s="16"/>
      <c r="R691" s="16"/>
      <c r="S691" s="16"/>
      <c r="T691" s="16"/>
      <c r="U691" s="16"/>
      <c r="V691" s="16"/>
      <c r="W691" s="16"/>
      <c r="X691" s="16"/>
      <c r="Y691" s="16"/>
      <c r="Z691" s="16"/>
    </row>
    <row r="692" ht="12.75" spans="1:26">
      <c r="A692" s="23"/>
      <c r="B692" s="16"/>
      <c r="C692" s="23"/>
      <c r="D692" s="24"/>
      <c r="E692" s="16"/>
      <c r="F692" s="24"/>
      <c r="G692" s="24"/>
      <c r="H692" s="16"/>
      <c r="I692" s="16"/>
      <c r="J692" s="16"/>
      <c r="K692" s="16"/>
      <c r="L692" s="16"/>
      <c r="M692" s="16"/>
      <c r="N692" s="16"/>
      <c r="O692" s="16"/>
      <c r="P692" s="16"/>
      <c r="Q692" s="16"/>
      <c r="R692" s="16"/>
      <c r="S692" s="16"/>
      <c r="T692" s="16"/>
      <c r="U692" s="16"/>
      <c r="V692" s="16"/>
      <c r="W692" s="16"/>
      <c r="X692" s="16"/>
      <c r="Y692" s="16"/>
      <c r="Z692" s="16"/>
    </row>
    <row r="693" ht="12.75" spans="1:26">
      <c r="A693" s="23"/>
      <c r="B693" s="16"/>
      <c r="C693" s="23"/>
      <c r="D693" s="24"/>
      <c r="E693" s="16"/>
      <c r="F693" s="24"/>
      <c r="G693" s="24"/>
      <c r="H693" s="16"/>
      <c r="I693" s="16"/>
      <c r="J693" s="16"/>
      <c r="K693" s="16"/>
      <c r="L693" s="16"/>
      <c r="M693" s="16"/>
      <c r="N693" s="16"/>
      <c r="O693" s="16"/>
      <c r="P693" s="16"/>
      <c r="Q693" s="16"/>
      <c r="R693" s="16"/>
      <c r="S693" s="16"/>
      <c r="T693" s="16"/>
      <c r="U693" s="16"/>
      <c r="V693" s="16"/>
      <c r="W693" s="16"/>
      <c r="X693" s="16"/>
      <c r="Y693" s="16"/>
      <c r="Z693" s="16"/>
    </row>
    <row r="694" ht="12.75" spans="1:26">
      <c r="A694" s="23"/>
      <c r="B694" s="16"/>
      <c r="C694" s="23"/>
      <c r="D694" s="24"/>
      <c r="E694" s="16"/>
      <c r="F694" s="24"/>
      <c r="G694" s="24"/>
      <c r="H694" s="16"/>
      <c r="I694" s="16"/>
      <c r="J694" s="16"/>
      <c r="K694" s="16"/>
      <c r="L694" s="16"/>
      <c r="M694" s="16"/>
      <c r="N694" s="16"/>
      <c r="O694" s="16"/>
      <c r="P694" s="16"/>
      <c r="Q694" s="16"/>
      <c r="R694" s="16"/>
      <c r="S694" s="16"/>
      <c r="T694" s="16"/>
      <c r="U694" s="16"/>
      <c r="V694" s="16"/>
      <c r="W694" s="16"/>
      <c r="X694" s="16"/>
      <c r="Y694" s="16"/>
      <c r="Z694" s="16"/>
    </row>
    <row r="695" ht="12.75" spans="1:26">
      <c r="A695" s="23"/>
      <c r="B695" s="16"/>
      <c r="C695" s="23"/>
      <c r="D695" s="24"/>
      <c r="E695" s="16"/>
      <c r="F695" s="24"/>
      <c r="G695" s="24"/>
      <c r="H695" s="16"/>
      <c r="I695" s="16"/>
      <c r="J695" s="16"/>
      <c r="K695" s="16"/>
      <c r="L695" s="16"/>
      <c r="M695" s="16"/>
      <c r="N695" s="16"/>
      <c r="O695" s="16"/>
      <c r="P695" s="16"/>
      <c r="Q695" s="16"/>
      <c r="R695" s="16"/>
      <c r="S695" s="16"/>
      <c r="T695" s="16"/>
      <c r="U695" s="16"/>
      <c r="V695" s="16"/>
      <c r="W695" s="16"/>
      <c r="X695" s="16"/>
      <c r="Y695" s="16"/>
      <c r="Z695" s="16"/>
    </row>
    <row r="696" ht="12.75" spans="1:26">
      <c r="A696" s="23"/>
      <c r="B696" s="16"/>
      <c r="C696" s="23"/>
      <c r="D696" s="24"/>
      <c r="E696" s="16"/>
      <c r="F696" s="24"/>
      <c r="G696" s="24"/>
      <c r="H696" s="16"/>
      <c r="I696" s="16"/>
      <c r="J696" s="16"/>
      <c r="K696" s="16"/>
      <c r="L696" s="16"/>
      <c r="M696" s="16"/>
      <c r="N696" s="16"/>
      <c r="O696" s="16"/>
      <c r="P696" s="16"/>
      <c r="Q696" s="16"/>
      <c r="R696" s="16"/>
      <c r="S696" s="16"/>
      <c r="T696" s="16"/>
      <c r="U696" s="16"/>
      <c r="V696" s="16"/>
      <c r="W696" s="16"/>
      <c r="X696" s="16"/>
      <c r="Y696" s="16"/>
      <c r="Z696" s="16"/>
    </row>
    <row r="697" ht="12.75" spans="1:26">
      <c r="A697" s="23"/>
      <c r="B697" s="16"/>
      <c r="C697" s="23"/>
      <c r="D697" s="24"/>
      <c r="E697" s="16"/>
      <c r="F697" s="24"/>
      <c r="G697" s="24"/>
      <c r="H697" s="16"/>
      <c r="I697" s="16"/>
      <c r="J697" s="16"/>
      <c r="K697" s="16"/>
      <c r="L697" s="16"/>
      <c r="M697" s="16"/>
      <c r="N697" s="16"/>
      <c r="O697" s="16"/>
      <c r="P697" s="16"/>
      <c r="Q697" s="16"/>
      <c r="R697" s="16"/>
      <c r="S697" s="16"/>
      <c r="T697" s="16"/>
      <c r="U697" s="16"/>
      <c r="V697" s="16"/>
      <c r="W697" s="16"/>
      <c r="X697" s="16"/>
      <c r="Y697" s="16"/>
      <c r="Z697" s="16"/>
    </row>
    <row r="698" ht="12.75" spans="1:26">
      <c r="A698" s="23"/>
      <c r="B698" s="16"/>
      <c r="C698" s="23"/>
      <c r="D698" s="24"/>
      <c r="E698" s="16"/>
      <c r="F698" s="24"/>
      <c r="G698" s="24"/>
      <c r="H698" s="16"/>
      <c r="I698" s="16"/>
      <c r="J698" s="16"/>
      <c r="K698" s="16"/>
      <c r="L698" s="16"/>
      <c r="M698" s="16"/>
      <c r="N698" s="16"/>
      <c r="O698" s="16"/>
      <c r="P698" s="16"/>
      <c r="Q698" s="16"/>
      <c r="R698" s="16"/>
      <c r="S698" s="16"/>
      <c r="T698" s="16"/>
      <c r="U698" s="16"/>
      <c r="V698" s="16"/>
      <c r="W698" s="16"/>
      <c r="X698" s="16"/>
      <c r="Y698" s="16"/>
      <c r="Z698" s="16"/>
    </row>
    <row r="699" ht="12.75" spans="1:26">
      <c r="A699" s="23"/>
      <c r="B699" s="16"/>
      <c r="C699" s="23"/>
      <c r="D699" s="24"/>
      <c r="E699" s="16"/>
      <c r="F699" s="24"/>
      <c r="G699" s="24"/>
      <c r="H699" s="16"/>
      <c r="I699" s="16"/>
      <c r="J699" s="16"/>
      <c r="K699" s="16"/>
      <c r="L699" s="16"/>
      <c r="M699" s="16"/>
      <c r="N699" s="16"/>
      <c r="O699" s="16"/>
      <c r="P699" s="16"/>
      <c r="Q699" s="16"/>
      <c r="R699" s="16"/>
      <c r="S699" s="16"/>
      <c r="T699" s="16"/>
      <c r="U699" s="16"/>
      <c r="V699" s="16"/>
      <c r="W699" s="16"/>
      <c r="X699" s="16"/>
      <c r="Y699" s="16"/>
      <c r="Z699" s="16"/>
    </row>
    <row r="700" ht="12.75" spans="1:26">
      <c r="A700" s="23"/>
      <c r="B700" s="16"/>
      <c r="C700" s="23"/>
      <c r="D700" s="24"/>
      <c r="E700" s="16"/>
      <c r="F700" s="24"/>
      <c r="G700" s="24"/>
      <c r="H700" s="16"/>
      <c r="I700" s="16"/>
      <c r="J700" s="16"/>
      <c r="K700" s="16"/>
      <c r="L700" s="16"/>
      <c r="M700" s="16"/>
      <c r="N700" s="16"/>
      <c r="O700" s="16"/>
      <c r="P700" s="16"/>
      <c r="Q700" s="16"/>
      <c r="R700" s="16"/>
      <c r="S700" s="16"/>
      <c r="T700" s="16"/>
      <c r="U700" s="16"/>
      <c r="V700" s="16"/>
      <c r="W700" s="16"/>
      <c r="X700" s="16"/>
      <c r="Y700" s="16"/>
      <c r="Z700" s="16"/>
    </row>
    <row r="701" ht="12.75" spans="1:26">
      <c r="A701" s="23"/>
      <c r="B701" s="16"/>
      <c r="C701" s="23"/>
      <c r="D701" s="24"/>
      <c r="E701" s="16"/>
      <c r="F701" s="24"/>
      <c r="G701" s="24"/>
      <c r="H701" s="16"/>
      <c r="I701" s="16"/>
      <c r="J701" s="16"/>
      <c r="K701" s="16"/>
      <c r="L701" s="16"/>
      <c r="M701" s="16"/>
      <c r="N701" s="16"/>
      <c r="O701" s="16"/>
      <c r="P701" s="16"/>
      <c r="Q701" s="16"/>
      <c r="R701" s="16"/>
      <c r="S701" s="16"/>
      <c r="T701" s="16"/>
      <c r="U701" s="16"/>
      <c r="V701" s="16"/>
      <c r="W701" s="16"/>
      <c r="X701" s="16"/>
      <c r="Y701" s="16"/>
      <c r="Z701" s="16"/>
    </row>
    <row r="702" ht="12.75" spans="1:26">
      <c r="A702" s="23"/>
      <c r="B702" s="16"/>
      <c r="C702" s="23"/>
      <c r="D702" s="24"/>
      <c r="E702" s="16"/>
      <c r="F702" s="24"/>
      <c r="G702" s="24"/>
      <c r="H702" s="16"/>
      <c r="I702" s="16"/>
      <c r="J702" s="16"/>
      <c r="K702" s="16"/>
      <c r="L702" s="16"/>
      <c r="M702" s="16"/>
      <c r="N702" s="16"/>
      <c r="O702" s="16"/>
      <c r="P702" s="16"/>
      <c r="Q702" s="16"/>
      <c r="R702" s="16"/>
      <c r="S702" s="16"/>
      <c r="T702" s="16"/>
      <c r="U702" s="16"/>
      <c r="V702" s="16"/>
      <c r="W702" s="16"/>
      <c r="X702" s="16"/>
      <c r="Y702" s="16"/>
      <c r="Z702" s="16"/>
    </row>
    <row r="703" ht="12.75" spans="1:26">
      <c r="A703" s="23"/>
      <c r="B703" s="16"/>
      <c r="C703" s="23"/>
      <c r="D703" s="24"/>
      <c r="E703" s="16"/>
      <c r="F703" s="24"/>
      <c r="G703" s="24"/>
      <c r="H703" s="16"/>
      <c r="I703" s="16"/>
      <c r="J703" s="16"/>
      <c r="K703" s="16"/>
      <c r="L703" s="16"/>
      <c r="M703" s="16"/>
      <c r="N703" s="16"/>
      <c r="O703" s="16"/>
      <c r="P703" s="16"/>
      <c r="Q703" s="16"/>
      <c r="R703" s="16"/>
      <c r="S703" s="16"/>
      <c r="T703" s="16"/>
      <c r="U703" s="16"/>
      <c r="V703" s="16"/>
      <c r="W703" s="16"/>
      <c r="X703" s="16"/>
      <c r="Y703" s="16"/>
      <c r="Z703" s="16"/>
    </row>
    <row r="704" ht="12.75" spans="1:26">
      <c r="A704" s="23"/>
      <c r="B704" s="16"/>
      <c r="C704" s="23"/>
      <c r="D704" s="24"/>
      <c r="E704" s="16"/>
      <c r="F704" s="24"/>
      <c r="G704" s="24"/>
      <c r="H704" s="16"/>
      <c r="I704" s="16"/>
      <c r="J704" s="16"/>
      <c r="K704" s="16"/>
      <c r="L704" s="16"/>
      <c r="M704" s="16"/>
      <c r="N704" s="16"/>
      <c r="O704" s="16"/>
      <c r="P704" s="16"/>
      <c r="Q704" s="16"/>
      <c r="R704" s="16"/>
      <c r="S704" s="16"/>
      <c r="T704" s="16"/>
      <c r="U704" s="16"/>
      <c r="V704" s="16"/>
      <c r="W704" s="16"/>
      <c r="X704" s="16"/>
      <c r="Y704" s="16"/>
      <c r="Z704" s="16"/>
    </row>
    <row r="705" ht="12.75" spans="1:26">
      <c r="A705" s="23"/>
      <c r="B705" s="16"/>
      <c r="C705" s="23"/>
      <c r="D705" s="24"/>
      <c r="E705" s="16"/>
      <c r="F705" s="24"/>
      <c r="G705" s="24"/>
      <c r="H705" s="16"/>
      <c r="I705" s="16"/>
      <c r="J705" s="16"/>
      <c r="K705" s="16"/>
      <c r="L705" s="16"/>
      <c r="M705" s="16"/>
      <c r="N705" s="16"/>
      <c r="O705" s="16"/>
      <c r="P705" s="16"/>
      <c r="Q705" s="16"/>
      <c r="R705" s="16"/>
      <c r="S705" s="16"/>
      <c r="T705" s="16"/>
      <c r="U705" s="16"/>
      <c r="V705" s="16"/>
      <c r="W705" s="16"/>
      <c r="X705" s="16"/>
      <c r="Y705" s="16"/>
      <c r="Z705" s="16"/>
    </row>
    <row r="706" ht="12.75" spans="1:26">
      <c r="A706" s="23"/>
      <c r="B706" s="16"/>
      <c r="C706" s="23"/>
      <c r="D706" s="24"/>
      <c r="E706" s="16"/>
      <c r="F706" s="24"/>
      <c r="G706" s="24"/>
      <c r="H706" s="16"/>
      <c r="I706" s="16"/>
      <c r="J706" s="16"/>
      <c r="K706" s="16"/>
      <c r="L706" s="16"/>
      <c r="M706" s="16"/>
      <c r="N706" s="16"/>
      <c r="O706" s="16"/>
      <c r="P706" s="16"/>
      <c r="Q706" s="16"/>
      <c r="R706" s="16"/>
      <c r="S706" s="16"/>
      <c r="T706" s="16"/>
      <c r="U706" s="16"/>
      <c r="V706" s="16"/>
      <c r="W706" s="16"/>
      <c r="X706" s="16"/>
      <c r="Y706" s="16"/>
      <c r="Z706" s="16"/>
    </row>
    <row r="707" ht="12.75" spans="1:26">
      <c r="A707" s="23"/>
      <c r="B707" s="16"/>
      <c r="C707" s="23"/>
      <c r="D707" s="24"/>
      <c r="E707" s="16"/>
      <c r="F707" s="24"/>
      <c r="G707" s="24"/>
      <c r="H707" s="16"/>
      <c r="I707" s="16"/>
      <c r="J707" s="16"/>
      <c r="K707" s="16"/>
      <c r="L707" s="16"/>
      <c r="M707" s="16"/>
      <c r="N707" s="16"/>
      <c r="O707" s="16"/>
      <c r="P707" s="16"/>
      <c r="Q707" s="16"/>
      <c r="R707" s="16"/>
      <c r="S707" s="16"/>
      <c r="T707" s="16"/>
      <c r="U707" s="16"/>
      <c r="V707" s="16"/>
      <c r="W707" s="16"/>
      <c r="X707" s="16"/>
      <c r="Y707" s="16"/>
      <c r="Z707" s="16"/>
    </row>
    <row r="708" ht="12.75" spans="1:26">
      <c r="A708" s="23"/>
      <c r="B708" s="16"/>
      <c r="C708" s="23"/>
      <c r="D708" s="24"/>
      <c r="E708" s="16"/>
      <c r="F708" s="24"/>
      <c r="G708" s="24"/>
      <c r="H708" s="16"/>
      <c r="I708" s="16"/>
      <c r="J708" s="16"/>
      <c r="K708" s="16"/>
      <c r="L708" s="16"/>
      <c r="M708" s="16"/>
      <c r="N708" s="16"/>
      <c r="O708" s="16"/>
      <c r="P708" s="16"/>
      <c r="Q708" s="16"/>
      <c r="R708" s="16"/>
      <c r="S708" s="16"/>
      <c r="T708" s="16"/>
      <c r="U708" s="16"/>
      <c r="V708" s="16"/>
      <c r="W708" s="16"/>
      <c r="X708" s="16"/>
      <c r="Y708" s="16"/>
      <c r="Z708" s="16"/>
    </row>
    <row r="709" ht="12.75" spans="1:26">
      <c r="A709" s="23"/>
      <c r="B709" s="16"/>
      <c r="C709" s="23"/>
      <c r="D709" s="24"/>
      <c r="E709" s="16"/>
      <c r="F709" s="24"/>
      <c r="G709" s="24"/>
      <c r="H709" s="16"/>
      <c r="I709" s="16"/>
      <c r="J709" s="16"/>
      <c r="K709" s="16"/>
      <c r="L709" s="16"/>
      <c r="M709" s="16"/>
      <c r="N709" s="16"/>
      <c r="O709" s="16"/>
      <c r="P709" s="16"/>
      <c r="Q709" s="16"/>
      <c r="R709" s="16"/>
      <c r="S709" s="16"/>
      <c r="T709" s="16"/>
      <c r="U709" s="16"/>
      <c r="V709" s="16"/>
      <c r="W709" s="16"/>
      <c r="X709" s="16"/>
      <c r="Y709" s="16"/>
      <c r="Z709" s="16"/>
    </row>
    <row r="710" ht="12.75" spans="1:26">
      <c r="A710" s="23"/>
      <c r="B710" s="16"/>
      <c r="C710" s="23"/>
      <c r="D710" s="24"/>
      <c r="E710" s="16"/>
      <c r="F710" s="24"/>
      <c r="G710" s="24"/>
      <c r="H710" s="16"/>
      <c r="I710" s="16"/>
      <c r="J710" s="16"/>
      <c r="K710" s="16"/>
      <c r="L710" s="16"/>
      <c r="M710" s="16"/>
      <c r="N710" s="16"/>
      <c r="O710" s="16"/>
      <c r="P710" s="16"/>
      <c r="Q710" s="16"/>
      <c r="R710" s="16"/>
      <c r="S710" s="16"/>
      <c r="T710" s="16"/>
      <c r="U710" s="16"/>
      <c r="V710" s="16"/>
      <c r="W710" s="16"/>
      <c r="X710" s="16"/>
      <c r="Y710" s="16"/>
      <c r="Z710" s="16"/>
    </row>
    <row r="711" ht="12.75" spans="1:26">
      <c r="A711" s="23"/>
      <c r="B711" s="16"/>
      <c r="C711" s="23"/>
      <c r="D711" s="24"/>
      <c r="E711" s="16"/>
      <c r="F711" s="24"/>
      <c r="G711" s="24"/>
      <c r="H711" s="16"/>
      <c r="I711" s="16"/>
      <c r="J711" s="16"/>
      <c r="K711" s="16"/>
      <c r="L711" s="16"/>
      <c r="M711" s="16"/>
      <c r="N711" s="16"/>
      <c r="O711" s="16"/>
      <c r="P711" s="16"/>
      <c r="Q711" s="16"/>
      <c r="R711" s="16"/>
      <c r="S711" s="16"/>
      <c r="T711" s="16"/>
      <c r="U711" s="16"/>
      <c r="V711" s="16"/>
      <c r="W711" s="16"/>
      <c r="X711" s="16"/>
      <c r="Y711" s="16"/>
      <c r="Z711" s="16"/>
    </row>
    <row r="712" ht="12.75" spans="1:26">
      <c r="A712" s="23"/>
      <c r="B712" s="16"/>
      <c r="C712" s="23"/>
      <c r="D712" s="24"/>
      <c r="E712" s="16"/>
      <c r="F712" s="24"/>
      <c r="G712" s="24"/>
      <c r="H712" s="16"/>
      <c r="I712" s="16"/>
      <c r="J712" s="16"/>
      <c r="K712" s="16"/>
      <c r="L712" s="16"/>
      <c r="M712" s="16"/>
      <c r="N712" s="16"/>
      <c r="O712" s="16"/>
      <c r="P712" s="16"/>
      <c r="Q712" s="16"/>
      <c r="R712" s="16"/>
      <c r="S712" s="16"/>
      <c r="T712" s="16"/>
      <c r="U712" s="16"/>
      <c r="V712" s="16"/>
      <c r="W712" s="16"/>
      <c r="X712" s="16"/>
      <c r="Y712" s="16"/>
      <c r="Z712" s="16"/>
    </row>
    <row r="713" ht="12.75" spans="1:26">
      <c r="A713" s="23"/>
      <c r="B713" s="16"/>
      <c r="C713" s="23"/>
      <c r="D713" s="24"/>
      <c r="E713" s="16"/>
      <c r="F713" s="24"/>
      <c r="G713" s="24"/>
      <c r="H713" s="16"/>
      <c r="I713" s="16"/>
      <c r="J713" s="16"/>
      <c r="K713" s="16"/>
      <c r="L713" s="16"/>
      <c r="M713" s="16"/>
      <c r="N713" s="16"/>
      <c r="O713" s="16"/>
      <c r="P713" s="16"/>
      <c r="Q713" s="16"/>
      <c r="R713" s="16"/>
      <c r="S713" s="16"/>
      <c r="T713" s="16"/>
      <c r="U713" s="16"/>
      <c r="V713" s="16"/>
      <c r="W713" s="16"/>
      <c r="X713" s="16"/>
      <c r="Y713" s="16"/>
      <c r="Z713" s="16"/>
    </row>
    <row r="714" ht="12.75" spans="1:26">
      <c r="A714" s="23"/>
      <c r="B714" s="16"/>
      <c r="C714" s="23"/>
      <c r="D714" s="24"/>
      <c r="E714" s="16"/>
      <c r="F714" s="24"/>
      <c r="G714" s="24"/>
      <c r="H714" s="16"/>
      <c r="I714" s="16"/>
      <c r="J714" s="16"/>
      <c r="K714" s="16"/>
      <c r="L714" s="16"/>
      <c r="M714" s="16"/>
      <c r="N714" s="16"/>
      <c r="O714" s="16"/>
      <c r="P714" s="16"/>
      <c r="Q714" s="16"/>
      <c r="R714" s="16"/>
      <c r="S714" s="16"/>
      <c r="T714" s="16"/>
      <c r="U714" s="16"/>
      <c r="V714" s="16"/>
      <c r="W714" s="16"/>
      <c r="X714" s="16"/>
      <c r="Y714" s="16"/>
      <c r="Z714" s="16"/>
    </row>
    <row r="715" ht="12.75" spans="1:26">
      <c r="A715" s="23"/>
      <c r="B715" s="16"/>
      <c r="C715" s="23"/>
      <c r="D715" s="24"/>
      <c r="E715" s="16"/>
      <c r="F715" s="24"/>
      <c r="G715" s="24"/>
      <c r="H715" s="16"/>
      <c r="I715" s="16"/>
      <c r="J715" s="16"/>
      <c r="K715" s="16"/>
      <c r="L715" s="16"/>
      <c r="M715" s="16"/>
      <c r="N715" s="16"/>
      <c r="O715" s="16"/>
      <c r="P715" s="16"/>
      <c r="Q715" s="16"/>
      <c r="R715" s="16"/>
      <c r="S715" s="16"/>
      <c r="T715" s="16"/>
      <c r="U715" s="16"/>
      <c r="V715" s="16"/>
      <c r="W715" s="16"/>
      <c r="X715" s="16"/>
      <c r="Y715" s="16"/>
      <c r="Z715" s="16"/>
    </row>
    <row r="716" ht="12.75" spans="1:26">
      <c r="A716" s="23"/>
      <c r="B716" s="16"/>
      <c r="C716" s="23"/>
      <c r="D716" s="24"/>
      <c r="E716" s="16"/>
      <c r="F716" s="24"/>
      <c r="G716" s="24"/>
      <c r="H716" s="16"/>
      <c r="I716" s="16"/>
      <c r="J716" s="16"/>
      <c r="K716" s="16"/>
      <c r="L716" s="16"/>
      <c r="M716" s="16"/>
      <c r="N716" s="16"/>
      <c r="O716" s="16"/>
      <c r="P716" s="16"/>
      <c r="Q716" s="16"/>
      <c r="R716" s="16"/>
      <c r="S716" s="16"/>
      <c r="T716" s="16"/>
      <c r="U716" s="16"/>
      <c r="V716" s="16"/>
      <c r="W716" s="16"/>
      <c r="X716" s="16"/>
      <c r="Y716" s="16"/>
      <c r="Z716" s="16"/>
    </row>
    <row r="717" ht="12.75" spans="1:26">
      <c r="A717" s="23"/>
      <c r="B717" s="16"/>
      <c r="C717" s="23"/>
      <c r="D717" s="24"/>
      <c r="E717" s="16"/>
      <c r="F717" s="24"/>
      <c r="G717" s="24"/>
      <c r="H717" s="16"/>
      <c r="I717" s="16"/>
      <c r="J717" s="16"/>
      <c r="K717" s="16"/>
      <c r="L717" s="16"/>
      <c r="M717" s="16"/>
      <c r="N717" s="16"/>
      <c r="O717" s="16"/>
      <c r="P717" s="16"/>
      <c r="Q717" s="16"/>
      <c r="R717" s="16"/>
      <c r="S717" s="16"/>
      <c r="T717" s="16"/>
      <c r="U717" s="16"/>
      <c r="V717" s="16"/>
      <c r="W717" s="16"/>
      <c r="X717" s="16"/>
      <c r="Y717" s="16"/>
      <c r="Z717" s="16"/>
    </row>
    <row r="718" ht="12.75" spans="1:26">
      <c r="A718" s="23"/>
      <c r="B718" s="16"/>
      <c r="C718" s="23"/>
      <c r="D718" s="24"/>
      <c r="E718" s="16"/>
      <c r="F718" s="24"/>
      <c r="G718" s="24"/>
      <c r="H718" s="16"/>
      <c r="I718" s="16"/>
      <c r="J718" s="16"/>
      <c r="K718" s="16"/>
      <c r="L718" s="16"/>
      <c r="M718" s="16"/>
      <c r="N718" s="16"/>
      <c r="O718" s="16"/>
      <c r="P718" s="16"/>
      <c r="Q718" s="16"/>
      <c r="R718" s="16"/>
      <c r="S718" s="16"/>
      <c r="T718" s="16"/>
      <c r="U718" s="16"/>
      <c r="V718" s="16"/>
      <c r="W718" s="16"/>
      <c r="X718" s="16"/>
      <c r="Y718" s="16"/>
      <c r="Z718" s="16"/>
    </row>
    <row r="719" ht="12.75" spans="1:26">
      <c r="A719" s="23"/>
      <c r="B719" s="16"/>
      <c r="C719" s="23"/>
      <c r="D719" s="24"/>
      <c r="E719" s="16"/>
      <c r="F719" s="24"/>
      <c r="G719" s="24"/>
      <c r="H719" s="16"/>
      <c r="I719" s="16"/>
      <c r="J719" s="16"/>
      <c r="K719" s="16"/>
      <c r="L719" s="16"/>
      <c r="M719" s="16"/>
      <c r="N719" s="16"/>
      <c r="O719" s="16"/>
      <c r="P719" s="16"/>
      <c r="Q719" s="16"/>
      <c r="R719" s="16"/>
      <c r="S719" s="16"/>
      <c r="T719" s="16"/>
      <c r="U719" s="16"/>
      <c r="V719" s="16"/>
      <c r="W719" s="16"/>
      <c r="X719" s="16"/>
      <c r="Y719" s="16"/>
      <c r="Z719" s="16"/>
    </row>
    <row r="720" ht="12.75" spans="1:26">
      <c r="A720" s="23"/>
      <c r="B720" s="16"/>
      <c r="C720" s="23"/>
      <c r="D720" s="24"/>
      <c r="E720" s="16"/>
      <c r="F720" s="24"/>
      <c r="G720" s="24"/>
      <c r="H720" s="16"/>
      <c r="I720" s="16"/>
      <c r="J720" s="16"/>
      <c r="K720" s="16"/>
      <c r="L720" s="16"/>
      <c r="M720" s="16"/>
      <c r="N720" s="16"/>
      <c r="O720" s="16"/>
      <c r="P720" s="16"/>
      <c r="Q720" s="16"/>
      <c r="R720" s="16"/>
      <c r="S720" s="16"/>
      <c r="T720" s="16"/>
      <c r="U720" s="16"/>
      <c r="V720" s="16"/>
      <c r="W720" s="16"/>
      <c r="X720" s="16"/>
      <c r="Y720" s="16"/>
      <c r="Z720" s="16"/>
    </row>
    <row r="721" ht="12.75" spans="1:26">
      <c r="A721" s="23"/>
      <c r="B721" s="16"/>
      <c r="C721" s="23"/>
      <c r="D721" s="24"/>
      <c r="E721" s="16"/>
      <c r="F721" s="24"/>
      <c r="G721" s="24"/>
      <c r="H721" s="16"/>
      <c r="I721" s="16"/>
      <c r="J721" s="16"/>
      <c r="K721" s="16"/>
      <c r="L721" s="16"/>
      <c r="M721" s="16"/>
      <c r="N721" s="16"/>
      <c r="O721" s="16"/>
      <c r="P721" s="16"/>
      <c r="Q721" s="16"/>
      <c r="R721" s="16"/>
      <c r="S721" s="16"/>
      <c r="T721" s="16"/>
      <c r="U721" s="16"/>
      <c r="V721" s="16"/>
      <c r="W721" s="16"/>
      <c r="X721" s="16"/>
      <c r="Y721" s="16"/>
      <c r="Z721" s="16"/>
    </row>
    <row r="722" ht="12.75" spans="1:26">
      <c r="A722" s="23"/>
      <c r="B722" s="16"/>
      <c r="C722" s="23"/>
      <c r="D722" s="24"/>
      <c r="E722" s="16"/>
      <c r="F722" s="24"/>
      <c r="G722" s="24"/>
      <c r="H722" s="16"/>
      <c r="I722" s="16"/>
      <c r="J722" s="16"/>
      <c r="K722" s="16"/>
      <c r="L722" s="16"/>
      <c r="M722" s="16"/>
      <c r="N722" s="16"/>
      <c r="O722" s="16"/>
      <c r="P722" s="16"/>
      <c r="Q722" s="16"/>
      <c r="R722" s="16"/>
      <c r="S722" s="16"/>
      <c r="T722" s="16"/>
      <c r="U722" s="16"/>
      <c r="V722" s="16"/>
      <c r="W722" s="16"/>
      <c r="X722" s="16"/>
      <c r="Y722" s="16"/>
      <c r="Z722" s="16"/>
    </row>
    <row r="723" ht="12.75" spans="1:26">
      <c r="A723" s="23"/>
      <c r="B723" s="16"/>
      <c r="C723" s="23"/>
      <c r="D723" s="24"/>
      <c r="E723" s="16"/>
      <c r="F723" s="24"/>
      <c r="G723" s="24"/>
      <c r="H723" s="16"/>
      <c r="I723" s="16"/>
      <c r="J723" s="16"/>
      <c r="K723" s="16"/>
      <c r="L723" s="16"/>
      <c r="M723" s="16"/>
      <c r="N723" s="16"/>
      <c r="O723" s="16"/>
      <c r="P723" s="16"/>
      <c r="Q723" s="16"/>
      <c r="R723" s="16"/>
      <c r="S723" s="16"/>
      <c r="T723" s="16"/>
      <c r="U723" s="16"/>
      <c r="V723" s="16"/>
      <c r="W723" s="16"/>
      <c r="X723" s="16"/>
      <c r="Y723" s="16"/>
      <c r="Z723" s="16"/>
    </row>
    <row r="724" ht="12.75" spans="1:26">
      <c r="A724" s="23"/>
      <c r="B724" s="16"/>
      <c r="C724" s="23"/>
      <c r="D724" s="24"/>
      <c r="E724" s="16"/>
      <c r="F724" s="24"/>
      <c r="G724" s="24"/>
      <c r="H724" s="16"/>
      <c r="I724" s="16"/>
      <c r="J724" s="16"/>
      <c r="K724" s="16"/>
      <c r="L724" s="16"/>
      <c r="M724" s="16"/>
      <c r="N724" s="16"/>
      <c r="O724" s="16"/>
      <c r="P724" s="16"/>
      <c r="Q724" s="16"/>
      <c r="R724" s="16"/>
      <c r="S724" s="16"/>
      <c r="T724" s="16"/>
      <c r="U724" s="16"/>
      <c r="V724" s="16"/>
      <c r="W724" s="16"/>
      <c r="X724" s="16"/>
      <c r="Y724" s="16"/>
      <c r="Z724" s="16"/>
    </row>
    <row r="725" ht="12.75" spans="1:26">
      <c r="A725" s="23"/>
      <c r="B725" s="16"/>
      <c r="C725" s="23"/>
      <c r="D725" s="24"/>
      <c r="E725" s="16"/>
      <c r="F725" s="24"/>
      <c r="G725" s="24"/>
      <c r="H725" s="16"/>
      <c r="I725" s="16"/>
      <c r="J725" s="16"/>
      <c r="K725" s="16"/>
      <c r="L725" s="16"/>
      <c r="M725" s="16"/>
      <c r="N725" s="16"/>
      <c r="O725" s="16"/>
      <c r="P725" s="16"/>
      <c r="Q725" s="16"/>
      <c r="R725" s="16"/>
      <c r="S725" s="16"/>
      <c r="T725" s="16"/>
      <c r="U725" s="16"/>
      <c r="V725" s="16"/>
      <c r="W725" s="16"/>
      <c r="X725" s="16"/>
      <c r="Y725" s="16"/>
      <c r="Z725" s="16"/>
    </row>
    <row r="726" ht="12.75" spans="1:26">
      <c r="A726" s="23"/>
      <c r="B726" s="16"/>
      <c r="C726" s="23"/>
      <c r="D726" s="24"/>
      <c r="E726" s="16"/>
      <c r="F726" s="24"/>
      <c r="G726" s="24"/>
      <c r="H726" s="16"/>
      <c r="I726" s="16"/>
      <c r="J726" s="16"/>
      <c r="K726" s="16"/>
      <c r="L726" s="16"/>
      <c r="M726" s="16"/>
      <c r="N726" s="16"/>
      <c r="O726" s="16"/>
      <c r="P726" s="16"/>
      <c r="Q726" s="16"/>
      <c r="R726" s="16"/>
      <c r="S726" s="16"/>
      <c r="T726" s="16"/>
      <c r="U726" s="16"/>
      <c r="V726" s="16"/>
      <c r="W726" s="16"/>
      <c r="X726" s="16"/>
      <c r="Y726" s="16"/>
      <c r="Z726" s="16"/>
    </row>
    <row r="727" ht="12.75" spans="1:26">
      <c r="A727" s="23"/>
      <c r="B727" s="16"/>
      <c r="C727" s="23"/>
      <c r="D727" s="24"/>
      <c r="E727" s="16"/>
      <c r="F727" s="24"/>
      <c r="G727" s="24"/>
      <c r="H727" s="16"/>
      <c r="I727" s="16"/>
      <c r="J727" s="16"/>
      <c r="K727" s="16"/>
      <c r="L727" s="16"/>
      <c r="M727" s="16"/>
      <c r="N727" s="16"/>
      <c r="O727" s="16"/>
      <c r="P727" s="16"/>
      <c r="Q727" s="16"/>
      <c r="R727" s="16"/>
      <c r="S727" s="16"/>
      <c r="T727" s="16"/>
      <c r="U727" s="16"/>
      <c r="V727" s="16"/>
      <c r="W727" s="16"/>
      <c r="X727" s="16"/>
      <c r="Y727" s="16"/>
      <c r="Z727" s="16"/>
    </row>
    <row r="728" ht="12.75" spans="1:26">
      <c r="A728" s="23"/>
      <c r="B728" s="16"/>
      <c r="C728" s="23"/>
      <c r="D728" s="24"/>
      <c r="E728" s="16"/>
      <c r="F728" s="24"/>
      <c r="G728" s="24"/>
      <c r="H728" s="16"/>
      <c r="I728" s="16"/>
      <c r="J728" s="16"/>
      <c r="K728" s="16"/>
      <c r="L728" s="16"/>
      <c r="M728" s="16"/>
      <c r="N728" s="16"/>
      <c r="O728" s="16"/>
      <c r="P728" s="16"/>
      <c r="Q728" s="16"/>
      <c r="R728" s="16"/>
      <c r="S728" s="16"/>
      <c r="T728" s="16"/>
      <c r="U728" s="16"/>
      <c r="V728" s="16"/>
      <c r="W728" s="16"/>
      <c r="X728" s="16"/>
      <c r="Y728" s="16"/>
      <c r="Z728" s="16"/>
    </row>
    <row r="729" ht="12.75" spans="1:26">
      <c r="A729" s="23"/>
      <c r="B729" s="16"/>
      <c r="C729" s="23"/>
      <c r="D729" s="24"/>
      <c r="E729" s="16"/>
      <c r="F729" s="24"/>
      <c r="G729" s="24"/>
      <c r="H729" s="16"/>
      <c r="I729" s="16"/>
      <c r="J729" s="16"/>
      <c r="K729" s="16"/>
      <c r="L729" s="16"/>
      <c r="M729" s="16"/>
      <c r="N729" s="16"/>
      <c r="O729" s="16"/>
      <c r="P729" s="16"/>
      <c r="Q729" s="16"/>
      <c r="R729" s="16"/>
      <c r="S729" s="16"/>
      <c r="T729" s="16"/>
      <c r="U729" s="16"/>
      <c r="V729" s="16"/>
      <c r="W729" s="16"/>
      <c r="X729" s="16"/>
      <c r="Y729" s="16"/>
      <c r="Z729" s="16"/>
    </row>
    <row r="730" ht="12.75" spans="1:26">
      <c r="A730" s="23"/>
      <c r="B730" s="16"/>
      <c r="C730" s="23"/>
      <c r="D730" s="24"/>
      <c r="E730" s="16"/>
      <c r="F730" s="24"/>
      <c r="G730" s="24"/>
      <c r="H730" s="16"/>
      <c r="I730" s="16"/>
      <c r="J730" s="16"/>
      <c r="K730" s="16"/>
      <c r="L730" s="16"/>
      <c r="M730" s="16"/>
      <c r="N730" s="16"/>
      <c r="O730" s="16"/>
      <c r="P730" s="16"/>
      <c r="Q730" s="16"/>
      <c r="R730" s="16"/>
      <c r="S730" s="16"/>
      <c r="T730" s="16"/>
      <c r="U730" s="16"/>
      <c r="V730" s="16"/>
      <c r="W730" s="16"/>
      <c r="X730" s="16"/>
      <c r="Y730" s="16"/>
      <c r="Z730" s="16"/>
    </row>
    <row r="731" ht="12.75" spans="1:26">
      <c r="A731" s="23"/>
      <c r="B731" s="16"/>
      <c r="C731" s="23"/>
      <c r="D731" s="24"/>
      <c r="E731" s="16"/>
      <c r="F731" s="24"/>
      <c r="G731" s="24"/>
      <c r="H731" s="16"/>
      <c r="I731" s="16"/>
      <c r="J731" s="16"/>
      <c r="K731" s="16"/>
      <c r="L731" s="16"/>
      <c r="M731" s="16"/>
      <c r="N731" s="16"/>
      <c r="O731" s="16"/>
      <c r="P731" s="16"/>
      <c r="Q731" s="16"/>
      <c r="R731" s="16"/>
      <c r="S731" s="16"/>
      <c r="T731" s="16"/>
      <c r="U731" s="16"/>
      <c r="V731" s="16"/>
      <c r="W731" s="16"/>
      <c r="X731" s="16"/>
      <c r="Y731" s="16"/>
      <c r="Z731" s="16"/>
    </row>
    <row r="732" ht="12.75" spans="1:26">
      <c r="A732" s="23"/>
      <c r="B732" s="16"/>
      <c r="C732" s="23"/>
      <c r="D732" s="24"/>
      <c r="E732" s="16"/>
      <c r="F732" s="24"/>
      <c r="G732" s="24"/>
      <c r="H732" s="16"/>
      <c r="I732" s="16"/>
      <c r="J732" s="16"/>
      <c r="K732" s="16"/>
      <c r="L732" s="16"/>
      <c r="M732" s="16"/>
      <c r="N732" s="16"/>
      <c r="O732" s="16"/>
      <c r="P732" s="16"/>
      <c r="Q732" s="16"/>
      <c r="R732" s="16"/>
      <c r="S732" s="16"/>
      <c r="T732" s="16"/>
      <c r="U732" s="16"/>
      <c r="V732" s="16"/>
      <c r="W732" s="16"/>
      <c r="X732" s="16"/>
      <c r="Y732" s="16"/>
      <c r="Z732" s="16"/>
    </row>
    <row r="733" ht="12.75" spans="1:26">
      <c r="A733" s="23"/>
      <c r="B733" s="16"/>
      <c r="C733" s="23"/>
      <c r="D733" s="24"/>
      <c r="E733" s="16"/>
      <c r="F733" s="24"/>
      <c r="G733" s="24"/>
      <c r="H733" s="16"/>
      <c r="I733" s="16"/>
      <c r="J733" s="16"/>
      <c r="K733" s="16"/>
      <c r="L733" s="16"/>
      <c r="M733" s="16"/>
      <c r="N733" s="16"/>
      <c r="O733" s="16"/>
      <c r="P733" s="16"/>
      <c r="Q733" s="16"/>
      <c r="R733" s="16"/>
      <c r="S733" s="16"/>
      <c r="T733" s="16"/>
      <c r="U733" s="16"/>
      <c r="V733" s="16"/>
      <c r="W733" s="16"/>
      <c r="X733" s="16"/>
      <c r="Y733" s="16"/>
      <c r="Z733" s="16"/>
    </row>
    <row r="734" ht="12.75" spans="1:26">
      <c r="A734" s="23"/>
      <c r="B734" s="16"/>
      <c r="C734" s="23"/>
      <c r="D734" s="24"/>
      <c r="E734" s="16"/>
      <c r="F734" s="24"/>
      <c r="G734" s="24"/>
      <c r="H734" s="16"/>
      <c r="I734" s="16"/>
      <c r="J734" s="16"/>
      <c r="K734" s="16"/>
      <c r="L734" s="16"/>
      <c r="M734" s="16"/>
      <c r="N734" s="16"/>
      <c r="O734" s="16"/>
      <c r="P734" s="16"/>
      <c r="Q734" s="16"/>
      <c r="R734" s="16"/>
      <c r="S734" s="16"/>
      <c r="T734" s="16"/>
      <c r="U734" s="16"/>
      <c r="V734" s="16"/>
      <c r="W734" s="16"/>
      <c r="X734" s="16"/>
      <c r="Y734" s="16"/>
      <c r="Z734" s="16"/>
    </row>
    <row r="735" ht="12.75" spans="1:26">
      <c r="A735" s="23"/>
      <c r="B735" s="16"/>
      <c r="C735" s="23"/>
      <c r="D735" s="24"/>
      <c r="E735" s="16"/>
      <c r="F735" s="24"/>
      <c r="G735" s="24"/>
      <c r="H735" s="16"/>
      <c r="I735" s="16"/>
      <c r="J735" s="16"/>
      <c r="K735" s="16"/>
      <c r="L735" s="16"/>
      <c r="M735" s="16"/>
      <c r="N735" s="16"/>
      <c r="O735" s="16"/>
      <c r="P735" s="16"/>
      <c r="Q735" s="16"/>
      <c r="R735" s="16"/>
      <c r="S735" s="16"/>
      <c r="T735" s="16"/>
      <c r="U735" s="16"/>
      <c r="V735" s="16"/>
      <c r="W735" s="16"/>
      <c r="X735" s="16"/>
      <c r="Y735" s="16"/>
      <c r="Z735" s="16"/>
    </row>
    <row r="736" ht="12.75" spans="1:26">
      <c r="A736" s="23"/>
      <c r="B736" s="16"/>
      <c r="C736" s="23"/>
      <c r="D736" s="24"/>
      <c r="E736" s="16"/>
      <c r="F736" s="24"/>
      <c r="G736" s="24"/>
      <c r="H736" s="16"/>
      <c r="I736" s="16"/>
      <c r="J736" s="16"/>
      <c r="K736" s="16"/>
      <c r="L736" s="16"/>
      <c r="M736" s="16"/>
      <c r="N736" s="16"/>
      <c r="O736" s="16"/>
      <c r="P736" s="16"/>
      <c r="Q736" s="16"/>
      <c r="R736" s="16"/>
      <c r="S736" s="16"/>
      <c r="T736" s="16"/>
      <c r="U736" s="16"/>
      <c r="V736" s="16"/>
      <c r="W736" s="16"/>
      <c r="X736" s="16"/>
      <c r="Y736" s="16"/>
      <c r="Z736" s="16"/>
    </row>
    <row r="737" ht="12.75" spans="1:26">
      <c r="A737" s="23"/>
      <c r="B737" s="16"/>
      <c r="C737" s="23"/>
      <c r="D737" s="24"/>
      <c r="E737" s="16"/>
      <c r="F737" s="24"/>
      <c r="G737" s="24"/>
      <c r="H737" s="16"/>
      <c r="I737" s="16"/>
      <c r="J737" s="16"/>
      <c r="K737" s="16"/>
      <c r="L737" s="16"/>
      <c r="M737" s="16"/>
      <c r="N737" s="16"/>
      <c r="O737" s="16"/>
      <c r="P737" s="16"/>
      <c r="Q737" s="16"/>
      <c r="R737" s="16"/>
      <c r="S737" s="16"/>
      <c r="T737" s="16"/>
      <c r="U737" s="16"/>
      <c r="V737" s="16"/>
      <c r="W737" s="16"/>
      <c r="X737" s="16"/>
      <c r="Y737" s="16"/>
      <c r="Z737" s="16"/>
    </row>
    <row r="738" ht="12.75" spans="1:26">
      <c r="A738" s="23"/>
      <c r="B738" s="16"/>
      <c r="C738" s="23"/>
      <c r="D738" s="24"/>
      <c r="E738" s="16"/>
      <c r="F738" s="24"/>
      <c r="G738" s="24"/>
      <c r="H738" s="16"/>
      <c r="I738" s="16"/>
      <c r="J738" s="16"/>
      <c r="K738" s="16"/>
      <c r="L738" s="16"/>
      <c r="M738" s="16"/>
      <c r="N738" s="16"/>
      <c r="O738" s="16"/>
      <c r="P738" s="16"/>
      <c r="Q738" s="16"/>
      <c r="R738" s="16"/>
      <c r="S738" s="16"/>
      <c r="T738" s="16"/>
      <c r="U738" s="16"/>
      <c r="V738" s="16"/>
      <c r="W738" s="16"/>
      <c r="X738" s="16"/>
      <c r="Y738" s="16"/>
      <c r="Z738" s="16"/>
    </row>
    <row r="739" ht="12.75" spans="1:26">
      <c r="A739" s="23"/>
      <c r="B739" s="16"/>
      <c r="C739" s="23"/>
      <c r="D739" s="24"/>
      <c r="E739" s="16"/>
      <c r="F739" s="24"/>
      <c r="G739" s="24"/>
      <c r="H739" s="16"/>
      <c r="I739" s="16"/>
      <c r="J739" s="16"/>
      <c r="K739" s="16"/>
      <c r="L739" s="16"/>
      <c r="M739" s="16"/>
      <c r="N739" s="16"/>
      <c r="O739" s="16"/>
      <c r="P739" s="16"/>
      <c r="Q739" s="16"/>
      <c r="R739" s="16"/>
      <c r="S739" s="16"/>
      <c r="T739" s="16"/>
      <c r="U739" s="16"/>
      <c r="V739" s="16"/>
      <c r="W739" s="16"/>
      <c r="X739" s="16"/>
      <c r="Y739" s="16"/>
      <c r="Z739" s="16"/>
    </row>
    <row r="740" ht="12.75" spans="1:26">
      <c r="A740" s="23"/>
      <c r="B740" s="16"/>
      <c r="C740" s="23"/>
      <c r="D740" s="24"/>
      <c r="E740" s="16"/>
      <c r="F740" s="24"/>
      <c r="G740" s="24"/>
      <c r="H740" s="16"/>
      <c r="I740" s="16"/>
      <c r="J740" s="16"/>
      <c r="K740" s="16"/>
      <c r="L740" s="16"/>
      <c r="M740" s="16"/>
      <c r="N740" s="16"/>
      <c r="O740" s="16"/>
      <c r="P740" s="16"/>
      <c r="Q740" s="16"/>
      <c r="R740" s="16"/>
      <c r="S740" s="16"/>
      <c r="T740" s="16"/>
      <c r="U740" s="16"/>
      <c r="V740" s="16"/>
      <c r="W740" s="16"/>
      <c r="X740" s="16"/>
      <c r="Y740" s="16"/>
      <c r="Z740" s="16"/>
    </row>
    <row r="741" ht="12.75" spans="1:26">
      <c r="A741" s="23"/>
      <c r="B741" s="16"/>
      <c r="C741" s="23"/>
      <c r="D741" s="24"/>
      <c r="E741" s="16"/>
      <c r="F741" s="24"/>
      <c r="G741" s="24"/>
      <c r="H741" s="16"/>
      <c r="I741" s="16"/>
      <c r="J741" s="16"/>
      <c r="K741" s="16"/>
      <c r="L741" s="16"/>
      <c r="M741" s="16"/>
      <c r="N741" s="16"/>
      <c r="O741" s="16"/>
      <c r="P741" s="16"/>
      <c r="Q741" s="16"/>
      <c r="R741" s="16"/>
      <c r="S741" s="16"/>
      <c r="T741" s="16"/>
      <c r="U741" s="16"/>
      <c r="V741" s="16"/>
      <c r="W741" s="16"/>
      <c r="X741" s="16"/>
      <c r="Y741" s="16"/>
      <c r="Z741" s="16"/>
    </row>
    <row r="742" ht="12.75" spans="1:26">
      <c r="A742" s="23"/>
      <c r="B742" s="16"/>
      <c r="C742" s="23"/>
      <c r="D742" s="24"/>
      <c r="E742" s="16"/>
      <c r="F742" s="24"/>
      <c r="G742" s="24"/>
      <c r="H742" s="16"/>
      <c r="I742" s="16"/>
      <c r="J742" s="16"/>
      <c r="K742" s="16"/>
      <c r="L742" s="16"/>
      <c r="M742" s="16"/>
      <c r="N742" s="16"/>
      <c r="O742" s="16"/>
      <c r="P742" s="16"/>
      <c r="Q742" s="16"/>
      <c r="R742" s="16"/>
      <c r="S742" s="16"/>
      <c r="T742" s="16"/>
      <c r="U742" s="16"/>
      <c r="V742" s="16"/>
      <c r="W742" s="16"/>
      <c r="X742" s="16"/>
      <c r="Y742" s="16"/>
      <c r="Z742" s="16"/>
    </row>
    <row r="743" ht="12.75" spans="1:26">
      <c r="A743" s="23"/>
      <c r="B743" s="16"/>
      <c r="C743" s="23"/>
      <c r="D743" s="24"/>
      <c r="E743" s="16"/>
      <c r="F743" s="24"/>
      <c r="G743" s="24"/>
      <c r="H743" s="16"/>
      <c r="I743" s="16"/>
      <c r="J743" s="16"/>
      <c r="K743" s="16"/>
      <c r="L743" s="16"/>
      <c r="M743" s="16"/>
      <c r="N743" s="16"/>
      <c r="O743" s="16"/>
      <c r="P743" s="16"/>
      <c r="Q743" s="16"/>
      <c r="R743" s="16"/>
      <c r="S743" s="16"/>
      <c r="T743" s="16"/>
      <c r="U743" s="16"/>
      <c r="V743" s="16"/>
      <c r="W743" s="16"/>
      <c r="X743" s="16"/>
      <c r="Y743" s="16"/>
      <c r="Z743" s="16"/>
    </row>
    <row r="744" ht="12.75" spans="1:26">
      <c r="A744" s="23"/>
      <c r="B744" s="16"/>
      <c r="C744" s="23"/>
      <c r="D744" s="24"/>
      <c r="E744" s="16"/>
      <c r="F744" s="24"/>
      <c r="G744" s="24"/>
      <c r="H744" s="16"/>
      <c r="I744" s="16"/>
      <c r="J744" s="16"/>
      <c r="K744" s="16"/>
      <c r="L744" s="16"/>
      <c r="M744" s="16"/>
      <c r="N744" s="16"/>
      <c r="O744" s="16"/>
      <c r="P744" s="16"/>
      <c r="Q744" s="16"/>
      <c r="R744" s="16"/>
      <c r="S744" s="16"/>
      <c r="T744" s="16"/>
      <c r="U744" s="16"/>
      <c r="V744" s="16"/>
      <c r="W744" s="16"/>
      <c r="X744" s="16"/>
      <c r="Y744" s="16"/>
      <c r="Z744" s="16"/>
    </row>
    <row r="745" ht="12.75" spans="1:26">
      <c r="A745" s="23"/>
      <c r="B745" s="16"/>
      <c r="C745" s="23"/>
      <c r="D745" s="24"/>
      <c r="E745" s="16"/>
      <c r="F745" s="24"/>
      <c r="G745" s="24"/>
      <c r="H745" s="16"/>
      <c r="I745" s="16"/>
      <c r="J745" s="16"/>
      <c r="K745" s="16"/>
      <c r="L745" s="16"/>
      <c r="M745" s="16"/>
      <c r="N745" s="16"/>
      <c r="O745" s="16"/>
      <c r="P745" s="16"/>
      <c r="Q745" s="16"/>
      <c r="R745" s="16"/>
      <c r="S745" s="16"/>
      <c r="T745" s="16"/>
      <c r="U745" s="16"/>
      <c r="V745" s="16"/>
      <c r="W745" s="16"/>
      <c r="X745" s="16"/>
      <c r="Y745" s="16"/>
      <c r="Z745" s="16"/>
    </row>
    <row r="746" ht="12.75" spans="1:26">
      <c r="A746" s="23"/>
      <c r="B746" s="16"/>
      <c r="C746" s="23"/>
      <c r="D746" s="24"/>
      <c r="E746" s="16"/>
      <c r="F746" s="24"/>
      <c r="G746" s="24"/>
      <c r="H746" s="16"/>
      <c r="I746" s="16"/>
      <c r="J746" s="16"/>
      <c r="K746" s="16"/>
      <c r="L746" s="16"/>
      <c r="M746" s="16"/>
      <c r="N746" s="16"/>
      <c r="O746" s="16"/>
      <c r="P746" s="16"/>
      <c r="Q746" s="16"/>
      <c r="R746" s="16"/>
      <c r="S746" s="16"/>
      <c r="T746" s="16"/>
      <c r="U746" s="16"/>
      <c r="V746" s="16"/>
      <c r="W746" s="16"/>
      <c r="X746" s="16"/>
      <c r="Y746" s="16"/>
      <c r="Z746" s="16"/>
    </row>
    <row r="747" ht="12.75" spans="1:26">
      <c r="A747" s="23"/>
      <c r="B747" s="16"/>
      <c r="C747" s="23"/>
      <c r="D747" s="24"/>
      <c r="E747" s="16"/>
      <c r="F747" s="24"/>
      <c r="G747" s="24"/>
      <c r="H747" s="16"/>
      <c r="I747" s="16"/>
      <c r="J747" s="16"/>
      <c r="K747" s="16"/>
      <c r="L747" s="16"/>
      <c r="M747" s="16"/>
      <c r="N747" s="16"/>
      <c r="O747" s="16"/>
      <c r="P747" s="16"/>
      <c r="Q747" s="16"/>
      <c r="R747" s="16"/>
      <c r="S747" s="16"/>
      <c r="T747" s="16"/>
      <c r="U747" s="16"/>
      <c r="V747" s="16"/>
      <c r="W747" s="16"/>
      <c r="X747" s="16"/>
      <c r="Y747" s="16"/>
      <c r="Z747" s="16"/>
    </row>
    <row r="748" ht="12.75" spans="1:26">
      <c r="A748" s="23"/>
      <c r="B748" s="16"/>
      <c r="C748" s="23"/>
      <c r="D748" s="24"/>
      <c r="E748" s="16"/>
      <c r="F748" s="24"/>
      <c r="G748" s="24"/>
      <c r="H748" s="16"/>
      <c r="I748" s="16"/>
      <c r="J748" s="16"/>
      <c r="K748" s="16"/>
      <c r="L748" s="16"/>
      <c r="M748" s="16"/>
      <c r="N748" s="16"/>
      <c r="O748" s="16"/>
      <c r="P748" s="16"/>
      <c r="Q748" s="16"/>
      <c r="R748" s="16"/>
      <c r="S748" s="16"/>
      <c r="T748" s="16"/>
      <c r="U748" s="16"/>
      <c r="V748" s="16"/>
      <c r="W748" s="16"/>
      <c r="X748" s="16"/>
      <c r="Y748" s="16"/>
      <c r="Z748" s="16"/>
    </row>
    <row r="749" ht="12.75" spans="1:26">
      <c r="A749" s="23"/>
      <c r="B749" s="16"/>
      <c r="C749" s="23"/>
      <c r="D749" s="24"/>
      <c r="E749" s="16"/>
      <c r="F749" s="24"/>
      <c r="G749" s="24"/>
      <c r="H749" s="16"/>
      <c r="I749" s="16"/>
      <c r="J749" s="16"/>
      <c r="K749" s="16"/>
      <c r="L749" s="16"/>
      <c r="M749" s="16"/>
      <c r="N749" s="16"/>
      <c r="O749" s="16"/>
      <c r="P749" s="16"/>
      <c r="Q749" s="16"/>
      <c r="R749" s="16"/>
      <c r="S749" s="16"/>
      <c r="T749" s="16"/>
      <c r="U749" s="16"/>
      <c r="V749" s="16"/>
      <c r="W749" s="16"/>
      <c r="X749" s="16"/>
      <c r="Y749" s="16"/>
      <c r="Z749" s="16"/>
    </row>
    <row r="750" ht="12.75" spans="1:26">
      <c r="A750" s="23"/>
      <c r="B750" s="16"/>
      <c r="C750" s="23"/>
      <c r="D750" s="24"/>
      <c r="E750" s="16"/>
      <c r="F750" s="24"/>
      <c r="G750" s="24"/>
      <c r="H750" s="16"/>
      <c r="I750" s="16"/>
      <c r="J750" s="16"/>
      <c r="K750" s="16"/>
      <c r="L750" s="16"/>
      <c r="M750" s="16"/>
      <c r="N750" s="16"/>
      <c r="O750" s="16"/>
      <c r="P750" s="16"/>
      <c r="Q750" s="16"/>
      <c r="R750" s="16"/>
      <c r="S750" s="16"/>
      <c r="T750" s="16"/>
      <c r="U750" s="16"/>
      <c r="V750" s="16"/>
      <c r="W750" s="16"/>
      <c r="X750" s="16"/>
      <c r="Y750" s="16"/>
      <c r="Z750" s="16"/>
    </row>
    <row r="751" ht="12.75" spans="1:26">
      <c r="A751" s="23"/>
      <c r="B751" s="16"/>
      <c r="C751" s="23"/>
      <c r="D751" s="24"/>
      <c r="E751" s="16"/>
      <c r="F751" s="24"/>
      <c r="G751" s="24"/>
      <c r="H751" s="16"/>
      <c r="I751" s="16"/>
      <c r="J751" s="16"/>
      <c r="K751" s="16"/>
      <c r="L751" s="16"/>
      <c r="M751" s="16"/>
      <c r="N751" s="16"/>
      <c r="O751" s="16"/>
      <c r="P751" s="16"/>
      <c r="Q751" s="16"/>
      <c r="R751" s="16"/>
      <c r="S751" s="16"/>
      <c r="T751" s="16"/>
      <c r="U751" s="16"/>
      <c r="V751" s="16"/>
      <c r="W751" s="16"/>
      <c r="X751" s="16"/>
      <c r="Y751" s="16"/>
      <c r="Z751" s="16"/>
    </row>
    <row r="752" ht="12.75" spans="1:26">
      <c r="A752" s="23"/>
      <c r="B752" s="16"/>
      <c r="C752" s="23"/>
      <c r="D752" s="24"/>
      <c r="E752" s="16"/>
      <c r="F752" s="24"/>
      <c r="G752" s="24"/>
      <c r="H752" s="16"/>
      <c r="I752" s="16"/>
      <c r="J752" s="16"/>
      <c r="K752" s="16"/>
      <c r="L752" s="16"/>
      <c r="M752" s="16"/>
      <c r="N752" s="16"/>
      <c r="O752" s="16"/>
      <c r="P752" s="16"/>
      <c r="Q752" s="16"/>
      <c r="R752" s="16"/>
      <c r="S752" s="16"/>
      <c r="T752" s="16"/>
      <c r="U752" s="16"/>
      <c r="V752" s="16"/>
      <c r="W752" s="16"/>
      <c r="X752" s="16"/>
      <c r="Y752" s="16"/>
      <c r="Z752" s="16"/>
    </row>
    <row r="753" ht="12.75" spans="1:26">
      <c r="A753" s="23"/>
      <c r="B753" s="16"/>
      <c r="C753" s="23"/>
      <c r="D753" s="24"/>
      <c r="E753" s="16"/>
      <c r="F753" s="24"/>
      <c r="G753" s="24"/>
      <c r="H753" s="16"/>
      <c r="I753" s="16"/>
      <c r="J753" s="16"/>
      <c r="K753" s="16"/>
      <c r="L753" s="16"/>
      <c r="M753" s="16"/>
      <c r="N753" s="16"/>
      <c r="O753" s="16"/>
      <c r="P753" s="16"/>
      <c r="Q753" s="16"/>
      <c r="R753" s="16"/>
      <c r="S753" s="16"/>
      <c r="T753" s="16"/>
      <c r="U753" s="16"/>
      <c r="V753" s="16"/>
      <c r="W753" s="16"/>
      <c r="X753" s="16"/>
      <c r="Y753" s="16"/>
      <c r="Z753" s="16"/>
    </row>
    <row r="754" ht="12.75" spans="1:26">
      <c r="A754" s="23"/>
      <c r="B754" s="16"/>
      <c r="C754" s="23"/>
      <c r="D754" s="24"/>
      <c r="E754" s="16"/>
      <c r="F754" s="24"/>
      <c r="G754" s="24"/>
      <c r="H754" s="16"/>
      <c r="I754" s="16"/>
      <c r="J754" s="16"/>
      <c r="K754" s="16"/>
      <c r="L754" s="16"/>
      <c r="M754" s="16"/>
      <c r="N754" s="16"/>
      <c r="O754" s="16"/>
      <c r="P754" s="16"/>
      <c r="Q754" s="16"/>
      <c r="R754" s="16"/>
      <c r="S754" s="16"/>
      <c r="T754" s="16"/>
      <c r="U754" s="16"/>
      <c r="V754" s="16"/>
      <c r="W754" s="16"/>
      <c r="X754" s="16"/>
      <c r="Y754" s="16"/>
      <c r="Z754" s="16"/>
    </row>
    <row r="755" ht="12.75" spans="1:26">
      <c r="A755" s="23"/>
      <c r="B755" s="16"/>
      <c r="C755" s="23"/>
      <c r="D755" s="24"/>
      <c r="E755" s="16"/>
      <c r="F755" s="24"/>
      <c r="G755" s="24"/>
      <c r="H755" s="16"/>
      <c r="I755" s="16"/>
      <c r="J755" s="16"/>
      <c r="K755" s="16"/>
      <c r="L755" s="16"/>
      <c r="M755" s="16"/>
      <c r="N755" s="16"/>
      <c r="O755" s="16"/>
      <c r="P755" s="16"/>
      <c r="Q755" s="16"/>
      <c r="R755" s="16"/>
      <c r="S755" s="16"/>
      <c r="T755" s="16"/>
      <c r="U755" s="16"/>
      <c r="V755" s="16"/>
      <c r="W755" s="16"/>
      <c r="X755" s="16"/>
      <c r="Y755" s="16"/>
      <c r="Z755" s="16"/>
    </row>
    <row r="756" ht="12.75" spans="1:26">
      <c r="A756" s="23"/>
      <c r="B756" s="16"/>
      <c r="C756" s="23"/>
      <c r="D756" s="24"/>
      <c r="E756" s="16"/>
      <c r="F756" s="24"/>
      <c r="G756" s="24"/>
      <c r="H756" s="16"/>
      <c r="I756" s="16"/>
      <c r="J756" s="16"/>
      <c r="K756" s="16"/>
      <c r="L756" s="16"/>
      <c r="M756" s="16"/>
      <c r="N756" s="16"/>
      <c r="O756" s="16"/>
      <c r="P756" s="16"/>
      <c r="Q756" s="16"/>
      <c r="R756" s="16"/>
      <c r="S756" s="16"/>
      <c r="T756" s="16"/>
      <c r="U756" s="16"/>
      <c r="V756" s="16"/>
      <c r="W756" s="16"/>
      <c r="X756" s="16"/>
      <c r="Y756" s="16"/>
      <c r="Z756" s="16"/>
    </row>
    <row r="757" ht="12.75" spans="1:26">
      <c r="A757" s="23"/>
      <c r="B757" s="16"/>
      <c r="C757" s="23"/>
      <c r="D757" s="24"/>
      <c r="E757" s="16"/>
      <c r="F757" s="24"/>
      <c r="G757" s="24"/>
      <c r="H757" s="16"/>
      <c r="I757" s="16"/>
      <c r="J757" s="16"/>
      <c r="K757" s="16"/>
      <c r="L757" s="16"/>
      <c r="M757" s="16"/>
      <c r="N757" s="16"/>
      <c r="O757" s="16"/>
      <c r="P757" s="16"/>
      <c r="Q757" s="16"/>
      <c r="R757" s="16"/>
      <c r="S757" s="16"/>
      <c r="T757" s="16"/>
      <c r="U757" s="16"/>
      <c r="V757" s="16"/>
      <c r="W757" s="16"/>
      <c r="X757" s="16"/>
      <c r="Y757" s="16"/>
      <c r="Z757" s="16"/>
    </row>
    <row r="758" ht="12.75" spans="1:26">
      <c r="A758" s="23"/>
      <c r="B758" s="16"/>
      <c r="C758" s="23"/>
      <c r="D758" s="24"/>
      <c r="E758" s="16"/>
      <c r="F758" s="24"/>
      <c r="G758" s="24"/>
      <c r="H758" s="16"/>
      <c r="I758" s="16"/>
      <c r="J758" s="16"/>
      <c r="K758" s="16"/>
      <c r="L758" s="16"/>
      <c r="M758" s="16"/>
      <c r="N758" s="16"/>
      <c r="O758" s="16"/>
      <c r="P758" s="16"/>
      <c r="Q758" s="16"/>
      <c r="R758" s="16"/>
      <c r="S758" s="16"/>
      <c r="T758" s="16"/>
      <c r="U758" s="16"/>
      <c r="V758" s="16"/>
      <c r="W758" s="16"/>
      <c r="X758" s="16"/>
      <c r="Y758" s="16"/>
      <c r="Z758" s="16"/>
    </row>
    <row r="759" ht="12.75" spans="1:26">
      <c r="A759" s="23"/>
      <c r="B759" s="16"/>
      <c r="C759" s="23"/>
      <c r="D759" s="24"/>
      <c r="E759" s="16"/>
      <c r="F759" s="24"/>
      <c r="G759" s="24"/>
      <c r="H759" s="16"/>
      <c r="I759" s="16"/>
      <c r="J759" s="16"/>
      <c r="K759" s="16"/>
      <c r="L759" s="16"/>
      <c r="M759" s="16"/>
      <c r="N759" s="16"/>
      <c r="O759" s="16"/>
      <c r="P759" s="16"/>
      <c r="Q759" s="16"/>
      <c r="R759" s="16"/>
      <c r="S759" s="16"/>
      <c r="T759" s="16"/>
      <c r="U759" s="16"/>
      <c r="V759" s="16"/>
      <c r="W759" s="16"/>
      <c r="X759" s="16"/>
      <c r="Y759" s="16"/>
      <c r="Z759" s="16"/>
    </row>
    <row r="760" ht="12.75" spans="1:26">
      <c r="A760" s="23"/>
      <c r="B760" s="16"/>
      <c r="C760" s="23"/>
      <c r="D760" s="24"/>
      <c r="E760" s="16"/>
      <c r="F760" s="24"/>
      <c r="G760" s="24"/>
      <c r="H760" s="16"/>
      <c r="I760" s="16"/>
      <c r="J760" s="16"/>
      <c r="K760" s="16"/>
      <c r="L760" s="16"/>
      <c r="M760" s="16"/>
      <c r="N760" s="16"/>
      <c r="O760" s="16"/>
      <c r="P760" s="16"/>
      <c r="Q760" s="16"/>
      <c r="R760" s="16"/>
      <c r="S760" s="16"/>
      <c r="T760" s="16"/>
      <c r="U760" s="16"/>
      <c r="V760" s="16"/>
      <c r="W760" s="16"/>
      <c r="X760" s="16"/>
      <c r="Y760" s="16"/>
      <c r="Z760" s="16"/>
    </row>
    <row r="761" ht="12.75" spans="1:26">
      <c r="A761" s="23"/>
      <c r="B761" s="16"/>
      <c r="C761" s="23"/>
      <c r="D761" s="24"/>
      <c r="E761" s="16"/>
      <c r="F761" s="24"/>
      <c r="G761" s="24"/>
      <c r="H761" s="16"/>
      <c r="I761" s="16"/>
      <c r="J761" s="16"/>
      <c r="K761" s="16"/>
      <c r="L761" s="16"/>
      <c r="M761" s="16"/>
      <c r="N761" s="16"/>
      <c r="O761" s="16"/>
      <c r="P761" s="16"/>
      <c r="Q761" s="16"/>
      <c r="R761" s="16"/>
      <c r="S761" s="16"/>
      <c r="T761" s="16"/>
      <c r="U761" s="16"/>
      <c r="V761" s="16"/>
      <c r="W761" s="16"/>
      <c r="X761" s="16"/>
      <c r="Y761" s="16"/>
      <c r="Z761" s="16"/>
    </row>
    <row r="762" ht="12.75" spans="1:26">
      <c r="A762" s="23"/>
      <c r="B762" s="16"/>
      <c r="C762" s="23"/>
      <c r="D762" s="24"/>
      <c r="E762" s="16"/>
      <c r="F762" s="24"/>
      <c r="G762" s="24"/>
      <c r="H762" s="16"/>
      <c r="I762" s="16"/>
      <c r="J762" s="16"/>
      <c r="K762" s="16"/>
      <c r="L762" s="16"/>
      <c r="M762" s="16"/>
      <c r="N762" s="16"/>
      <c r="O762" s="16"/>
      <c r="P762" s="16"/>
      <c r="Q762" s="16"/>
      <c r="R762" s="16"/>
      <c r="S762" s="16"/>
      <c r="T762" s="16"/>
      <c r="U762" s="16"/>
      <c r="V762" s="16"/>
      <c r="W762" s="16"/>
      <c r="X762" s="16"/>
      <c r="Y762" s="16"/>
      <c r="Z762" s="16"/>
    </row>
    <row r="763" ht="12.75" spans="1:26">
      <c r="A763" s="23"/>
      <c r="B763" s="16"/>
      <c r="C763" s="23"/>
      <c r="D763" s="24"/>
      <c r="E763" s="16"/>
      <c r="F763" s="24"/>
      <c r="G763" s="24"/>
      <c r="H763" s="16"/>
      <c r="I763" s="16"/>
      <c r="J763" s="16"/>
      <c r="K763" s="16"/>
      <c r="L763" s="16"/>
      <c r="M763" s="16"/>
      <c r="N763" s="16"/>
      <c r="O763" s="16"/>
      <c r="P763" s="16"/>
      <c r="Q763" s="16"/>
      <c r="R763" s="16"/>
      <c r="S763" s="16"/>
      <c r="T763" s="16"/>
      <c r="U763" s="16"/>
      <c r="V763" s="16"/>
      <c r="W763" s="16"/>
      <c r="X763" s="16"/>
      <c r="Y763" s="16"/>
      <c r="Z763" s="16"/>
    </row>
    <row r="764" ht="12.75" spans="1:26">
      <c r="A764" s="23"/>
      <c r="B764" s="16"/>
      <c r="C764" s="23"/>
      <c r="D764" s="24"/>
      <c r="E764" s="16"/>
      <c r="F764" s="24"/>
      <c r="G764" s="24"/>
      <c r="H764" s="16"/>
      <c r="I764" s="16"/>
      <c r="J764" s="16"/>
      <c r="K764" s="16"/>
      <c r="L764" s="16"/>
      <c r="M764" s="16"/>
      <c r="N764" s="16"/>
      <c r="O764" s="16"/>
      <c r="P764" s="16"/>
      <c r="Q764" s="16"/>
      <c r="R764" s="16"/>
      <c r="S764" s="16"/>
      <c r="T764" s="16"/>
      <c r="U764" s="16"/>
      <c r="V764" s="16"/>
      <c r="W764" s="16"/>
      <c r="X764" s="16"/>
      <c r="Y764" s="16"/>
      <c r="Z764" s="16"/>
    </row>
    <row r="765" ht="12.75" spans="1:26">
      <c r="A765" s="23"/>
      <c r="B765" s="16"/>
      <c r="C765" s="23"/>
      <c r="D765" s="24"/>
      <c r="E765" s="16"/>
      <c r="F765" s="24"/>
      <c r="G765" s="24"/>
      <c r="H765" s="16"/>
      <c r="I765" s="16"/>
      <c r="J765" s="16"/>
      <c r="K765" s="16"/>
      <c r="L765" s="16"/>
      <c r="M765" s="16"/>
      <c r="N765" s="16"/>
      <c r="O765" s="16"/>
      <c r="P765" s="16"/>
      <c r="Q765" s="16"/>
      <c r="R765" s="16"/>
      <c r="S765" s="16"/>
      <c r="T765" s="16"/>
      <c r="U765" s="16"/>
      <c r="V765" s="16"/>
      <c r="W765" s="16"/>
      <c r="X765" s="16"/>
      <c r="Y765" s="16"/>
      <c r="Z765" s="16"/>
    </row>
    <row r="766" ht="12.75" spans="1:26">
      <c r="A766" s="23"/>
      <c r="B766" s="16"/>
      <c r="C766" s="23"/>
      <c r="D766" s="24"/>
      <c r="E766" s="16"/>
      <c r="F766" s="24"/>
      <c r="G766" s="24"/>
      <c r="H766" s="16"/>
      <c r="I766" s="16"/>
      <c r="J766" s="16"/>
      <c r="K766" s="16"/>
      <c r="L766" s="16"/>
      <c r="M766" s="16"/>
      <c r="N766" s="16"/>
      <c r="O766" s="16"/>
      <c r="P766" s="16"/>
      <c r="Q766" s="16"/>
      <c r="R766" s="16"/>
      <c r="S766" s="16"/>
      <c r="T766" s="16"/>
      <c r="U766" s="16"/>
      <c r="V766" s="16"/>
      <c r="W766" s="16"/>
      <c r="X766" s="16"/>
      <c r="Y766" s="16"/>
      <c r="Z766" s="16"/>
    </row>
    <row r="767" ht="12.75" spans="1:26">
      <c r="A767" s="23"/>
      <c r="B767" s="16"/>
      <c r="C767" s="23"/>
      <c r="D767" s="24"/>
      <c r="E767" s="16"/>
      <c r="F767" s="24"/>
      <c r="G767" s="24"/>
      <c r="H767" s="16"/>
      <c r="I767" s="16"/>
      <c r="J767" s="16"/>
      <c r="K767" s="16"/>
      <c r="L767" s="16"/>
      <c r="M767" s="16"/>
      <c r="N767" s="16"/>
      <c r="O767" s="16"/>
      <c r="P767" s="16"/>
      <c r="Q767" s="16"/>
      <c r="R767" s="16"/>
      <c r="S767" s="16"/>
      <c r="T767" s="16"/>
      <c r="U767" s="16"/>
      <c r="V767" s="16"/>
      <c r="W767" s="16"/>
      <c r="X767" s="16"/>
      <c r="Y767" s="16"/>
      <c r="Z767" s="16"/>
    </row>
    <row r="768" ht="12.75" spans="1:26">
      <c r="A768" s="23"/>
      <c r="B768" s="16"/>
      <c r="C768" s="23"/>
      <c r="D768" s="24"/>
      <c r="E768" s="16"/>
      <c r="F768" s="24"/>
      <c r="G768" s="24"/>
      <c r="H768" s="16"/>
      <c r="I768" s="16"/>
      <c r="J768" s="16"/>
      <c r="K768" s="16"/>
      <c r="L768" s="16"/>
      <c r="M768" s="16"/>
      <c r="N768" s="16"/>
      <c r="O768" s="16"/>
      <c r="P768" s="16"/>
      <c r="Q768" s="16"/>
      <c r="R768" s="16"/>
      <c r="S768" s="16"/>
      <c r="T768" s="16"/>
      <c r="U768" s="16"/>
      <c r="V768" s="16"/>
      <c r="W768" s="16"/>
      <c r="X768" s="16"/>
      <c r="Y768" s="16"/>
      <c r="Z768" s="16"/>
    </row>
    <row r="769" ht="12.75" spans="1:26">
      <c r="A769" s="23"/>
      <c r="B769" s="16"/>
      <c r="C769" s="23"/>
      <c r="D769" s="24"/>
      <c r="E769" s="16"/>
      <c r="F769" s="24"/>
      <c r="G769" s="24"/>
      <c r="H769" s="16"/>
      <c r="I769" s="16"/>
      <c r="J769" s="16"/>
      <c r="K769" s="16"/>
      <c r="L769" s="16"/>
      <c r="M769" s="16"/>
      <c r="N769" s="16"/>
      <c r="O769" s="16"/>
      <c r="P769" s="16"/>
      <c r="Q769" s="16"/>
      <c r="R769" s="16"/>
      <c r="S769" s="16"/>
      <c r="T769" s="16"/>
      <c r="U769" s="16"/>
      <c r="V769" s="16"/>
      <c r="W769" s="16"/>
      <c r="X769" s="16"/>
      <c r="Y769" s="16"/>
      <c r="Z769" s="16"/>
    </row>
    <row r="770" ht="12.75" spans="1:26">
      <c r="A770" s="23"/>
      <c r="B770" s="16"/>
      <c r="C770" s="23"/>
      <c r="D770" s="24"/>
      <c r="E770" s="16"/>
      <c r="F770" s="24"/>
      <c r="G770" s="24"/>
      <c r="H770" s="16"/>
      <c r="I770" s="16"/>
      <c r="J770" s="16"/>
      <c r="K770" s="16"/>
      <c r="L770" s="16"/>
      <c r="M770" s="16"/>
      <c r="N770" s="16"/>
      <c r="O770" s="16"/>
      <c r="P770" s="16"/>
      <c r="Q770" s="16"/>
      <c r="R770" s="16"/>
      <c r="S770" s="16"/>
      <c r="T770" s="16"/>
      <c r="U770" s="16"/>
      <c r="V770" s="16"/>
      <c r="W770" s="16"/>
      <c r="X770" s="16"/>
      <c r="Y770" s="16"/>
      <c r="Z770" s="16"/>
    </row>
    <row r="771" ht="12.75" spans="1:26">
      <c r="A771" s="23"/>
      <c r="B771" s="16"/>
      <c r="C771" s="23"/>
      <c r="D771" s="24"/>
      <c r="E771" s="16"/>
      <c r="F771" s="24"/>
      <c r="G771" s="24"/>
      <c r="H771" s="16"/>
      <c r="I771" s="16"/>
      <c r="J771" s="16"/>
      <c r="K771" s="16"/>
      <c r="L771" s="16"/>
      <c r="M771" s="16"/>
      <c r="N771" s="16"/>
      <c r="O771" s="16"/>
      <c r="P771" s="16"/>
      <c r="Q771" s="16"/>
      <c r="R771" s="16"/>
      <c r="S771" s="16"/>
      <c r="T771" s="16"/>
      <c r="U771" s="16"/>
      <c r="V771" s="16"/>
      <c r="W771" s="16"/>
      <c r="X771" s="16"/>
      <c r="Y771" s="16"/>
      <c r="Z771" s="16"/>
    </row>
    <row r="772" ht="12.75" spans="1:26">
      <c r="A772" s="23"/>
      <c r="B772" s="16"/>
      <c r="C772" s="23"/>
      <c r="D772" s="24"/>
      <c r="E772" s="16"/>
      <c r="F772" s="24"/>
      <c r="G772" s="24"/>
      <c r="H772" s="16"/>
      <c r="I772" s="16"/>
      <c r="J772" s="16"/>
      <c r="K772" s="16"/>
      <c r="L772" s="16"/>
      <c r="M772" s="16"/>
      <c r="N772" s="16"/>
      <c r="O772" s="16"/>
      <c r="P772" s="16"/>
      <c r="Q772" s="16"/>
      <c r="R772" s="16"/>
      <c r="S772" s="16"/>
      <c r="T772" s="16"/>
      <c r="U772" s="16"/>
      <c r="V772" s="16"/>
      <c r="W772" s="16"/>
      <c r="X772" s="16"/>
      <c r="Y772" s="16"/>
      <c r="Z772" s="16"/>
    </row>
    <row r="773" ht="12.75" spans="1:26">
      <c r="A773" s="23"/>
      <c r="B773" s="16"/>
      <c r="C773" s="23"/>
      <c r="D773" s="24"/>
      <c r="E773" s="16"/>
      <c r="F773" s="24"/>
      <c r="G773" s="24"/>
      <c r="H773" s="16"/>
      <c r="I773" s="16"/>
      <c r="J773" s="16"/>
      <c r="K773" s="16"/>
      <c r="L773" s="16"/>
      <c r="M773" s="16"/>
      <c r="N773" s="16"/>
      <c r="O773" s="16"/>
      <c r="P773" s="16"/>
      <c r="Q773" s="16"/>
      <c r="R773" s="16"/>
      <c r="S773" s="16"/>
      <c r="T773" s="16"/>
      <c r="U773" s="16"/>
      <c r="V773" s="16"/>
      <c r="W773" s="16"/>
      <c r="X773" s="16"/>
      <c r="Y773" s="16"/>
      <c r="Z773" s="16"/>
    </row>
    <row r="774" ht="12.75" spans="1:26">
      <c r="A774" s="23"/>
      <c r="B774" s="16"/>
      <c r="C774" s="23"/>
      <c r="D774" s="24"/>
      <c r="E774" s="16"/>
      <c r="F774" s="24"/>
      <c r="G774" s="24"/>
      <c r="H774" s="16"/>
      <c r="I774" s="16"/>
      <c r="J774" s="16"/>
      <c r="K774" s="16"/>
      <c r="L774" s="16"/>
      <c r="M774" s="16"/>
      <c r="N774" s="16"/>
      <c r="O774" s="16"/>
      <c r="P774" s="16"/>
      <c r="Q774" s="16"/>
      <c r="R774" s="16"/>
      <c r="S774" s="16"/>
      <c r="T774" s="16"/>
      <c r="U774" s="16"/>
      <c r="V774" s="16"/>
      <c r="W774" s="16"/>
      <c r="X774" s="16"/>
      <c r="Y774" s="16"/>
      <c r="Z774" s="16"/>
    </row>
    <row r="775" ht="12.75" spans="1:26">
      <c r="A775" s="23"/>
      <c r="B775" s="16"/>
      <c r="C775" s="23"/>
      <c r="D775" s="24"/>
      <c r="E775" s="16"/>
      <c r="F775" s="24"/>
      <c r="G775" s="24"/>
      <c r="H775" s="16"/>
      <c r="I775" s="16"/>
      <c r="J775" s="16"/>
      <c r="K775" s="16"/>
      <c r="L775" s="16"/>
      <c r="M775" s="16"/>
      <c r="N775" s="16"/>
      <c r="O775" s="16"/>
      <c r="P775" s="16"/>
      <c r="Q775" s="16"/>
      <c r="R775" s="16"/>
      <c r="S775" s="16"/>
      <c r="T775" s="16"/>
      <c r="U775" s="16"/>
      <c r="V775" s="16"/>
      <c r="W775" s="16"/>
      <c r="X775" s="16"/>
      <c r="Y775" s="16"/>
      <c r="Z775" s="16"/>
    </row>
    <row r="776" ht="12.75" spans="1:26">
      <c r="A776" s="23"/>
      <c r="B776" s="16"/>
      <c r="C776" s="23"/>
      <c r="D776" s="24"/>
      <c r="E776" s="16"/>
      <c r="F776" s="24"/>
      <c r="G776" s="24"/>
      <c r="H776" s="16"/>
      <c r="I776" s="16"/>
      <c r="J776" s="16"/>
      <c r="K776" s="16"/>
      <c r="L776" s="16"/>
      <c r="M776" s="16"/>
      <c r="N776" s="16"/>
      <c r="O776" s="16"/>
      <c r="P776" s="16"/>
      <c r="Q776" s="16"/>
      <c r="R776" s="16"/>
      <c r="S776" s="16"/>
      <c r="T776" s="16"/>
      <c r="U776" s="16"/>
      <c r="V776" s="16"/>
      <c r="W776" s="16"/>
      <c r="X776" s="16"/>
      <c r="Y776" s="16"/>
      <c r="Z776" s="16"/>
    </row>
    <row r="777" ht="12.75" spans="1:26">
      <c r="A777" s="23"/>
      <c r="B777" s="16"/>
      <c r="C777" s="23"/>
      <c r="D777" s="24"/>
      <c r="E777" s="16"/>
      <c r="F777" s="24"/>
      <c r="G777" s="24"/>
      <c r="H777" s="16"/>
      <c r="I777" s="16"/>
      <c r="J777" s="16"/>
      <c r="K777" s="16"/>
      <c r="L777" s="16"/>
      <c r="M777" s="16"/>
      <c r="N777" s="16"/>
      <c r="O777" s="16"/>
      <c r="P777" s="16"/>
      <c r="Q777" s="16"/>
      <c r="R777" s="16"/>
      <c r="S777" s="16"/>
      <c r="T777" s="16"/>
      <c r="U777" s="16"/>
      <c r="V777" s="16"/>
      <c r="W777" s="16"/>
      <c r="X777" s="16"/>
      <c r="Y777" s="16"/>
      <c r="Z777" s="16"/>
    </row>
    <row r="778" ht="12.75" spans="1:26">
      <c r="A778" s="23"/>
      <c r="B778" s="16"/>
      <c r="C778" s="23"/>
      <c r="D778" s="24"/>
      <c r="E778" s="16"/>
      <c r="F778" s="24"/>
      <c r="G778" s="24"/>
      <c r="H778" s="16"/>
      <c r="I778" s="16"/>
      <c r="J778" s="16"/>
      <c r="K778" s="16"/>
      <c r="L778" s="16"/>
      <c r="M778" s="16"/>
      <c r="N778" s="16"/>
      <c r="O778" s="16"/>
      <c r="P778" s="16"/>
      <c r="Q778" s="16"/>
      <c r="R778" s="16"/>
      <c r="S778" s="16"/>
      <c r="T778" s="16"/>
      <c r="U778" s="16"/>
      <c r="V778" s="16"/>
      <c r="W778" s="16"/>
      <c r="X778" s="16"/>
      <c r="Y778" s="16"/>
      <c r="Z778" s="16"/>
    </row>
    <row r="779" ht="12.75" spans="1:26">
      <c r="A779" s="23"/>
      <c r="B779" s="16"/>
      <c r="C779" s="23"/>
      <c r="D779" s="24"/>
      <c r="E779" s="16"/>
      <c r="F779" s="24"/>
      <c r="G779" s="24"/>
      <c r="H779" s="16"/>
      <c r="I779" s="16"/>
      <c r="J779" s="16"/>
      <c r="K779" s="16"/>
      <c r="L779" s="16"/>
      <c r="M779" s="16"/>
      <c r="N779" s="16"/>
      <c r="O779" s="16"/>
      <c r="P779" s="16"/>
      <c r="Q779" s="16"/>
      <c r="R779" s="16"/>
      <c r="S779" s="16"/>
      <c r="T779" s="16"/>
      <c r="U779" s="16"/>
      <c r="V779" s="16"/>
      <c r="W779" s="16"/>
      <c r="X779" s="16"/>
      <c r="Y779" s="16"/>
      <c r="Z779" s="16"/>
    </row>
    <row r="780" ht="12.75" spans="1:26">
      <c r="A780" s="23"/>
      <c r="B780" s="16"/>
      <c r="C780" s="23"/>
      <c r="D780" s="24"/>
      <c r="E780" s="16"/>
      <c r="F780" s="24"/>
      <c r="G780" s="24"/>
      <c r="H780" s="16"/>
      <c r="I780" s="16"/>
      <c r="J780" s="16"/>
      <c r="K780" s="16"/>
      <c r="L780" s="16"/>
      <c r="M780" s="16"/>
      <c r="N780" s="16"/>
      <c r="O780" s="16"/>
      <c r="P780" s="16"/>
      <c r="Q780" s="16"/>
      <c r="R780" s="16"/>
      <c r="S780" s="16"/>
      <c r="T780" s="16"/>
      <c r="U780" s="16"/>
      <c r="V780" s="16"/>
      <c r="W780" s="16"/>
      <c r="X780" s="16"/>
      <c r="Y780" s="16"/>
      <c r="Z780" s="16"/>
    </row>
    <row r="781" ht="12.75" spans="1:26">
      <c r="A781" s="23"/>
      <c r="B781" s="16"/>
      <c r="C781" s="23"/>
      <c r="D781" s="24"/>
      <c r="E781" s="16"/>
      <c r="F781" s="24"/>
      <c r="G781" s="24"/>
      <c r="H781" s="16"/>
      <c r="I781" s="16"/>
      <c r="J781" s="16"/>
      <c r="K781" s="16"/>
      <c r="L781" s="16"/>
      <c r="M781" s="16"/>
      <c r="N781" s="16"/>
      <c r="O781" s="16"/>
      <c r="P781" s="16"/>
      <c r="Q781" s="16"/>
      <c r="R781" s="16"/>
      <c r="S781" s="16"/>
      <c r="T781" s="16"/>
      <c r="U781" s="16"/>
      <c r="V781" s="16"/>
      <c r="W781" s="16"/>
      <c r="X781" s="16"/>
      <c r="Y781" s="16"/>
      <c r="Z781" s="16"/>
    </row>
    <row r="782" ht="12.75" spans="1:26">
      <c r="A782" s="23"/>
      <c r="B782" s="16"/>
      <c r="C782" s="23"/>
      <c r="D782" s="24"/>
      <c r="E782" s="16"/>
      <c r="F782" s="24"/>
      <c r="G782" s="24"/>
      <c r="H782" s="16"/>
      <c r="I782" s="16"/>
      <c r="J782" s="16"/>
      <c r="K782" s="16"/>
      <c r="L782" s="16"/>
      <c r="M782" s="16"/>
      <c r="N782" s="16"/>
      <c r="O782" s="16"/>
      <c r="P782" s="16"/>
      <c r="Q782" s="16"/>
      <c r="R782" s="16"/>
      <c r="S782" s="16"/>
      <c r="T782" s="16"/>
      <c r="U782" s="16"/>
      <c r="V782" s="16"/>
      <c r="W782" s="16"/>
      <c r="X782" s="16"/>
      <c r="Y782" s="16"/>
      <c r="Z782" s="16"/>
    </row>
    <row r="783" ht="12.75" spans="1:26">
      <c r="A783" s="23"/>
      <c r="B783" s="16"/>
      <c r="C783" s="23"/>
      <c r="D783" s="24"/>
      <c r="E783" s="16"/>
      <c r="F783" s="24"/>
      <c r="G783" s="24"/>
      <c r="H783" s="16"/>
      <c r="I783" s="16"/>
      <c r="J783" s="16"/>
      <c r="K783" s="16"/>
      <c r="L783" s="16"/>
      <c r="M783" s="16"/>
      <c r="N783" s="16"/>
      <c r="O783" s="16"/>
      <c r="P783" s="16"/>
      <c r="Q783" s="16"/>
      <c r="R783" s="16"/>
      <c r="S783" s="16"/>
      <c r="T783" s="16"/>
      <c r="U783" s="16"/>
      <c r="V783" s="16"/>
      <c r="W783" s="16"/>
      <c r="X783" s="16"/>
      <c r="Y783" s="16"/>
      <c r="Z783" s="16"/>
    </row>
    <row r="784" ht="12.75" spans="1:26">
      <c r="A784" s="23"/>
      <c r="B784" s="16"/>
      <c r="C784" s="23"/>
      <c r="D784" s="24"/>
      <c r="E784" s="16"/>
      <c r="F784" s="24"/>
      <c r="G784" s="24"/>
      <c r="H784" s="16"/>
      <c r="I784" s="16"/>
      <c r="J784" s="16"/>
      <c r="K784" s="16"/>
      <c r="L784" s="16"/>
      <c r="M784" s="16"/>
      <c r="N784" s="16"/>
      <c r="O784" s="16"/>
      <c r="P784" s="16"/>
      <c r="Q784" s="16"/>
      <c r="R784" s="16"/>
      <c r="S784" s="16"/>
      <c r="T784" s="16"/>
      <c r="U784" s="16"/>
      <c r="V784" s="16"/>
      <c r="W784" s="16"/>
      <c r="X784" s="16"/>
      <c r="Y784" s="16"/>
      <c r="Z784" s="16"/>
    </row>
    <row r="785" ht="12.75" spans="1:26">
      <c r="A785" s="23"/>
      <c r="B785" s="16"/>
      <c r="C785" s="23"/>
      <c r="D785" s="24"/>
      <c r="E785" s="16"/>
      <c r="F785" s="24"/>
      <c r="G785" s="24"/>
      <c r="H785" s="16"/>
      <c r="I785" s="16"/>
      <c r="J785" s="16"/>
      <c r="K785" s="16"/>
      <c r="L785" s="16"/>
      <c r="M785" s="16"/>
      <c r="N785" s="16"/>
      <c r="O785" s="16"/>
      <c r="P785" s="16"/>
      <c r="Q785" s="16"/>
      <c r="R785" s="16"/>
      <c r="S785" s="16"/>
      <c r="T785" s="16"/>
      <c r="U785" s="16"/>
      <c r="V785" s="16"/>
      <c r="W785" s="16"/>
      <c r="X785" s="16"/>
      <c r="Y785" s="16"/>
      <c r="Z785" s="16"/>
    </row>
    <row r="786" ht="12.75" spans="1:26">
      <c r="A786" s="23"/>
      <c r="B786" s="16"/>
      <c r="C786" s="23"/>
      <c r="D786" s="24"/>
      <c r="E786" s="16"/>
      <c r="F786" s="24"/>
      <c r="G786" s="24"/>
      <c r="H786" s="16"/>
      <c r="I786" s="16"/>
      <c r="J786" s="16"/>
      <c r="K786" s="16"/>
      <c r="L786" s="16"/>
      <c r="M786" s="16"/>
      <c r="N786" s="16"/>
      <c r="O786" s="16"/>
      <c r="P786" s="16"/>
      <c r="Q786" s="16"/>
      <c r="R786" s="16"/>
      <c r="S786" s="16"/>
      <c r="T786" s="16"/>
      <c r="U786" s="16"/>
      <c r="V786" s="16"/>
      <c r="W786" s="16"/>
      <c r="X786" s="16"/>
      <c r="Y786" s="16"/>
      <c r="Z786" s="16"/>
    </row>
    <row r="787" ht="12.75" spans="1:26">
      <c r="A787" s="23"/>
      <c r="B787" s="16"/>
      <c r="C787" s="23"/>
      <c r="D787" s="24"/>
      <c r="E787" s="16"/>
      <c r="F787" s="24"/>
      <c r="G787" s="24"/>
      <c r="H787" s="16"/>
      <c r="I787" s="16"/>
      <c r="J787" s="16"/>
      <c r="K787" s="16"/>
      <c r="L787" s="16"/>
      <c r="M787" s="16"/>
      <c r="N787" s="16"/>
      <c r="O787" s="16"/>
      <c r="P787" s="16"/>
      <c r="Q787" s="16"/>
      <c r="R787" s="16"/>
      <c r="S787" s="16"/>
      <c r="T787" s="16"/>
      <c r="U787" s="16"/>
      <c r="V787" s="16"/>
      <c r="W787" s="16"/>
      <c r="X787" s="16"/>
      <c r="Y787" s="16"/>
      <c r="Z787" s="16"/>
    </row>
    <row r="788" ht="12.75" spans="1:26">
      <c r="A788" s="23"/>
      <c r="B788" s="16"/>
      <c r="C788" s="23"/>
      <c r="D788" s="24"/>
      <c r="E788" s="16"/>
      <c r="F788" s="24"/>
      <c r="G788" s="24"/>
      <c r="H788" s="16"/>
      <c r="I788" s="16"/>
      <c r="J788" s="16"/>
      <c r="K788" s="16"/>
      <c r="L788" s="16"/>
      <c r="M788" s="16"/>
      <c r="N788" s="16"/>
      <c r="O788" s="16"/>
      <c r="P788" s="16"/>
      <c r="Q788" s="16"/>
      <c r="R788" s="16"/>
      <c r="S788" s="16"/>
      <c r="T788" s="16"/>
      <c r="U788" s="16"/>
      <c r="V788" s="16"/>
      <c r="W788" s="16"/>
      <c r="X788" s="16"/>
      <c r="Y788" s="16"/>
      <c r="Z788" s="16"/>
    </row>
    <row r="789" ht="12.75" spans="1:26">
      <c r="A789" s="23"/>
      <c r="B789" s="16"/>
      <c r="C789" s="23"/>
      <c r="D789" s="24"/>
      <c r="E789" s="16"/>
      <c r="F789" s="24"/>
      <c r="G789" s="24"/>
      <c r="H789" s="16"/>
      <c r="I789" s="16"/>
      <c r="J789" s="16"/>
      <c r="K789" s="16"/>
      <c r="L789" s="16"/>
      <c r="M789" s="16"/>
      <c r="N789" s="16"/>
      <c r="O789" s="16"/>
      <c r="P789" s="16"/>
      <c r="Q789" s="16"/>
      <c r="R789" s="16"/>
      <c r="S789" s="16"/>
      <c r="T789" s="16"/>
      <c r="U789" s="16"/>
      <c r="V789" s="16"/>
      <c r="W789" s="16"/>
      <c r="X789" s="16"/>
      <c r="Y789" s="16"/>
      <c r="Z789" s="16"/>
    </row>
    <row r="790" ht="12.75" spans="1:26">
      <c r="A790" s="23"/>
      <c r="B790" s="16"/>
      <c r="C790" s="23"/>
      <c r="D790" s="24"/>
      <c r="E790" s="16"/>
      <c r="F790" s="24"/>
      <c r="G790" s="24"/>
      <c r="H790" s="16"/>
      <c r="I790" s="16"/>
      <c r="J790" s="16"/>
      <c r="K790" s="16"/>
      <c r="L790" s="16"/>
      <c r="M790" s="16"/>
      <c r="N790" s="16"/>
      <c r="O790" s="16"/>
      <c r="P790" s="16"/>
      <c r="Q790" s="16"/>
      <c r="R790" s="16"/>
      <c r="S790" s="16"/>
      <c r="T790" s="16"/>
      <c r="U790" s="16"/>
      <c r="V790" s="16"/>
      <c r="W790" s="16"/>
      <c r="X790" s="16"/>
      <c r="Y790" s="16"/>
      <c r="Z790" s="16"/>
    </row>
    <row r="791" ht="12.75" spans="1:26">
      <c r="A791" s="23"/>
      <c r="B791" s="16"/>
      <c r="C791" s="23"/>
      <c r="D791" s="24"/>
      <c r="E791" s="16"/>
      <c r="F791" s="24"/>
      <c r="G791" s="24"/>
      <c r="H791" s="16"/>
      <c r="I791" s="16"/>
      <c r="J791" s="16"/>
      <c r="K791" s="16"/>
      <c r="L791" s="16"/>
      <c r="M791" s="16"/>
      <c r="N791" s="16"/>
      <c r="O791" s="16"/>
      <c r="P791" s="16"/>
      <c r="Q791" s="16"/>
      <c r="R791" s="16"/>
      <c r="S791" s="16"/>
      <c r="T791" s="16"/>
      <c r="U791" s="16"/>
      <c r="V791" s="16"/>
      <c r="W791" s="16"/>
      <c r="X791" s="16"/>
      <c r="Y791" s="16"/>
      <c r="Z791" s="16"/>
    </row>
    <row r="792" ht="12.75" spans="1:26">
      <c r="A792" s="23"/>
      <c r="B792" s="16"/>
      <c r="C792" s="23"/>
      <c r="D792" s="24"/>
      <c r="E792" s="16"/>
      <c r="F792" s="24"/>
      <c r="G792" s="24"/>
      <c r="H792" s="16"/>
      <c r="I792" s="16"/>
      <c r="J792" s="16"/>
      <c r="K792" s="16"/>
      <c r="L792" s="16"/>
      <c r="M792" s="16"/>
      <c r="N792" s="16"/>
      <c r="O792" s="16"/>
      <c r="P792" s="16"/>
      <c r="Q792" s="16"/>
      <c r="R792" s="16"/>
      <c r="S792" s="16"/>
      <c r="T792" s="16"/>
      <c r="U792" s="16"/>
      <c r="V792" s="16"/>
      <c r="W792" s="16"/>
      <c r="X792" s="16"/>
      <c r="Y792" s="16"/>
      <c r="Z792" s="16"/>
    </row>
    <row r="793" ht="12.75" spans="1:26">
      <c r="A793" s="23"/>
      <c r="B793" s="16"/>
      <c r="C793" s="23"/>
      <c r="D793" s="24"/>
      <c r="E793" s="16"/>
      <c r="F793" s="24"/>
      <c r="G793" s="24"/>
      <c r="H793" s="16"/>
      <c r="I793" s="16"/>
      <c r="J793" s="16"/>
      <c r="K793" s="16"/>
      <c r="L793" s="16"/>
      <c r="M793" s="16"/>
      <c r="N793" s="16"/>
      <c r="O793" s="16"/>
      <c r="P793" s="16"/>
      <c r="Q793" s="16"/>
      <c r="R793" s="16"/>
      <c r="S793" s="16"/>
      <c r="T793" s="16"/>
      <c r="U793" s="16"/>
      <c r="V793" s="16"/>
      <c r="W793" s="16"/>
      <c r="X793" s="16"/>
      <c r="Y793" s="16"/>
      <c r="Z793" s="16"/>
    </row>
    <row r="794" ht="12.75" spans="1:26">
      <c r="A794" s="23"/>
      <c r="B794" s="16"/>
      <c r="C794" s="23"/>
      <c r="D794" s="24"/>
      <c r="E794" s="16"/>
      <c r="F794" s="24"/>
      <c r="G794" s="24"/>
      <c r="H794" s="16"/>
      <c r="I794" s="16"/>
      <c r="J794" s="16"/>
      <c r="K794" s="16"/>
      <c r="L794" s="16"/>
      <c r="M794" s="16"/>
      <c r="N794" s="16"/>
      <c r="O794" s="16"/>
      <c r="P794" s="16"/>
      <c r="Q794" s="16"/>
      <c r="R794" s="16"/>
      <c r="S794" s="16"/>
      <c r="T794" s="16"/>
      <c r="U794" s="16"/>
      <c r="V794" s="16"/>
      <c r="W794" s="16"/>
      <c r="X794" s="16"/>
      <c r="Y794" s="16"/>
      <c r="Z794" s="16"/>
    </row>
    <row r="795" ht="12.75" spans="1:26">
      <c r="A795" s="23"/>
      <c r="B795" s="16"/>
      <c r="C795" s="23"/>
      <c r="D795" s="24"/>
      <c r="E795" s="16"/>
      <c r="F795" s="24"/>
      <c r="G795" s="24"/>
      <c r="H795" s="16"/>
      <c r="I795" s="16"/>
      <c r="J795" s="16"/>
      <c r="K795" s="16"/>
      <c r="L795" s="16"/>
      <c r="M795" s="16"/>
      <c r="N795" s="16"/>
      <c r="O795" s="16"/>
      <c r="P795" s="16"/>
      <c r="Q795" s="16"/>
      <c r="R795" s="16"/>
      <c r="S795" s="16"/>
      <c r="T795" s="16"/>
      <c r="U795" s="16"/>
      <c r="V795" s="16"/>
      <c r="W795" s="16"/>
      <c r="X795" s="16"/>
      <c r="Y795" s="16"/>
      <c r="Z795" s="16"/>
    </row>
    <row r="796" ht="12.75" spans="1:26">
      <c r="A796" s="23"/>
      <c r="B796" s="16"/>
      <c r="C796" s="23"/>
      <c r="D796" s="24"/>
      <c r="E796" s="16"/>
      <c r="F796" s="24"/>
      <c r="G796" s="24"/>
      <c r="H796" s="16"/>
      <c r="I796" s="16"/>
      <c r="J796" s="16"/>
      <c r="K796" s="16"/>
      <c r="L796" s="16"/>
      <c r="M796" s="16"/>
      <c r="N796" s="16"/>
      <c r="O796" s="16"/>
      <c r="P796" s="16"/>
      <c r="Q796" s="16"/>
      <c r="R796" s="16"/>
      <c r="S796" s="16"/>
      <c r="T796" s="16"/>
      <c r="U796" s="16"/>
      <c r="V796" s="16"/>
      <c r="W796" s="16"/>
      <c r="X796" s="16"/>
      <c r="Y796" s="16"/>
      <c r="Z796" s="16"/>
    </row>
    <row r="797" ht="12.75" spans="1:26">
      <c r="A797" s="23"/>
      <c r="B797" s="16"/>
      <c r="C797" s="23"/>
      <c r="D797" s="24"/>
      <c r="E797" s="16"/>
      <c r="F797" s="24"/>
      <c r="G797" s="24"/>
      <c r="H797" s="16"/>
      <c r="I797" s="16"/>
      <c r="J797" s="16"/>
      <c r="K797" s="16"/>
      <c r="L797" s="16"/>
      <c r="M797" s="16"/>
      <c r="N797" s="16"/>
      <c r="O797" s="16"/>
      <c r="P797" s="16"/>
      <c r="Q797" s="16"/>
      <c r="R797" s="16"/>
      <c r="S797" s="16"/>
      <c r="T797" s="16"/>
      <c r="U797" s="16"/>
      <c r="V797" s="16"/>
      <c r="W797" s="16"/>
      <c r="X797" s="16"/>
      <c r="Y797" s="16"/>
      <c r="Z797" s="16"/>
    </row>
    <row r="798" ht="12.75" spans="1:26">
      <c r="A798" s="23"/>
      <c r="B798" s="16"/>
      <c r="C798" s="23"/>
      <c r="D798" s="24"/>
      <c r="E798" s="16"/>
      <c r="F798" s="24"/>
      <c r="G798" s="24"/>
      <c r="H798" s="16"/>
      <c r="I798" s="16"/>
      <c r="J798" s="16"/>
      <c r="K798" s="16"/>
      <c r="L798" s="16"/>
      <c r="M798" s="16"/>
      <c r="N798" s="16"/>
      <c r="O798" s="16"/>
      <c r="P798" s="16"/>
      <c r="Q798" s="16"/>
      <c r="R798" s="16"/>
      <c r="S798" s="16"/>
      <c r="T798" s="16"/>
      <c r="U798" s="16"/>
      <c r="V798" s="16"/>
      <c r="W798" s="16"/>
      <c r="X798" s="16"/>
      <c r="Y798" s="16"/>
      <c r="Z798" s="16"/>
    </row>
    <row r="799" ht="12.75" spans="1:26">
      <c r="A799" s="23"/>
      <c r="B799" s="16"/>
      <c r="C799" s="23"/>
      <c r="D799" s="24"/>
      <c r="E799" s="16"/>
      <c r="F799" s="24"/>
      <c r="G799" s="24"/>
      <c r="H799" s="16"/>
      <c r="I799" s="16"/>
      <c r="J799" s="16"/>
      <c r="K799" s="16"/>
      <c r="L799" s="16"/>
      <c r="M799" s="16"/>
      <c r="N799" s="16"/>
      <c r="O799" s="16"/>
      <c r="P799" s="16"/>
      <c r="Q799" s="16"/>
      <c r="R799" s="16"/>
      <c r="S799" s="16"/>
      <c r="T799" s="16"/>
      <c r="U799" s="16"/>
      <c r="V799" s="16"/>
      <c r="W799" s="16"/>
      <c r="X799" s="16"/>
      <c r="Y799" s="16"/>
      <c r="Z799" s="16"/>
    </row>
    <row r="800" ht="12.75" spans="1:26">
      <c r="A800" s="23"/>
      <c r="B800" s="16"/>
      <c r="C800" s="23"/>
      <c r="D800" s="24"/>
      <c r="E800" s="16"/>
      <c r="F800" s="24"/>
      <c r="G800" s="24"/>
      <c r="H800" s="16"/>
      <c r="I800" s="16"/>
      <c r="J800" s="16"/>
      <c r="K800" s="16"/>
      <c r="L800" s="16"/>
      <c r="M800" s="16"/>
      <c r="N800" s="16"/>
      <c r="O800" s="16"/>
      <c r="P800" s="16"/>
      <c r="Q800" s="16"/>
      <c r="R800" s="16"/>
      <c r="S800" s="16"/>
      <c r="T800" s="16"/>
      <c r="U800" s="16"/>
      <c r="V800" s="16"/>
      <c r="W800" s="16"/>
      <c r="X800" s="16"/>
      <c r="Y800" s="16"/>
      <c r="Z800" s="16"/>
    </row>
    <row r="801" ht="12.75" spans="1:26">
      <c r="A801" s="23"/>
      <c r="B801" s="16"/>
      <c r="C801" s="23"/>
      <c r="D801" s="24"/>
      <c r="E801" s="16"/>
      <c r="F801" s="24"/>
      <c r="G801" s="24"/>
      <c r="H801" s="16"/>
      <c r="I801" s="16"/>
      <c r="J801" s="16"/>
      <c r="K801" s="16"/>
      <c r="L801" s="16"/>
      <c r="M801" s="16"/>
      <c r="N801" s="16"/>
      <c r="O801" s="16"/>
      <c r="P801" s="16"/>
      <c r="Q801" s="16"/>
      <c r="R801" s="16"/>
      <c r="S801" s="16"/>
      <c r="T801" s="16"/>
      <c r="U801" s="16"/>
      <c r="V801" s="16"/>
      <c r="W801" s="16"/>
      <c r="X801" s="16"/>
      <c r="Y801" s="16"/>
      <c r="Z801" s="16"/>
    </row>
    <row r="802" ht="12.75" spans="1:26">
      <c r="A802" s="23"/>
      <c r="B802" s="16"/>
      <c r="C802" s="23"/>
      <c r="D802" s="24"/>
      <c r="E802" s="16"/>
      <c r="F802" s="24"/>
      <c r="G802" s="24"/>
      <c r="H802" s="16"/>
      <c r="I802" s="16"/>
      <c r="J802" s="16"/>
      <c r="K802" s="16"/>
      <c r="L802" s="16"/>
      <c r="M802" s="16"/>
      <c r="N802" s="16"/>
      <c r="O802" s="16"/>
      <c r="P802" s="16"/>
      <c r="Q802" s="16"/>
      <c r="R802" s="16"/>
      <c r="S802" s="16"/>
      <c r="T802" s="16"/>
      <c r="U802" s="16"/>
      <c r="V802" s="16"/>
      <c r="W802" s="16"/>
      <c r="X802" s="16"/>
      <c r="Y802" s="16"/>
      <c r="Z802" s="16"/>
    </row>
    <row r="803" ht="12.75" spans="1:26">
      <c r="A803" s="23"/>
      <c r="B803" s="16"/>
      <c r="C803" s="23"/>
      <c r="D803" s="24"/>
      <c r="E803" s="16"/>
      <c r="F803" s="24"/>
      <c r="G803" s="24"/>
      <c r="H803" s="16"/>
      <c r="I803" s="16"/>
      <c r="J803" s="16"/>
      <c r="K803" s="16"/>
      <c r="L803" s="16"/>
      <c r="M803" s="16"/>
      <c r="N803" s="16"/>
      <c r="O803" s="16"/>
      <c r="P803" s="16"/>
      <c r="Q803" s="16"/>
      <c r="R803" s="16"/>
      <c r="S803" s="16"/>
      <c r="T803" s="16"/>
      <c r="U803" s="16"/>
      <c r="V803" s="16"/>
      <c r="W803" s="16"/>
      <c r="X803" s="16"/>
      <c r="Y803" s="16"/>
      <c r="Z803" s="16"/>
    </row>
    <row r="804" ht="12.75" spans="1:26">
      <c r="A804" s="23"/>
      <c r="B804" s="16"/>
      <c r="C804" s="23"/>
      <c r="D804" s="24"/>
      <c r="E804" s="16"/>
      <c r="F804" s="24"/>
      <c r="G804" s="24"/>
      <c r="H804" s="16"/>
      <c r="I804" s="16"/>
      <c r="J804" s="16"/>
      <c r="K804" s="16"/>
      <c r="L804" s="16"/>
      <c r="M804" s="16"/>
      <c r="N804" s="16"/>
      <c r="O804" s="16"/>
      <c r="P804" s="16"/>
      <c r="Q804" s="16"/>
      <c r="R804" s="16"/>
      <c r="S804" s="16"/>
      <c r="T804" s="16"/>
      <c r="U804" s="16"/>
      <c r="V804" s="16"/>
      <c r="W804" s="16"/>
      <c r="X804" s="16"/>
      <c r="Y804" s="16"/>
      <c r="Z804" s="16"/>
    </row>
    <row r="805" ht="12.75" spans="1:26">
      <c r="A805" s="23"/>
      <c r="B805" s="16"/>
      <c r="C805" s="23"/>
      <c r="D805" s="24"/>
      <c r="E805" s="16"/>
      <c r="F805" s="24"/>
      <c r="G805" s="24"/>
      <c r="H805" s="16"/>
      <c r="I805" s="16"/>
      <c r="J805" s="16"/>
      <c r="K805" s="16"/>
      <c r="L805" s="16"/>
      <c r="M805" s="16"/>
      <c r="N805" s="16"/>
      <c r="O805" s="16"/>
      <c r="P805" s="16"/>
      <c r="Q805" s="16"/>
      <c r="R805" s="16"/>
      <c r="S805" s="16"/>
      <c r="T805" s="16"/>
      <c r="U805" s="16"/>
      <c r="V805" s="16"/>
      <c r="W805" s="16"/>
      <c r="X805" s="16"/>
      <c r="Y805" s="16"/>
      <c r="Z805" s="16"/>
    </row>
    <row r="806" ht="12.75" spans="1:26">
      <c r="A806" s="23"/>
      <c r="B806" s="16"/>
      <c r="C806" s="23"/>
      <c r="D806" s="24"/>
      <c r="E806" s="16"/>
      <c r="F806" s="24"/>
      <c r="G806" s="24"/>
      <c r="H806" s="16"/>
      <c r="I806" s="16"/>
      <c r="J806" s="16"/>
      <c r="K806" s="16"/>
      <c r="L806" s="16"/>
      <c r="M806" s="16"/>
      <c r="N806" s="16"/>
      <c r="O806" s="16"/>
      <c r="P806" s="16"/>
      <c r="Q806" s="16"/>
      <c r="R806" s="16"/>
      <c r="S806" s="16"/>
      <c r="T806" s="16"/>
      <c r="U806" s="16"/>
      <c r="V806" s="16"/>
      <c r="W806" s="16"/>
      <c r="X806" s="16"/>
      <c r="Y806" s="16"/>
      <c r="Z806" s="16"/>
    </row>
    <row r="807" ht="12.75" spans="1:26">
      <c r="A807" s="23"/>
      <c r="B807" s="16"/>
      <c r="C807" s="23"/>
      <c r="D807" s="24"/>
      <c r="E807" s="16"/>
      <c r="F807" s="24"/>
      <c r="G807" s="24"/>
      <c r="H807" s="16"/>
      <c r="I807" s="16"/>
      <c r="J807" s="16"/>
      <c r="K807" s="16"/>
      <c r="L807" s="16"/>
      <c r="M807" s="16"/>
      <c r="N807" s="16"/>
      <c r="O807" s="16"/>
      <c r="P807" s="16"/>
      <c r="Q807" s="16"/>
      <c r="R807" s="16"/>
      <c r="S807" s="16"/>
      <c r="T807" s="16"/>
      <c r="U807" s="16"/>
      <c r="V807" s="16"/>
      <c r="W807" s="16"/>
      <c r="X807" s="16"/>
      <c r="Y807" s="16"/>
      <c r="Z807" s="16"/>
    </row>
    <row r="808" ht="12.75" spans="1:26">
      <c r="A808" s="23"/>
      <c r="B808" s="16"/>
      <c r="C808" s="23"/>
      <c r="D808" s="24"/>
      <c r="E808" s="16"/>
      <c r="F808" s="24"/>
      <c r="G808" s="24"/>
      <c r="H808" s="16"/>
      <c r="I808" s="16"/>
      <c r="J808" s="16"/>
      <c r="K808" s="16"/>
      <c r="L808" s="16"/>
      <c r="M808" s="16"/>
      <c r="N808" s="16"/>
      <c r="O808" s="16"/>
      <c r="P808" s="16"/>
      <c r="Q808" s="16"/>
      <c r="R808" s="16"/>
      <c r="S808" s="16"/>
      <c r="T808" s="16"/>
      <c r="U808" s="16"/>
      <c r="V808" s="16"/>
      <c r="W808" s="16"/>
      <c r="X808" s="16"/>
      <c r="Y808" s="16"/>
      <c r="Z808" s="16"/>
    </row>
    <row r="809" ht="12.75" spans="1:26">
      <c r="A809" s="23"/>
      <c r="B809" s="16"/>
      <c r="C809" s="23"/>
      <c r="D809" s="24"/>
      <c r="E809" s="16"/>
      <c r="F809" s="24"/>
      <c r="G809" s="24"/>
      <c r="H809" s="16"/>
      <c r="I809" s="16"/>
      <c r="J809" s="16"/>
      <c r="K809" s="16"/>
      <c r="L809" s="16"/>
      <c r="M809" s="16"/>
      <c r="N809" s="16"/>
      <c r="O809" s="16"/>
      <c r="P809" s="16"/>
      <c r="Q809" s="16"/>
      <c r="R809" s="16"/>
      <c r="S809" s="16"/>
      <c r="T809" s="16"/>
      <c r="U809" s="16"/>
      <c r="V809" s="16"/>
      <c r="W809" s="16"/>
      <c r="X809" s="16"/>
      <c r="Y809" s="16"/>
      <c r="Z809" s="16"/>
    </row>
    <row r="810" ht="12.75" spans="1:26">
      <c r="A810" s="23"/>
      <c r="B810" s="16"/>
      <c r="C810" s="23"/>
      <c r="D810" s="24"/>
      <c r="E810" s="16"/>
      <c r="F810" s="24"/>
      <c r="G810" s="24"/>
      <c r="H810" s="16"/>
      <c r="I810" s="16"/>
      <c r="J810" s="16"/>
      <c r="K810" s="16"/>
      <c r="L810" s="16"/>
      <c r="M810" s="16"/>
      <c r="N810" s="16"/>
      <c r="O810" s="16"/>
      <c r="P810" s="16"/>
      <c r="Q810" s="16"/>
      <c r="R810" s="16"/>
      <c r="S810" s="16"/>
      <c r="T810" s="16"/>
      <c r="U810" s="16"/>
      <c r="V810" s="16"/>
      <c r="W810" s="16"/>
      <c r="X810" s="16"/>
      <c r="Y810" s="16"/>
      <c r="Z810" s="16"/>
    </row>
    <row r="811" ht="12.75" spans="1:26">
      <c r="A811" s="23"/>
      <c r="B811" s="16"/>
      <c r="C811" s="23"/>
      <c r="D811" s="24"/>
      <c r="E811" s="16"/>
      <c r="F811" s="24"/>
      <c r="G811" s="24"/>
      <c r="H811" s="16"/>
      <c r="I811" s="16"/>
      <c r="J811" s="16"/>
      <c r="K811" s="16"/>
      <c r="L811" s="16"/>
      <c r="M811" s="16"/>
      <c r="N811" s="16"/>
      <c r="O811" s="16"/>
      <c r="P811" s="16"/>
      <c r="Q811" s="16"/>
      <c r="R811" s="16"/>
      <c r="S811" s="16"/>
      <c r="T811" s="16"/>
      <c r="U811" s="16"/>
      <c r="V811" s="16"/>
      <c r="W811" s="16"/>
      <c r="X811" s="16"/>
      <c r="Y811" s="16"/>
      <c r="Z811" s="16"/>
    </row>
    <row r="812" ht="12.75" spans="1:26">
      <c r="A812" s="23"/>
      <c r="B812" s="16"/>
      <c r="C812" s="23"/>
      <c r="D812" s="24"/>
      <c r="E812" s="16"/>
      <c r="F812" s="24"/>
      <c r="G812" s="24"/>
      <c r="H812" s="16"/>
      <c r="I812" s="16"/>
      <c r="J812" s="16"/>
      <c r="K812" s="16"/>
      <c r="L812" s="16"/>
      <c r="M812" s="16"/>
      <c r="N812" s="16"/>
      <c r="O812" s="16"/>
      <c r="P812" s="16"/>
      <c r="Q812" s="16"/>
      <c r="R812" s="16"/>
      <c r="S812" s="16"/>
      <c r="T812" s="16"/>
      <c r="U812" s="16"/>
      <c r="V812" s="16"/>
      <c r="W812" s="16"/>
      <c r="X812" s="16"/>
      <c r="Y812" s="16"/>
      <c r="Z812" s="16"/>
    </row>
    <row r="813" ht="12.75" spans="1:26">
      <c r="A813" s="23"/>
      <c r="B813" s="16"/>
      <c r="C813" s="23"/>
      <c r="D813" s="24"/>
      <c r="E813" s="16"/>
      <c r="F813" s="24"/>
      <c r="G813" s="24"/>
      <c r="H813" s="16"/>
      <c r="I813" s="16"/>
      <c r="J813" s="16"/>
      <c r="K813" s="16"/>
      <c r="L813" s="16"/>
      <c r="M813" s="16"/>
      <c r="N813" s="16"/>
      <c r="O813" s="16"/>
      <c r="P813" s="16"/>
      <c r="Q813" s="16"/>
      <c r="R813" s="16"/>
      <c r="S813" s="16"/>
      <c r="T813" s="16"/>
      <c r="U813" s="16"/>
      <c r="V813" s="16"/>
      <c r="W813" s="16"/>
      <c r="X813" s="16"/>
      <c r="Y813" s="16"/>
      <c r="Z813" s="16"/>
    </row>
    <row r="814" ht="12.75" spans="1:26">
      <c r="A814" s="23"/>
      <c r="B814" s="16"/>
      <c r="C814" s="23"/>
      <c r="D814" s="24"/>
      <c r="E814" s="16"/>
      <c r="F814" s="24"/>
      <c r="G814" s="24"/>
      <c r="H814" s="16"/>
      <c r="I814" s="16"/>
      <c r="J814" s="16"/>
      <c r="K814" s="16"/>
      <c r="L814" s="16"/>
      <c r="M814" s="16"/>
      <c r="N814" s="16"/>
      <c r="O814" s="16"/>
      <c r="P814" s="16"/>
      <c r="Q814" s="16"/>
      <c r="R814" s="16"/>
      <c r="S814" s="16"/>
      <c r="T814" s="16"/>
      <c r="U814" s="16"/>
      <c r="V814" s="16"/>
      <c r="W814" s="16"/>
      <c r="X814" s="16"/>
      <c r="Y814" s="16"/>
      <c r="Z814" s="16"/>
    </row>
    <row r="815" ht="12.75" spans="1:26">
      <c r="A815" s="23"/>
      <c r="B815" s="16"/>
      <c r="C815" s="23"/>
      <c r="D815" s="24"/>
      <c r="E815" s="16"/>
      <c r="F815" s="24"/>
      <c r="G815" s="24"/>
      <c r="H815" s="16"/>
      <c r="I815" s="16"/>
      <c r="J815" s="16"/>
      <c r="K815" s="16"/>
      <c r="L815" s="16"/>
      <c r="M815" s="16"/>
      <c r="N815" s="16"/>
      <c r="O815" s="16"/>
      <c r="P815" s="16"/>
      <c r="Q815" s="16"/>
      <c r="R815" s="16"/>
      <c r="S815" s="16"/>
      <c r="T815" s="16"/>
      <c r="U815" s="16"/>
      <c r="V815" s="16"/>
      <c r="W815" s="16"/>
      <c r="X815" s="16"/>
      <c r="Y815" s="16"/>
      <c r="Z815" s="16"/>
    </row>
    <row r="816" ht="12.75" spans="1:26">
      <c r="A816" s="23"/>
      <c r="B816" s="16"/>
      <c r="C816" s="23"/>
      <c r="D816" s="24"/>
      <c r="E816" s="16"/>
      <c r="F816" s="24"/>
      <c r="G816" s="24"/>
      <c r="H816" s="16"/>
      <c r="I816" s="16"/>
      <c r="J816" s="16"/>
      <c r="K816" s="16"/>
      <c r="L816" s="16"/>
      <c r="M816" s="16"/>
      <c r="N816" s="16"/>
      <c r="O816" s="16"/>
      <c r="P816" s="16"/>
      <c r="Q816" s="16"/>
      <c r="R816" s="16"/>
      <c r="S816" s="16"/>
      <c r="T816" s="16"/>
      <c r="U816" s="16"/>
      <c r="V816" s="16"/>
      <c r="W816" s="16"/>
      <c r="X816" s="16"/>
      <c r="Y816" s="16"/>
      <c r="Z816" s="16"/>
    </row>
    <row r="817" ht="12.75" spans="1:26">
      <c r="A817" s="23"/>
      <c r="B817" s="16"/>
      <c r="C817" s="23"/>
      <c r="D817" s="24"/>
      <c r="E817" s="16"/>
      <c r="F817" s="24"/>
      <c r="G817" s="24"/>
      <c r="H817" s="16"/>
      <c r="I817" s="16"/>
      <c r="J817" s="16"/>
      <c r="K817" s="16"/>
      <c r="L817" s="16"/>
      <c r="M817" s="16"/>
      <c r="N817" s="16"/>
      <c r="O817" s="16"/>
      <c r="P817" s="16"/>
      <c r="Q817" s="16"/>
      <c r="R817" s="16"/>
      <c r="S817" s="16"/>
      <c r="T817" s="16"/>
      <c r="U817" s="16"/>
      <c r="V817" s="16"/>
      <c r="W817" s="16"/>
      <c r="X817" s="16"/>
      <c r="Y817" s="16"/>
      <c r="Z817" s="16"/>
    </row>
    <row r="818" ht="12.75" spans="1:26">
      <c r="A818" s="23"/>
      <c r="B818" s="16"/>
      <c r="C818" s="23"/>
      <c r="D818" s="24"/>
      <c r="E818" s="16"/>
      <c r="F818" s="24"/>
      <c r="G818" s="24"/>
      <c r="H818" s="16"/>
      <c r="I818" s="16"/>
      <c r="J818" s="16"/>
      <c r="K818" s="16"/>
      <c r="L818" s="16"/>
      <c r="M818" s="16"/>
      <c r="N818" s="16"/>
      <c r="O818" s="16"/>
      <c r="P818" s="16"/>
      <c r="Q818" s="16"/>
      <c r="R818" s="16"/>
      <c r="S818" s="16"/>
      <c r="T818" s="16"/>
      <c r="U818" s="16"/>
      <c r="V818" s="16"/>
      <c r="W818" s="16"/>
      <c r="X818" s="16"/>
      <c r="Y818" s="16"/>
      <c r="Z818" s="16"/>
    </row>
    <row r="819" ht="12.75" spans="1:26">
      <c r="A819" s="23"/>
      <c r="B819" s="16"/>
      <c r="C819" s="23"/>
      <c r="D819" s="24"/>
      <c r="E819" s="16"/>
      <c r="F819" s="24"/>
      <c r="G819" s="24"/>
      <c r="H819" s="16"/>
      <c r="I819" s="16"/>
      <c r="J819" s="16"/>
      <c r="K819" s="16"/>
      <c r="L819" s="16"/>
      <c r="M819" s="16"/>
      <c r="N819" s="16"/>
      <c r="O819" s="16"/>
      <c r="P819" s="16"/>
      <c r="Q819" s="16"/>
      <c r="R819" s="16"/>
      <c r="S819" s="16"/>
      <c r="T819" s="16"/>
      <c r="U819" s="16"/>
      <c r="V819" s="16"/>
      <c r="W819" s="16"/>
      <c r="X819" s="16"/>
      <c r="Y819" s="16"/>
      <c r="Z819" s="16"/>
    </row>
    <row r="820" ht="12.75" spans="1:26">
      <c r="A820" s="23"/>
      <c r="B820" s="16"/>
      <c r="C820" s="23"/>
      <c r="D820" s="24"/>
      <c r="E820" s="16"/>
      <c r="F820" s="24"/>
      <c r="G820" s="24"/>
      <c r="H820" s="16"/>
      <c r="I820" s="16"/>
      <c r="J820" s="16"/>
      <c r="K820" s="16"/>
      <c r="L820" s="16"/>
      <c r="M820" s="16"/>
      <c r="N820" s="16"/>
      <c r="O820" s="16"/>
      <c r="P820" s="16"/>
      <c r="Q820" s="16"/>
      <c r="R820" s="16"/>
      <c r="S820" s="16"/>
      <c r="T820" s="16"/>
      <c r="U820" s="16"/>
      <c r="V820" s="16"/>
      <c r="W820" s="16"/>
      <c r="X820" s="16"/>
      <c r="Y820" s="16"/>
      <c r="Z820" s="16"/>
    </row>
    <row r="821" ht="12.75" spans="1:26">
      <c r="A821" s="23"/>
      <c r="B821" s="16"/>
      <c r="C821" s="23"/>
      <c r="D821" s="24"/>
      <c r="E821" s="16"/>
      <c r="F821" s="24"/>
      <c r="G821" s="24"/>
      <c r="H821" s="16"/>
      <c r="I821" s="16"/>
      <c r="J821" s="16"/>
      <c r="K821" s="16"/>
      <c r="L821" s="16"/>
      <c r="M821" s="16"/>
      <c r="N821" s="16"/>
      <c r="O821" s="16"/>
      <c r="P821" s="16"/>
      <c r="Q821" s="16"/>
      <c r="R821" s="16"/>
      <c r="S821" s="16"/>
      <c r="T821" s="16"/>
      <c r="U821" s="16"/>
      <c r="V821" s="16"/>
      <c r="W821" s="16"/>
      <c r="X821" s="16"/>
      <c r="Y821" s="16"/>
      <c r="Z821" s="16"/>
    </row>
    <row r="822" ht="12.75" spans="1:26">
      <c r="A822" s="23"/>
      <c r="B822" s="16"/>
      <c r="C822" s="23"/>
      <c r="D822" s="24"/>
      <c r="E822" s="16"/>
      <c r="F822" s="24"/>
      <c r="G822" s="24"/>
      <c r="H822" s="16"/>
      <c r="I822" s="16"/>
      <c r="J822" s="16"/>
      <c r="K822" s="16"/>
      <c r="L822" s="16"/>
      <c r="M822" s="16"/>
      <c r="N822" s="16"/>
      <c r="O822" s="16"/>
      <c r="P822" s="16"/>
      <c r="Q822" s="16"/>
      <c r="R822" s="16"/>
      <c r="S822" s="16"/>
      <c r="T822" s="16"/>
      <c r="U822" s="16"/>
      <c r="V822" s="16"/>
      <c r="W822" s="16"/>
      <c r="X822" s="16"/>
      <c r="Y822" s="16"/>
      <c r="Z822" s="16"/>
    </row>
    <row r="823" ht="12.75" spans="1:26">
      <c r="A823" s="23"/>
      <c r="B823" s="16"/>
      <c r="C823" s="23"/>
      <c r="D823" s="24"/>
      <c r="E823" s="16"/>
      <c r="F823" s="24"/>
      <c r="G823" s="24"/>
      <c r="H823" s="16"/>
      <c r="I823" s="16"/>
      <c r="J823" s="16"/>
      <c r="K823" s="16"/>
      <c r="L823" s="16"/>
      <c r="M823" s="16"/>
      <c r="N823" s="16"/>
      <c r="O823" s="16"/>
      <c r="P823" s="16"/>
      <c r="Q823" s="16"/>
      <c r="R823" s="16"/>
      <c r="S823" s="16"/>
      <c r="T823" s="16"/>
      <c r="U823" s="16"/>
      <c r="V823" s="16"/>
      <c r="W823" s="16"/>
      <c r="X823" s="16"/>
      <c r="Y823" s="16"/>
      <c r="Z823" s="16"/>
    </row>
    <row r="824" ht="12.75" spans="1:26">
      <c r="A824" s="23"/>
      <c r="B824" s="16"/>
      <c r="C824" s="23"/>
      <c r="D824" s="24"/>
      <c r="E824" s="16"/>
      <c r="F824" s="24"/>
      <c r="G824" s="24"/>
      <c r="H824" s="16"/>
      <c r="I824" s="16"/>
      <c r="J824" s="16"/>
      <c r="K824" s="16"/>
      <c r="L824" s="16"/>
      <c r="M824" s="16"/>
      <c r="N824" s="16"/>
      <c r="O824" s="16"/>
      <c r="P824" s="16"/>
      <c r="Q824" s="16"/>
      <c r="R824" s="16"/>
      <c r="S824" s="16"/>
      <c r="T824" s="16"/>
      <c r="U824" s="16"/>
      <c r="V824" s="16"/>
      <c r="W824" s="16"/>
      <c r="X824" s="16"/>
      <c r="Y824" s="16"/>
      <c r="Z824" s="16"/>
    </row>
    <row r="825" ht="12.75" spans="1:26">
      <c r="A825" s="23"/>
      <c r="B825" s="16"/>
      <c r="C825" s="23"/>
      <c r="D825" s="24"/>
      <c r="E825" s="16"/>
      <c r="F825" s="24"/>
      <c r="G825" s="24"/>
      <c r="H825" s="16"/>
      <c r="I825" s="16"/>
      <c r="J825" s="16"/>
      <c r="K825" s="16"/>
      <c r="L825" s="16"/>
      <c r="M825" s="16"/>
      <c r="N825" s="16"/>
      <c r="O825" s="16"/>
      <c r="P825" s="16"/>
      <c r="Q825" s="16"/>
      <c r="R825" s="16"/>
      <c r="S825" s="16"/>
      <c r="T825" s="16"/>
      <c r="U825" s="16"/>
      <c r="V825" s="16"/>
      <c r="W825" s="16"/>
      <c r="X825" s="16"/>
      <c r="Y825" s="16"/>
      <c r="Z825" s="16"/>
    </row>
    <row r="826" ht="12.75" spans="1:26">
      <c r="A826" s="23"/>
      <c r="B826" s="16"/>
      <c r="C826" s="23"/>
      <c r="D826" s="24"/>
      <c r="E826" s="16"/>
      <c r="F826" s="24"/>
      <c r="G826" s="24"/>
      <c r="H826" s="16"/>
      <c r="I826" s="16"/>
      <c r="J826" s="16"/>
      <c r="K826" s="16"/>
      <c r="L826" s="16"/>
      <c r="M826" s="16"/>
      <c r="N826" s="16"/>
      <c r="O826" s="16"/>
      <c r="P826" s="16"/>
      <c r="Q826" s="16"/>
      <c r="R826" s="16"/>
      <c r="S826" s="16"/>
      <c r="T826" s="16"/>
      <c r="U826" s="16"/>
      <c r="V826" s="16"/>
      <c r="W826" s="16"/>
      <c r="X826" s="16"/>
      <c r="Y826" s="16"/>
      <c r="Z826" s="16"/>
    </row>
    <row r="827" ht="12.75" spans="1:26">
      <c r="A827" s="23"/>
      <c r="B827" s="16"/>
      <c r="C827" s="23"/>
      <c r="D827" s="24"/>
      <c r="E827" s="16"/>
      <c r="F827" s="24"/>
      <c r="G827" s="24"/>
      <c r="H827" s="16"/>
      <c r="I827" s="16"/>
      <c r="J827" s="16"/>
      <c r="K827" s="16"/>
      <c r="L827" s="16"/>
      <c r="M827" s="16"/>
      <c r="N827" s="16"/>
      <c r="O827" s="16"/>
      <c r="P827" s="16"/>
      <c r="Q827" s="16"/>
      <c r="R827" s="16"/>
      <c r="S827" s="16"/>
      <c r="T827" s="16"/>
      <c r="U827" s="16"/>
      <c r="V827" s="16"/>
      <c r="W827" s="16"/>
      <c r="X827" s="16"/>
      <c r="Y827" s="16"/>
      <c r="Z827" s="16"/>
    </row>
    <row r="828" ht="12.75" spans="1:26">
      <c r="A828" s="23"/>
      <c r="B828" s="16"/>
      <c r="C828" s="23"/>
      <c r="D828" s="24"/>
      <c r="E828" s="16"/>
      <c r="F828" s="24"/>
      <c r="G828" s="24"/>
      <c r="H828" s="16"/>
      <c r="I828" s="16"/>
      <c r="J828" s="16"/>
      <c r="K828" s="16"/>
      <c r="L828" s="16"/>
      <c r="M828" s="16"/>
      <c r="N828" s="16"/>
      <c r="O828" s="16"/>
      <c r="P828" s="16"/>
      <c r="Q828" s="16"/>
      <c r="R828" s="16"/>
      <c r="S828" s="16"/>
      <c r="T828" s="16"/>
      <c r="U828" s="16"/>
      <c r="V828" s="16"/>
      <c r="W828" s="16"/>
      <c r="X828" s="16"/>
      <c r="Y828" s="16"/>
      <c r="Z828" s="16"/>
    </row>
    <row r="829" ht="12.75" spans="1:26">
      <c r="A829" s="23"/>
      <c r="B829" s="16"/>
      <c r="C829" s="23"/>
      <c r="D829" s="24"/>
      <c r="E829" s="16"/>
      <c r="F829" s="24"/>
      <c r="G829" s="24"/>
      <c r="H829" s="16"/>
      <c r="I829" s="16"/>
      <c r="J829" s="16"/>
      <c r="K829" s="16"/>
      <c r="L829" s="16"/>
      <c r="M829" s="16"/>
      <c r="N829" s="16"/>
      <c r="O829" s="16"/>
      <c r="P829" s="16"/>
      <c r="Q829" s="16"/>
      <c r="R829" s="16"/>
      <c r="S829" s="16"/>
      <c r="T829" s="16"/>
      <c r="U829" s="16"/>
      <c r="V829" s="16"/>
      <c r="W829" s="16"/>
      <c r="X829" s="16"/>
      <c r="Y829" s="16"/>
      <c r="Z829" s="16"/>
    </row>
    <row r="830" ht="12.75" spans="1:26">
      <c r="A830" s="23"/>
      <c r="B830" s="16"/>
      <c r="C830" s="23"/>
      <c r="D830" s="24"/>
      <c r="E830" s="16"/>
      <c r="F830" s="24"/>
      <c r="G830" s="24"/>
      <c r="H830" s="16"/>
      <c r="I830" s="16"/>
      <c r="J830" s="16"/>
      <c r="K830" s="16"/>
      <c r="L830" s="16"/>
      <c r="M830" s="16"/>
      <c r="N830" s="16"/>
      <c r="O830" s="16"/>
      <c r="P830" s="16"/>
      <c r="Q830" s="16"/>
      <c r="R830" s="16"/>
      <c r="S830" s="16"/>
      <c r="T830" s="16"/>
      <c r="U830" s="16"/>
      <c r="V830" s="16"/>
      <c r="W830" s="16"/>
      <c r="X830" s="16"/>
      <c r="Y830" s="16"/>
      <c r="Z830" s="16"/>
    </row>
    <row r="831" ht="12.75" spans="1:26">
      <c r="A831" s="23"/>
      <c r="B831" s="16"/>
      <c r="C831" s="23"/>
      <c r="D831" s="24"/>
      <c r="E831" s="16"/>
      <c r="F831" s="24"/>
      <c r="G831" s="24"/>
      <c r="H831" s="16"/>
      <c r="I831" s="16"/>
      <c r="J831" s="16"/>
      <c r="K831" s="16"/>
      <c r="L831" s="16"/>
      <c r="M831" s="16"/>
      <c r="N831" s="16"/>
      <c r="O831" s="16"/>
      <c r="P831" s="16"/>
      <c r="Q831" s="16"/>
      <c r="R831" s="16"/>
      <c r="S831" s="16"/>
      <c r="T831" s="16"/>
      <c r="U831" s="16"/>
      <c r="V831" s="16"/>
      <c r="W831" s="16"/>
      <c r="X831" s="16"/>
      <c r="Y831" s="16"/>
      <c r="Z831" s="16"/>
    </row>
    <row r="832" ht="12.75" spans="1:26">
      <c r="A832" s="23"/>
      <c r="B832" s="16"/>
      <c r="C832" s="23"/>
      <c r="D832" s="24"/>
      <c r="E832" s="16"/>
      <c r="F832" s="24"/>
      <c r="G832" s="24"/>
      <c r="H832" s="16"/>
      <c r="I832" s="16"/>
      <c r="J832" s="16"/>
      <c r="K832" s="16"/>
      <c r="L832" s="16"/>
      <c r="M832" s="16"/>
      <c r="N832" s="16"/>
      <c r="O832" s="16"/>
      <c r="P832" s="16"/>
      <c r="Q832" s="16"/>
      <c r="R832" s="16"/>
      <c r="S832" s="16"/>
      <c r="T832" s="16"/>
      <c r="U832" s="16"/>
      <c r="V832" s="16"/>
      <c r="W832" s="16"/>
      <c r="X832" s="16"/>
      <c r="Y832" s="16"/>
      <c r="Z832" s="16"/>
    </row>
    <row r="833" ht="12.75" spans="1:26">
      <c r="A833" s="23"/>
      <c r="B833" s="16"/>
      <c r="C833" s="23"/>
      <c r="D833" s="24"/>
      <c r="E833" s="16"/>
      <c r="F833" s="24"/>
      <c r="G833" s="24"/>
      <c r="H833" s="16"/>
      <c r="I833" s="16"/>
      <c r="J833" s="16"/>
      <c r="K833" s="16"/>
      <c r="L833" s="16"/>
      <c r="M833" s="16"/>
      <c r="N833" s="16"/>
      <c r="O833" s="16"/>
      <c r="P833" s="16"/>
      <c r="Q833" s="16"/>
      <c r="R833" s="16"/>
      <c r="S833" s="16"/>
      <c r="T833" s="16"/>
      <c r="U833" s="16"/>
      <c r="V833" s="16"/>
      <c r="W833" s="16"/>
      <c r="X833" s="16"/>
      <c r="Y833" s="16"/>
      <c r="Z833" s="16"/>
    </row>
    <row r="834" ht="12.75" spans="1:26">
      <c r="A834" s="23"/>
      <c r="B834" s="16"/>
      <c r="C834" s="23"/>
      <c r="D834" s="24"/>
      <c r="E834" s="16"/>
      <c r="F834" s="24"/>
      <c r="G834" s="24"/>
      <c r="H834" s="16"/>
      <c r="I834" s="16"/>
      <c r="J834" s="16"/>
      <c r="K834" s="16"/>
      <c r="L834" s="16"/>
      <c r="M834" s="16"/>
      <c r="N834" s="16"/>
      <c r="O834" s="16"/>
      <c r="P834" s="16"/>
      <c r="Q834" s="16"/>
      <c r="R834" s="16"/>
      <c r="S834" s="16"/>
      <c r="T834" s="16"/>
      <c r="U834" s="16"/>
      <c r="V834" s="16"/>
      <c r="W834" s="16"/>
      <c r="X834" s="16"/>
      <c r="Y834" s="16"/>
      <c r="Z834" s="16"/>
    </row>
    <row r="835" ht="12.75" spans="1:26">
      <c r="A835" s="23"/>
      <c r="B835" s="16"/>
      <c r="C835" s="23"/>
      <c r="D835" s="24"/>
      <c r="E835" s="16"/>
      <c r="F835" s="24"/>
      <c r="G835" s="24"/>
      <c r="H835" s="16"/>
      <c r="I835" s="16"/>
      <c r="J835" s="16"/>
      <c r="K835" s="16"/>
      <c r="L835" s="16"/>
      <c r="M835" s="16"/>
      <c r="N835" s="16"/>
      <c r="O835" s="16"/>
      <c r="P835" s="16"/>
      <c r="Q835" s="16"/>
      <c r="R835" s="16"/>
      <c r="S835" s="16"/>
      <c r="T835" s="16"/>
      <c r="U835" s="16"/>
      <c r="V835" s="16"/>
      <c r="W835" s="16"/>
      <c r="X835" s="16"/>
      <c r="Y835" s="16"/>
      <c r="Z835" s="16"/>
    </row>
    <row r="836" ht="12.75" spans="1:26">
      <c r="A836" s="23"/>
      <c r="B836" s="16"/>
      <c r="C836" s="23"/>
      <c r="D836" s="24"/>
      <c r="E836" s="16"/>
      <c r="F836" s="24"/>
      <c r="G836" s="24"/>
      <c r="H836" s="16"/>
      <c r="I836" s="16"/>
      <c r="J836" s="16"/>
      <c r="K836" s="16"/>
      <c r="L836" s="16"/>
      <c r="M836" s="16"/>
      <c r="N836" s="16"/>
      <c r="O836" s="16"/>
      <c r="P836" s="16"/>
      <c r="Q836" s="16"/>
      <c r="R836" s="16"/>
      <c r="S836" s="16"/>
      <c r="T836" s="16"/>
      <c r="U836" s="16"/>
      <c r="V836" s="16"/>
      <c r="W836" s="16"/>
      <c r="X836" s="16"/>
      <c r="Y836" s="16"/>
      <c r="Z836" s="16"/>
    </row>
    <row r="837" ht="12.75" spans="1:26">
      <c r="A837" s="23"/>
      <c r="B837" s="16"/>
      <c r="C837" s="23"/>
      <c r="D837" s="24"/>
      <c r="E837" s="16"/>
      <c r="F837" s="24"/>
      <c r="G837" s="24"/>
      <c r="H837" s="16"/>
      <c r="I837" s="16"/>
      <c r="J837" s="16"/>
      <c r="K837" s="16"/>
      <c r="L837" s="16"/>
      <c r="M837" s="16"/>
      <c r="N837" s="16"/>
      <c r="O837" s="16"/>
      <c r="P837" s="16"/>
      <c r="Q837" s="16"/>
      <c r="R837" s="16"/>
      <c r="S837" s="16"/>
      <c r="T837" s="16"/>
      <c r="U837" s="16"/>
      <c r="V837" s="16"/>
      <c r="W837" s="16"/>
      <c r="X837" s="16"/>
      <c r="Y837" s="16"/>
      <c r="Z837" s="16"/>
    </row>
    <row r="838" ht="12.75" spans="1:26">
      <c r="A838" s="23"/>
      <c r="B838" s="16"/>
      <c r="C838" s="23"/>
      <c r="D838" s="24"/>
      <c r="E838" s="16"/>
      <c r="F838" s="24"/>
      <c r="G838" s="24"/>
      <c r="H838" s="16"/>
      <c r="I838" s="16"/>
      <c r="J838" s="16"/>
      <c r="K838" s="16"/>
      <c r="L838" s="16"/>
      <c r="M838" s="16"/>
      <c r="N838" s="16"/>
      <c r="O838" s="16"/>
      <c r="P838" s="16"/>
      <c r="Q838" s="16"/>
      <c r="R838" s="16"/>
      <c r="S838" s="16"/>
      <c r="T838" s="16"/>
      <c r="U838" s="16"/>
      <c r="V838" s="16"/>
      <c r="W838" s="16"/>
      <c r="X838" s="16"/>
      <c r="Y838" s="16"/>
      <c r="Z838" s="16"/>
    </row>
    <row r="839" ht="12.75" spans="1:26">
      <c r="A839" s="23"/>
      <c r="B839" s="16"/>
      <c r="C839" s="23"/>
      <c r="D839" s="24"/>
      <c r="E839" s="16"/>
      <c r="F839" s="24"/>
      <c r="G839" s="24"/>
      <c r="H839" s="16"/>
      <c r="I839" s="16"/>
      <c r="J839" s="16"/>
      <c r="K839" s="16"/>
      <c r="L839" s="16"/>
      <c r="M839" s="16"/>
      <c r="N839" s="16"/>
      <c r="O839" s="16"/>
      <c r="P839" s="16"/>
      <c r="Q839" s="16"/>
      <c r="R839" s="16"/>
      <c r="S839" s="16"/>
      <c r="T839" s="16"/>
      <c r="U839" s="16"/>
      <c r="V839" s="16"/>
      <c r="W839" s="16"/>
      <c r="X839" s="16"/>
      <c r="Y839" s="16"/>
      <c r="Z839" s="16"/>
    </row>
    <row r="840" ht="12.75" spans="1:26">
      <c r="A840" s="23"/>
      <c r="B840" s="16"/>
      <c r="C840" s="23"/>
      <c r="D840" s="24"/>
      <c r="E840" s="16"/>
      <c r="F840" s="24"/>
      <c r="G840" s="24"/>
      <c r="H840" s="16"/>
      <c r="I840" s="16"/>
      <c r="J840" s="16"/>
      <c r="K840" s="16"/>
      <c r="L840" s="16"/>
      <c r="M840" s="16"/>
      <c r="N840" s="16"/>
      <c r="O840" s="16"/>
      <c r="P840" s="16"/>
      <c r="Q840" s="16"/>
      <c r="R840" s="16"/>
      <c r="S840" s="16"/>
      <c r="T840" s="16"/>
      <c r="U840" s="16"/>
      <c r="V840" s="16"/>
      <c r="W840" s="16"/>
      <c r="X840" s="16"/>
      <c r="Y840" s="16"/>
      <c r="Z840" s="16"/>
    </row>
    <row r="841" ht="12.75" spans="1:26">
      <c r="A841" s="23"/>
      <c r="B841" s="16"/>
      <c r="C841" s="23"/>
      <c r="D841" s="24"/>
      <c r="E841" s="16"/>
      <c r="F841" s="24"/>
      <c r="G841" s="24"/>
      <c r="H841" s="16"/>
      <c r="I841" s="16"/>
      <c r="J841" s="16"/>
      <c r="K841" s="16"/>
      <c r="L841" s="16"/>
      <c r="M841" s="16"/>
      <c r="N841" s="16"/>
      <c r="O841" s="16"/>
      <c r="P841" s="16"/>
      <c r="Q841" s="16"/>
      <c r="R841" s="16"/>
      <c r="S841" s="16"/>
      <c r="T841" s="16"/>
      <c r="U841" s="16"/>
      <c r="V841" s="16"/>
      <c r="W841" s="16"/>
      <c r="X841" s="16"/>
      <c r="Y841" s="16"/>
      <c r="Z841" s="16"/>
    </row>
    <row r="842" ht="12.75" spans="1:26">
      <c r="A842" s="23"/>
      <c r="B842" s="16"/>
      <c r="C842" s="23"/>
      <c r="D842" s="24"/>
      <c r="E842" s="16"/>
      <c r="F842" s="24"/>
      <c r="G842" s="24"/>
      <c r="H842" s="16"/>
      <c r="I842" s="16"/>
      <c r="J842" s="16"/>
      <c r="K842" s="16"/>
      <c r="L842" s="16"/>
      <c r="M842" s="16"/>
      <c r="N842" s="16"/>
      <c r="O842" s="16"/>
      <c r="P842" s="16"/>
      <c r="Q842" s="16"/>
      <c r="R842" s="16"/>
      <c r="S842" s="16"/>
      <c r="T842" s="16"/>
      <c r="U842" s="16"/>
      <c r="V842" s="16"/>
      <c r="W842" s="16"/>
      <c r="X842" s="16"/>
      <c r="Y842" s="16"/>
      <c r="Z842" s="16"/>
    </row>
    <row r="843" ht="12.75" spans="1:26">
      <c r="A843" s="23"/>
      <c r="B843" s="16"/>
      <c r="C843" s="23"/>
      <c r="D843" s="24"/>
      <c r="E843" s="16"/>
      <c r="F843" s="24"/>
      <c r="G843" s="24"/>
      <c r="H843" s="16"/>
      <c r="I843" s="16"/>
      <c r="J843" s="16"/>
      <c r="K843" s="16"/>
      <c r="L843" s="16"/>
      <c r="M843" s="16"/>
      <c r="N843" s="16"/>
      <c r="O843" s="16"/>
      <c r="P843" s="16"/>
      <c r="Q843" s="16"/>
      <c r="R843" s="16"/>
      <c r="S843" s="16"/>
      <c r="T843" s="16"/>
      <c r="U843" s="16"/>
      <c r="V843" s="16"/>
      <c r="W843" s="16"/>
      <c r="X843" s="16"/>
      <c r="Y843" s="16"/>
      <c r="Z843" s="16"/>
    </row>
    <row r="844" ht="12.75" spans="1:26">
      <c r="A844" s="23"/>
      <c r="B844" s="16"/>
      <c r="C844" s="23"/>
      <c r="D844" s="24"/>
      <c r="E844" s="16"/>
      <c r="F844" s="24"/>
      <c r="G844" s="24"/>
      <c r="H844" s="16"/>
      <c r="I844" s="16"/>
      <c r="J844" s="16"/>
      <c r="K844" s="16"/>
      <c r="L844" s="16"/>
      <c r="M844" s="16"/>
      <c r="N844" s="16"/>
      <c r="O844" s="16"/>
      <c r="P844" s="16"/>
      <c r="Q844" s="16"/>
      <c r="R844" s="16"/>
      <c r="S844" s="16"/>
      <c r="T844" s="16"/>
      <c r="U844" s="16"/>
      <c r="V844" s="16"/>
      <c r="W844" s="16"/>
      <c r="X844" s="16"/>
      <c r="Y844" s="16"/>
      <c r="Z844" s="16"/>
    </row>
    <row r="845" ht="12.75" spans="1:26">
      <c r="A845" s="23"/>
      <c r="B845" s="16"/>
      <c r="C845" s="23"/>
      <c r="D845" s="24"/>
      <c r="E845" s="16"/>
      <c r="F845" s="24"/>
      <c r="G845" s="24"/>
      <c r="H845" s="16"/>
      <c r="I845" s="16"/>
      <c r="J845" s="16"/>
      <c r="K845" s="16"/>
      <c r="L845" s="16"/>
      <c r="M845" s="16"/>
      <c r="N845" s="16"/>
      <c r="O845" s="16"/>
      <c r="P845" s="16"/>
      <c r="Q845" s="16"/>
      <c r="R845" s="16"/>
      <c r="S845" s="16"/>
      <c r="T845" s="16"/>
      <c r="U845" s="16"/>
      <c r="V845" s="16"/>
      <c r="W845" s="16"/>
      <c r="X845" s="16"/>
      <c r="Y845" s="16"/>
      <c r="Z845" s="16"/>
    </row>
    <row r="846" ht="12.75" spans="1:26">
      <c r="A846" s="23"/>
      <c r="B846" s="16"/>
      <c r="C846" s="23"/>
      <c r="D846" s="24"/>
      <c r="E846" s="16"/>
      <c r="F846" s="24"/>
      <c r="G846" s="24"/>
      <c r="H846" s="16"/>
      <c r="I846" s="16"/>
      <c r="J846" s="16"/>
      <c r="K846" s="16"/>
      <c r="L846" s="16"/>
      <c r="M846" s="16"/>
      <c r="N846" s="16"/>
      <c r="O846" s="16"/>
      <c r="P846" s="16"/>
      <c r="Q846" s="16"/>
      <c r="R846" s="16"/>
      <c r="S846" s="16"/>
      <c r="T846" s="16"/>
      <c r="U846" s="16"/>
      <c r="V846" s="16"/>
      <c r="W846" s="16"/>
      <c r="X846" s="16"/>
      <c r="Y846" s="16"/>
      <c r="Z846" s="16"/>
    </row>
    <row r="847" ht="12.75" spans="1:26">
      <c r="A847" s="23"/>
      <c r="B847" s="16"/>
      <c r="C847" s="23"/>
      <c r="D847" s="24"/>
      <c r="E847" s="16"/>
      <c r="F847" s="24"/>
      <c r="G847" s="24"/>
      <c r="H847" s="16"/>
      <c r="I847" s="16"/>
      <c r="J847" s="16"/>
      <c r="K847" s="16"/>
      <c r="L847" s="16"/>
      <c r="M847" s="16"/>
      <c r="N847" s="16"/>
      <c r="O847" s="16"/>
      <c r="P847" s="16"/>
      <c r="Q847" s="16"/>
      <c r="R847" s="16"/>
      <c r="S847" s="16"/>
      <c r="T847" s="16"/>
      <c r="U847" s="16"/>
      <c r="V847" s="16"/>
      <c r="W847" s="16"/>
      <c r="X847" s="16"/>
      <c r="Y847" s="16"/>
      <c r="Z847" s="16"/>
    </row>
    <row r="848" ht="12.75" spans="1:26">
      <c r="A848" s="23"/>
      <c r="B848" s="16"/>
      <c r="C848" s="23"/>
      <c r="D848" s="24"/>
      <c r="E848" s="16"/>
      <c r="F848" s="24"/>
      <c r="G848" s="24"/>
      <c r="H848" s="16"/>
      <c r="I848" s="16"/>
      <c r="J848" s="16"/>
      <c r="K848" s="16"/>
      <c r="L848" s="16"/>
      <c r="M848" s="16"/>
      <c r="N848" s="16"/>
      <c r="O848" s="16"/>
      <c r="P848" s="16"/>
      <c r="Q848" s="16"/>
      <c r="R848" s="16"/>
      <c r="S848" s="16"/>
      <c r="T848" s="16"/>
      <c r="U848" s="16"/>
      <c r="V848" s="16"/>
      <c r="W848" s="16"/>
      <c r="X848" s="16"/>
      <c r="Y848" s="16"/>
      <c r="Z848" s="16"/>
    </row>
    <row r="849" ht="12.75" spans="1:26">
      <c r="A849" s="23"/>
      <c r="B849" s="16"/>
      <c r="C849" s="23"/>
      <c r="D849" s="24"/>
      <c r="E849" s="16"/>
      <c r="F849" s="24"/>
      <c r="G849" s="24"/>
      <c r="H849" s="16"/>
      <c r="I849" s="16"/>
      <c r="J849" s="16"/>
      <c r="K849" s="16"/>
      <c r="L849" s="16"/>
      <c r="M849" s="16"/>
      <c r="N849" s="16"/>
      <c r="O849" s="16"/>
      <c r="P849" s="16"/>
      <c r="Q849" s="16"/>
      <c r="R849" s="16"/>
      <c r="S849" s="16"/>
      <c r="T849" s="16"/>
      <c r="U849" s="16"/>
      <c r="V849" s="16"/>
      <c r="W849" s="16"/>
      <c r="X849" s="16"/>
      <c r="Y849" s="16"/>
      <c r="Z849" s="16"/>
    </row>
    <row r="850" ht="12.75" spans="1:26">
      <c r="A850" s="23"/>
      <c r="B850" s="16"/>
      <c r="C850" s="23"/>
      <c r="D850" s="24"/>
      <c r="E850" s="16"/>
      <c r="F850" s="24"/>
      <c r="G850" s="24"/>
      <c r="H850" s="16"/>
      <c r="I850" s="16"/>
      <c r="J850" s="16"/>
      <c r="K850" s="16"/>
      <c r="L850" s="16"/>
      <c r="M850" s="16"/>
      <c r="N850" s="16"/>
      <c r="O850" s="16"/>
      <c r="P850" s="16"/>
      <c r="Q850" s="16"/>
      <c r="R850" s="16"/>
      <c r="S850" s="16"/>
      <c r="T850" s="16"/>
      <c r="U850" s="16"/>
      <c r="V850" s="16"/>
      <c r="W850" s="16"/>
      <c r="X850" s="16"/>
      <c r="Y850" s="16"/>
      <c r="Z850" s="16"/>
    </row>
    <row r="851" ht="12.75" spans="1:26">
      <c r="A851" s="23"/>
      <c r="B851" s="16"/>
      <c r="C851" s="23"/>
      <c r="D851" s="24"/>
      <c r="E851" s="16"/>
      <c r="F851" s="24"/>
      <c r="G851" s="24"/>
      <c r="H851" s="16"/>
      <c r="I851" s="16"/>
      <c r="J851" s="16"/>
      <c r="K851" s="16"/>
      <c r="L851" s="16"/>
      <c r="M851" s="16"/>
      <c r="N851" s="16"/>
      <c r="O851" s="16"/>
      <c r="P851" s="16"/>
      <c r="Q851" s="16"/>
      <c r="R851" s="16"/>
      <c r="S851" s="16"/>
      <c r="T851" s="16"/>
      <c r="U851" s="16"/>
      <c r="V851" s="16"/>
      <c r="W851" s="16"/>
      <c r="X851" s="16"/>
      <c r="Y851" s="16"/>
      <c r="Z851" s="16"/>
    </row>
    <row r="852" ht="12.75" spans="1:26">
      <c r="A852" s="23"/>
      <c r="B852" s="16"/>
      <c r="C852" s="23"/>
      <c r="D852" s="24"/>
      <c r="E852" s="16"/>
      <c r="F852" s="24"/>
      <c r="G852" s="24"/>
      <c r="H852" s="16"/>
      <c r="I852" s="16"/>
      <c r="J852" s="16"/>
      <c r="K852" s="16"/>
      <c r="L852" s="16"/>
      <c r="M852" s="16"/>
      <c r="N852" s="16"/>
      <c r="O852" s="16"/>
      <c r="P852" s="16"/>
      <c r="Q852" s="16"/>
      <c r="R852" s="16"/>
      <c r="S852" s="16"/>
      <c r="T852" s="16"/>
      <c r="U852" s="16"/>
      <c r="V852" s="16"/>
      <c r="W852" s="16"/>
      <c r="X852" s="16"/>
      <c r="Y852" s="16"/>
      <c r="Z852" s="16"/>
    </row>
    <row r="853" ht="12.75" spans="1:26">
      <c r="A853" s="23"/>
      <c r="B853" s="16"/>
      <c r="C853" s="23"/>
      <c r="D853" s="24"/>
      <c r="E853" s="16"/>
      <c r="F853" s="24"/>
      <c r="G853" s="24"/>
      <c r="H853" s="16"/>
      <c r="I853" s="16"/>
      <c r="J853" s="16"/>
      <c r="K853" s="16"/>
      <c r="L853" s="16"/>
      <c r="M853" s="16"/>
      <c r="N853" s="16"/>
      <c r="O853" s="16"/>
      <c r="P853" s="16"/>
      <c r="Q853" s="16"/>
      <c r="R853" s="16"/>
      <c r="S853" s="16"/>
      <c r="T853" s="16"/>
      <c r="U853" s="16"/>
      <c r="V853" s="16"/>
      <c r="W853" s="16"/>
      <c r="X853" s="16"/>
      <c r="Y853" s="16"/>
      <c r="Z853" s="16"/>
    </row>
    <row r="854" ht="12.75" spans="1:26">
      <c r="A854" s="23"/>
      <c r="B854" s="16"/>
      <c r="C854" s="23"/>
      <c r="D854" s="24"/>
      <c r="E854" s="16"/>
      <c r="F854" s="24"/>
      <c r="G854" s="24"/>
      <c r="H854" s="16"/>
      <c r="I854" s="16"/>
      <c r="J854" s="16"/>
      <c r="K854" s="16"/>
      <c r="L854" s="16"/>
      <c r="M854" s="16"/>
      <c r="N854" s="16"/>
      <c r="O854" s="16"/>
      <c r="P854" s="16"/>
      <c r="Q854" s="16"/>
      <c r="R854" s="16"/>
      <c r="S854" s="16"/>
      <c r="T854" s="16"/>
      <c r="U854" s="16"/>
      <c r="V854" s="16"/>
      <c r="W854" s="16"/>
      <c r="X854" s="16"/>
      <c r="Y854" s="16"/>
      <c r="Z854" s="16"/>
    </row>
    <row r="855" ht="12.75" spans="1:26">
      <c r="A855" s="23"/>
      <c r="B855" s="16"/>
      <c r="C855" s="23"/>
      <c r="D855" s="24"/>
      <c r="E855" s="16"/>
      <c r="F855" s="24"/>
      <c r="G855" s="24"/>
      <c r="H855" s="16"/>
      <c r="I855" s="16"/>
      <c r="J855" s="16"/>
      <c r="K855" s="16"/>
      <c r="L855" s="16"/>
      <c r="M855" s="16"/>
      <c r="N855" s="16"/>
      <c r="O855" s="16"/>
      <c r="P855" s="16"/>
      <c r="Q855" s="16"/>
      <c r="R855" s="16"/>
      <c r="S855" s="16"/>
      <c r="T855" s="16"/>
      <c r="U855" s="16"/>
      <c r="V855" s="16"/>
      <c r="W855" s="16"/>
      <c r="X855" s="16"/>
      <c r="Y855" s="16"/>
      <c r="Z855" s="16"/>
    </row>
    <row r="856" ht="12.75" spans="1:26">
      <c r="A856" s="23"/>
      <c r="B856" s="16"/>
      <c r="C856" s="23"/>
      <c r="D856" s="24"/>
      <c r="E856" s="16"/>
      <c r="F856" s="24"/>
      <c r="G856" s="24"/>
      <c r="H856" s="16"/>
      <c r="I856" s="16"/>
      <c r="J856" s="16"/>
      <c r="K856" s="16"/>
      <c r="L856" s="16"/>
      <c r="M856" s="16"/>
      <c r="N856" s="16"/>
      <c r="O856" s="16"/>
      <c r="P856" s="16"/>
      <c r="Q856" s="16"/>
      <c r="R856" s="16"/>
      <c r="S856" s="16"/>
      <c r="T856" s="16"/>
      <c r="U856" s="16"/>
      <c r="V856" s="16"/>
      <c r="W856" s="16"/>
      <c r="X856" s="16"/>
      <c r="Y856" s="16"/>
      <c r="Z856" s="16"/>
    </row>
    <row r="857" ht="12.75" spans="1:26">
      <c r="A857" s="23"/>
      <c r="B857" s="16"/>
      <c r="C857" s="23"/>
      <c r="D857" s="24"/>
      <c r="E857" s="16"/>
      <c r="F857" s="24"/>
      <c r="G857" s="24"/>
      <c r="H857" s="16"/>
      <c r="I857" s="16"/>
      <c r="J857" s="16"/>
      <c r="K857" s="16"/>
      <c r="L857" s="16"/>
      <c r="M857" s="16"/>
      <c r="N857" s="16"/>
      <c r="O857" s="16"/>
      <c r="P857" s="16"/>
      <c r="Q857" s="16"/>
      <c r="R857" s="16"/>
      <c r="S857" s="16"/>
      <c r="T857" s="16"/>
      <c r="U857" s="16"/>
      <c r="V857" s="16"/>
      <c r="W857" s="16"/>
      <c r="X857" s="16"/>
      <c r="Y857" s="16"/>
      <c r="Z857" s="16"/>
    </row>
    <row r="858" ht="12.75" spans="1:26">
      <c r="A858" s="23"/>
      <c r="B858" s="16"/>
      <c r="C858" s="23"/>
      <c r="D858" s="24"/>
      <c r="E858" s="16"/>
      <c r="F858" s="24"/>
      <c r="G858" s="24"/>
      <c r="H858" s="16"/>
      <c r="I858" s="16"/>
      <c r="J858" s="16"/>
      <c r="K858" s="16"/>
      <c r="L858" s="16"/>
      <c r="M858" s="16"/>
      <c r="N858" s="16"/>
      <c r="O858" s="16"/>
      <c r="P858" s="16"/>
      <c r="Q858" s="16"/>
      <c r="R858" s="16"/>
      <c r="S858" s="16"/>
      <c r="T858" s="16"/>
      <c r="U858" s="16"/>
      <c r="V858" s="16"/>
      <c r="W858" s="16"/>
      <c r="X858" s="16"/>
      <c r="Y858" s="16"/>
      <c r="Z858" s="16"/>
    </row>
    <row r="859" ht="12.75" spans="1:26">
      <c r="A859" s="23"/>
      <c r="B859" s="16"/>
      <c r="C859" s="23"/>
      <c r="D859" s="24"/>
      <c r="E859" s="16"/>
      <c r="F859" s="24"/>
      <c r="G859" s="24"/>
      <c r="H859" s="16"/>
      <c r="I859" s="16"/>
      <c r="J859" s="16"/>
      <c r="K859" s="16"/>
      <c r="L859" s="16"/>
      <c r="M859" s="16"/>
      <c r="N859" s="16"/>
      <c r="O859" s="16"/>
      <c r="P859" s="16"/>
      <c r="Q859" s="16"/>
      <c r="R859" s="16"/>
      <c r="S859" s="16"/>
      <c r="T859" s="16"/>
      <c r="U859" s="16"/>
      <c r="V859" s="16"/>
      <c r="W859" s="16"/>
      <c r="X859" s="16"/>
      <c r="Y859" s="16"/>
      <c r="Z859" s="16"/>
    </row>
    <row r="860" ht="12.75" spans="1:26">
      <c r="A860" s="23"/>
      <c r="B860" s="16"/>
      <c r="C860" s="23"/>
      <c r="D860" s="24"/>
      <c r="E860" s="16"/>
      <c r="F860" s="24"/>
      <c r="G860" s="24"/>
      <c r="H860" s="16"/>
      <c r="I860" s="16"/>
      <c r="J860" s="16"/>
      <c r="K860" s="16"/>
      <c r="L860" s="16"/>
      <c r="M860" s="16"/>
      <c r="N860" s="16"/>
      <c r="O860" s="16"/>
      <c r="P860" s="16"/>
      <c r="Q860" s="16"/>
      <c r="R860" s="16"/>
      <c r="S860" s="16"/>
      <c r="T860" s="16"/>
      <c r="U860" s="16"/>
      <c r="V860" s="16"/>
      <c r="W860" s="16"/>
      <c r="X860" s="16"/>
      <c r="Y860" s="16"/>
      <c r="Z860" s="16"/>
    </row>
    <row r="861" ht="12.75" spans="1:26">
      <c r="A861" s="23"/>
      <c r="B861" s="16"/>
      <c r="C861" s="23"/>
      <c r="D861" s="24"/>
      <c r="E861" s="16"/>
      <c r="F861" s="24"/>
      <c r="G861" s="24"/>
      <c r="H861" s="16"/>
      <c r="I861" s="16"/>
      <c r="J861" s="16"/>
      <c r="K861" s="16"/>
      <c r="L861" s="16"/>
      <c r="M861" s="16"/>
      <c r="N861" s="16"/>
      <c r="O861" s="16"/>
      <c r="P861" s="16"/>
      <c r="Q861" s="16"/>
      <c r="R861" s="16"/>
      <c r="S861" s="16"/>
      <c r="T861" s="16"/>
      <c r="U861" s="16"/>
      <c r="V861" s="16"/>
      <c r="W861" s="16"/>
      <c r="X861" s="16"/>
      <c r="Y861" s="16"/>
      <c r="Z861" s="16"/>
    </row>
    <row r="862" ht="12.75" spans="1:26">
      <c r="A862" s="23"/>
      <c r="B862" s="16"/>
      <c r="C862" s="23"/>
      <c r="D862" s="24"/>
      <c r="E862" s="16"/>
      <c r="F862" s="24"/>
      <c r="G862" s="24"/>
      <c r="H862" s="16"/>
      <c r="I862" s="16"/>
      <c r="J862" s="16"/>
      <c r="K862" s="16"/>
      <c r="L862" s="16"/>
      <c r="M862" s="16"/>
      <c r="N862" s="16"/>
      <c r="O862" s="16"/>
      <c r="P862" s="16"/>
      <c r="Q862" s="16"/>
      <c r="R862" s="16"/>
      <c r="S862" s="16"/>
      <c r="T862" s="16"/>
      <c r="U862" s="16"/>
      <c r="V862" s="16"/>
      <c r="W862" s="16"/>
      <c r="X862" s="16"/>
      <c r="Y862" s="16"/>
      <c r="Z862" s="16"/>
    </row>
    <row r="863" ht="12.75" spans="1:26">
      <c r="A863" s="23"/>
      <c r="B863" s="16"/>
      <c r="C863" s="23"/>
      <c r="D863" s="24"/>
      <c r="E863" s="16"/>
      <c r="F863" s="24"/>
      <c r="G863" s="24"/>
      <c r="H863" s="16"/>
      <c r="I863" s="16"/>
      <c r="J863" s="16"/>
      <c r="K863" s="16"/>
      <c r="L863" s="16"/>
      <c r="M863" s="16"/>
      <c r="N863" s="16"/>
      <c r="O863" s="16"/>
      <c r="P863" s="16"/>
      <c r="Q863" s="16"/>
      <c r="R863" s="16"/>
      <c r="S863" s="16"/>
      <c r="T863" s="16"/>
      <c r="U863" s="16"/>
      <c r="V863" s="16"/>
      <c r="W863" s="16"/>
      <c r="X863" s="16"/>
      <c r="Y863" s="16"/>
      <c r="Z863" s="16"/>
    </row>
    <row r="864" ht="12.75" spans="1:26">
      <c r="A864" s="23"/>
      <c r="B864" s="16"/>
      <c r="C864" s="23"/>
      <c r="D864" s="24"/>
      <c r="E864" s="16"/>
      <c r="F864" s="24"/>
      <c r="G864" s="24"/>
      <c r="H864" s="16"/>
      <c r="I864" s="16"/>
      <c r="J864" s="16"/>
      <c r="K864" s="16"/>
      <c r="L864" s="16"/>
      <c r="M864" s="16"/>
      <c r="N864" s="16"/>
      <c r="O864" s="16"/>
      <c r="P864" s="16"/>
      <c r="Q864" s="16"/>
      <c r="R864" s="16"/>
      <c r="S864" s="16"/>
      <c r="T864" s="16"/>
      <c r="U864" s="16"/>
      <c r="V864" s="16"/>
      <c r="W864" s="16"/>
      <c r="X864" s="16"/>
      <c r="Y864" s="16"/>
      <c r="Z864" s="16"/>
    </row>
    <row r="865" ht="12.75" spans="1:26">
      <c r="A865" s="23"/>
      <c r="B865" s="16"/>
      <c r="C865" s="23"/>
      <c r="D865" s="24"/>
      <c r="E865" s="16"/>
      <c r="F865" s="24"/>
      <c r="G865" s="24"/>
      <c r="H865" s="16"/>
      <c r="I865" s="16"/>
      <c r="J865" s="16"/>
      <c r="K865" s="16"/>
      <c r="L865" s="16"/>
      <c r="M865" s="16"/>
      <c r="N865" s="16"/>
      <c r="O865" s="16"/>
      <c r="P865" s="16"/>
      <c r="Q865" s="16"/>
      <c r="R865" s="16"/>
      <c r="S865" s="16"/>
      <c r="T865" s="16"/>
      <c r="U865" s="16"/>
      <c r="V865" s="16"/>
      <c r="W865" s="16"/>
      <c r="X865" s="16"/>
      <c r="Y865" s="16"/>
      <c r="Z865" s="16"/>
    </row>
    <row r="866" ht="12.75" spans="1:26">
      <c r="A866" s="23"/>
      <c r="B866" s="16"/>
      <c r="C866" s="23"/>
      <c r="D866" s="24"/>
      <c r="E866" s="16"/>
      <c r="F866" s="24"/>
      <c r="G866" s="24"/>
      <c r="H866" s="16"/>
      <c r="I866" s="16"/>
      <c r="J866" s="16"/>
      <c r="K866" s="16"/>
      <c r="L866" s="16"/>
      <c r="M866" s="16"/>
      <c r="N866" s="16"/>
      <c r="O866" s="16"/>
      <c r="P866" s="16"/>
      <c r="Q866" s="16"/>
      <c r="R866" s="16"/>
      <c r="S866" s="16"/>
      <c r="T866" s="16"/>
      <c r="U866" s="16"/>
      <c r="V866" s="16"/>
      <c r="W866" s="16"/>
      <c r="X866" s="16"/>
      <c r="Y866" s="16"/>
      <c r="Z866" s="16"/>
    </row>
    <row r="867" ht="12.75" spans="1:26">
      <c r="A867" s="23"/>
      <c r="B867" s="16"/>
      <c r="C867" s="23"/>
      <c r="D867" s="24"/>
      <c r="E867" s="16"/>
      <c r="F867" s="24"/>
      <c r="G867" s="24"/>
      <c r="H867" s="16"/>
      <c r="I867" s="16"/>
      <c r="J867" s="16"/>
      <c r="K867" s="16"/>
      <c r="L867" s="16"/>
      <c r="M867" s="16"/>
      <c r="N867" s="16"/>
      <c r="O867" s="16"/>
      <c r="P867" s="16"/>
      <c r="Q867" s="16"/>
      <c r="R867" s="16"/>
      <c r="S867" s="16"/>
      <c r="T867" s="16"/>
      <c r="U867" s="16"/>
      <c r="V867" s="16"/>
      <c r="W867" s="16"/>
      <c r="X867" s="16"/>
      <c r="Y867" s="16"/>
      <c r="Z867" s="16"/>
    </row>
    <row r="868" ht="12.75" spans="1:26">
      <c r="A868" s="23"/>
      <c r="B868" s="16"/>
      <c r="C868" s="23"/>
      <c r="D868" s="24"/>
      <c r="E868" s="16"/>
      <c r="F868" s="24"/>
      <c r="G868" s="24"/>
      <c r="H868" s="16"/>
      <c r="I868" s="16"/>
      <c r="J868" s="16"/>
      <c r="K868" s="16"/>
      <c r="L868" s="16"/>
      <c r="M868" s="16"/>
      <c r="N868" s="16"/>
      <c r="O868" s="16"/>
      <c r="P868" s="16"/>
      <c r="Q868" s="16"/>
      <c r="R868" s="16"/>
      <c r="S868" s="16"/>
      <c r="T868" s="16"/>
      <c r="U868" s="16"/>
      <c r="V868" s="16"/>
      <c r="W868" s="16"/>
      <c r="X868" s="16"/>
      <c r="Y868" s="16"/>
      <c r="Z868" s="16"/>
    </row>
    <row r="869" ht="12.75" spans="1:26">
      <c r="A869" s="23"/>
      <c r="B869" s="16"/>
      <c r="C869" s="23"/>
      <c r="D869" s="24"/>
      <c r="E869" s="16"/>
      <c r="F869" s="24"/>
      <c r="G869" s="24"/>
      <c r="H869" s="16"/>
      <c r="I869" s="16"/>
      <c r="J869" s="16"/>
      <c r="K869" s="16"/>
      <c r="L869" s="16"/>
      <c r="M869" s="16"/>
      <c r="N869" s="16"/>
      <c r="O869" s="16"/>
      <c r="P869" s="16"/>
      <c r="Q869" s="16"/>
      <c r="R869" s="16"/>
      <c r="S869" s="16"/>
      <c r="T869" s="16"/>
      <c r="U869" s="16"/>
      <c r="V869" s="16"/>
      <c r="W869" s="16"/>
      <c r="X869" s="16"/>
      <c r="Y869" s="16"/>
      <c r="Z869" s="16"/>
    </row>
    <row r="870" ht="12.75" spans="1:26">
      <c r="A870" s="23"/>
      <c r="B870" s="16"/>
      <c r="C870" s="23"/>
      <c r="D870" s="24"/>
      <c r="E870" s="16"/>
      <c r="F870" s="24"/>
      <c r="G870" s="24"/>
      <c r="H870" s="16"/>
      <c r="I870" s="16"/>
      <c r="J870" s="16"/>
      <c r="K870" s="16"/>
      <c r="L870" s="16"/>
      <c r="M870" s="16"/>
      <c r="N870" s="16"/>
      <c r="O870" s="16"/>
      <c r="P870" s="16"/>
      <c r="Q870" s="16"/>
      <c r="R870" s="16"/>
      <c r="S870" s="16"/>
      <c r="T870" s="16"/>
      <c r="U870" s="16"/>
      <c r="V870" s="16"/>
      <c r="W870" s="16"/>
      <c r="X870" s="16"/>
      <c r="Y870" s="16"/>
      <c r="Z870" s="16"/>
    </row>
    <row r="871" ht="12.75" spans="1:26">
      <c r="A871" s="23"/>
      <c r="B871" s="16"/>
      <c r="C871" s="23"/>
      <c r="D871" s="24"/>
      <c r="E871" s="16"/>
      <c r="F871" s="24"/>
      <c r="G871" s="24"/>
      <c r="H871" s="16"/>
      <c r="I871" s="16"/>
      <c r="J871" s="16"/>
      <c r="K871" s="16"/>
      <c r="L871" s="16"/>
      <c r="M871" s="16"/>
      <c r="N871" s="16"/>
      <c r="O871" s="16"/>
      <c r="P871" s="16"/>
      <c r="Q871" s="16"/>
      <c r="R871" s="16"/>
      <c r="S871" s="16"/>
      <c r="T871" s="16"/>
      <c r="U871" s="16"/>
      <c r="V871" s="16"/>
      <c r="W871" s="16"/>
      <c r="X871" s="16"/>
      <c r="Y871" s="16"/>
      <c r="Z871" s="16"/>
    </row>
    <row r="872" ht="12.75" spans="1:26">
      <c r="A872" s="23"/>
      <c r="B872" s="16"/>
      <c r="C872" s="23"/>
      <c r="D872" s="24"/>
      <c r="E872" s="16"/>
      <c r="F872" s="24"/>
      <c r="G872" s="24"/>
      <c r="H872" s="16"/>
      <c r="I872" s="16"/>
      <c r="J872" s="16"/>
      <c r="K872" s="16"/>
      <c r="L872" s="16"/>
      <c r="M872" s="16"/>
      <c r="N872" s="16"/>
      <c r="O872" s="16"/>
      <c r="P872" s="16"/>
      <c r="Q872" s="16"/>
      <c r="R872" s="16"/>
      <c r="S872" s="16"/>
      <c r="T872" s="16"/>
      <c r="U872" s="16"/>
      <c r="V872" s="16"/>
      <c r="W872" s="16"/>
      <c r="X872" s="16"/>
      <c r="Y872" s="16"/>
      <c r="Z872" s="16"/>
    </row>
    <row r="873" ht="12.75" spans="1:26">
      <c r="A873" s="23"/>
      <c r="B873" s="16"/>
      <c r="C873" s="23"/>
      <c r="D873" s="24"/>
      <c r="E873" s="16"/>
      <c r="F873" s="24"/>
      <c r="G873" s="24"/>
      <c r="H873" s="16"/>
      <c r="I873" s="16"/>
      <c r="J873" s="16"/>
      <c r="K873" s="16"/>
      <c r="L873" s="16"/>
      <c r="M873" s="16"/>
      <c r="N873" s="16"/>
      <c r="O873" s="16"/>
      <c r="P873" s="16"/>
      <c r="Q873" s="16"/>
      <c r="R873" s="16"/>
      <c r="S873" s="16"/>
      <c r="T873" s="16"/>
      <c r="U873" s="16"/>
      <c r="V873" s="16"/>
      <c r="W873" s="16"/>
      <c r="X873" s="16"/>
      <c r="Y873" s="16"/>
      <c r="Z873" s="16"/>
    </row>
    <row r="874" ht="12.75" spans="1:26">
      <c r="A874" s="23"/>
      <c r="B874" s="16"/>
      <c r="C874" s="23"/>
      <c r="D874" s="24"/>
      <c r="E874" s="16"/>
      <c r="F874" s="24"/>
      <c r="G874" s="24"/>
      <c r="H874" s="16"/>
      <c r="I874" s="16"/>
      <c r="J874" s="16"/>
      <c r="K874" s="16"/>
      <c r="L874" s="16"/>
      <c r="M874" s="16"/>
      <c r="N874" s="16"/>
      <c r="O874" s="16"/>
      <c r="P874" s="16"/>
      <c r="Q874" s="16"/>
      <c r="R874" s="16"/>
      <c r="S874" s="16"/>
      <c r="T874" s="16"/>
      <c r="U874" s="16"/>
      <c r="V874" s="16"/>
      <c r="W874" s="16"/>
      <c r="X874" s="16"/>
      <c r="Y874" s="16"/>
      <c r="Z874" s="16"/>
    </row>
    <row r="875" ht="12.75" spans="1:26">
      <c r="A875" s="23"/>
      <c r="B875" s="16"/>
      <c r="C875" s="23"/>
      <c r="D875" s="24"/>
      <c r="E875" s="16"/>
      <c r="F875" s="24"/>
      <c r="G875" s="24"/>
      <c r="H875" s="16"/>
      <c r="I875" s="16"/>
      <c r="J875" s="16"/>
      <c r="K875" s="16"/>
      <c r="L875" s="16"/>
      <c r="M875" s="16"/>
      <c r="N875" s="16"/>
      <c r="O875" s="16"/>
      <c r="P875" s="16"/>
      <c r="Q875" s="16"/>
      <c r="R875" s="16"/>
      <c r="S875" s="16"/>
      <c r="T875" s="16"/>
      <c r="U875" s="16"/>
      <c r="V875" s="16"/>
      <c r="W875" s="16"/>
      <c r="X875" s="16"/>
      <c r="Y875" s="16"/>
      <c r="Z875" s="16"/>
    </row>
    <row r="876" ht="12.75" spans="1:26">
      <c r="A876" s="23"/>
      <c r="B876" s="16"/>
      <c r="C876" s="23"/>
      <c r="D876" s="24"/>
      <c r="E876" s="16"/>
      <c r="F876" s="24"/>
      <c r="G876" s="24"/>
      <c r="H876" s="16"/>
      <c r="I876" s="16"/>
      <c r="J876" s="16"/>
      <c r="K876" s="16"/>
      <c r="L876" s="16"/>
      <c r="M876" s="16"/>
      <c r="N876" s="16"/>
      <c r="O876" s="16"/>
      <c r="P876" s="16"/>
      <c r="Q876" s="16"/>
      <c r="R876" s="16"/>
      <c r="S876" s="16"/>
      <c r="T876" s="16"/>
      <c r="U876" s="16"/>
      <c r="V876" s="16"/>
      <c r="W876" s="16"/>
      <c r="X876" s="16"/>
      <c r="Y876" s="16"/>
      <c r="Z876" s="16"/>
    </row>
    <row r="877" ht="12.75" spans="1:26">
      <c r="A877" s="23"/>
      <c r="B877" s="16"/>
      <c r="C877" s="23"/>
      <c r="D877" s="24"/>
      <c r="E877" s="16"/>
      <c r="F877" s="24"/>
      <c r="G877" s="24"/>
      <c r="H877" s="16"/>
      <c r="I877" s="16"/>
      <c r="J877" s="16"/>
      <c r="K877" s="16"/>
      <c r="L877" s="16"/>
      <c r="M877" s="16"/>
      <c r="N877" s="16"/>
      <c r="O877" s="16"/>
      <c r="P877" s="16"/>
      <c r="Q877" s="16"/>
      <c r="R877" s="16"/>
      <c r="S877" s="16"/>
      <c r="T877" s="16"/>
      <c r="U877" s="16"/>
      <c r="V877" s="16"/>
      <c r="W877" s="16"/>
      <c r="X877" s="16"/>
      <c r="Y877" s="16"/>
      <c r="Z877" s="16"/>
    </row>
    <row r="878" ht="12.75" spans="1:26">
      <c r="A878" s="23"/>
      <c r="B878" s="16"/>
      <c r="C878" s="23"/>
      <c r="D878" s="24"/>
      <c r="E878" s="16"/>
      <c r="F878" s="24"/>
      <c r="G878" s="24"/>
      <c r="H878" s="16"/>
      <c r="I878" s="16"/>
      <c r="J878" s="16"/>
      <c r="K878" s="16"/>
      <c r="L878" s="16"/>
      <c r="M878" s="16"/>
      <c r="N878" s="16"/>
      <c r="O878" s="16"/>
      <c r="P878" s="16"/>
      <c r="Q878" s="16"/>
      <c r="R878" s="16"/>
      <c r="S878" s="16"/>
      <c r="T878" s="16"/>
      <c r="U878" s="16"/>
      <c r="V878" s="16"/>
      <c r="W878" s="16"/>
      <c r="X878" s="16"/>
      <c r="Y878" s="16"/>
      <c r="Z878" s="16"/>
    </row>
    <row r="879" ht="12.75" spans="1:26">
      <c r="A879" s="23"/>
      <c r="B879" s="16"/>
      <c r="C879" s="23"/>
      <c r="D879" s="24"/>
      <c r="E879" s="16"/>
      <c r="F879" s="24"/>
      <c r="G879" s="24"/>
      <c r="H879" s="16"/>
      <c r="I879" s="16"/>
      <c r="J879" s="16"/>
      <c r="K879" s="16"/>
      <c r="L879" s="16"/>
      <c r="M879" s="16"/>
      <c r="N879" s="16"/>
      <c r="O879" s="16"/>
      <c r="P879" s="16"/>
      <c r="Q879" s="16"/>
      <c r="R879" s="16"/>
      <c r="S879" s="16"/>
      <c r="T879" s="16"/>
      <c r="U879" s="16"/>
      <c r="V879" s="16"/>
      <c r="W879" s="16"/>
      <c r="X879" s="16"/>
      <c r="Y879" s="16"/>
      <c r="Z879" s="16"/>
    </row>
    <row r="880" ht="12.75" spans="1:26">
      <c r="A880" s="23"/>
      <c r="B880" s="16"/>
      <c r="C880" s="23"/>
      <c r="D880" s="24"/>
      <c r="E880" s="16"/>
      <c r="F880" s="24"/>
      <c r="G880" s="24"/>
      <c r="H880" s="16"/>
      <c r="I880" s="16"/>
      <c r="J880" s="16"/>
      <c r="K880" s="16"/>
      <c r="L880" s="16"/>
      <c r="M880" s="16"/>
      <c r="N880" s="16"/>
      <c r="O880" s="16"/>
      <c r="P880" s="16"/>
      <c r="Q880" s="16"/>
      <c r="R880" s="16"/>
      <c r="S880" s="16"/>
      <c r="T880" s="16"/>
      <c r="U880" s="16"/>
      <c r="V880" s="16"/>
      <c r="W880" s="16"/>
      <c r="X880" s="16"/>
      <c r="Y880" s="16"/>
      <c r="Z880" s="16"/>
    </row>
    <row r="881" ht="12.75" spans="1:26">
      <c r="A881" s="23"/>
      <c r="B881" s="16"/>
      <c r="C881" s="23"/>
      <c r="D881" s="24"/>
      <c r="E881" s="16"/>
      <c r="F881" s="24"/>
      <c r="G881" s="24"/>
      <c r="H881" s="16"/>
      <c r="I881" s="16"/>
      <c r="J881" s="16"/>
      <c r="K881" s="16"/>
      <c r="L881" s="16"/>
      <c r="M881" s="16"/>
      <c r="N881" s="16"/>
      <c r="O881" s="16"/>
      <c r="P881" s="16"/>
      <c r="Q881" s="16"/>
      <c r="R881" s="16"/>
      <c r="S881" s="16"/>
      <c r="T881" s="16"/>
      <c r="U881" s="16"/>
      <c r="V881" s="16"/>
      <c r="W881" s="16"/>
      <c r="X881" s="16"/>
      <c r="Y881" s="16"/>
      <c r="Z881" s="16"/>
    </row>
    <row r="882" ht="12.75" spans="1:26">
      <c r="A882" s="23"/>
      <c r="B882" s="16"/>
      <c r="C882" s="23"/>
      <c r="D882" s="24"/>
      <c r="E882" s="16"/>
      <c r="F882" s="24"/>
      <c r="G882" s="24"/>
      <c r="H882" s="16"/>
      <c r="I882" s="16"/>
      <c r="J882" s="16"/>
      <c r="K882" s="16"/>
      <c r="L882" s="16"/>
      <c r="M882" s="16"/>
      <c r="N882" s="16"/>
      <c r="O882" s="16"/>
      <c r="P882" s="16"/>
      <c r="Q882" s="16"/>
      <c r="R882" s="16"/>
      <c r="S882" s="16"/>
      <c r="T882" s="16"/>
      <c r="U882" s="16"/>
      <c r="V882" s="16"/>
      <c r="W882" s="16"/>
      <c r="X882" s="16"/>
      <c r="Y882" s="16"/>
      <c r="Z882" s="16"/>
    </row>
    <row r="883" ht="12.75" spans="1:26">
      <c r="A883" s="23"/>
      <c r="B883" s="16"/>
      <c r="C883" s="23"/>
      <c r="D883" s="24"/>
      <c r="E883" s="16"/>
      <c r="F883" s="24"/>
      <c r="G883" s="24"/>
      <c r="H883" s="16"/>
      <c r="I883" s="16"/>
      <c r="J883" s="16"/>
      <c r="K883" s="16"/>
      <c r="L883" s="16"/>
      <c r="M883" s="16"/>
      <c r="N883" s="16"/>
      <c r="O883" s="16"/>
      <c r="P883" s="16"/>
      <c r="Q883" s="16"/>
      <c r="R883" s="16"/>
      <c r="S883" s="16"/>
      <c r="T883" s="16"/>
      <c r="U883" s="16"/>
      <c r="V883" s="16"/>
      <c r="W883" s="16"/>
      <c r="X883" s="16"/>
      <c r="Y883" s="16"/>
      <c r="Z883" s="16"/>
    </row>
    <row r="884" ht="12.75" spans="1:26">
      <c r="A884" s="23"/>
      <c r="B884" s="16"/>
      <c r="C884" s="23"/>
      <c r="D884" s="24"/>
      <c r="E884" s="16"/>
      <c r="F884" s="24"/>
      <c r="G884" s="24"/>
      <c r="H884" s="16"/>
      <c r="I884" s="16"/>
      <c r="J884" s="16"/>
      <c r="K884" s="16"/>
      <c r="L884" s="16"/>
      <c r="M884" s="16"/>
      <c r="N884" s="16"/>
      <c r="O884" s="16"/>
      <c r="P884" s="16"/>
      <c r="Q884" s="16"/>
      <c r="R884" s="16"/>
      <c r="S884" s="16"/>
      <c r="T884" s="16"/>
      <c r="U884" s="16"/>
      <c r="V884" s="16"/>
      <c r="W884" s="16"/>
      <c r="X884" s="16"/>
      <c r="Y884" s="16"/>
      <c r="Z884" s="16"/>
    </row>
    <row r="885" ht="12.75" spans="1:26">
      <c r="A885" s="23"/>
      <c r="B885" s="16"/>
      <c r="C885" s="23"/>
      <c r="D885" s="24"/>
      <c r="E885" s="16"/>
      <c r="F885" s="24"/>
      <c r="G885" s="24"/>
      <c r="H885" s="16"/>
      <c r="I885" s="16"/>
      <c r="J885" s="16"/>
      <c r="K885" s="16"/>
      <c r="L885" s="16"/>
      <c r="M885" s="16"/>
      <c r="N885" s="16"/>
      <c r="O885" s="16"/>
      <c r="P885" s="16"/>
      <c r="Q885" s="16"/>
      <c r="R885" s="16"/>
      <c r="S885" s="16"/>
      <c r="T885" s="16"/>
      <c r="U885" s="16"/>
      <c r="V885" s="16"/>
      <c r="W885" s="16"/>
      <c r="X885" s="16"/>
      <c r="Y885" s="16"/>
      <c r="Z885" s="16"/>
    </row>
    <row r="886" ht="12.75" spans="1:26">
      <c r="A886" s="23"/>
      <c r="B886" s="16"/>
      <c r="C886" s="23"/>
      <c r="D886" s="24"/>
      <c r="E886" s="16"/>
      <c r="F886" s="24"/>
      <c r="G886" s="24"/>
      <c r="H886" s="16"/>
      <c r="I886" s="16"/>
      <c r="J886" s="16"/>
      <c r="K886" s="16"/>
      <c r="L886" s="16"/>
      <c r="M886" s="16"/>
      <c r="N886" s="16"/>
      <c r="O886" s="16"/>
      <c r="P886" s="16"/>
      <c r="Q886" s="16"/>
      <c r="R886" s="16"/>
      <c r="S886" s="16"/>
      <c r="T886" s="16"/>
      <c r="U886" s="16"/>
      <c r="V886" s="16"/>
      <c r="W886" s="16"/>
      <c r="X886" s="16"/>
      <c r="Y886" s="16"/>
      <c r="Z886" s="16"/>
    </row>
    <row r="887" ht="12.75" spans="1:26">
      <c r="A887" s="23"/>
      <c r="B887" s="16"/>
      <c r="C887" s="23"/>
      <c r="D887" s="24"/>
      <c r="E887" s="16"/>
      <c r="F887" s="24"/>
      <c r="G887" s="24"/>
      <c r="H887" s="16"/>
      <c r="I887" s="16"/>
      <c r="J887" s="16"/>
      <c r="K887" s="16"/>
      <c r="L887" s="16"/>
      <c r="M887" s="16"/>
      <c r="N887" s="16"/>
      <c r="O887" s="16"/>
      <c r="P887" s="16"/>
      <c r="Q887" s="16"/>
      <c r="R887" s="16"/>
      <c r="S887" s="16"/>
      <c r="T887" s="16"/>
      <c r="U887" s="16"/>
      <c r="V887" s="16"/>
      <c r="W887" s="16"/>
      <c r="X887" s="16"/>
      <c r="Y887" s="16"/>
      <c r="Z887" s="16"/>
    </row>
    <row r="888" ht="12.75" spans="1:26">
      <c r="A888" s="23"/>
      <c r="B888" s="16"/>
      <c r="C888" s="23"/>
      <c r="D888" s="24"/>
      <c r="E888" s="16"/>
      <c r="F888" s="24"/>
      <c r="G888" s="24"/>
      <c r="H888" s="16"/>
      <c r="I888" s="16"/>
      <c r="J888" s="16"/>
      <c r="K888" s="16"/>
      <c r="L888" s="16"/>
      <c r="M888" s="16"/>
      <c r="N888" s="16"/>
      <c r="O888" s="16"/>
      <c r="P888" s="16"/>
      <c r="Q888" s="16"/>
      <c r="R888" s="16"/>
      <c r="S888" s="16"/>
      <c r="T888" s="16"/>
      <c r="U888" s="16"/>
      <c r="V888" s="16"/>
      <c r="W888" s="16"/>
      <c r="X888" s="16"/>
      <c r="Y888" s="16"/>
      <c r="Z888" s="16"/>
    </row>
    <row r="889" ht="12.75" spans="1:26">
      <c r="A889" s="23"/>
      <c r="B889" s="16"/>
      <c r="C889" s="23"/>
      <c r="D889" s="24"/>
      <c r="E889" s="16"/>
      <c r="F889" s="24"/>
      <c r="G889" s="24"/>
      <c r="H889" s="16"/>
      <c r="I889" s="16"/>
      <c r="J889" s="16"/>
      <c r="K889" s="16"/>
      <c r="L889" s="16"/>
      <c r="M889" s="16"/>
      <c r="N889" s="16"/>
      <c r="O889" s="16"/>
      <c r="P889" s="16"/>
      <c r="Q889" s="16"/>
      <c r="R889" s="16"/>
      <c r="S889" s="16"/>
      <c r="T889" s="16"/>
      <c r="U889" s="16"/>
      <c r="V889" s="16"/>
      <c r="W889" s="16"/>
      <c r="X889" s="16"/>
      <c r="Y889" s="16"/>
      <c r="Z889" s="16"/>
    </row>
    <row r="890" ht="12.75" spans="1:26">
      <c r="A890" s="23"/>
      <c r="B890" s="16"/>
      <c r="C890" s="23"/>
      <c r="D890" s="24"/>
      <c r="E890" s="16"/>
      <c r="F890" s="24"/>
      <c r="G890" s="24"/>
      <c r="H890" s="16"/>
      <c r="I890" s="16"/>
      <c r="J890" s="16"/>
      <c r="K890" s="16"/>
      <c r="L890" s="16"/>
      <c r="M890" s="16"/>
      <c r="N890" s="16"/>
      <c r="O890" s="16"/>
      <c r="P890" s="16"/>
      <c r="Q890" s="16"/>
      <c r="R890" s="16"/>
      <c r="S890" s="16"/>
      <c r="T890" s="16"/>
      <c r="U890" s="16"/>
      <c r="V890" s="16"/>
      <c r="W890" s="16"/>
      <c r="X890" s="16"/>
      <c r="Y890" s="16"/>
      <c r="Z890" s="16"/>
    </row>
    <row r="891" ht="12.75" spans="1:26">
      <c r="A891" s="23"/>
      <c r="B891" s="16"/>
      <c r="C891" s="23"/>
      <c r="D891" s="24"/>
      <c r="E891" s="16"/>
      <c r="F891" s="24"/>
      <c r="G891" s="24"/>
      <c r="H891" s="16"/>
      <c r="I891" s="16"/>
      <c r="J891" s="16"/>
      <c r="K891" s="16"/>
      <c r="L891" s="16"/>
      <c r="M891" s="16"/>
      <c r="N891" s="16"/>
      <c r="O891" s="16"/>
      <c r="P891" s="16"/>
      <c r="Q891" s="16"/>
      <c r="R891" s="16"/>
      <c r="S891" s="16"/>
      <c r="T891" s="16"/>
      <c r="U891" s="16"/>
      <c r="V891" s="16"/>
      <c r="W891" s="16"/>
      <c r="X891" s="16"/>
      <c r="Y891" s="16"/>
      <c r="Z891" s="16"/>
    </row>
    <row r="892" ht="12.75" spans="1:26">
      <c r="A892" s="23"/>
      <c r="B892" s="16"/>
      <c r="C892" s="23"/>
      <c r="D892" s="24"/>
      <c r="E892" s="16"/>
      <c r="F892" s="24"/>
      <c r="G892" s="24"/>
      <c r="H892" s="16"/>
      <c r="I892" s="16"/>
      <c r="J892" s="16"/>
      <c r="K892" s="16"/>
      <c r="L892" s="16"/>
      <c r="M892" s="16"/>
      <c r="N892" s="16"/>
      <c r="O892" s="16"/>
      <c r="P892" s="16"/>
      <c r="Q892" s="16"/>
      <c r="R892" s="16"/>
      <c r="S892" s="16"/>
      <c r="T892" s="16"/>
      <c r="U892" s="16"/>
      <c r="V892" s="16"/>
      <c r="W892" s="16"/>
      <c r="X892" s="16"/>
      <c r="Y892" s="16"/>
      <c r="Z892" s="16"/>
    </row>
    <row r="893" ht="12.75" spans="1:26">
      <c r="A893" s="23"/>
      <c r="B893" s="16"/>
      <c r="C893" s="23"/>
      <c r="D893" s="24"/>
      <c r="E893" s="16"/>
      <c r="F893" s="24"/>
      <c r="G893" s="24"/>
      <c r="H893" s="16"/>
      <c r="I893" s="16"/>
      <c r="J893" s="16"/>
      <c r="K893" s="16"/>
      <c r="L893" s="16"/>
      <c r="M893" s="16"/>
      <c r="N893" s="16"/>
      <c r="O893" s="16"/>
      <c r="P893" s="16"/>
      <c r="Q893" s="16"/>
      <c r="R893" s="16"/>
      <c r="S893" s="16"/>
      <c r="T893" s="16"/>
      <c r="U893" s="16"/>
      <c r="V893" s="16"/>
      <c r="W893" s="16"/>
      <c r="X893" s="16"/>
      <c r="Y893" s="16"/>
      <c r="Z893" s="16"/>
    </row>
    <row r="894" ht="12.75" spans="1:26">
      <c r="A894" s="23"/>
      <c r="B894" s="16"/>
      <c r="C894" s="23"/>
      <c r="D894" s="24"/>
      <c r="E894" s="16"/>
      <c r="F894" s="24"/>
      <c r="G894" s="24"/>
      <c r="H894" s="16"/>
      <c r="I894" s="16"/>
      <c r="J894" s="16"/>
      <c r="K894" s="16"/>
      <c r="L894" s="16"/>
      <c r="M894" s="16"/>
      <c r="N894" s="16"/>
      <c r="O894" s="16"/>
      <c r="P894" s="16"/>
      <c r="Q894" s="16"/>
      <c r="R894" s="16"/>
      <c r="S894" s="16"/>
      <c r="T894" s="16"/>
      <c r="U894" s="16"/>
      <c r="V894" s="16"/>
      <c r="W894" s="16"/>
      <c r="X894" s="16"/>
      <c r="Y894" s="16"/>
      <c r="Z894" s="16"/>
    </row>
    <row r="895" ht="12.75" spans="1:26">
      <c r="A895" s="23"/>
      <c r="B895" s="16"/>
      <c r="C895" s="23"/>
      <c r="D895" s="24"/>
      <c r="E895" s="16"/>
      <c r="F895" s="24"/>
      <c r="G895" s="24"/>
      <c r="H895" s="16"/>
      <c r="I895" s="16"/>
      <c r="J895" s="16"/>
      <c r="K895" s="16"/>
      <c r="L895" s="16"/>
      <c r="M895" s="16"/>
      <c r="N895" s="16"/>
      <c r="O895" s="16"/>
      <c r="P895" s="16"/>
      <c r="Q895" s="16"/>
      <c r="R895" s="16"/>
      <c r="S895" s="16"/>
      <c r="T895" s="16"/>
      <c r="U895" s="16"/>
      <c r="V895" s="16"/>
      <c r="W895" s="16"/>
      <c r="X895" s="16"/>
      <c r="Y895" s="16"/>
      <c r="Z895" s="16"/>
    </row>
    <row r="896" ht="12.75" spans="1:26">
      <c r="A896" s="23"/>
      <c r="B896" s="16"/>
      <c r="C896" s="23"/>
      <c r="D896" s="24"/>
      <c r="E896" s="16"/>
      <c r="F896" s="24"/>
      <c r="G896" s="24"/>
      <c r="H896" s="16"/>
      <c r="I896" s="16"/>
      <c r="J896" s="16"/>
      <c r="K896" s="16"/>
      <c r="L896" s="16"/>
      <c r="M896" s="16"/>
      <c r="N896" s="16"/>
      <c r="O896" s="16"/>
      <c r="P896" s="16"/>
      <c r="Q896" s="16"/>
      <c r="R896" s="16"/>
      <c r="S896" s="16"/>
      <c r="T896" s="16"/>
      <c r="U896" s="16"/>
      <c r="V896" s="16"/>
      <c r="W896" s="16"/>
      <c r="X896" s="16"/>
      <c r="Y896" s="16"/>
      <c r="Z896" s="16"/>
    </row>
    <row r="897" ht="12.75" spans="1:26">
      <c r="A897" s="23"/>
      <c r="B897" s="16"/>
      <c r="C897" s="23"/>
      <c r="D897" s="24"/>
      <c r="E897" s="16"/>
      <c r="F897" s="24"/>
      <c r="G897" s="24"/>
      <c r="H897" s="16"/>
      <c r="I897" s="16"/>
      <c r="J897" s="16"/>
      <c r="K897" s="16"/>
      <c r="L897" s="16"/>
      <c r="M897" s="16"/>
      <c r="N897" s="16"/>
      <c r="O897" s="16"/>
      <c r="P897" s="16"/>
      <c r="Q897" s="16"/>
      <c r="R897" s="16"/>
      <c r="S897" s="16"/>
      <c r="T897" s="16"/>
      <c r="U897" s="16"/>
      <c r="V897" s="16"/>
      <c r="W897" s="16"/>
      <c r="X897" s="16"/>
      <c r="Y897" s="16"/>
      <c r="Z897" s="16"/>
    </row>
    <row r="898" ht="12.75" spans="1:26">
      <c r="A898" s="23"/>
      <c r="B898" s="16"/>
      <c r="C898" s="23"/>
      <c r="D898" s="24"/>
      <c r="E898" s="16"/>
      <c r="F898" s="24"/>
      <c r="G898" s="24"/>
      <c r="H898" s="16"/>
      <c r="I898" s="16"/>
      <c r="J898" s="16"/>
      <c r="K898" s="16"/>
      <c r="L898" s="16"/>
      <c r="M898" s="16"/>
      <c r="N898" s="16"/>
      <c r="O898" s="16"/>
      <c r="P898" s="16"/>
      <c r="Q898" s="16"/>
      <c r="R898" s="16"/>
      <c r="S898" s="16"/>
      <c r="T898" s="16"/>
      <c r="U898" s="16"/>
      <c r="V898" s="16"/>
      <c r="W898" s="16"/>
      <c r="X898" s="16"/>
      <c r="Y898" s="16"/>
      <c r="Z898" s="16"/>
    </row>
    <row r="899" ht="12.75" spans="1:26">
      <c r="A899" s="23"/>
      <c r="B899" s="16"/>
      <c r="C899" s="23"/>
      <c r="D899" s="24"/>
      <c r="E899" s="16"/>
      <c r="F899" s="24"/>
      <c r="G899" s="24"/>
      <c r="H899" s="16"/>
      <c r="I899" s="16"/>
      <c r="J899" s="16"/>
      <c r="K899" s="16"/>
      <c r="L899" s="16"/>
      <c r="M899" s="16"/>
      <c r="N899" s="16"/>
      <c r="O899" s="16"/>
      <c r="P899" s="16"/>
      <c r="Q899" s="16"/>
      <c r="R899" s="16"/>
      <c r="S899" s="16"/>
      <c r="T899" s="16"/>
      <c r="U899" s="16"/>
      <c r="V899" s="16"/>
      <c r="W899" s="16"/>
      <c r="X899" s="16"/>
      <c r="Y899" s="16"/>
      <c r="Z899" s="16"/>
    </row>
    <row r="900" ht="12.75" spans="1:26">
      <c r="A900" s="23"/>
      <c r="B900" s="16"/>
      <c r="C900" s="23"/>
      <c r="D900" s="24"/>
      <c r="E900" s="16"/>
      <c r="F900" s="24"/>
      <c r="G900" s="24"/>
      <c r="H900" s="16"/>
      <c r="I900" s="16"/>
      <c r="J900" s="16"/>
      <c r="K900" s="16"/>
      <c r="L900" s="16"/>
      <c r="M900" s="16"/>
      <c r="N900" s="16"/>
      <c r="O900" s="16"/>
      <c r="P900" s="16"/>
      <c r="Q900" s="16"/>
      <c r="R900" s="16"/>
      <c r="S900" s="16"/>
      <c r="T900" s="16"/>
      <c r="U900" s="16"/>
      <c r="V900" s="16"/>
      <c r="W900" s="16"/>
      <c r="X900" s="16"/>
      <c r="Y900" s="16"/>
      <c r="Z900" s="16"/>
    </row>
    <row r="901" ht="12.75" spans="1:26">
      <c r="A901" s="23"/>
      <c r="B901" s="16"/>
      <c r="C901" s="23"/>
      <c r="D901" s="24"/>
      <c r="E901" s="16"/>
      <c r="F901" s="24"/>
      <c r="G901" s="24"/>
      <c r="H901" s="16"/>
      <c r="I901" s="16"/>
      <c r="J901" s="16"/>
      <c r="K901" s="16"/>
      <c r="L901" s="16"/>
      <c r="M901" s="16"/>
      <c r="N901" s="16"/>
      <c r="O901" s="16"/>
      <c r="P901" s="16"/>
      <c r="Q901" s="16"/>
      <c r="R901" s="16"/>
      <c r="S901" s="16"/>
      <c r="T901" s="16"/>
      <c r="U901" s="16"/>
      <c r="V901" s="16"/>
      <c r="W901" s="16"/>
      <c r="X901" s="16"/>
      <c r="Y901" s="16"/>
      <c r="Z901" s="16"/>
    </row>
    <row r="902" ht="12.75" spans="1:26">
      <c r="A902" s="23"/>
      <c r="B902" s="16"/>
      <c r="C902" s="23"/>
      <c r="D902" s="24"/>
      <c r="E902" s="16"/>
      <c r="F902" s="24"/>
      <c r="G902" s="24"/>
      <c r="H902" s="16"/>
      <c r="I902" s="16"/>
      <c r="J902" s="16"/>
      <c r="K902" s="16"/>
      <c r="L902" s="16"/>
      <c r="M902" s="16"/>
      <c r="N902" s="16"/>
      <c r="O902" s="16"/>
      <c r="P902" s="16"/>
      <c r="Q902" s="16"/>
      <c r="R902" s="16"/>
      <c r="S902" s="16"/>
      <c r="T902" s="16"/>
      <c r="U902" s="16"/>
      <c r="V902" s="16"/>
      <c r="W902" s="16"/>
      <c r="X902" s="16"/>
      <c r="Y902" s="16"/>
      <c r="Z902" s="16"/>
    </row>
    <row r="903" ht="12.75" spans="1:26">
      <c r="A903" s="23"/>
      <c r="B903" s="16"/>
      <c r="C903" s="23"/>
      <c r="D903" s="24"/>
      <c r="E903" s="16"/>
      <c r="F903" s="24"/>
      <c r="G903" s="24"/>
      <c r="H903" s="16"/>
      <c r="I903" s="16"/>
      <c r="J903" s="16"/>
      <c r="K903" s="16"/>
      <c r="L903" s="16"/>
      <c r="M903" s="16"/>
      <c r="N903" s="16"/>
      <c r="O903" s="16"/>
      <c r="P903" s="16"/>
      <c r="Q903" s="16"/>
      <c r="R903" s="16"/>
      <c r="S903" s="16"/>
      <c r="T903" s="16"/>
      <c r="U903" s="16"/>
      <c r="V903" s="16"/>
      <c r="W903" s="16"/>
      <c r="X903" s="16"/>
      <c r="Y903" s="16"/>
      <c r="Z903" s="16"/>
    </row>
    <row r="904" ht="12.75" spans="1:26">
      <c r="A904" s="23"/>
      <c r="B904" s="16"/>
      <c r="C904" s="23"/>
      <c r="D904" s="24"/>
      <c r="E904" s="16"/>
      <c r="F904" s="24"/>
      <c r="G904" s="24"/>
      <c r="H904" s="16"/>
      <c r="I904" s="16"/>
      <c r="J904" s="16"/>
      <c r="K904" s="16"/>
      <c r="L904" s="16"/>
      <c r="M904" s="16"/>
      <c r="N904" s="16"/>
      <c r="O904" s="16"/>
      <c r="P904" s="16"/>
      <c r="Q904" s="16"/>
      <c r="R904" s="16"/>
      <c r="S904" s="16"/>
      <c r="T904" s="16"/>
      <c r="U904" s="16"/>
      <c r="V904" s="16"/>
      <c r="W904" s="16"/>
      <c r="X904" s="16"/>
      <c r="Y904" s="16"/>
      <c r="Z904" s="16"/>
    </row>
    <row r="905" ht="12.75" spans="1:26">
      <c r="A905" s="23"/>
      <c r="B905" s="16"/>
      <c r="C905" s="23"/>
      <c r="D905" s="24"/>
      <c r="E905" s="16"/>
      <c r="F905" s="24"/>
      <c r="G905" s="24"/>
      <c r="H905" s="16"/>
      <c r="I905" s="16"/>
      <c r="J905" s="16"/>
      <c r="K905" s="16"/>
      <c r="L905" s="16"/>
      <c r="M905" s="16"/>
      <c r="N905" s="16"/>
      <c r="O905" s="16"/>
      <c r="P905" s="16"/>
      <c r="Q905" s="16"/>
      <c r="R905" s="16"/>
      <c r="S905" s="16"/>
      <c r="T905" s="16"/>
      <c r="U905" s="16"/>
      <c r="V905" s="16"/>
      <c r="W905" s="16"/>
      <c r="X905" s="16"/>
      <c r="Y905" s="16"/>
      <c r="Z905" s="16"/>
    </row>
    <row r="906" ht="12.75" spans="1:26">
      <c r="A906" s="23"/>
      <c r="B906" s="16"/>
      <c r="C906" s="23"/>
      <c r="D906" s="24"/>
      <c r="E906" s="16"/>
      <c r="F906" s="24"/>
      <c r="G906" s="24"/>
      <c r="H906" s="16"/>
      <c r="I906" s="16"/>
      <c r="J906" s="16"/>
      <c r="K906" s="16"/>
      <c r="L906" s="16"/>
      <c r="M906" s="16"/>
      <c r="N906" s="16"/>
      <c r="O906" s="16"/>
      <c r="P906" s="16"/>
      <c r="Q906" s="16"/>
      <c r="R906" s="16"/>
      <c r="S906" s="16"/>
      <c r="T906" s="16"/>
      <c r="U906" s="16"/>
      <c r="V906" s="16"/>
      <c r="W906" s="16"/>
      <c r="X906" s="16"/>
      <c r="Y906" s="16"/>
      <c r="Z906" s="16"/>
    </row>
    <row r="907" ht="12.75" spans="1:26">
      <c r="A907" s="23"/>
      <c r="B907" s="16"/>
      <c r="C907" s="23"/>
      <c r="D907" s="24"/>
      <c r="E907" s="16"/>
      <c r="F907" s="24"/>
      <c r="G907" s="24"/>
      <c r="H907" s="16"/>
      <c r="I907" s="16"/>
      <c r="J907" s="16"/>
      <c r="K907" s="16"/>
      <c r="L907" s="16"/>
      <c r="M907" s="16"/>
      <c r="N907" s="16"/>
      <c r="O907" s="16"/>
      <c r="P907" s="16"/>
      <c r="Q907" s="16"/>
      <c r="R907" s="16"/>
      <c r="S907" s="16"/>
      <c r="T907" s="16"/>
      <c r="U907" s="16"/>
      <c r="V907" s="16"/>
      <c r="W907" s="16"/>
      <c r="X907" s="16"/>
      <c r="Y907" s="16"/>
      <c r="Z907" s="16"/>
    </row>
    <row r="908" ht="12.75" spans="1:26">
      <c r="A908" s="23"/>
      <c r="B908" s="16"/>
      <c r="C908" s="23"/>
      <c r="D908" s="24"/>
      <c r="E908" s="16"/>
      <c r="F908" s="24"/>
      <c r="G908" s="24"/>
      <c r="H908" s="16"/>
      <c r="I908" s="16"/>
      <c r="J908" s="16"/>
      <c r="K908" s="16"/>
      <c r="L908" s="16"/>
      <c r="M908" s="16"/>
      <c r="N908" s="16"/>
      <c r="O908" s="16"/>
      <c r="P908" s="16"/>
      <c r="Q908" s="16"/>
      <c r="R908" s="16"/>
      <c r="S908" s="16"/>
      <c r="T908" s="16"/>
      <c r="U908" s="16"/>
      <c r="V908" s="16"/>
      <c r="W908" s="16"/>
      <c r="X908" s="16"/>
      <c r="Y908" s="16"/>
      <c r="Z908" s="16"/>
    </row>
    <row r="909" ht="12.75" spans="1:26">
      <c r="A909" s="23"/>
      <c r="B909" s="16"/>
      <c r="C909" s="23"/>
      <c r="D909" s="24"/>
      <c r="E909" s="16"/>
      <c r="F909" s="24"/>
      <c r="G909" s="24"/>
      <c r="H909" s="16"/>
      <c r="I909" s="16"/>
      <c r="J909" s="16"/>
      <c r="K909" s="16"/>
      <c r="L909" s="16"/>
      <c r="M909" s="16"/>
      <c r="N909" s="16"/>
      <c r="O909" s="16"/>
      <c r="P909" s="16"/>
      <c r="Q909" s="16"/>
      <c r="R909" s="16"/>
      <c r="S909" s="16"/>
      <c r="T909" s="16"/>
      <c r="U909" s="16"/>
      <c r="V909" s="16"/>
      <c r="W909" s="16"/>
      <c r="X909" s="16"/>
      <c r="Y909" s="16"/>
      <c r="Z909" s="16"/>
    </row>
    <row r="910" ht="12.75" spans="1:26">
      <c r="A910" s="23"/>
      <c r="B910" s="16"/>
      <c r="C910" s="23"/>
      <c r="D910" s="24"/>
      <c r="E910" s="16"/>
      <c r="F910" s="24"/>
      <c r="G910" s="24"/>
      <c r="H910" s="16"/>
      <c r="I910" s="16"/>
      <c r="J910" s="16"/>
      <c r="K910" s="16"/>
      <c r="L910" s="16"/>
      <c r="M910" s="16"/>
      <c r="N910" s="16"/>
      <c r="O910" s="16"/>
      <c r="P910" s="16"/>
      <c r="Q910" s="16"/>
      <c r="R910" s="16"/>
      <c r="S910" s="16"/>
      <c r="T910" s="16"/>
      <c r="U910" s="16"/>
      <c r="V910" s="16"/>
      <c r="W910" s="16"/>
      <c r="X910" s="16"/>
      <c r="Y910" s="16"/>
      <c r="Z910" s="16"/>
    </row>
    <row r="911" ht="12.75" spans="1:26">
      <c r="A911" s="23"/>
      <c r="B911" s="16"/>
      <c r="C911" s="23"/>
      <c r="D911" s="24"/>
      <c r="E911" s="16"/>
      <c r="F911" s="24"/>
      <c r="G911" s="24"/>
      <c r="H911" s="16"/>
      <c r="I911" s="16"/>
      <c r="J911" s="16"/>
      <c r="K911" s="16"/>
      <c r="L911" s="16"/>
      <c r="M911" s="16"/>
      <c r="N911" s="16"/>
      <c r="O911" s="16"/>
      <c r="P911" s="16"/>
      <c r="Q911" s="16"/>
      <c r="R911" s="16"/>
      <c r="S911" s="16"/>
      <c r="T911" s="16"/>
      <c r="U911" s="16"/>
      <c r="V911" s="16"/>
      <c r="W911" s="16"/>
      <c r="X911" s="16"/>
      <c r="Y911" s="16"/>
      <c r="Z911" s="16"/>
    </row>
    <row r="912" ht="12.75" spans="1:26">
      <c r="A912" s="23"/>
      <c r="B912" s="16"/>
      <c r="C912" s="23"/>
      <c r="D912" s="24"/>
      <c r="E912" s="16"/>
      <c r="F912" s="24"/>
      <c r="G912" s="24"/>
      <c r="H912" s="16"/>
      <c r="I912" s="16"/>
      <c r="J912" s="16"/>
      <c r="K912" s="16"/>
      <c r="L912" s="16"/>
      <c r="M912" s="16"/>
      <c r="N912" s="16"/>
      <c r="O912" s="16"/>
      <c r="P912" s="16"/>
      <c r="Q912" s="16"/>
      <c r="R912" s="16"/>
      <c r="S912" s="16"/>
      <c r="T912" s="16"/>
      <c r="U912" s="16"/>
      <c r="V912" s="16"/>
      <c r="W912" s="16"/>
      <c r="X912" s="16"/>
      <c r="Y912" s="16"/>
      <c r="Z912" s="16"/>
    </row>
    <row r="913" ht="12.75" spans="1:26">
      <c r="A913" s="23"/>
      <c r="B913" s="16"/>
      <c r="C913" s="23"/>
      <c r="D913" s="24"/>
      <c r="E913" s="16"/>
      <c r="F913" s="24"/>
      <c r="G913" s="24"/>
      <c r="H913" s="16"/>
      <c r="I913" s="16"/>
      <c r="J913" s="16"/>
      <c r="K913" s="16"/>
      <c r="L913" s="16"/>
      <c r="M913" s="16"/>
      <c r="N913" s="16"/>
      <c r="O913" s="16"/>
      <c r="P913" s="16"/>
      <c r="Q913" s="16"/>
      <c r="R913" s="16"/>
      <c r="S913" s="16"/>
      <c r="T913" s="16"/>
      <c r="U913" s="16"/>
      <c r="V913" s="16"/>
      <c r="W913" s="16"/>
      <c r="X913" s="16"/>
      <c r="Y913" s="16"/>
      <c r="Z913" s="16"/>
    </row>
    <row r="914" ht="12.75" spans="1:26">
      <c r="A914" s="23"/>
      <c r="B914" s="16"/>
      <c r="C914" s="23"/>
      <c r="D914" s="24"/>
      <c r="E914" s="16"/>
      <c r="F914" s="24"/>
      <c r="G914" s="24"/>
      <c r="H914" s="16"/>
      <c r="I914" s="16"/>
      <c r="J914" s="16"/>
      <c r="K914" s="16"/>
      <c r="L914" s="16"/>
      <c r="M914" s="16"/>
      <c r="N914" s="16"/>
      <c r="O914" s="16"/>
      <c r="P914" s="16"/>
      <c r="Q914" s="16"/>
      <c r="R914" s="16"/>
      <c r="S914" s="16"/>
      <c r="T914" s="16"/>
      <c r="U914" s="16"/>
      <c r="V914" s="16"/>
      <c r="W914" s="16"/>
      <c r="X914" s="16"/>
      <c r="Y914" s="16"/>
      <c r="Z914" s="16"/>
    </row>
    <row r="915" ht="12.75" spans="1:26">
      <c r="A915" s="23"/>
      <c r="B915" s="16"/>
      <c r="C915" s="23"/>
      <c r="D915" s="24"/>
      <c r="E915" s="16"/>
      <c r="F915" s="24"/>
      <c r="G915" s="24"/>
      <c r="H915" s="16"/>
      <c r="I915" s="16"/>
      <c r="J915" s="16"/>
      <c r="K915" s="16"/>
      <c r="L915" s="16"/>
      <c r="M915" s="16"/>
      <c r="N915" s="16"/>
      <c r="O915" s="16"/>
      <c r="P915" s="16"/>
      <c r="Q915" s="16"/>
      <c r="R915" s="16"/>
      <c r="S915" s="16"/>
      <c r="T915" s="16"/>
      <c r="U915" s="16"/>
      <c r="V915" s="16"/>
      <c r="W915" s="16"/>
      <c r="X915" s="16"/>
      <c r="Y915" s="16"/>
      <c r="Z915" s="16"/>
    </row>
    <row r="916" ht="12.75" spans="1:26">
      <c r="A916" s="23"/>
      <c r="B916" s="16"/>
      <c r="C916" s="23"/>
      <c r="D916" s="24"/>
      <c r="E916" s="16"/>
      <c r="F916" s="24"/>
      <c r="G916" s="24"/>
      <c r="H916" s="16"/>
      <c r="I916" s="16"/>
      <c r="J916" s="16"/>
      <c r="K916" s="16"/>
      <c r="L916" s="16"/>
      <c r="M916" s="16"/>
      <c r="N916" s="16"/>
      <c r="O916" s="16"/>
      <c r="P916" s="16"/>
      <c r="Q916" s="16"/>
      <c r="R916" s="16"/>
      <c r="S916" s="16"/>
      <c r="T916" s="16"/>
      <c r="U916" s="16"/>
      <c r="V916" s="16"/>
      <c r="W916" s="16"/>
      <c r="X916" s="16"/>
      <c r="Y916" s="16"/>
      <c r="Z916" s="16"/>
    </row>
    <row r="917" ht="12.75" spans="1:26">
      <c r="A917" s="23"/>
      <c r="B917" s="16"/>
      <c r="C917" s="23"/>
      <c r="D917" s="24"/>
      <c r="E917" s="16"/>
      <c r="F917" s="24"/>
      <c r="G917" s="24"/>
      <c r="H917" s="16"/>
      <c r="I917" s="16"/>
      <c r="J917" s="16"/>
      <c r="K917" s="16"/>
      <c r="L917" s="16"/>
      <c r="M917" s="16"/>
      <c r="N917" s="16"/>
      <c r="O917" s="16"/>
      <c r="P917" s="16"/>
      <c r="Q917" s="16"/>
      <c r="R917" s="16"/>
      <c r="S917" s="16"/>
      <c r="T917" s="16"/>
      <c r="U917" s="16"/>
      <c r="V917" s="16"/>
      <c r="W917" s="16"/>
      <c r="X917" s="16"/>
      <c r="Y917" s="16"/>
      <c r="Z917" s="16"/>
    </row>
    <row r="918" ht="12.75" spans="1:26">
      <c r="A918" s="23"/>
      <c r="B918" s="16"/>
      <c r="C918" s="23"/>
      <c r="D918" s="24"/>
      <c r="E918" s="16"/>
      <c r="F918" s="24"/>
      <c r="G918" s="24"/>
      <c r="H918" s="16"/>
      <c r="I918" s="16"/>
      <c r="J918" s="16"/>
      <c r="K918" s="16"/>
      <c r="L918" s="16"/>
      <c r="M918" s="16"/>
      <c r="N918" s="16"/>
      <c r="O918" s="16"/>
      <c r="P918" s="16"/>
      <c r="Q918" s="16"/>
      <c r="R918" s="16"/>
      <c r="S918" s="16"/>
      <c r="T918" s="16"/>
      <c r="U918" s="16"/>
      <c r="V918" s="16"/>
      <c r="W918" s="16"/>
      <c r="X918" s="16"/>
      <c r="Y918" s="16"/>
      <c r="Z918" s="16"/>
    </row>
    <row r="919" ht="12.75" spans="1:26">
      <c r="A919" s="23"/>
      <c r="B919" s="16"/>
      <c r="C919" s="23"/>
      <c r="D919" s="24"/>
      <c r="E919" s="16"/>
      <c r="F919" s="24"/>
      <c r="G919" s="24"/>
      <c r="H919" s="16"/>
      <c r="I919" s="16"/>
      <c r="J919" s="16"/>
      <c r="K919" s="16"/>
      <c r="L919" s="16"/>
      <c r="M919" s="16"/>
      <c r="N919" s="16"/>
      <c r="O919" s="16"/>
      <c r="P919" s="16"/>
      <c r="Q919" s="16"/>
      <c r="R919" s="16"/>
      <c r="S919" s="16"/>
      <c r="T919" s="16"/>
      <c r="U919" s="16"/>
      <c r="V919" s="16"/>
      <c r="W919" s="16"/>
      <c r="X919" s="16"/>
      <c r="Y919" s="16"/>
      <c r="Z919" s="16"/>
    </row>
    <row r="920" ht="12.75" spans="1:26">
      <c r="A920" s="23"/>
      <c r="B920" s="16"/>
      <c r="C920" s="23"/>
      <c r="D920" s="24"/>
      <c r="E920" s="16"/>
      <c r="F920" s="24"/>
      <c r="G920" s="24"/>
      <c r="H920" s="16"/>
      <c r="I920" s="16"/>
      <c r="J920" s="16"/>
      <c r="K920" s="16"/>
      <c r="L920" s="16"/>
      <c r="M920" s="16"/>
      <c r="N920" s="16"/>
      <c r="O920" s="16"/>
      <c r="P920" s="16"/>
      <c r="Q920" s="16"/>
      <c r="R920" s="16"/>
      <c r="S920" s="16"/>
      <c r="T920" s="16"/>
      <c r="U920" s="16"/>
      <c r="V920" s="16"/>
      <c r="W920" s="16"/>
      <c r="X920" s="16"/>
      <c r="Y920" s="16"/>
      <c r="Z920" s="16"/>
    </row>
    <row r="921" ht="12.75" spans="1:26">
      <c r="A921" s="23"/>
      <c r="B921" s="16"/>
      <c r="C921" s="23"/>
      <c r="D921" s="24"/>
      <c r="E921" s="16"/>
      <c r="F921" s="24"/>
      <c r="G921" s="24"/>
      <c r="H921" s="16"/>
      <c r="I921" s="16"/>
      <c r="J921" s="16"/>
      <c r="K921" s="16"/>
      <c r="L921" s="16"/>
      <c r="M921" s="16"/>
      <c r="N921" s="16"/>
      <c r="O921" s="16"/>
      <c r="P921" s="16"/>
      <c r="Q921" s="16"/>
      <c r="R921" s="16"/>
      <c r="S921" s="16"/>
      <c r="T921" s="16"/>
      <c r="U921" s="16"/>
      <c r="V921" s="16"/>
      <c r="W921" s="16"/>
      <c r="X921" s="16"/>
      <c r="Y921" s="16"/>
      <c r="Z921" s="16"/>
    </row>
    <row r="922" ht="12.75" spans="1:26">
      <c r="A922" s="23"/>
      <c r="B922" s="16"/>
      <c r="C922" s="23"/>
      <c r="D922" s="24"/>
      <c r="E922" s="16"/>
      <c r="F922" s="24"/>
      <c r="G922" s="24"/>
      <c r="H922" s="16"/>
      <c r="I922" s="16"/>
      <c r="J922" s="16"/>
      <c r="K922" s="16"/>
      <c r="L922" s="16"/>
      <c r="M922" s="16"/>
      <c r="N922" s="16"/>
      <c r="O922" s="16"/>
      <c r="P922" s="16"/>
      <c r="Q922" s="16"/>
      <c r="R922" s="16"/>
      <c r="S922" s="16"/>
      <c r="T922" s="16"/>
      <c r="U922" s="16"/>
      <c r="V922" s="16"/>
      <c r="W922" s="16"/>
      <c r="X922" s="16"/>
      <c r="Y922" s="16"/>
      <c r="Z922" s="16"/>
    </row>
    <row r="923" ht="12.75" spans="1:26">
      <c r="A923" s="23"/>
      <c r="B923" s="16"/>
      <c r="C923" s="23"/>
      <c r="D923" s="24"/>
      <c r="E923" s="16"/>
      <c r="F923" s="24"/>
      <c r="G923" s="24"/>
      <c r="H923" s="16"/>
      <c r="I923" s="16"/>
      <c r="J923" s="16"/>
      <c r="K923" s="16"/>
      <c r="L923" s="16"/>
      <c r="M923" s="16"/>
      <c r="N923" s="16"/>
      <c r="O923" s="16"/>
      <c r="P923" s="16"/>
      <c r="Q923" s="16"/>
      <c r="R923" s="16"/>
      <c r="S923" s="16"/>
      <c r="T923" s="16"/>
      <c r="U923" s="16"/>
      <c r="V923" s="16"/>
      <c r="W923" s="16"/>
      <c r="X923" s="16"/>
      <c r="Y923" s="16"/>
      <c r="Z923" s="16"/>
    </row>
    <row r="924" ht="12.75" spans="1:26">
      <c r="A924" s="23"/>
      <c r="B924" s="16"/>
      <c r="C924" s="23"/>
      <c r="D924" s="24"/>
      <c r="E924" s="16"/>
      <c r="F924" s="24"/>
      <c r="G924" s="24"/>
      <c r="H924" s="16"/>
      <c r="I924" s="16"/>
      <c r="J924" s="16"/>
      <c r="K924" s="16"/>
      <c r="L924" s="16"/>
      <c r="M924" s="16"/>
      <c r="N924" s="16"/>
      <c r="O924" s="16"/>
      <c r="P924" s="16"/>
      <c r="Q924" s="16"/>
      <c r="R924" s="16"/>
      <c r="S924" s="16"/>
      <c r="T924" s="16"/>
      <c r="U924" s="16"/>
      <c r="V924" s="16"/>
      <c r="W924" s="16"/>
      <c r="X924" s="16"/>
      <c r="Y924" s="16"/>
      <c r="Z924" s="16"/>
    </row>
    <row r="925" ht="12.75" spans="1:26">
      <c r="A925" s="23"/>
      <c r="B925" s="16"/>
      <c r="C925" s="23"/>
      <c r="D925" s="24"/>
      <c r="E925" s="16"/>
      <c r="F925" s="24"/>
      <c r="G925" s="24"/>
      <c r="H925" s="16"/>
      <c r="I925" s="16"/>
      <c r="J925" s="16"/>
      <c r="K925" s="16"/>
      <c r="L925" s="16"/>
      <c r="M925" s="16"/>
      <c r="N925" s="16"/>
      <c r="O925" s="16"/>
      <c r="P925" s="16"/>
      <c r="Q925" s="16"/>
      <c r="R925" s="16"/>
      <c r="S925" s="16"/>
      <c r="T925" s="16"/>
      <c r="U925" s="16"/>
      <c r="V925" s="16"/>
      <c r="W925" s="16"/>
      <c r="X925" s="16"/>
      <c r="Y925" s="16"/>
      <c r="Z925" s="16"/>
    </row>
    <row r="926" ht="12.75" spans="1:26">
      <c r="A926" s="23"/>
      <c r="B926" s="16"/>
      <c r="C926" s="23"/>
      <c r="D926" s="24"/>
      <c r="E926" s="16"/>
      <c r="F926" s="24"/>
      <c r="G926" s="24"/>
      <c r="H926" s="16"/>
      <c r="I926" s="16"/>
      <c r="J926" s="16"/>
      <c r="K926" s="16"/>
      <c r="L926" s="16"/>
      <c r="M926" s="16"/>
      <c r="N926" s="16"/>
      <c r="O926" s="16"/>
      <c r="P926" s="16"/>
      <c r="Q926" s="16"/>
      <c r="R926" s="16"/>
      <c r="S926" s="16"/>
      <c r="T926" s="16"/>
      <c r="U926" s="16"/>
      <c r="V926" s="16"/>
      <c r="W926" s="16"/>
      <c r="X926" s="16"/>
      <c r="Y926" s="16"/>
      <c r="Z926" s="16"/>
    </row>
    <row r="927" ht="12.75" spans="1:26">
      <c r="A927" s="23"/>
      <c r="B927" s="16"/>
      <c r="C927" s="23"/>
      <c r="D927" s="24"/>
      <c r="E927" s="16"/>
      <c r="F927" s="24"/>
      <c r="G927" s="24"/>
      <c r="H927" s="16"/>
      <c r="I927" s="16"/>
      <c r="J927" s="16"/>
      <c r="K927" s="16"/>
      <c r="L927" s="16"/>
      <c r="M927" s="16"/>
      <c r="N927" s="16"/>
      <c r="O927" s="16"/>
      <c r="P927" s="16"/>
      <c r="Q927" s="16"/>
      <c r="R927" s="16"/>
      <c r="S927" s="16"/>
      <c r="T927" s="16"/>
      <c r="U927" s="16"/>
      <c r="V927" s="16"/>
      <c r="W927" s="16"/>
      <c r="X927" s="16"/>
      <c r="Y927" s="16"/>
      <c r="Z927" s="16"/>
    </row>
    <row r="928" ht="12.75" spans="1:26">
      <c r="A928" s="23"/>
      <c r="B928" s="16"/>
      <c r="C928" s="23"/>
      <c r="D928" s="24"/>
      <c r="E928" s="16"/>
      <c r="F928" s="24"/>
      <c r="G928" s="24"/>
      <c r="H928" s="16"/>
      <c r="I928" s="16"/>
      <c r="J928" s="16"/>
      <c r="K928" s="16"/>
      <c r="L928" s="16"/>
      <c r="M928" s="16"/>
      <c r="N928" s="16"/>
      <c r="O928" s="16"/>
      <c r="P928" s="16"/>
      <c r="Q928" s="16"/>
      <c r="R928" s="16"/>
      <c r="S928" s="16"/>
      <c r="T928" s="16"/>
      <c r="U928" s="16"/>
      <c r="V928" s="16"/>
      <c r="W928" s="16"/>
      <c r="X928" s="16"/>
      <c r="Y928" s="16"/>
      <c r="Z928" s="16"/>
    </row>
    <row r="929" ht="12.75" spans="1:26">
      <c r="A929" s="23"/>
      <c r="B929" s="16"/>
      <c r="C929" s="23"/>
      <c r="D929" s="24"/>
      <c r="E929" s="16"/>
      <c r="F929" s="24"/>
      <c r="G929" s="24"/>
      <c r="H929" s="16"/>
      <c r="I929" s="16"/>
      <c r="J929" s="16"/>
      <c r="K929" s="16"/>
      <c r="L929" s="16"/>
      <c r="M929" s="16"/>
      <c r="N929" s="16"/>
      <c r="O929" s="16"/>
      <c r="P929" s="16"/>
      <c r="Q929" s="16"/>
      <c r="R929" s="16"/>
      <c r="S929" s="16"/>
      <c r="T929" s="16"/>
      <c r="U929" s="16"/>
      <c r="V929" s="16"/>
      <c r="W929" s="16"/>
      <c r="X929" s="16"/>
      <c r="Y929" s="16"/>
      <c r="Z929" s="16"/>
    </row>
    <row r="930" ht="12.75" spans="1:26">
      <c r="A930" s="23"/>
      <c r="B930" s="16"/>
      <c r="C930" s="23"/>
      <c r="D930" s="24"/>
      <c r="E930" s="16"/>
      <c r="F930" s="24"/>
      <c r="G930" s="24"/>
      <c r="H930" s="16"/>
      <c r="I930" s="16"/>
      <c r="J930" s="16"/>
      <c r="K930" s="16"/>
      <c r="L930" s="16"/>
      <c r="M930" s="16"/>
      <c r="N930" s="16"/>
      <c r="O930" s="16"/>
      <c r="P930" s="16"/>
      <c r="Q930" s="16"/>
      <c r="R930" s="16"/>
      <c r="S930" s="16"/>
      <c r="T930" s="16"/>
      <c r="U930" s="16"/>
      <c r="V930" s="16"/>
      <c r="W930" s="16"/>
      <c r="X930" s="16"/>
      <c r="Y930" s="16"/>
      <c r="Z930" s="16"/>
    </row>
    <row r="931" ht="12.75" spans="1:26">
      <c r="A931" s="23"/>
      <c r="B931" s="16"/>
      <c r="C931" s="23"/>
      <c r="D931" s="24"/>
      <c r="E931" s="16"/>
      <c r="F931" s="24"/>
      <c r="G931" s="24"/>
      <c r="H931" s="16"/>
      <c r="I931" s="16"/>
      <c r="J931" s="16"/>
      <c r="K931" s="16"/>
      <c r="L931" s="16"/>
      <c r="M931" s="16"/>
      <c r="N931" s="16"/>
      <c r="O931" s="16"/>
      <c r="P931" s="16"/>
      <c r="Q931" s="16"/>
      <c r="R931" s="16"/>
      <c r="S931" s="16"/>
      <c r="T931" s="16"/>
      <c r="U931" s="16"/>
      <c r="V931" s="16"/>
      <c r="W931" s="16"/>
      <c r="X931" s="16"/>
      <c r="Y931" s="16"/>
      <c r="Z931" s="16"/>
    </row>
    <row r="932" ht="12.75" spans="1:26">
      <c r="A932" s="23"/>
      <c r="B932" s="16"/>
      <c r="C932" s="23"/>
      <c r="D932" s="24"/>
      <c r="E932" s="16"/>
      <c r="F932" s="24"/>
      <c r="G932" s="24"/>
      <c r="H932" s="16"/>
      <c r="I932" s="16"/>
      <c r="J932" s="16"/>
      <c r="K932" s="16"/>
      <c r="L932" s="16"/>
      <c r="M932" s="16"/>
      <c r="N932" s="16"/>
      <c r="O932" s="16"/>
      <c r="P932" s="16"/>
      <c r="Q932" s="16"/>
      <c r="R932" s="16"/>
      <c r="S932" s="16"/>
      <c r="T932" s="16"/>
      <c r="U932" s="16"/>
      <c r="V932" s="16"/>
      <c r="W932" s="16"/>
      <c r="X932" s="16"/>
      <c r="Y932" s="16"/>
      <c r="Z932" s="16"/>
    </row>
    <row r="933" ht="12.75" spans="1:26">
      <c r="A933" s="23"/>
      <c r="B933" s="16"/>
      <c r="C933" s="23"/>
      <c r="D933" s="24"/>
      <c r="E933" s="16"/>
      <c r="F933" s="24"/>
      <c r="G933" s="24"/>
      <c r="H933" s="16"/>
      <c r="I933" s="16"/>
      <c r="J933" s="16"/>
      <c r="K933" s="16"/>
      <c r="L933" s="16"/>
      <c r="M933" s="16"/>
      <c r="N933" s="16"/>
      <c r="O933" s="16"/>
      <c r="P933" s="16"/>
      <c r="Q933" s="16"/>
      <c r="R933" s="16"/>
      <c r="S933" s="16"/>
      <c r="T933" s="16"/>
      <c r="U933" s="16"/>
      <c r="V933" s="16"/>
      <c r="W933" s="16"/>
      <c r="X933" s="16"/>
      <c r="Y933" s="16"/>
      <c r="Z933" s="16"/>
    </row>
    <row r="934" ht="12.75" spans="1:26">
      <c r="A934" s="23"/>
      <c r="B934" s="16"/>
      <c r="C934" s="23"/>
      <c r="D934" s="24"/>
      <c r="E934" s="16"/>
      <c r="F934" s="24"/>
      <c r="G934" s="24"/>
      <c r="H934" s="16"/>
      <c r="I934" s="16"/>
      <c r="J934" s="16"/>
      <c r="K934" s="16"/>
      <c r="L934" s="16"/>
      <c r="M934" s="16"/>
      <c r="N934" s="16"/>
      <c r="O934" s="16"/>
      <c r="P934" s="16"/>
      <c r="Q934" s="16"/>
      <c r="R934" s="16"/>
      <c r="S934" s="16"/>
      <c r="T934" s="16"/>
      <c r="U934" s="16"/>
      <c r="V934" s="16"/>
      <c r="W934" s="16"/>
      <c r="X934" s="16"/>
      <c r="Y934" s="16"/>
      <c r="Z934" s="16"/>
    </row>
    <row r="935" ht="12.75" spans="1:26">
      <c r="A935" s="23"/>
      <c r="B935" s="16"/>
      <c r="C935" s="23"/>
      <c r="D935" s="24"/>
      <c r="E935" s="16"/>
      <c r="F935" s="24"/>
      <c r="G935" s="24"/>
      <c r="H935" s="16"/>
      <c r="I935" s="16"/>
      <c r="J935" s="16"/>
      <c r="K935" s="16"/>
      <c r="L935" s="16"/>
      <c r="M935" s="16"/>
      <c r="N935" s="16"/>
      <c r="O935" s="16"/>
      <c r="P935" s="16"/>
      <c r="Q935" s="16"/>
      <c r="R935" s="16"/>
      <c r="S935" s="16"/>
      <c r="T935" s="16"/>
      <c r="U935" s="16"/>
      <c r="V935" s="16"/>
      <c r="W935" s="16"/>
      <c r="X935" s="16"/>
      <c r="Y935" s="16"/>
      <c r="Z935" s="16"/>
    </row>
    <row r="936" ht="12.75" spans="1:26">
      <c r="A936" s="23"/>
      <c r="B936" s="16"/>
      <c r="C936" s="23"/>
      <c r="D936" s="24"/>
      <c r="E936" s="16"/>
      <c r="F936" s="24"/>
      <c r="G936" s="24"/>
      <c r="H936" s="16"/>
      <c r="I936" s="16"/>
      <c r="J936" s="16"/>
      <c r="K936" s="16"/>
      <c r="L936" s="16"/>
      <c r="M936" s="16"/>
      <c r="N936" s="16"/>
      <c r="O936" s="16"/>
      <c r="P936" s="16"/>
      <c r="Q936" s="16"/>
      <c r="R936" s="16"/>
      <c r="S936" s="16"/>
      <c r="T936" s="16"/>
      <c r="U936" s="16"/>
      <c r="V936" s="16"/>
      <c r="W936" s="16"/>
      <c r="X936" s="16"/>
      <c r="Y936" s="16"/>
      <c r="Z936" s="16"/>
    </row>
    <row r="937" ht="12.75" spans="1:26">
      <c r="A937" s="23"/>
      <c r="B937" s="16"/>
      <c r="C937" s="23"/>
      <c r="D937" s="24"/>
      <c r="E937" s="16"/>
      <c r="F937" s="24"/>
      <c r="G937" s="24"/>
      <c r="H937" s="16"/>
      <c r="I937" s="16"/>
      <c r="J937" s="16"/>
      <c r="K937" s="16"/>
      <c r="L937" s="16"/>
      <c r="M937" s="16"/>
      <c r="N937" s="16"/>
      <c r="O937" s="16"/>
      <c r="P937" s="16"/>
      <c r="Q937" s="16"/>
      <c r="R937" s="16"/>
      <c r="S937" s="16"/>
      <c r="T937" s="16"/>
      <c r="U937" s="16"/>
      <c r="V937" s="16"/>
      <c r="W937" s="16"/>
      <c r="X937" s="16"/>
      <c r="Y937" s="16"/>
      <c r="Z937" s="16"/>
    </row>
    <row r="938" ht="12.75" spans="1:26">
      <c r="A938" s="23"/>
      <c r="B938" s="16"/>
      <c r="C938" s="23"/>
      <c r="D938" s="24"/>
      <c r="E938" s="16"/>
      <c r="F938" s="24"/>
      <c r="G938" s="24"/>
      <c r="H938" s="16"/>
      <c r="I938" s="16"/>
      <c r="J938" s="16"/>
      <c r="K938" s="16"/>
      <c r="L938" s="16"/>
      <c r="M938" s="16"/>
      <c r="N938" s="16"/>
      <c r="O938" s="16"/>
      <c r="P938" s="16"/>
      <c r="Q938" s="16"/>
      <c r="R938" s="16"/>
      <c r="S938" s="16"/>
      <c r="T938" s="16"/>
      <c r="U938" s="16"/>
      <c r="V938" s="16"/>
      <c r="W938" s="16"/>
      <c r="X938" s="16"/>
      <c r="Y938" s="16"/>
      <c r="Z938" s="16"/>
    </row>
    <row r="939" ht="12.75" spans="1:26">
      <c r="A939" s="23"/>
      <c r="B939" s="16"/>
      <c r="C939" s="23"/>
      <c r="D939" s="24"/>
      <c r="E939" s="16"/>
      <c r="F939" s="24"/>
      <c r="G939" s="24"/>
      <c r="H939" s="16"/>
      <c r="I939" s="16"/>
      <c r="J939" s="16"/>
      <c r="K939" s="16"/>
      <c r="L939" s="16"/>
      <c r="M939" s="16"/>
      <c r="N939" s="16"/>
      <c r="O939" s="16"/>
      <c r="P939" s="16"/>
      <c r="Q939" s="16"/>
      <c r="R939" s="16"/>
      <c r="S939" s="16"/>
      <c r="T939" s="16"/>
      <c r="U939" s="16"/>
      <c r="V939" s="16"/>
      <c r="W939" s="16"/>
      <c r="X939" s="16"/>
      <c r="Y939" s="16"/>
      <c r="Z939" s="16"/>
    </row>
    <row r="940" ht="12.75" spans="1:26">
      <c r="A940" s="23"/>
      <c r="B940" s="16"/>
      <c r="C940" s="23"/>
      <c r="D940" s="24"/>
      <c r="E940" s="16"/>
      <c r="F940" s="24"/>
      <c r="G940" s="24"/>
      <c r="H940" s="16"/>
      <c r="I940" s="16"/>
      <c r="J940" s="16"/>
      <c r="K940" s="16"/>
      <c r="L940" s="16"/>
      <c r="M940" s="16"/>
      <c r="N940" s="16"/>
      <c r="O940" s="16"/>
      <c r="P940" s="16"/>
      <c r="Q940" s="16"/>
      <c r="R940" s="16"/>
      <c r="S940" s="16"/>
      <c r="T940" s="16"/>
      <c r="U940" s="16"/>
      <c r="V940" s="16"/>
      <c r="W940" s="16"/>
      <c r="X940" s="16"/>
      <c r="Y940" s="16"/>
      <c r="Z940" s="16"/>
    </row>
    <row r="941" ht="12.75" spans="1:26">
      <c r="A941" s="23"/>
      <c r="B941" s="16"/>
      <c r="C941" s="23"/>
      <c r="D941" s="24"/>
      <c r="E941" s="16"/>
      <c r="F941" s="24"/>
      <c r="G941" s="24"/>
      <c r="H941" s="16"/>
      <c r="I941" s="16"/>
      <c r="J941" s="16"/>
      <c r="K941" s="16"/>
      <c r="L941" s="16"/>
      <c r="M941" s="16"/>
      <c r="N941" s="16"/>
      <c r="O941" s="16"/>
      <c r="P941" s="16"/>
      <c r="Q941" s="16"/>
      <c r="R941" s="16"/>
      <c r="S941" s="16"/>
      <c r="T941" s="16"/>
      <c r="U941" s="16"/>
      <c r="V941" s="16"/>
      <c r="W941" s="16"/>
      <c r="X941" s="16"/>
      <c r="Y941" s="16"/>
      <c r="Z941" s="16"/>
    </row>
    <row r="942" ht="12.75" spans="1:26">
      <c r="A942" s="23"/>
      <c r="B942" s="16"/>
      <c r="C942" s="23"/>
      <c r="D942" s="24"/>
      <c r="E942" s="16"/>
      <c r="F942" s="24"/>
      <c r="G942" s="24"/>
      <c r="H942" s="16"/>
      <c r="I942" s="16"/>
      <c r="J942" s="16"/>
      <c r="K942" s="16"/>
      <c r="L942" s="16"/>
      <c r="M942" s="16"/>
      <c r="N942" s="16"/>
      <c r="O942" s="16"/>
      <c r="P942" s="16"/>
      <c r="Q942" s="16"/>
      <c r="R942" s="16"/>
      <c r="S942" s="16"/>
      <c r="T942" s="16"/>
      <c r="U942" s="16"/>
      <c r="V942" s="16"/>
      <c r="W942" s="16"/>
      <c r="X942" s="16"/>
      <c r="Y942" s="16"/>
      <c r="Z942" s="16"/>
    </row>
    <row r="943" ht="12.75" spans="1:26">
      <c r="A943" s="23"/>
      <c r="B943" s="16"/>
      <c r="C943" s="23"/>
      <c r="D943" s="24"/>
      <c r="E943" s="16"/>
      <c r="F943" s="24"/>
      <c r="G943" s="24"/>
      <c r="H943" s="16"/>
      <c r="I943" s="16"/>
      <c r="J943" s="16"/>
      <c r="K943" s="16"/>
      <c r="L943" s="16"/>
      <c r="M943" s="16"/>
      <c r="N943" s="16"/>
      <c r="O943" s="16"/>
      <c r="P943" s="16"/>
      <c r="Q943" s="16"/>
      <c r="R943" s="16"/>
      <c r="S943" s="16"/>
      <c r="T943" s="16"/>
      <c r="U943" s="16"/>
      <c r="V943" s="16"/>
      <c r="W943" s="16"/>
      <c r="X943" s="16"/>
      <c r="Y943" s="16"/>
      <c r="Z943" s="16"/>
    </row>
    <row r="944" ht="12.75" spans="1:26">
      <c r="A944" s="23"/>
      <c r="B944" s="16"/>
      <c r="C944" s="23"/>
      <c r="D944" s="24"/>
      <c r="E944" s="16"/>
      <c r="F944" s="24"/>
      <c r="G944" s="24"/>
      <c r="H944" s="16"/>
      <c r="I944" s="16"/>
      <c r="J944" s="16"/>
      <c r="K944" s="16"/>
      <c r="L944" s="16"/>
      <c r="M944" s="16"/>
      <c r="N944" s="16"/>
      <c r="O944" s="16"/>
      <c r="P944" s="16"/>
      <c r="Q944" s="16"/>
      <c r="R944" s="16"/>
      <c r="S944" s="16"/>
      <c r="T944" s="16"/>
      <c r="U944" s="16"/>
      <c r="V944" s="16"/>
      <c r="W944" s="16"/>
      <c r="X944" s="16"/>
      <c r="Y944" s="16"/>
      <c r="Z944" s="16"/>
    </row>
    <row r="945" ht="12.75" spans="1:26">
      <c r="A945" s="23"/>
      <c r="B945" s="16"/>
      <c r="C945" s="23"/>
      <c r="D945" s="24"/>
      <c r="E945" s="16"/>
      <c r="F945" s="24"/>
      <c r="G945" s="24"/>
      <c r="H945" s="16"/>
      <c r="I945" s="16"/>
      <c r="J945" s="16"/>
      <c r="K945" s="16"/>
      <c r="L945" s="16"/>
      <c r="M945" s="16"/>
      <c r="N945" s="16"/>
      <c r="O945" s="16"/>
      <c r="P945" s="16"/>
      <c r="Q945" s="16"/>
      <c r="R945" s="16"/>
      <c r="S945" s="16"/>
      <c r="T945" s="16"/>
      <c r="U945" s="16"/>
      <c r="V945" s="16"/>
      <c r="W945" s="16"/>
      <c r="X945" s="16"/>
      <c r="Y945" s="16"/>
      <c r="Z945" s="16"/>
    </row>
    <row r="946" ht="12.75" spans="1:26">
      <c r="A946" s="23"/>
      <c r="B946" s="16"/>
      <c r="C946" s="23"/>
      <c r="D946" s="24"/>
      <c r="E946" s="16"/>
      <c r="F946" s="24"/>
      <c r="G946" s="24"/>
      <c r="H946" s="16"/>
      <c r="I946" s="16"/>
      <c r="J946" s="16"/>
      <c r="K946" s="16"/>
      <c r="L946" s="16"/>
      <c r="M946" s="16"/>
      <c r="N946" s="16"/>
      <c r="O946" s="16"/>
      <c r="P946" s="16"/>
      <c r="Q946" s="16"/>
      <c r="R946" s="16"/>
      <c r="S946" s="16"/>
      <c r="T946" s="16"/>
      <c r="U946" s="16"/>
      <c r="V946" s="16"/>
      <c r="W946" s="16"/>
      <c r="X946" s="16"/>
      <c r="Y946" s="16"/>
      <c r="Z946" s="16"/>
    </row>
    <row r="947" ht="12.75" spans="1:26">
      <c r="A947" s="23"/>
      <c r="B947" s="16"/>
      <c r="C947" s="23"/>
      <c r="D947" s="24"/>
      <c r="E947" s="16"/>
      <c r="F947" s="24"/>
      <c r="G947" s="24"/>
      <c r="H947" s="16"/>
      <c r="I947" s="16"/>
      <c r="J947" s="16"/>
      <c r="K947" s="16"/>
      <c r="L947" s="16"/>
      <c r="M947" s="16"/>
      <c r="N947" s="16"/>
      <c r="O947" s="16"/>
      <c r="P947" s="16"/>
      <c r="Q947" s="16"/>
      <c r="R947" s="16"/>
      <c r="S947" s="16"/>
      <c r="T947" s="16"/>
      <c r="U947" s="16"/>
      <c r="V947" s="16"/>
      <c r="W947" s="16"/>
      <c r="X947" s="16"/>
      <c r="Y947" s="16"/>
      <c r="Z947" s="16"/>
    </row>
    <row r="948" ht="12.75" spans="1:26">
      <c r="A948" s="23"/>
      <c r="B948" s="16"/>
      <c r="C948" s="23"/>
      <c r="D948" s="24"/>
      <c r="E948" s="16"/>
      <c r="F948" s="24"/>
      <c r="G948" s="24"/>
      <c r="H948" s="16"/>
      <c r="I948" s="16"/>
      <c r="J948" s="16"/>
      <c r="K948" s="16"/>
      <c r="L948" s="16"/>
      <c r="M948" s="16"/>
      <c r="N948" s="16"/>
      <c r="O948" s="16"/>
      <c r="P948" s="16"/>
      <c r="Q948" s="16"/>
      <c r="R948" s="16"/>
      <c r="S948" s="16"/>
      <c r="T948" s="16"/>
      <c r="U948" s="16"/>
      <c r="V948" s="16"/>
      <c r="W948" s="16"/>
      <c r="X948" s="16"/>
      <c r="Y948" s="16"/>
      <c r="Z948" s="16"/>
    </row>
    <row r="949" ht="12.75" spans="1:26">
      <c r="A949" s="23"/>
      <c r="B949" s="16"/>
      <c r="C949" s="23"/>
      <c r="D949" s="24"/>
      <c r="E949" s="16"/>
      <c r="F949" s="24"/>
      <c r="G949" s="24"/>
      <c r="H949" s="16"/>
      <c r="I949" s="16"/>
      <c r="J949" s="16"/>
      <c r="K949" s="16"/>
      <c r="L949" s="16"/>
      <c r="M949" s="16"/>
      <c r="N949" s="16"/>
      <c r="O949" s="16"/>
      <c r="P949" s="16"/>
      <c r="Q949" s="16"/>
      <c r="R949" s="16"/>
      <c r="S949" s="16"/>
      <c r="T949" s="16"/>
      <c r="U949" s="16"/>
      <c r="V949" s="16"/>
      <c r="W949" s="16"/>
      <c r="X949" s="16"/>
      <c r="Y949" s="16"/>
      <c r="Z949" s="16"/>
    </row>
    <row r="950" ht="12.75" spans="1:26">
      <c r="A950" s="23"/>
      <c r="B950" s="16"/>
      <c r="C950" s="23"/>
      <c r="D950" s="24"/>
      <c r="E950" s="16"/>
      <c r="F950" s="24"/>
      <c r="G950" s="24"/>
      <c r="H950" s="16"/>
      <c r="I950" s="16"/>
      <c r="J950" s="16"/>
      <c r="K950" s="16"/>
      <c r="L950" s="16"/>
      <c r="M950" s="16"/>
      <c r="N950" s="16"/>
      <c r="O950" s="16"/>
      <c r="P950" s="16"/>
      <c r="Q950" s="16"/>
      <c r="R950" s="16"/>
      <c r="S950" s="16"/>
      <c r="T950" s="16"/>
      <c r="U950" s="16"/>
      <c r="V950" s="16"/>
      <c r="W950" s="16"/>
      <c r="X950" s="16"/>
      <c r="Y950" s="16"/>
      <c r="Z950" s="16"/>
    </row>
    <row r="951" ht="12.75" spans="1:26">
      <c r="A951" s="23"/>
      <c r="B951" s="16"/>
      <c r="C951" s="23"/>
      <c r="D951" s="24"/>
      <c r="E951" s="16"/>
      <c r="F951" s="24"/>
      <c r="G951" s="24"/>
      <c r="H951" s="16"/>
      <c r="I951" s="16"/>
      <c r="J951" s="16"/>
      <c r="K951" s="16"/>
      <c r="L951" s="16"/>
      <c r="M951" s="16"/>
      <c r="N951" s="16"/>
      <c r="O951" s="16"/>
      <c r="P951" s="16"/>
      <c r="Q951" s="16"/>
      <c r="R951" s="16"/>
      <c r="S951" s="16"/>
      <c r="T951" s="16"/>
      <c r="U951" s="16"/>
      <c r="V951" s="16"/>
      <c r="W951" s="16"/>
      <c r="X951" s="16"/>
      <c r="Y951" s="16"/>
      <c r="Z951" s="16"/>
    </row>
    <row r="952" ht="12.75" spans="1:26">
      <c r="A952" s="23"/>
      <c r="B952" s="16"/>
      <c r="C952" s="23"/>
      <c r="D952" s="24"/>
      <c r="E952" s="16"/>
      <c r="F952" s="24"/>
      <c r="G952" s="24"/>
      <c r="H952" s="16"/>
      <c r="I952" s="16"/>
      <c r="J952" s="16"/>
      <c r="K952" s="16"/>
      <c r="L952" s="16"/>
      <c r="M952" s="16"/>
      <c r="N952" s="16"/>
      <c r="O952" s="16"/>
      <c r="P952" s="16"/>
      <c r="Q952" s="16"/>
      <c r="R952" s="16"/>
      <c r="S952" s="16"/>
      <c r="T952" s="16"/>
      <c r="U952" s="16"/>
      <c r="V952" s="16"/>
      <c r="W952" s="16"/>
      <c r="X952" s="16"/>
      <c r="Y952" s="16"/>
      <c r="Z952" s="16"/>
    </row>
    <row r="953" ht="12.75" spans="1:26">
      <c r="A953" s="23"/>
      <c r="B953" s="16"/>
      <c r="C953" s="23"/>
      <c r="D953" s="24"/>
      <c r="E953" s="16"/>
      <c r="F953" s="24"/>
      <c r="G953" s="24"/>
      <c r="H953" s="16"/>
      <c r="I953" s="16"/>
      <c r="J953" s="16"/>
      <c r="K953" s="16"/>
      <c r="L953" s="16"/>
      <c r="M953" s="16"/>
      <c r="N953" s="16"/>
      <c r="O953" s="16"/>
      <c r="P953" s="16"/>
      <c r="Q953" s="16"/>
      <c r="R953" s="16"/>
      <c r="S953" s="16"/>
      <c r="T953" s="16"/>
      <c r="U953" s="16"/>
      <c r="V953" s="16"/>
      <c r="W953" s="16"/>
      <c r="X953" s="16"/>
      <c r="Y953" s="16"/>
      <c r="Z953" s="16"/>
    </row>
    <row r="954" ht="12.75" spans="1:26">
      <c r="A954" s="23"/>
      <c r="B954" s="16"/>
      <c r="C954" s="23"/>
      <c r="D954" s="24"/>
      <c r="E954" s="16"/>
      <c r="F954" s="24"/>
      <c r="G954" s="24"/>
      <c r="H954" s="16"/>
      <c r="I954" s="16"/>
      <c r="J954" s="16"/>
      <c r="K954" s="16"/>
      <c r="L954" s="16"/>
      <c r="M954" s="16"/>
      <c r="N954" s="16"/>
      <c r="O954" s="16"/>
      <c r="P954" s="16"/>
      <c r="Q954" s="16"/>
      <c r="R954" s="16"/>
      <c r="S954" s="16"/>
      <c r="T954" s="16"/>
      <c r="U954" s="16"/>
      <c r="V954" s="16"/>
      <c r="W954" s="16"/>
      <c r="X954" s="16"/>
      <c r="Y954" s="16"/>
      <c r="Z954" s="16"/>
    </row>
    <row r="955" ht="12.75" spans="1:26">
      <c r="A955" s="23"/>
      <c r="B955" s="16"/>
      <c r="C955" s="23"/>
      <c r="D955" s="24"/>
      <c r="E955" s="16"/>
      <c r="F955" s="24"/>
      <c r="G955" s="24"/>
      <c r="H955" s="16"/>
      <c r="I955" s="16"/>
      <c r="J955" s="16"/>
      <c r="K955" s="16"/>
      <c r="L955" s="16"/>
      <c r="M955" s="16"/>
      <c r="N955" s="16"/>
      <c r="O955" s="16"/>
      <c r="P955" s="16"/>
      <c r="Q955" s="16"/>
      <c r="R955" s="16"/>
      <c r="S955" s="16"/>
      <c r="T955" s="16"/>
      <c r="U955" s="16"/>
      <c r="V955" s="16"/>
      <c r="W955" s="16"/>
      <c r="X955" s="16"/>
      <c r="Y955" s="16"/>
      <c r="Z955" s="16"/>
    </row>
    <row r="956" ht="12.75" spans="1:26">
      <c r="A956" s="23"/>
      <c r="B956" s="16"/>
      <c r="C956" s="23"/>
      <c r="D956" s="24"/>
      <c r="E956" s="16"/>
      <c r="F956" s="24"/>
      <c r="G956" s="24"/>
      <c r="H956" s="16"/>
      <c r="I956" s="16"/>
      <c r="J956" s="16"/>
      <c r="K956" s="16"/>
      <c r="L956" s="16"/>
      <c r="M956" s="16"/>
      <c r="N956" s="16"/>
      <c r="O956" s="16"/>
      <c r="P956" s="16"/>
      <c r="Q956" s="16"/>
      <c r="R956" s="16"/>
      <c r="S956" s="16"/>
      <c r="T956" s="16"/>
      <c r="U956" s="16"/>
      <c r="V956" s="16"/>
      <c r="W956" s="16"/>
      <c r="X956" s="16"/>
      <c r="Y956" s="16"/>
      <c r="Z956" s="16"/>
    </row>
    <row r="957" ht="12.75" spans="1:26">
      <c r="A957" s="23"/>
      <c r="B957" s="16"/>
      <c r="C957" s="23"/>
      <c r="D957" s="24"/>
      <c r="E957" s="16"/>
      <c r="F957" s="24"/>
      <c r="G957" s="24"/>
      <c r="H957" s="16"/>
      <c r="I957" s="16"/>
      <c r="J957" s="16"/>
      <c r="K957" s="16"/>
      <c r="L957" s="16"/>
      <c r="M957" s="16"/>
      <c r="N957" s="16"/>
      <c r="O957" s="16"/>
      <c r="P957" s="16"/>
      <c r="Q957" s="16"/>
      <c r="R957" s="16"/>
      <c r="S957" s="16"/>
      <c r="T957" s="16"/>
      <c r="U957" s="16"/>
      <c r="V957" s="16"/>
      <c r="W957" s="16"/>
      <c r="X957" s="16"/>
      <c r="Y957" s="16"/>
      <c r="Z957" s="16"/>
    </row>
    <row r="958" ht="12.75" spans="1:26">
      <c r="A958" s="23"/>
      <c r="B958" s="16"/>
      <c r="C958" s="23"/>
      <c r="D958" s="24"/>
      <c r="E958" s="16"/>
      <c r="F958" s="24"/>
      <c r="G958" s="24"/>
      <c r="H958" s="16"/>
      <c r="I958" s="16"/>
      <c r="J958" s="16"/>
      <c r="K958" s="16"/>
      <c r="L958" s="16"/>
      <c r="M958" s="16"/>
      <c r="N958" s="16"/>
      <c r="O958" s="16"/>
      <c r="P958" s="16"/>
      <c r="Q958" s="16"/>
      <c r="R958" s="16"/>
      <c r="S958" s="16"/>
      <c r="T958" s="16"/>
      <c r="U958" s="16"/>
      <c r="V958" s="16"/>
      <c r="W958" s="16"/>
      <c r="X958" s="16"/>
      <c r="Y958" s="16"/>
      <c r="Z958" s="16"/>
    </row>
    <row r="959" ht="12.75" spans="1:26">
      <c r="A959" s="23"/>
      <c r="B959" s="16"/>
      <c r="C959" s="23"/>
      <c r="D959" s="24"/>
      <c r="E959" s="16"/>
      <c r="F959" s="24"/>
      <c r="G959" s="24"/>
      <c r="H959" s="16"/>
      <c r="I959" s="16"/>
      <c r="J959" s="16"/>
      <c r="K959" s="16"/>
      <c r="L959" s="16"/>
      <c r="M959" s="16"/>
      <c r="N959" s="16"/>
      <c r="O959" s="16"/>
      <c r="P959" s="16"/>
      <c r="Q959" s="16"/>
      <c r="R959" s="16"/>
      <c r="S959" s="16"/>
      <c r="T959" s="16"/>
      <c r="U959" s="16"/>
      <c r="V959" s="16"/>
      <c r="W959" s="16"/>
      <c r="X959" s="16"/>
      <c r="Y959" s="16"/>
      <c r="Z959" s="16"/>
    </row>
    <row r="960" ht="12.75" spans="1:26">
      <c r="A960" s="23"/>
      <c r="B960" s="16"/>
      <c r="C960" s="23"/>
      <c r="D960" s="24"/>
      <c r="E960" s="16"/>
      <c r="F960" s="24"/>
      <c r="G960" s="24"/>
      <c r="H960" s="16"/>
      <c r="I960" s="16"/>
      <c r="J960" s="16"/>
      <c r="K960" s="16"/>
      <c r="L960" s="16"/>
      <c r="M960" s="16"/>
      <c r="N960" s="16"/>
      <c r="O960" s="16"/>
      <c r="P960" s="16"/>
      <c r="Q960" s="16"/>
      <c r="R960" s="16"/>
      <c r="S960" s="16"/>
      <c r="T960" s="16"/>
      <c r="U960" s="16"/>
      <c r="V960" s="16"/>
      <c r="W960" s="16"/>
      <c r="X960" s="16"/>
      <c r="Y960" s="16"/>
      <c r="Z960" s="16"/>
    </row>
    <row r="961" ht="12.75" spans="1:26">
      <c r="A961" s="23"/>
      <c r="B961" s="16"/>
      <c r="C961" s="23"/>
      <c r="D961" s="24"/>
      <c r="E961" s="16"/>
      <c r="F961" s="24"/>
      <c r="G961" s="24"/>
      <c r="H961" s="16"/>
      <c r="I961" s="16"/>
      <c r="J961" s="16"/>
      <c r="K961" s="16"/>
      <c r="L961" s="16"/>
      <c r="M961" s="16"/>
      <c r="N961" s="16"/>
      <c r="O961" s="16"/>
      <c r="P961" s="16"/>
      <c r="Q961" s="16"/>
      <c r="R961" s="16"/>
      <c r="S961" s="16"/>
      <c r="T961" s="16"/>
      <c r="U961" s="16"/>
      <c r="V961" s="16"/>
      <c r="W961" s="16"/>
      <c r="X961" s="16"/>
      <c r="Y961" s="16"/>
      <c r="Z961" s="16"/>
    </row>
    <row r="962" ht="12.75" spans="1:26">
      <c r="A962" s="23"/>
      <c r="B962" s="16"/>
      <c r="C962" s="23"/>
      <c r="D962" s="24"/>
      <c r="E962" s="16"/>
      <c r="F962" s="24"/>
      <c r="G962" s="24"/>
      <c r="H962" s="16"/>
      <c r="I962" s="16"/>
      <c r="J962" s="16"/>
      <c r="K962" s="16"/>
      <c r="L962" s="16"/>
      <c r="M962" s="16"/>
      <c r="N962" s="16"/>
      <c r="O962" s="16"/>
      <c r="P962" s="16"/>
      <c r="Q962" s="16"/>
      <c r="R962" s="16"/>
      <c r="S962" s="16"/>
      <c r="T962" s="16"/>
      <c r="U962" s="16"/>
      <c r="V962" s="16"/>
      <c r="W962" s="16"/>
      <c r="X962" s="16"/>
      <c r="Y962" s="16"/>
      <c r="Z962" s="16"/>
    </row>
    <row r="963" ht="12.75" spans="1:26">
      <c r="A963" s="23"/>
      <c r="B963" s="16"/>
      <c r="C963" s="23"/>
      <c r="D963" s="24"/>
      <c r="E963" s="16"/>
      <c r="F963" s="24"/>
      <c r="G963" s="24"/>
      <c r="H963" s="16"/>
      <c r="I963" s="16"/>
      <c r="J963" s="16"/>
      <c r="K963" s="16"/>
      <c r="L963" s="16"/>
      <c r="M963" s="16"/>
      <c r="N963" s="16"/>
      <c r="O963" s="16"/>
      <c r="P963" s="16"/>
      <c r="Q963" s="16"/>
      <c r="R963" s="16"/>
      <c r="S963" s="16"/>
      <c r="T963" s="16"/>
      <c r="U963" s="16"/>
      <c r="V963" s="16"/>
      <c r="W963" s="16"/>
      <c r="X963" s="16"/>
      <c r="Y963" s="16"/>
      <c r="Z963" s="16"/>
    </row>
    <row r="964" ht="12.75" spans="1:26">
      <c r="A964" s="23"/>
      <c r="B964" s="16"/>
      <c r="C964" s="23"/>
      <c r="D964" s="24"/>
      <c r="E964" s="16"/>
      <c r="F964" s="24"/>
      <c r="G964" s="24"/>
      <c r="H964" s="16"/>
      <c r="I964" s="16"/>
      <c r="J964" s="16"/>
      <c r="K964" s="16"/>
      <c r="L964" s="16"/>
      <c r="M964" s="16"/>
      <c r="N964" s="16"/>
      <c r="O964" s="16"/>
      <c r="P964" s="16"/>
      <c r="Q964" s="16"/>
      <c r="R964" s="16"/>
      <c r="S964" s="16"/>
      <c r="T964" s="16"/>
      <c r="U964" s="16"/>
      <c r="V964" s="16"/>
      <c r="W964" s="16"/>
      <c r="X964" s="16"/>
      <c r="Y964" s="16"/>
      <c r="Z964" s="16"/>
    </row>
    <row r="965" ht="12.75" spans="1:26">
      <c r="A965" s="23"/>
      <c r="B965" s="16"/>
      <c r="C965" s="23"/>
      <c r="D965" s="24"/>
      <c r="E965" s="16"/>
      <c r="F965" s="24"/>
      <c r="G965" s="24"/>
      <c r="H965" s="16"/>
      <c r="I965" s="16"/>
      <c r="J965" s="16"/>
      <c r="K965" s="16"/>
      <c r="L965" s="16"/>
      <c r="M965" s="16"/>
      <c r="N965" s="16"/>
      <c r="O965" s="16"/>
      <c r="P965" s="16"/>
      <c r="Q965" s="16"/>
      <c r="R965" s="16"/>
      <c r="S965" s="16"/>
      <c r="T965" s="16"/>
      <c r="U965" s="16"/>
      <c r="V965" s="16"/>
      <c r="W965" s="16"/>
      <c r="X965" s="16"/>
      <c r="Y965" s="16"/>
      <c r="Z965" s="16"/>
    </row>
    <row r="966" ht="12.75" spans="1:26">
      <c r="A966" s="23"/>
      <c r="B966" s="16"/>
      <c r="C966" s="23"/>
      <c r="D966" s="24"/>
      <c r="E966" s="16"/>
      <c r="F966" s="24"/>
      <c r="G966" s="24"/>
      <c r="H966" s="16"/>
      <c r="I966" s="16"/>
      <c r="J966" s="16"/>
      <c r="K966" s="16"/>
      <c r="L966" s="16"/>
      <c r="M966" s="16"/>
      <c r="N966" s="16"/>
      <c r="O966" s="16"/>
      <c r="P966" s="16"/>
      <c r="Q966" s="16"/>
      <c r="R966" s="16"/>
      <c r="S966" s="16"/>
      <c r="T966" s="16"/>
      <c r="U966" s="16"/>
      <c r="V966" s="16"/>
      <c r="W966" s="16"/>
      <c r="X966" s="16"/>
      <c r="Y966" s="16"/>
      <c r="Z966" s="16"/>
    </row>
    <row r="967" ht="12.75" spans="1:26">
      <c r="A967" s="23"/>
      <c r="B967" s="16"/>
      <c r="C967" s="23"/>
      <c r="D967" s="24"/>
      <c r="E967" s="16"/>
      <c r="F967" s="24"/>
      <c r="G967" s="24"/>
      <c r="H967" s="16"/>
      <c r="I967" s="16"/>
      <c r="J967" s="16"/>
      <c r="K967" s="16"/>
      <c r="L967" s="16"/>
      <c r="M967" s="16"/>
      <c r="N967" s="16"/>
      <c r="O967" s="16"/>
      <c r="P967" s="16"/>
      <c r="Q967" s="16"/>
      <c r="R967" s="16"/>
      <c r="S967" s="16"/>
      <c r="T967" s="16"/>
      <c r="U967" s="16"/>
      <c r="V967" s="16"/>
      <c r="W967" s="16"/>
      <c r="X967" s="16"/>
      <c r="Y967" s="16"/>
      <c r="Z967" s="16"/>
    </row>
    <row r="968" ht="12.75" spans="1:26">
      <c r="A968" s="23"/>
      <c r="B968" s="16"/>
      <c r="C968" s="23"/>
      <c r="D968" s="24"/>
      <c r="E968" s="16"/>
      <c r="F968" s="24"/>
      <c r="G968" s="24"/>
      <c r="H968" s="16"/>
      <c r="I968" s="16"/>
      <c r="J968" s="16"/>
      <c r="K968" s="16"/>
      <c r="L968" s="16"/>
      <c r="M968" s="16"/>
      <c r="N968" s="16"/>
      <c r="O968" s="16"/>
      <c r="P968" s="16"/>
      <c r="Q968" s="16"/>
      <c r="R968" s="16"/>
      <c r="S968" s="16"/>
      <c r="T968" s="16"/>
      <c r="U968" s="16"/>
      <c r="V968" s="16"/>
      <c r="W968" s="16"/>
      <c r="X968" s="16"/>
      <c r="Y968" s="16"/>
      <c r="Z968" s="16"/>
    </row>
    <row r="969" ht="12.75" spans="1:26">
      <c r="A969" s="23"/>
      <c r="B969" s="16"/>
      <c r="C969" s="23"/>
      <c r="D969" s="24"/>
      <c r="E969" s="16"/>
      <c r="F969" s="24"/>
      <c r="G969" s="24"/>
      <c r="H969" s="16"/>
      <c r="I969" s="16"/>
      <c r="J969" s="16"/>
      <c r="K969" s="16"/>
      <c r="L969" s="16"/>
      <c r="M969" s="16"/>
      <c r="N969" s="16"/>
      <c r="O969" s="16"/>
      <c r="P969" s="16"/>
      <c r="Q969" s="16"/>
      <c r="R969" s="16"/>
      <c r="S969" s="16"/>
      <c r="T969" s="16"/>
      <c r="U969" s="16"/>
      <c r="V969" s="16"/>
      <c r="W969" s="16"/>
      <c r="X969" s="16"/>
      <c r="Y969" s="16"/>
      <c r="Z969" s="16"/>
    </row>
    <row r="970" ht="12.75" spans="1:26">
      <c r="A970" s="23"/>
      <c r="B970" s="16"/>
      <c r="C970" s="23"/>
      <c r="D970" s="24"/>
      <c r="E970" s="16"/>
      <c r="F970" s="24"/>
      <c r="G970" s="24"/>
      <c r="H970" s="16"/>
      <c r="I970" s="16"/>
      <c r="J970" s="16"/>
      <c r="K970" s="16"/>
      <c r="L970" s="16"/>
      <c r="M970" s="16"/>
      <c r="N970" s="16"/>
      <c r="O970" s="16"/>
      <c r="P970" s="16"/>
      <c r="Q970" s="16"/>
      <c r="R970" s="16"/>
      <c r="S970" s="16"/>
      <c r="T970" s="16"/>
      <c r="U970" s="16"/>
      <c r="V970" s="16"/>
      <c r="W970" s="16"/>
      <c r="X970" s="16"/>
      <c r="Y970" s="16"/>
      <c r="Z970" s="16"/>
    </row>
    <row r="971" ht="12.75" spans="1:26">
      <c r="A971" s="23"/>
      <c r="B971" s="16"/>
      <c r="C971" s="23"/>
      <c r="D971" s="24"/>
      <c r="E971" s="16"/>
      <c r="F971" s="24"/>
      <c r="G971" s="24"/>
      <c r="H971" s="16"/>
      <c r="I971" s="16"/>
      <c r="J971" s="16"/>
      <c r="K971" s="16"/>
      <c r="L971" s="16"/>
      <c r="M971" s="16"/>
      <c r="N971" s="16"/>
      <c r="O971" s="16"/>
      <c r="P971" s="16"/>
      <c r="Q971" s="16"/>
      <c r="R971" s="16"/>
      <c r="S971" s="16"/>
      <c r="T971" s="16"/>
      <c r="U971" s="16"/>
      <c r="V971" s="16"/>
      <c r="W971" s="16"/>
      <c r="X971" s="16"/>
      <c r="Y971" s="16"/>
      <c r="Z971" s="16"/>
    </row>
    <row r="972" ht="12.75" spans="1:26">
      <c r="A972" s="23"/>
      <c r="B972" s="16"/>
      <c r="C972" s="23"/>
      <c r="D972" s="24"/>
      <c r="E972" s="16"/>
      <c r="F972" s="24"/>
      <c r="G972" s="24"/>
      <c r="H972" s="16"/>
      <c r="I972" s="16"/>
      <c r="J972" s="16"/>
      <c r="K972" s="16"/>
      <c r="L972" s="16"/>
      <c r="M972" s="16"/>
      <c r="N972" s="16"/>
      <c r="O972" s="16"/>
      <c r="P972" s="16"/>
      <c r="Q972" s="16"/>
      <c r="R972" s="16"/>
      <c r="S972" s="16"/>
      <c r="T972" s="16"/>
      <c r="U972" s="16"/>
      <c r="V972" s="16"/>
      <c r="W972" s="16"/>
      <c r="X972" s="16"/>
      <c r="Y972" s="16"/>
      <c r="Z972" s="16"/>
    </row>
    <row r="973" ht="12.75" spans="1:26">
      <c r="A973" s="23"/>
      <c r="B973" s="16"/>
      <c r="C973" s="23"/>
      <c r="D973" s="24"/>
      <c r="E973" s="16"/>
      <c r="F973" s="24"/>
      <c r="G973" s="24"/>
      <c r="H973" s="16"/>
      <c r="I973" s="16"/>
      <c r="J973" s="16"/>
      <c r="K973" s="16"/>
      <c r="L973" s="16"/>
      <c r="M973" s="16"/>
      <c r="N973" s="16"/>
      <c r="O973" s="16"/>
      <c r="P973" s="16"/>
      <c r="Q973" s="16"/>
      <c r="R973" s="16"/>
      <c r="S973" s="16"/>
      <c r="T973" s="16"/>
      <c r="U973" s="16"/>
      <c r="V973" s="16"/>
      <c r="W973" s="16"/>
      <c r="X973" s="16"/>
      <c r="Y973" s="16"/>
      <c r="Z973" s="16"/>
    </row>
    <row r="974" ht="12.75" spans="1:26">
      <c r="A974" s="23"/>
      <c r="B974" s="16"/>
      <c r="C974" s="23"/>
      <c r="D974" s="24"/>
      <c r="E974" s="16"/>
      <c r="F974" s="24"/>
      <c r="G974" s="24"/>
      <c r="H974" s="16"/>
      <c r="I974" s="16"/>
      <c r="J974" s="16"/>
      <c r="K974" s="16"/>
      <c r="L974" s="16"/>
      <c r="M974" s="16"/>
      <c r="N974" s="16"/>
      <c r="O974" s="16"/>
      <c r="P974" s="16"/>
      <c r="Q974" s="16"/>
      <c r="R974" s="16"/>
      <c r="S974" s="16"/>
      <c r="T974" s="16"/>
      <c r="U974" s="16"/>
      <c r="V974" s="16"/>
      <c r="W974" s="16"/>
      <c r="X974" s="16"/>
      <c r="Y974" s="16"/>
      <c r="Z974" s="16"/>
    </row>
    <row r="975" ht="12.75" spans="1:26">
      <c r="A975" s="23"/>
      <c r="B975" s="16"/>
      <c r="C975" s="23"/>
      <c r="D975" s="24"/>
      <c r="E975" s="16"/>
      <c r="F975" s="24"/>
      <c r="G975" s="24"/>
      <c r="H975" s="16"/>
      <c r="I975" s="16"/>
      <c r="J975" s="16"/>
      <c r="K975" s="16"/>
      <c r="L975" s="16"/>
      <c r="M975" s="16"/>
      <c r="N975" s="16"/>
      <c r="O975" s="16"/>
      <c r="P975" s="16"/>
      <c r="Q975" s="16"/>
      <c r="R975" s="16"/>
      <c r="S975" s="16"/>
      <c r="T975" s="16"/>
      <c r="U975" s="16"/>
      <c r="V975" s="16"/>
      <c r="W975" s="16"/>
      <c r="X975" s="16"/>
      <c r="Y975" s="16"/>
      <c r="Z975" s="16"/>
    </row>
    <row r="976" ht="12.75" spans="1:26">
      <c r="A976" s="23"/>
      <c r="B976" s="16"/>
      <c r="C976" s="23"/>
      <c r="D976" s="24"/>
      <c r="E976" s="16"/>
      <c r="F976" s="24"/>
      <c r="G976" s="24"/>
      <c r="H976" s="16"/>
      <c r="I976" s="16"/>
      <c r="J976" s="16"/>
      <c r="K976" s="16"/>
      <c r="L976" s="16"/>
      <c r="M976" s="16"/>
      <c r="N976" s="16"/>
      <c r="O976" s="16"/>
      <c r="P976" s="16"/>
      <c r="Q976" s="16"/>
      <c r="R976" s="16"/>
      <c r="S976" s="16"/>
      <c r="T976" s="16"/>
      <c r="U976" s="16"/>
      <c r="V976" s="16"/>
      <c r="W976" s="16"/>
      <c r="X976" s="16"/>
      <c r="Y976" s="16"/>
      <c r="Z976" s="16"/>
    </row>
    <row r="977" ht="12.75" spans="1:26">
      <c r="A977" s="23"/>
      <c r="B977" s="16"/>
      <c r="C977" s="23"/>
      <c r="D977" s="24"/>
      <c r="E977" s="16"/>
      <c r="F977" s="24"/>
      <c r="G977" s="24"/>
      <c r="H977" s="16"/>
      <c r="I977" s="16"/>
      <c r="J977" s="16"/>
      <c r="K977" s="16"/>
      <c r="L977" s="16"/>
      <c r="M977" s="16"/>
      <c r="N977" s="16"/>
      <c r="O977" s="16"/>
      <c r="P977" s="16"/>
      <c r="Q977" s="16"/>
      <c r="R977" s="16"/>
      <c r="S977" s="16"/>
      <c r="T977" s="16"/>
      <c r="U977" s="16"/>
      <c r="V977" s="16"/>
      <c r="W977" s="16"/>
      <c r="X977" s="16"/>
      <c r="Y977" s="16"/>
      <c r="Z977" s="16"/>
    </row>
    <row r="978" ht="12.75" spans="1:26">
      <c r="A978" s="23"/>
      <c r="B978" s="16"/>
      <c r="C978" s="23"/>
      <c r="D978" s="24"/>
      <c r="E978" s="16"/>
      <c r="F978" s="24"/>
      <c r="G978" s="24"/>
      <c r="H978" s="16"/>
      <c r="I978" s="16"/>
      <c r="J978" s="16"/>
      <c r="K978" s="16"/>
      <c r="L978" s="16"/>
      <c r="M978" s="16"/>
      <c r="N978" s="16"/>
      <c r="O978" s="16"/>
      <c r="P978" s="16"/>
      <c r="Q978" s="16"/>
      <c r="R978" s="16"/>
      <c r="S978" s="16"/>
      <c r="T978" s="16"/>
      <c r="U978" s="16"/>
      <c r="V978" s="16"/>
      <c r="W978" s="16"/>
      <c r="X978" s="16"/>
      <c r="Y978" s="16"/>
      <c r="Z978" s="16"/>
    </row>
    <row r="979" ht="12.75" spans="1:26">
      <c r="A979" s="23"/>
      <c r="B979" s="16"/>
      <c r="C979" s="23"/>
      <c r="D979" s="24"/>
      <c r="E979" s="16"/>
      <c r="F979" s="24"/>
      <c r="G979" s="24"/>
      <c r="H979" s="16"/>
      <c r="I979" s="16"/>
      <c r="J979" s="16"/>
      <c r="K979" s="16"/>
      <c r="L979" s="16"/>
      <c r="M979" s="16"/>
      <c r="N979" s="16"/>
      <c r="O979" s="16"/>
      <c r="P979" s="16"/>
      <c r="Q979" s="16"/>
      <c r="R979" s="16"/>
      <c r="S979" s="16"/>
      <c r="T979" s="16"/>
      <c r="U979" s="16"/>
      <c r="V979" s="16"/>
      <c r="W979" s="16"/>
      <c r="X979" s="16"/>
      <c r="Y979" s="16"/>
      <c r="Z979" s="16"/>
    </row>
    <row r="980" ht="12.75" spans="1:26">
      <c r="A980" s="23"/>
      <c r="B980" s="16"/>
      <c r="C980" s="23"/>
      <c r="D980" s="24"/>
      <c r="E980" s="16"/>
      <c r="F980" s="24"/>
      <c r="G980" s="24"/>
      <c r="H980" s="16"/>
      <c r="I980" s="16"/>
      <c r="J980" s="16"/>
      <c r="K980" s="16"/>
      <c r="L980" s="16"/>
      <c r="M980" s="16"/>
      <c r="N980" s="16"/>
      <c r="O980" s="16"/>
      <c r="P980" s="16"/>
      <c r="Q980" s="16"/>
      <c r="R980" s="16"/>
      <c r="S980" s="16"/>
      <c r="T980" s="16"/>
      <c r="U980" s="16"/>
      <c r="V980" s="16"/>
      <c r="W980" s="16"/>
      <c r="X980" s="16"/>
      <c r="Y980" s="16"/>
      <c r="Z980" s="16"/>
    </row>
    <row r="981" ht="12.75" spans="1:26">
      <c r="A981" s="23"/>
      <c r="B981" s="16"/>
      <c r="C981" s="23"/>
      <c r="D981" s="24"/>
      <c r="E981" s="16"/>
      <c r="F981" s="24"/>
      <c r="G981" s="24"/>
      <c r="H981" s="16"/>
      <c r="I981" s="16"/>
      <c r="J981" s="16"/>
      <c r="K981" s="16"/>
      <c r="L981" s="16"/>
      <c r="M981" s="16"/>
      <c r="N981" s="16"/>
      <c r="O981" s="16"/>
      <c r="P981" s="16"/>
      <c r="Q981" s="16"/>
      <c r="R981" s="16"/>
      <c r="S981" s="16"/>
      <c r="T981" s="16"/>
      <c r="U981" s="16"/>
      <c r="V981" s="16"/>
      <c r="W981" s="16"/>
      <c r="X981" s="16"/>
      <c r="Y981" s="16"/>
      <c r="Z981" s="16"/>
    </row>
    <row r="982" ht="12.75" spans="1:26">
      <c r="A982" s="23"/>
      <c r="B982" s="16"/>
      <c r="C982" s="23"/>
      <c r="D982" s="24"/>
      <c r="E982" s="16"/>
      <c r="F982" s="24"/>
      <c r="G982" s="24"/>
      <c r="H982" s="16"/>
      <c r="I982" s="16"/>
      <c r="J982" s="16"/>
      <c r="K982" s="16"/>
      <c r="L982" s="16"/>
      <c r="M982" s="16"/>
      <c r="N982" s="16"/>
      <c r="O982" s="16"/>
      <c r="P982" s="16"/>
      <c r="Q982" s="16"/>
      <c r="R982" s="16"/>
      <c r="S982" s="16"/>
      <c r="T982" s="16"/>
      <c r="U982" s="16"/>
      <c r="V982" s="16"/>
      <c r="W982" s="16"/>
      <c r="X982" s="16"/>
      <c r="Y982" s="16"/>
      <c r="Z982" s="16"/>
    </row>
    <row r="983" ht="12.75" spans="1:26">
      <c r="A983" s="23"/>
      <c r="B983" s="16"/>
      <c r="C983" s="23"/>
      <c r="D983" s="24"/>
      <c r="E983" s="16"/>
      <c r="F983" s="24"/>
      <c r="G983" s="24"/>
      <c r="H983" s="16"/>
      <c r="I983" s="16"/>
      <c r="J983" s="16"/>
      <c r="K983" s="16"/>
      <c r="L983" s="16"/>
      <c r="M983" s="16"/>
      <c r="N983" s="16"/>
      <c r="O983" s="16"/>
      <c r="P983" s="16"/>
      <c r="Q983" s="16"/>
      <c r="R983" s="16"/>
      <c r="S983" s="16"/>
      <c r="T983" s="16"/>
      <c r="U983" s="16"/>
      <c r="V983" s="16"/>
      <c r="W983" s="16"/>
      <c r="X983" s="16"/>
      <c r="Y983" s="16"/>
      <c r="Z983" s="16"/>
    </row>
    <row r="984" ht="12.75" spans="1:26">
      <c r="A984" s="23"/>
      <c r="B984" s="16"/>
      <c r="C984" s="23"/>
      <c r="D984" s="24"/>
      <c r="E984" s="16"/>
      <c r="F984" s="24"/>
      <c r="G984" s="24"/>
      <c r="H984" s="16"/>
      <c r="I984" s="16"/>
      <c r="J984" s="16"/>
      <c r="K984" s="16"/>
      <c r="L984" s="16"/>
      <c r="M984" s="16"/>
      <c r="N984" s="16"/>
      <c r="O984" s="16"/>
      <c r="P984" s="16"/>
      <c r="Q984" s="16"/>
      <c r="R984" s="16"/>
      <c r="S984" s="16"/>
      <c r="T984" s="16"/>
      <c r="U984" s="16"/>
      <c r="V984" s="16"/>
      <c r="W984" s="16"/>
      <c r="X984" s="16"/>
      <c r="Y984" s="16"/>
      <c r="Z984" s="16"/>
    </row>
    <row r="985" ht="12.75" spans="1:26">
      <c r="A985" s="23"/>
      <c r="B985" s="16"/>
      <c r="C985" s="23"/>
      <c r="D985" s="24"/>
      <c r="E985" s="16"/>
      <c r="F985" s="24"/>
      <c r="G985" s="24"/>
      <c r="H985" s="16"/>
      <c r="I985" s="16"/>
      <c r="J985" s="16"/>
      <c r="K985" s="16"/>
      <c r="L985" s="16"/>
      <c r="M985" s="16"/>
      <c r="N985" s="16"/>
      <c r="O985" s="16"/>
      <c r="P985" s="16"/>
      <c r="Q985" s="16"/>
      <c r="R985" s="16"/>
      <c r="S985" s="16"/>
      <c r="T985" s="16"/>
      <c r="U985" s="16"/>
      <c r="V985" s="16"/>
      <c r="W985" s="16"/>
      <c r="X985" s="16"/>
      <c r="Y985" s="16"/>
      <c r="Z985" s="16"/>
    </row>
    <row r="986" ht="12.75" spans="1:26">
      <c r="A986" s="23"/>
      <c r="B986" s="16"/>
      <c r="C986" s="23"/>
      <c r="D986" s="24"/>
      <c r="E986" s="16"/>
      <c r="F986" s="24"/>
      <c r="G986" s="24"/>
      <c r="H986" s="16"/>
      <c r="I986" s="16"/>
      <c r="J986" s="16"/>
      <c r="K986" s="16"/>
      <c r="L986" s="16"/>
      <c r="M986" s="16"/>
      <c r="N986" s="16"/>
      <c r="O986" s="16"/>
      <c r="P986" s="16"/>
      <c r="Q986" s="16"/>
      <c r="R986" s="16"/>
      <c r="S986" s="16"/>
      <c r="T986" s="16"/>
      <c r="U986" s="16"/>
      <c r="V986" s="16"/>
      <c r="W986" s="16"/>
      <c r="X986" s="16"/>
      <c r="Y986" s="16"/>
      <c r="Z986" s="16"/>
    </row>
    <row r="987" ht="12.75" spans="1:26">
      <c r="A987" s="23"/>
      <c r="B987" s="16"/>
      <c r="C987" s="23"/>
      <c r="D987" s="24"/>
      <c r="E987" s="16"/>
      <c r="F987" s="24"/>
      <c r="G987" s="24"/>
      <c r="H987" s="16"/>
      <c r="I987" s="16"/>
      <c r="J987" s="16"/>
      <c r="K987" s="16"/>
      <c r="L987" s="16"/>
      <c r="M987" s="16"/>
      <c r="N987" s="16"/>
      <c r="O987" s="16"/>
      <c r="P987" s="16"/>
      <c r="Q987" s="16"/>
      <c r="R987" s="16"/>
      <c r="S987" s="16"/>
      <c r="T987" s="16"/>
      <c r="U987" s="16"/>
      <c r="V987" s="16"/>
      <c r="W987" s="16"/>
      <c r="X987" s="16"/>
      <c r="Y987" s="16"/>
      <c r="Z987" s="16"/>
    </row>
    <row r="988" ht="12.75" spans="1:26">
      <c r="A988" s="23"/>
      <c r="B988" s="16"/>
      <c r="C988" s="23"/>
      <c r="D988" s="24"/>
      <c r="E988" s="16"/>
      <c r="F988" s="24"/>
      <c r="G988" s="24"/>
      <c r="H988" s="16"/>
      <c r="I988" s="16"/>
      <c r="J988" s="16"/>
      <c r="K988" s="16"/>
      <c r="L988" s="16"/>
      <c r="M988" s="16"/>
      <c r="N988" s="16"/>
      <c r="O988" s="16"/>
      <c r="P988" s="16"/>
      <c r="Q988" s="16"/>
      <c r="R988" s="16"/>
      <c r="S988" s="16"/>
      <c r="T988" s="16"/>
      <c r="U988" s="16"/>
      <c r="V988" s="16"/>
      <c r="W988" s="16"/>
      <c r="X988" s="16"/>
      <c r="Y988" s="16"/>
      <c r="Z988" s="16"/>
    </row>
    <row r="989" ht="12.75" spans="1:26">
      <c r="A989" s="23"/>
      <c r="B989" s="16"/>
      <c r="C989" s="23"/>
      <c r="D989" s="24"/>
      <c r="E989" s="16"/>
      <c r="F989" s="24"/>
      <c r="G989" s="24"/>
      <c r="H989" s="16"/>
      <c r="I989" s="16"/>
      <c r="J989" s="16"/>
      <c r="K989" s="16"/>
      <c r="L989" s="16"/>
      <c r="M989" s="16"/>
      <c r="N989" s="16"/>
      <c r="O989" s="16"/>
      <c r="P989" s="16"/>
      <c r="Q989" s="16"/>
      <c r="R989" s="16"/>
      <c r="S989" s="16"/>
      <c r="T989" s="16"/>
      <c r="U989" s="16"/>
      <c r="V989" s="16"/>
      <c r="W989" s="16"/>
      <c r="X989" s="16"/>
      <c r="Y989" s="16"/>
      <c r="Z989" s="16"/>
    </row>
    <row r="990" ht="12.75" spans="1:26">
      <c r="A990" s="23"/>
      <c r="B990" s="16"/>
      <c r="C990" s="23"/>
      <c r="D990" s="24"/>
      <c r="E990" s="16"/>
      <c r="F990" s="24"/>
      <c r="G990" s="24"/>
      <c r="H990" s="16"/>
      <c r="I990" s="16"/>
      <c r="J990" s="16"/>
      <c r="K990" s="16"/>
      <c r="L990" s="16"/>
      <c r="M990" s="16"/>
      <c r="N990" s="16"/>
      <c r="O990" s="16"/>
      <c r="P990" s="16"/>
      <c r="Q990" s="16"/>
      <c r="R990" s="16"/>
      <c r="S990" s="16"/>
      <c r="T990" s="16"/>
      <c r="U990" s="16"/>
      <c r="V990" s="16"/>
      <c r="W990" s="16"/>
      <c r="X990" s="16"/>
      <c r="Y990" s="16"/>
      <c r="Z990" s="16"/>
    </row>
    <row r="991" ht="12.75" spans="1:26">
      <c r="A991" s="23"/>
      <c r="B991" s="16"/>
      <c r="C991" s="23"/>
      <c r="D991" s="24"/>
      <c r="E991" s="16"/>
      <c r="F991" s="24"/>
      <c r="G991" s="24"/>
      <c r="H991" s="16"/>
      <c r="I991" s="16"/>
      <c r="J991" s="16"/>
      <c r="K991" s="16"/>
      <c r="L991" s="16"/>
      <c r="M991" s="16"/>
      <c r="N991" s="16"/>
      <c r="O991" s="16"/>
      <c r="P991" s="16"/>
      <c r="Q991" s="16"/>
      <c r="R991" s="16"/>
      <c r="S991" s="16"/>
      <c r="T991" s="16"/>
      <c r="U991" s="16"/>
      <c r="V991" s="16"/>
      <c r="W991" s="16"/>
      <c r="X991" s="16"/>
      <c r="Y991" s="16"/>
      <c r="Z991" s="16"/>
    </row>
    <row r="992" ht="12.75" spans="1:26">
      <c r="A992" s="23"/>
      <c r="B992" s="16"/>
      <c r="C992" s="23"/>
      <c r="D992" s="24"/>
      <c r="E992" s="16"/>
      <c r="F992" s="24"/>
      <c r="G992" s="24"/>
      <c r="H992" s="16"/>
      <c r="I992" s="16"/>
      <c r="J992" s="16"/>
      <c r="K992" s="16"/>
      <c r="L992" s="16"/>
      <c r="M992" s="16"/>
      <c r="N992" s="16"/>
      <c r="O992" s="16"/>
      <c r="P992" s="16"/>
      <c r="Q992" s="16"/>
      <c r="R992" s="16"/>
      <c r="S992" s="16"/>
      <c r="T992" s="16"/>
      <c r="U992" s="16"/>
      <c r="V992" s="16"/>
      <c r="W992" s="16"/>
      <c r="X992" s="16"/>
      <c r="Y992" s="16"/>
      <c r="Z992" s="16"/>
    </row>
    <row r="993" ht="12.75" spans="1:26">
      <c r="A993" s="23"/>
      <c r="B993" s="16"/>
      <c r="C993" s="23"/>
      <c r="D993" s="24"/>
      <c r="E993" s="16"/>
      <c r="F993" s="24"/>
      <c r="G993" s="24"/>
      <c r="H993" s="16"/>
      <c r="I993" s="16"/>
      <c r="J993" s="16"/>
      <c r="K993" s="16"/>
      <c r="L993" s="16"/>
      <c r="M993" s="16"/>
      <c r="N993" s="16"/>
      <c r="O993" s="16"/>
      <c r="P993" s="16"/>
      <c r="Q993" s="16"/>
      <c r="R993" s="16"/>
      <c r="S993" s="16"/>
      <c r="T993" s="16"/>
      <c r="U993" s="16"/>
      <c r="V993" s="16"/>
      <c r="W993" s="16"/>
      <c r="X993" s="16"/>
      <c r="Y993" s="16"/>
      <c r="Z993" s="16"/>
    </row>
    <row r="994" ht="12.75" spans="1:26">
      <c r="A994" s="23"/>
      <c r="B994" s="16"/>
      <c r="C994" s="23"/>
      <c r="D994" s="24"/>
      <c r="E994" s="16"/>
      <c r="F994" s="24"/>
      <c r="G994" s="24"/>
      <c r="H994" s="16"/>
      <c r="I994" s="16"/>
      <c r="J994" s="16"/>
      <c r="K994" s="16"/>
      <c r="L994" s="16"/>
      <c r="M994" s="16"/>
      <c r="N994" s="16"/>
      <c r="O994" s="16"/>
      <c r="P994" s="16"/>
      <c r="Q994" s="16"/>
      <c r="R994" s="16"/>
      <c r="S994" s="16"/>
      <c r="T994" s="16"/>
      <c r="U994" s="16"/>
      <c r="V994" s="16"/>
      <c r="W994" s="16"/>
      <c r="X994" s="16"/>
      <c r="Y994" s="16"/>
      <c r="Z994" s="16"/>
    </row>
    <row r="995" ht="12.75" spans="1:26">
      <c r="A995" s="23"/>
      <c r="B995" s="16"/>
      <c r="C995" s="23"/>
      <c r="D995" s="24"/>
      <c r="E995" s="16"/>
      <c r="F995" s="24"/>
      <c r="G995" s="24"/>
      <c r="H995" s="16"/>
      <c r="I995" s="16"/>
      <c r="J995" s="16"/>
      <c r="K995" s="16"/>
      <c r="L995" s="16"/>
      <c r="M995" s="16"/>
      <c r="N995" s="16"/>
      <c r="O995" s="16"/>
      <c r="P995" s="16"/>
      <c r="Q995" s="16"/>
      <c r="R995" s="16"/>
      <c r="S995" s="16"/>
      <c r="T995" s="16"/>
      <c r="U995" s="16"/>
      <c r="V995" s="16"/>
      <c r="W995" s="16"/>
      <c r="X995" s="16"/>
      <c r="Y995" s="16"/>
      <c r="Z995" s="16"/>
    </row>
    <row r="996" ht="12.75" spans="1:26">
      <c r="A996" s="23"/>
      <c r="B996" s="16"/>
      <c r="C996" s="23"/>
      <c r="D996" s="24"/>
      <c r="E996" s="16"/>
      <c r="F996" s="24"/>
      <c r="G996" s="24"/>
      <c r="H996" s="16"/>
      <c r="I996" s="16"/>
      <c r="J996" s="16"/>
      <c r="K996" s="16"/>
      <c r="L996" s="16"/>
      <c r="M996" s="16"/>
      <c r="N996" s="16"/>
      <c r="O996" s="16"/>
      <c r="P996" s="16"/>
      <c r="Q996" s="16"/>
      <c r="R996" s="16"/>
      <c r="S996" s="16"/>
      <c r="T996" s="16"/>
      <c r="U996" s="16"/>
      <c r="V996" s="16"/>
      <c r="W996" s="16"/>
      <c r="X996" s="16"/>
      <c r="Y996" s="16"/>
      <c r="Z996" s="16"/>
    </row>
    <row r="997" ht="12.75" spans="1:26">
      <c r="A997" s="23"/>
      <c r="B997" s="16"/>
      <c r="C997" s="23"/>
      <c r="D997" s="24"/>
      <c r="E997" s="16"/>
      <c r="F997" s="24"/>
      <c r="G997" s="24"/>
      <c r="H997" s="16"/>
      <c r="I997" s="16"/>
      <c r="J997" s="16"/>
      <c r="K997" s="16"/>
      <c r="L997" s="16"/>
      <c r="M997" s="16"/>
      <c r="N997" s="16"/>
      <c r="O997" s="16"/>
      <c r="P997" s="16"/>
      <c r="Q997" s="16"/>
      <c r="R997" s="16"/>
      <c r="S997" s="16"/>
      <c r="T997" s="16"/>
      <c r="U997" s="16"/>
      <c r="V997" s="16"/>
      <c r="W997" s="16"/>
      <c r="X997" s="16"/>
      <c r="Y997" s="16"/>
      <c r="Z997" s="16"/>
    </row>
    <row r="998" ht="12.75" spans="1:26">
      <c r="A998" s="23"/>
      <c r="B998" s="16"/>
      <c r="C998" s="23"/>
      <c r="D998" s="24"/>
      <c r="E998" s="16"/>
      <c r="F998" s="24"/>
      <c r="G998" s="24"/>
      <c r="H998" s="16"/>
      <c r="I998" s="16"/>
      <c r="J998" s="16"/>
      <c r="K998" s="16"/>
      <c r="L998" s="16"/>
      <c r="M998" s="16"/>
      <c r="N998" s="16"/>
      <c r="O998" s="16"/>
      <c r="P998" s="16"/>
      <c r="Q998" s="16"/>
      <c r="R998" s="16"/>
      <c r="S998" s="16"/>
      <c r="T998" s="16"/>
      <c r="U998" s="16"/>
      <c r="V998" s="16"/>
      <c r="W998" s="16"/>
      <c r="X998" s="16"/>
      <c r="Y998" s="16"/>
      <c r="Z998" s="16"/>
    </row>
    <row r="999" ht="12.75" spans="1:26">
      <c r="A999" s="23"/>
      <c r="B999" s="16"/>
      <c r="C999" s="23"/>
      <c r="D999" s="24"/>
      <c r="E999" s="16"/>
      <c r="F999" s="24"/>
      <c r="G999" s="24"/>
      <c r="H999" s="16"/>
      <c r="I999" s="16"/>
      <c r="J999" s="16"/>
      <c r="K999" s="16"/>
      <c r="L999" s="16"/>
      <c r="M999" s="16"/>
      <c r="N999" s="16"/>
      <c r="O999" s="16"/>
      <c r="P999" s="16"/>
      <c r="Q999" s="16"/>
      <c r="R999" s="16"/>
      <c r="S999" s="16"/>
      <c r="T999" s="16"/>
      <c r="U999" s="16"/>
      <c r="V999" s="16"/>
      <c r="W999" s="16"/>
      <c r="X999" s="16"/>
      <c r="Y999" s="16"/>
      <c r="Z999" s="16"/>
    </row>
    <row r="1000" ht="12.75" spans="1:26">
      <c r="A1000" s="23"/>
      <c r="B1000" s="16"/>
      <c r="C1000" s="23"/>
      <c r="D1000" s="24"/>
      <c r="E1000" s="16"/>
      <c r="F1000" s="24"/>
      <c r="G1000" s="24"/>
      <c r="H1000" s="16"/>
      <c r="I1000" s="16"/>
      <c r="J1000" s="16"/>
      <c r="K1000" s="16"/>
      <c r="L1000" s="16"/>
      <c r="M1000" s="16"/>
      <c r="N1000" s="16"/>
      <c r="O1000" s="16"/>
      <c r="P1000" s="16"/>
      <c r="Q1000" s="16"/>
      <c r="R1000" s="16"/>
      <c r="S1000" s="16"/>
      <c r="T1000" s="16"/>
      <c r="U1000" s="16"/>
      <c r="V1000" s="16"/>
      <c r="W1000" s="16"/>
      <c r="X1000" s="16"/>
      <c r="Y1000" s="16"/>
      <c r="Z1000" s="16"/>
    </row>
    <row r="1001" ht="12.75" spans="1:26">
      <c r="A1001" s="23"/>
      <c r="B1001" s="16"/>
      <c r="C1001" s="23"/>
      <c r="D1001" s="24"/>
      <c r="E1001" s="16"/>
      <c r="F1001" s="24"/>
      <c r="G1001" s="24"/>
      <c r="H1001" s="16"/>
      <c r="I1001" s="16"/>
      <c r="J1001" s="16"/>
      <c r="K1001" s="16"/>
      <c r="L1001" s="16"/>
      <c r="M1001" s="16"/>
      <c r="N1001" s="16"/>
      <c r="O1001" s="16"/>
      <c r="P1001" s="16"/>
      <c r="Q1001" s="16"/>
      <c r="R1001" s="16"/>
      <c r="S1001" s="16"/>
      <c r="T1001" s="16"/>
      <c r="U1001" s="16"/>
      <c r="V1001" s="16"/>
      <c r="W1001" s="16"/>
      <c r="X1001" s="16"/>
      <c r="Y1001" s="16"/>
      <c r="Z1001" s="16"/>
    </row>
    <row r="1002" ht="12.75" spans="1:26">
      <c r="A1002" s="23"/>
      <c r="B1002" s="16"/>
      <c r="C1002" s="23"/>
      <c r="D1002" s="24"/>
      <c r="E1002" s="16"/>
      <c r="F1002" s="24"/>
      <c r="G1002" s="24"/>
      <c r="H1002" s="16"/>
      <c r="I1002" s="16"/>
      <c r="J1002" s="16"/>
      <c r="K1002" s="16"/>
      <c r="L1002" s="16"/>
      <c r="M1002" s="16"/>
      <c r="N1002" s="16"/>
      <c r="O1002" s="16"/>
      <c r="P1002" s="16"/>
      <c r="Q1002" s="16"/>
      <c r="R1002" s="16"/>
      <c r="S1002" s="16"/>
      <c r="T1002" s="16"/>
      <c r="U1002" s="16"/>
      <c r="V1002" s="16"/>
      <c r="W1002" s="16"/>
      <c r="X1002" s="16"/>
      <c r="Y1002" s="16"/>
      <c r="Z1002" s="16"/>
    </row>
    <row r="1003" ht="12.75" spans="1:26">
      <c r="A1003" s="23"/>
      <c r="B1003" s="16"/>
      <c r="C1003" s="23"/>
      <c r="D1003" s="24"/>
      <c r="E1003" s="16"/>
      <c r="F1003" s="24"/>
      <c r="G1003" s="24"/>
      <c r="H1003" s="16"/>
      <c r="I1003" s="16"/>
      <c r="J1003" s="16"/>
      <c r="K1003" s="16"/>
      <c r="L1003" s="16"/>
      <c r="M1003" s="16"/>
      <c r="N1003" s="16"/>
      <c r="O1003" s="16"/>
      <c r="P1003" s="16"/>
      <c r="Q1003" s="16"/>
      <c r="R1003" s="16"/>
      <c r="S1003" s="16"/>
      <c r="T1003" s="16"/>
      <c r="U1003" s="16"/>
      <c r="V1003" s="16"/>
      <c r="W1003" s="16"/>
      <c r="X1003" s="16"/>
      <c r="Y1003" s="16"/>
      <c r="Z1003" s="16"/>
    </row>
    <row r="1004" ht="12.75" spans="1:26">
      <c r="A1004" s="23"/>
      <c r="B1004" s="16"/>
      <c r="C1004" s="23"/>
      <c r="D1004" s="24"/>
      <c r="E1004" s="16"/>
      <c r="F1004" s="24"/>
      <c r="G1004" s="24"/>
      <c r="H1004" s="16"/>
      <c r="I1004" s="16"/>
      <c r="J1004" s="16"/>
      <c r="K1004" s="16"/>
      <c r="L1004" s="16"/>
      <c r="M1004" s="16"/>
      <c r="N1004" s="16"/>
      <c r="O1004" s="16"/>
      <c r="P1004" s="16"/>
      <c r="Q1004" s="16"/>
      <c r="R1004" s="16"/>
      <c r="S1004" s="16"/>
      <c r="T1004" s="16"/>
      <c r="U1004" s="16"/>
      <c r="V1004" s="16"/>
      <c r="W1004" s="16"/>
      <c r="X1004" s="16"/>
      <c r="Y1004" s="16"/>
      <c r="Z1004" s="16"/>
    </row>
    <row r="1005" ht="12.75" spans="1:26">
      <c r="A1005" s="23"/>
      <c r="B1005" s="16"/>
      <c r="C1005" s="23"/>
      <c r="D1005" s="24"/>
      <c r="E1005" s="16"/>
      <c r="F1005" s="24"/>
      <c r="G1005" s="24"/>
      <c r="H1005" s="16"/>
      <c r="I1005" s="16"/>
      <c r="J1005" s="16"/>
      <c r="K1005" s="16"/>
      <c r="L1005" s="16"/>
      <c r="M1005" s="16"/>
      <c r="N1005" s="16"/>
      <c r="O1005" s="16"/>
      <c r="P1005" s="16"/>
      <c r="Q1005" s="16"/>
      <c r="R1005" s="16"/>
      <c r="S1005" s="16"/>
      <c r="T1005" s="16"/>
      <c r="U1005" s="16"/>
      <c r="V1005" s="16"/>
      <c r="W1005" s="16"/>
      <c r="X1005" s="16"/>
      <c r="Y1005" s="16"/>
      <c r="Z1005" s="16"/>
    </row>
    <row r="1006" ht="12.75" spans="1:26">
      <c r="A1006" s="23"/>
      <c r="B1006" s="16"/>
      <c r="C1006" s="23"/>
      <c r="D1006" s="24"/>
      <c r="E1006" s="16"/>
      <c r="F1006" s="24"/>
      <c r="G1006" s="24"/>
      <c r="H1006" s="16"/>
      <c r="I1006" s="16"/>
      <c r="J1006" s="16"/>
      <c r="K1006" s="16"/>
      <c r="L1006" s="16"/>
      <c r="M1006" s="16"/>
      <c r="N1006" s="16"/>
      <c r="O1006" s="16"/>
      <c r="P1006" s="16"/>
      <c r="Q1006" s="16"/>
      <c r="R1006" s="16"/>
      <c r="S1006" s="16"/>
      <c r="T1006" s="16"/>
      <c r="U1006" s="16"/>
      <c r="V1006" s="16"/>
      <c r="W1006" s="16"/>
      <c r="X1006" s="16"/>
      <c r="Y1006" s="16"/>
      <c r="Z1006" s="16"/>
    </row>
    <row r="1007" ht="12.75" spans="1:26">
      <c r="A1007" s="23"/>
      <c r="B1007" s="16"/>
      <c r="C1007" s="23"/>
      <c r="D1007" s="24"/>
      <c r="E1007" s="16"/>
      <c r="F1007" s="24"/>
      <c r="G1007" s="24"/>
      <c r="H1007" s="16"/>
      <c r="I1007" s="16"/>
      <c r="J1007" s="16"/>
      <c r="K1007" s="16"/>
      <c r="L1007" s="16"/>
      <c r="M1007" s="16"/>
      <c r="N1007" s="16"/>
      <c r="O1007" s="16"/>
      <c r="P1007" s="16"/>
      <c r="Q1007" s="16"/>
      <c r="R1007" s="16"/>
      <c r="S1007" s="16"/>
      <c r="T1007" s="16"/>
      <c r="U1007" s="16"/>
      <c r="V1007" s="16"/>
      <c r="W1007" s="16"/>
      <c r="X1007" s="16"/>
      <c r="Y1007" s="16"/>
      <c r="Z1007" s="16"/>
    </row>
    <row r="1008" ht="12.75" spans="1:26">
      <c r="A1008" s="23"/>
      <c r="B1008" s="16"/>
      <c r="C1008" s="23"/>
      <c r="D1008" s="24"/>
      <c r="E1008" s="16"/>
      <c r="F1008" s="24"/>
      <c r="G1008" s="24"/>
      <c r="H1008" s="16"/>
      <c r="I1008" s="16"/>
      <c r="J1008" s="16"/>
      <c r="K1008" s="16"/>
      <c r="L1008" s="16"/>
      <c r="M1008" s="16"/>
      <c r="N1008" s="16"/>
      <c r="O1008" s="16"/>
      <c r="P1008" s="16"/>
      <c r="Q1008" s="16"/>
      <c r="R1008" s="16"/>
      <c r="S1008" s="16"/>
      <c r="T1008" s="16"/>
      <c r="U1008" s="16"/>
      <c r="V1008" s="16"/>
      <c r="W1008" s="16"/>
      <c r="X1008" s="16"/>
      <c r="Y1008" s="16"/>
      <c r="Z1008" s="16"/>
    </row>
    <row r="1009" ht="12.75" spans="1:26">
      <c r="A1009" s="23"/>
      <c r="B1009" s="16"/>
      <c r="C1009" s="23"/>
      <c r="D1009" s="24"/>
      <c r="E1009" s="16"/>
      <c r="F1009" s="24"/>
      <c r="G1009" s="24"/>
      <c r="H1009" s="16"/>
      <c r="I1009" s="16"/>
      <c r="J1009" s="16"/>
      <c r="K1009" s="16"/>
      <c r="L1009" s="16"/>
      <c r="M1009" s="16"/>
      <c r="N1009" s="16"/>
      <c r="O1009" s="16"/>
      <c r="P1009" s="16"/>
      <c r="Q1009" s="16"/>
      <c r="R1009" s="16"/>
      <c r="S1009" s="16"/>
      <c r="T1009" s="16"/>
      <c r="U1009" s="16"/>
      <c r="V1009" s="16"/>
      <c r="W1009" s="16"/>
      <c r="X1009" s="16"/>
      <c r="Y1009" s="16"/>
      <c r="Z1009" s="16"/>
    </row>
  </sheetData>
  <pageMargins left="0.75" right="0.75" top="1" bottom="1" header="0.5" footer="0.5"/>
  <headerFooter/>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3:G11"/>
  <sheetViews>
    <sheetView workbookViewId="0">
      <selection activeCell="A1" sqref="A1"/>
    </sheetView>
  </sheetViews>
  <sheetFormatPr defaultColWidth="12.6285714285714" defaultRowHeight="15.75" customHeight="1" outlineLevelCol="6"/>
  <cols>
    <col min="1" max="6" width="12.6285714285714" customWidth="1"/>
  </cols>
  <sheetData>
    <row r="3" customHeight="1" spans="3:4">
      <c r="C3" s="1" t="s">
        <v>2822</v>
      </c>
      <c r="D3" s="1" t="s">
        <v>2823</v>
      </c>
    </row>
    <row r="4" customHeight="1" spans="2:7">
      <c r="B4" s="1" t="s">
        <v>971</v>
      </c>
      <c r="C4" s="2"/>
      <c r="D4" s="3"/>
      <c r="E4" s="3"/>
      <c r="F4" s="3"/>
      <c r="G4" s="4"/>
    </row>
    <row r="5" customHeight="1" spans="2:7">
      <c r="B5" s="1" t="s">
        <v>975</v>
      </c>
      <c r="C5" s="5"/>
      <c r="G5" s="6"/>
    </row>
    <row r="6" customHeight="1" spans="2:7">
      <c r="B6" s="1" t="s">
        <v>2824</v>
      </c>
      <c r="C6" s="5"/>
      <c r="G6" s="6"/>
    </row>
    <row r="7" customHeight="1" spans="3:7">
      <c r="C7" s="5"/>
      <c r="G7" s="6"/>
    </row>
    <row r="8" customHeight="1" spans="3:7">
      <c r="C8" s="5"/>
      <c r="G8" s="6"/>
    </row>
    <row r="9" customHeight="1" spans="3:7">
      <c r="C9" s="5"/>
      <c r="G9" s="6"/>
    </row>
    <row r="10" customHeight="1" spans="3:7">
      <c r="C10" s="5"/>
      <c r="G10" s="6"/>
    </row>
    <row r="11" customHeight="1" spans="3:7">
      <c r="C11" s="7"/>
      <c r="D11" s="8"/>
      <c r="E11" s="8"/>
      <c r="F11" s="8"/>
      <c r="G11" s="9"/>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37</vt:i4>
      </vt:variant>
    </vt:vector>
  </HeadingPairs>
  <TitlesOfParts>
    <vt:vector size="37" baseType="lpstr">
      <vt:lpstr>archive_Quote Types</vt:lpstr>
      <vt:lpstr>ProRates</vt:lpstr>
      <vt:lpstr>Sheet17</vt:lpstr>
      <vt:lpstr>Categories</vt:lpstr>
      <vt:lpstr>v3 Quote Types</vt:lpstr>
      <vt:lpstr>v3 Quote Templates</vt:lpstr>
      <vt:lpstr>Presentations</vt:lpstr>
      <vt:lpstr>v3 Presentations</vt:lpstr>
      <vt:lpstr>arhcive_The Top 25</vt:lpstr>
      <vt:lpstr>archQuote Templates</vt:lpstr>
      <vt:lpstr>Production Rates</vt:lpstr>
      <vt:lpstr>Products_archivestudy</vt:lpstr>
      <vt:lpstr>Line Items</vt:lpstr>
      <vt:lpstr>Sheet14</vt:lpstr>
      <vt:lpstr>Sheet13</vt:lpstr>
      <vt:lpstr>gables-grove-painting-line-item</vt:lpstr>
      <vt:lpstr>arc_Rate Categories + Area Name</vt:lpstr>
      <vt:lpstr>Sheet12</vt:lpstr>
      <vt:lpstr>Copy of PPG Paints</vt:lpstr>
      <vt:lpstr>Charge Rate</vt:lpstr>
      <vt:lpstr>Labor Rates</vt:lpstr>
      <vt:lpstr>PPC Standards</vt:lpstr>
      <vt:lpstr>SurePaint</vt:lpstr>
      <vt:lpstr>DYB</vt:lpstr>
      <vt:lpstr>SW v BM v PPG</vt:lpstr>
      <vt:lpstr>BM Product List</vt:lpstr>
      <vt:lpstr>From old spread Production Rate</vt:lpstr>
      <vt:lpstr>Brush Strokes</vt:lpstr>
      <vt:lpstr>painttalk.com rates</vt:lpstr>
      <vt:lpstr>Medina Calculator</vt:lpstr>
      <vt:lpstr>Boris Apt - Medina Calc</vt:lpstr>
      <vt:lpstr>Medina Exterior</vt:lpstr>
      <vt:lpstr>Arclight Interior</vt:lpstr>
      <vt:lpstr>Arclight Exterior</vt:lpstr>
      <vt:lpstr>Copy of Lists</vt:lpstr>
      <vt:lpstr>Copy of Markup vs Margin</vt:lpstr>
      <vt:lpstr>UF Rates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Uzair</cp:lastModifiedBy>
  <dcterms:created xsi:type="dcterms:W3CDTF">2025-05-08T17:30:00Z</dcterms:created>
  <dcterms:modified xsi:type="dcterms:W3CDTF">2025-07-02T19:20:42Z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678C7C32AE5F4B5BBC2BADA995C876B7_12</vt:lpwstr>
  </property>
  <property fmtid="{D5CDD505-2E9C-101B-9397-08002B2CF9AE}" pid="3" name="KSOProductBuildVer">
    <vt:lpwstr>2057-12.2.0.21602</vt:lpwstr>
  </property>
</Properties>
</file>